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omments3.xml" ContentType="application/vnd.openxmlformats-officedocument.spreadsheetml.comments+xml"/>
  <Override PartName="/xl/drawings/drawing2.xml" ContentType="application/vnd.openxmlformats-officedocument.drawing+xml"/>
  <Override PartName="/xl/comments4.xml" ContentType="application/vnd.openxmlformats-officedocument.spreadsheetml.comments+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omments5.xml" ContentType="application/vnd.openxmlformats-officedocument.spreadsheetml.comments+xml"/>
  <Override PartName="/xl/drawings/drawing3.xml" ContentType="application/vnd.openxmlformats-officedocument.drawing+xml"/>
  <Override PartName="/xl/comments6.xml" ContentType="application/vnd.openxmlformats-officedocument.spreadsheetml.comments+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charts/chart9.xml" ContentType="application/vnd.openxmlformats-officedocument.drawingml.chart+xml"/>
  <Override PartName="/xl/comments7.xml" ContentType="application/vnd.openxmlformats-officedocument.spreadsheetml.comments+xml"/>
  <Override PartName="/xl/drawings/drawing4.xml" ContentType="application/vnd.openxmlformats-officedocument.drawing+xml"/>
  <Override PartName="/xl/comments8.xml" ContentType="application/vnd.openxmlformats-officedocument.spreadsheetml.comments+xml"/>
  <Override PartName="/xl/charts/chart10.xml" ContentType="application/vnd.openxmlformats-officedocument.drawingml.chart+xml"/>
  <Override PartName="/xl/charts/style7.xml" ContentType="application/vnd.ms-office.chartstyle+xml"/>
  <Override PartName="/xl/charts/colors7.xml" ContentType="application/vnd.ms-office.chartcolorstyle+xml"/>
  <Override PartName="/xl/charts/chart11.xml" ContentType="application/vnd.openxmlformats-officedocument.drawingml.chart+xml"/>
  <Override PartName="/xl/charts/style8.xml" ContentType="application/vnd.ms-office.chartstyle+xml"/>
  <Override PartName="/xl/charts/colors8.xml" ContentType="application/vnd.ms-office.chartcolorstyle+xml"/>
  <Override PartName="/xl/charts/chart12.xml" ContentType="application/vnd.openxmlformats-officedocument.drawingml.chart+xml"/>
  <Override PartName="/xl/comments9.xml" ContentType="application/vnd.openxmlformats-officedocument.spreadsheetml.comments+xml"/>
  <Override PartName="/xl/drawings/drawing5.xml" ContentType="application/vnd.openxmlformats-officedocument.drawing+xml"/>
  <Override PartName="/xl/comments10.xml" ContentType="application/vnd.openxmlformats-officedocument.spreadsheetml.comments+xml"/>
  <Override PartName="/xl/charts/chart13.xml" ContentType="application/vnd.openxmlformats-officedocument.drawingml.chart+xml"/>
  <Override PartName="/xl/charts/style9.xml" ContentType="application/vnd.ms-office.chartstyle+xml"/>
  <Override PartName="/xl/charts/colors9.xml" ContentType="application/vnd.ms-office.chartcolorstyle+xml"/>
  <Override PartName="/xl/charts/chart14.xml" ContentType="application/vnd.openxmlformats-officedocument.drawingml.chart+xml"/>
  <Override PartName="/xl/charts/style10.xml" ContentType="application/vnd.ms-office.chartstyle+xml"/>
  <Override PartName="/xl/charts/colors10.xml" ContentType="application/vnd.ms-office.chartcolorstyle+xml"/>
  <Override PartName="/xl/charts/chart15.xml" ContentType="application/vnd.openxmlformats-officedocument.drawingml.chart+xml"/>
  <Override PartName="/xl/comments11.xml" ContentType="application/vnd.openxmlformats-officedocument.spreadsheetml.comments+xml"/>
  <Override PartName="/xl/drawings/drawing6.xml" ContentType="application/vnd.openxmlformats-officedocument.drawing+xml"/>
  <Override PartName="/xl/comments12.xml" ContentType="application/vnd.openxmlformats-officedocument.spreadsheetml.comments+xml"/>
  <Override PartName="/xl/charts/chart16.xml" ContentType="application/vnd.openxmlformats-officedocument.drawingml.chart+xml"/>
  <Override PartName="/xl/charts/style11.xml" ContentType="application/vnd.ms-office.chartstyle+xml"/>
  <Override PartName="/xl/charts/colors11.xml" ContentType="application/vnd.ms-office.chartcolorstyle+xml"/>
  <Override PartName="/xl/charts/chart17.xml" ContentType="application/vnd.openxmlformats-officedocument.drawingml.chart+xml"/>
  <Override PartName="/xl/charts/style12.xml" ContentType="application/vnd.ms-office.chartstyle+xml"/>
  <Override PartName="/xl/charts/colors12.xml" ContentType="application/vnd.ms-office.chartcolorstyle+xml"/>
  <Override PartName="/xl/charts/chart18.xml" ContentType="application/vnd.openxmlformats-officedocument.drawingml.chart+xml"/>
  <Override PartName="/xl/comments13.xml" ContentType="application/vnd.openxmlformats-officedocument.spreadsheetml.comments+xml"/>
  <Override PartName="/xl/drawings/drawing7.xml" ContentType="application/vnd.openxmlformats-officedocument.drawing+xml"/>
  <Override PartName="/xl/comments14.xml" ContentType="application/vnd.openxmlformats-officedocument.spreadsheetml.comments+xml"/>
  <Override PartName="/xl/charts/chart19.xml" ContentType="application/vnd.openxmlformats-officedocument.drawingml.chart+xml"/>
  <Override PartName="/xl/charts/style13.xml" ContentType="application/vnd.ms-office.chartstyle+xml"/>
  <Override PartName="/xl/charts/colors13.xml" ContentType="application/vnd.ms-office.chartcolorstyle+xml"/>
  <Override PartName="/xl/charts/chart20.xml" ContentType="application/vnd.openxmlformats-officedocument.drawingml.chart+xml"/>
  <Override PartName="/xl/charts/style14.xml" ContentType="application/vnd.ms-office.chartstyle+xml"/>
  <Override PartName="/xl/charts/colors14.xml" ContentType="application/vnd.ms-office.chartcolorstyle+xml"/>
  <Override PartName="/xl/charts/chart21.xml" ContentType="application/vnd.openxmlformats-officedocument.drawingml.chart+xml"/>
  <Override PartName="/xl/comments15.xml" ContentType="application/vnd.openxmlformats-officedocument.spreadsheetml.comments+xml"/>
  <Override PartName="/xl/drawings/drawing8.xml" ContentType="application/vnd.openxmlformats-officedocument.drawing+xml"/>
  <Override PartName="/xl/comments16.xml" ContentType="application/vnd.openxmlformats-officedocument.spreadsheetml.comments+xml"/>
  <Override PartName="/xl/charts/chart22.xml" ContentType="application/vnd.openxmlformats-officedocument.drawingml.chart+xml"/>
  <Override PartName="/xl/charts/style15.xml" ContentType="application/vnd.ms-office.chartstyle+xml"/>
  <Override PartName="/xl/charts/colors15.xml" ContentType="application/vnd.ms-office.chartcolorstyle+xml"/>
  <Override PartName="/xl/charts/chart23.xml" ContentType="application/vnd.openxmlformats-officedocument.drawingml.chart+xml"/>
  <Override PartName="/xl/charts/style16.xml" ContentType="application/vnd.ms-office.chartstyle+xml"/>
  <Override PartName="/xl/charts/colors16.xml" ContentType="application/vnd.ms-office.chartcolorstyle+xml"/>
  <Override PartName="/xl/charts/chart24.xml" ContentType="application/vnd.openxmlformats-officedocument.drawingml.chart+xml"/>
  <Override PartName="/xl/comments17.xml" ContentType="application/vnd.openxmlformats-officedocument.spreadsheetml.comments+xml"/>
  <Override PartName="/xl/drawings/drawing9.xml" ContentType="application/vnd.openxmlformats-officedocument.drawing+xml"/>
  <Override PartName="/xl/comments18.xml" ContentType="application/vnd.openxmlformats-officedocument.spreadsheetml.comments+xml"/>
  <Override PartName="/xl/charts/chart25.xml" ContentType="application/vnd.openxmlformats-officedocument.drawingml.chart+xml"/>
  <Override PartName="/xl/charts/style17.xml" ContentType="application/vnd.ms-office.chartstyle+xml"/>
  <Override PartName="/xl/charts/colors17.xml" ContentType="application/vnd.ms-office.chartcolorstyle+xml"/>
  <Override PartName="/xl/charts/chart26.xml" ContentType="application/vnd.openxmlformats-officedocument.drawingml.chart+xml"/>
  <Override PartName="/xl/charts/style18.xml" ContentType="application/vnd.ms-office.chartstyle+xml"/>
  <Override PartName="/xl/charts/colors18.xml" ContentType="application/vnd.ms-office.chartcolorstyle+xml"/>
  <Override PartName="/xl/charts/chart27.xml" ContentType="application/vnd.openxmlformats-officedocument.drawingml.chart+xml"/>
  <Override PartName="/xl/comments19.xml" ContentType="application/vnd.openxmlformats-officedocument.spreadsheetml.comments+xml"/>
  <Override PartName="/xl/drawings/drawing10.xml" ContentType="application/vnd.openxmlformats-officedocument.drawing+xml"/>
  <Override PartName="/xl/comments20.xml" ContentType="application/vnd.openxmlformats-officedocument.spreadsheetml.comments+xml"/>
  <Override PartName="/xl/charts/chart28.xml" ContentType="application/vnd.openxmlformats-officedocument.drawingml.chart+xml"/>
  <Override PartName="/xl/charts/style19.xml" ContentType="application/vnd.ms-office.chartstyle+xml"/>
  <Override PartName="/xl/charts/colors19.xml" ContentType="application/vnd.ms-office.chartcolorstyle+xml"/>
  <Override PartName="/xl/charts/chart29.xml" ContentType="application/vnd.openxmlformats-officedocument.drawingml.chart+xml"/>
  <Override PartName="/xl/charts/style20.xml" ContentType="application/vnd.ms-office.chartstyle+xml"/>
  <Override PartName="/xl/charts/colors20.xml" ContentType="application/vnd.ms-office.chartcolorstyle+xml"/>
  <Override PartName="/xl/charts/chart30.xml" ContentType="application/vnd.openxmlformats-officedocument.drawingml.chart+xml"/>
  <Override PartName="/xl/comments21.xml" ContentType="application/vnd.openxmlformats-officedocument.spreadsheetml.comments+xml"/>
  <Override PartName="/xl/threadedComments/threadedComment3.xml" ContentType="application/vnd.ms-excel.threadedcomments+xml"/>
  <Override PartName="/xl/drawings/drawing11.xml" ContentType="application/vnd.openxmlformats-officedocument.drawing+xml"/>
  <Override PartName="/xl/comments22.xml" ContentType="application/vnd.openxmlformats-officedocument.spreadsheetml.comments+xml"/>
  <Override PartName="/xl/charts/chart31.xml" ContentType="application/vnd.openxmlformats-officedocument.drawingml.chart+xml"/>
  <Override PartName="/xl/charts/style21.xml" ContentType="application/vnd.ms-office.chartstyle+xml"/>
  <Override PartName="/xl/charts/colors21.xml" ContentType="application/vnd.ms-office.chartcolorstyle+xml"/>
  <Override PartName="/xl/charts/chart32.xml" ContentType="application/vnd.openxmlformats-officedocument.drawingml.chart+xml"/>
  <Override PartName="/xl/charts/style22.xml" ContentType="application/vnd.ms-office.chartstyle+xml"/>
  <Override PartName="/xl/charts/colors22.xml" ContentType="application/vnd.ms-office.chartcolorstyle+xml"/>
  <Override PartName="/xl/charts/chart33.xml" ContentType="application/vnd.openxmlformats-officedocument.drawingml.chart+xml"/>
  <Override PartName="/xl/comments23.xml" ContentType="application/vnd.openxmlformats-officedocument.spreadsheetml.comments+xml"/>
  <Override PartName="/xl/drawings/drawing12.xml" ContentType="application/vnd.openxmlformats-officedocument.drawing+xml"/>
  <Override PartName="/xl/comments24.xml" ContentType="application/vnd.openxmlformats-officedocument.spreadsheetml.comments+xml"/>
  <Override PartName="/xl/charts/chart34.xml" ContentType="application/vnd.openxmlformats-officedocument.drawingml.chart+xml"/>
  <Override PartName="/xl/charts/style23.xml" ContentType="application/vnd.ms-office.chartstyle+xml"/>
  <Override PartName="/xl/charts/colors23.xml" ContentType="application/vnd.ms-office.chartcolorstyle+xml"/>
  <Override PartName="/xl/charts/chart35.xml" ContentType="application/vnd.openxmlformats-officedocument.drawingml.chart+xml"/>
  <Override PartName="/xl/charts/style24.xml" ContentType="application/vnd.ms-office.chartstyle+xml"/>
  <Override PartName="/xl/charts/colors24.xml" ContentType="application/vnd.ms-office.chartcolorstyle+xml"/>
  <Override PartName="/xl/charts/chart36.xml" ContentType="application/vnd.openxmlformats-officedocument.drawingml.chart+xml"/>
  <Override PartName="/xl/comments25.xml" ContentType="application/vnd.openxmlformats-officedocument.spreadsheetml.comments+xml"/>
  <Override PartName="/xl/drawings/drawing13.xml" ContentType="application/vnd.openxmlformats-officedocument.drawing+xml"/>
  <Override PartName="/xl/comments26.xml" ContentType="application/vnd.openxmlformats-officedocument.spreadsheetml.comments+xml"/>
  <Override PartName="/xl/charts/chart37.xml" ContentType="application/vnd.openxmlformats-officedocument.drawingml.chart+xml"/>
  <Override PartName="/xl/charts/style25.xml" ContentType="application/vnd.ms-office.chartstyle+xml"/>
  <Override PartName="/xl/charts/colors25.xml" ContentType="application/vnd.ms-office.chartcolorstyle+xml"/>
  <Override PartName="/xl/charts/chart38.xml" ContentType="application/vnd.openxmlformats-officedocument.drawingml.chart+xml"/>
  <Override PartName="/xl/charts/style26.xml" ContentType="application/vnd.ms-office.chartstyle+xml"/>
  <Override PartName="/xl/charts/colors26.xml" ContentType="application/vnd.ms-office.chartcolorstyle+xml"/>
  <Override PartName="/xl/charts/chart39.xml" ContentType="application/vnd.openxmlformats-officedocument.drawingml.chart+xml"/>
  <Override PartName="/xl/comments27.xml" ContentType="application/vnd.openxmlformats-officedocument.spreadsheetml.comments+xml"/>
  <Override PartName="/xl/drawings/drawing14.xml" ContentType="application/vnd.openxmlformats-officedocument.drawing+xml"/>
  <Override PartName="/xl/comments28.xml" ContentType="application/vnd.openxmlformats-officedocument.spreadsheetml.comments+xml"/>
  <Override PartName="/xl/charts/chart40.xml" ContentType="application/vnd.openxmlformats-officedocument.drawingml.chart+xml"/>
  <Override PartName="/xl/charts/style27.xml" ContentType="application/vnd.ms-office.chartstyle+xml"/>
  <Override PartName="/xl/charts/colors27.xml" ContentType="application/vnd.ms-office.chartcolorstyle+xml"/>
  <Override PartName="/xl/charts/chart41.xml" ContentType="application/vnd.openxmlformats-officedocument.drawingml.chart+xml"/>
  <Override PartName="/xl/charts/style28.xml" ContentType="application/vnd.ms-office.chartstyle+xml"/>
  <Override PartName="/xl/charts/colors28.xml" ContentType="application/vnd.ms-office.chartcolorstyle+xml"/>
  <Override PartName="/xl/charts/chart42.xml" ContentType="application/vnd.openxmlformats-officedocument.drawingml.chart+xml"/>
  <Override PartName="/xl/comments29.xml" ContentType="application/vnd.openxmlformats-officedocument.spreadsheetml.comments+xml"/>
  <Override PartName="/xl/drawings/drawing15.xml" ContentType="application/vnd.openxmlformats-officedocument.drawing+xml"/>
  <Override PartName="/xl/comments30.xml" ContentType="application/vnd.openxmlformats-officedocument.spreadsheetml.comments+xml"/>
  <Override PartName="/xl/charts/chart43.xml" ContentType="application/vnd.openxmlformats-officedocument.drawingml.chart+xml"/>
  <Override PartName="/xl/charts/style29.xml" ContentType="application/vnd.ms-office.chartstyle+xml"/>
  <Override PartName="/xl/charts/colors29.xml" ContentType="application/vnd.ms-office.chartcolorstyle+xml"/>
  <Override PartName="/xl/charts/chart44.xml" ContentType="application/vnd.openxmlformats-officedocument.drawingml.chart+xml"/>
  <Override PartName="/xl/charts/style30.xml" ContentType="application/vnd.ms-office.chartstyle+xml"/>
  <Override PartName="/xl/charts/colors30.xml" ContentType="application/vnd.ms-office.chartcolorstyle+xml"/>
  <Override PartName="/xl/charts/chart45.xml" ContentType="application/vnd.openxmlformats-officedocument.drawingml.chart+xml"/>
  <Override PartName="/xl/comments31.xml" ContentType="application/vnd.openxmlformats-officedocument.spreadsheetml.comments+xml"/>
  <Override PartName="/xl/drawings/drawing16.xml" ContentType="application/vnd.openxmlformats-officedocument.drawing+xml"/>
  <Override PartName="/xl/comments32.xml" ContentType="application/vnd.openxmlformats-officedocument.spreadsheetml.comments+xml"/>
  <Override PartName="/xl/charts/chart46.xml" ContentType="application/vnd.openxmlformats-officedocument.drawingml.chart+xml"/>
  <Override PartName="/xl/charts/style31.xml" ContentType="application/vnd.ms-office.chartstyle+xml"/>
  <Override PartName="/xl/charts/colors31.xml" ContentType="application/vnd.ms-office.chartcolorstyle+xml"/>
  <Override PartName="/xl/charts/chart47.xml" ContentType="application/vnd.openxmlformats-officedocument.drawingml.chart+xml"/>
  <Override PartName="/xl/charts/style32.xml" ContentType="application/vnd.ms-office.chartstyle+xml"/>
  <Override PartName="/xl/charts/colors32.xml" ContentType="application/vnd.ms-office.chartcolorstyle+xml"/>
  <Override PartName="/xl/charts/chart48.xml" ContentType="application/vnd.openxmlformats-officedocument.drawingml.chart+xml"/>
  <Override PartName="/xl/comments33.xml" ContentType="application/vnd.openxmlformats-officedocument.spreadsheetml.comments+xml"/>
  <Override PartName="/xl/drawings/drawing17.xml" ContentType="application/vnd.openxmlformats-officedocument.drawing+xml"/>
  <Override PartName="/xl/comments34.xml" ContentType="application/vnd.openxmlformats-officedocument.spreadsheetml.comments+xml"/>
  <Override PartName="/xl/charts/chart49.xml" ContentType="application/vnd.openxmlformats-officedocument.drawingml.chart+xml"/>
  <Override PartName="/xl/charts/style33.xml" ContentType="application/vnd.ms-office.chartstyle+xml"/>
  <Override PartName="/xl/charts/colors33.xml" ContentType="application/vnd.ms-office.chartcolorstyle+xml"/>
  <Override PartName="/xl/charts/chart50.xml" ContentType="application/vnd.openxmlformats-officedocument.drawingml.chart+xml"/>
  <Override PartName="/xl/charts/style34.xml" ContentType="application/vnd.ms-office.chartstyle+xml"/>
  <Override PartName="/xl/charts/colors34.xml" ContentType="application/vnd.ms-office.chartcolorstyle+xml"/>
  <Override PartName="/xl/charts/chart51.xml" ContentType="application/vnd.openxmlformats-officedocument.drawingml.chart+xml"/>
  <Override PartName="/xl/comments35.xml" ContentType="application/vnd.openxmlformats-officedocument.spreadsheetml.comments+xml"/>
  <Override PartName="/xl/drawings/drawing18.xml" ContentType="application/vnd.openxmlformats-officedocument.drawing+xml"/>
  <Override PartName="/xl/comments36.xml" ContentType="application/vnd.openxmlformats-officedocument.spreadsheetml.comments+xml"/>
  <Override PartName="/xl/charts/chart52.xml" ContentType="application/vnd.openxmlformats-officedocument.drawingml.chart+xml"/>
  <Override PartName="/xl/charts/style35.xml" ContentType="application/vnd.ms-office.chartstyle+xml"/>
  <Override PartName="/xl/charts/colors35.xml" ContentType="application/vnd.ms-office.chartcolorstyle+xml"/>
  <Override PartName="/xl/charts/chart53.xml" ContentType="application/vnd.openxmlformats-officedocument.drawingml.chart+xml"/>
  <Override PartName="/xl/charts/style36.xml" ContentType="application/vnd.ms-office.chartstyle+xml"/>
  <Override PartName="/xl/charts/colors36.xml" ContentType="application/vnd.ms-office.chartcolorstyle+xml"/>
  <Override PartName="/xl/charts/chart54.xml" ContentType="application/vnd.openxmlformats-officedocument.drawingml.chart+xml"/>
  <Override PartName="/xl/comments37.xml" ContentType="application/vnd.openxmlformats-officedocument.spreadsheetml.comments+xml"/>
  <Override PartName="/xl/drawings/drawing19.xml" ContentType="application/vnd.openxmlformats-officedocument.drawing+xml"/>
  <Override PartName="/xl/comments38.xml" ContentType="application/vnd.openxmlformats-officedocument.spreadsheetml.comments+xml"/>
  <Override PartName="/xl/charts/chart55.xml" ContentType="application/vnd.openxmlformats-officedocument.drawingml.chart+xml"/>
  <Override PartName="/xl/charts/style37.xml" ContentType="application/vnd.ms-office.chartstyle+xml"/>
  <Override PartName="/xl/charts/colors37.xml" ContentType="application/vnd.ms-office.chartcolorstyle+xml"/>
  <Override PartName="/xl/charts/chart56.xml" ContentType="application/vnd.openxmlformats-officedocument.drawingml.chart+xml"/>
  <Override PartName="/xl/charts/style38.xml" ContentType="application/vnd.ms-office.chartstyle+xml"/>
  <Override PartName="/xl/charts/colors38.xml" ContentType="application/vnd.ms-office.chartcolorstyle+xml"/>
  <Override PartName="/xl/charts/chart57.xml" ContentType="application/vnd.openxmlformats-officedocument.drawingml.chart+xml"/>
  <Override PartName="/xl/comments39.xml" ContentType="application/vnd.openxmlformats-officedocument.spreadsheetml.comments+xml"/>
  <Override PartName="/xl/drawings/drawing20.xml" ContentType="application/vnd.openxmlformats-officedocument.drawing+xml"/>
  <Override PartName="/xl/comments40.xml" ContentType="application/vnd.openxmlformats-officedocument.spreadsheetml.comments+xml"/>
  <Override PartName="/xl/charts/chart58.xml" ContentType="application/vnd.openxmlformats-officedocument.drawingml.chart+xml"/>
  <Override PartName="/xl/charts/style39.xml" ContentType="application/vnd.ms-office.chartstyle+xml"/>
  <Override PartName="/xl/charts/colors39.xml" ContentType="application/vnd.ms-office.chartcolorstyle+xml"/>
  <Override PartName="/xl/charts/chart59.xml" ContentType="application/vnd.openxmlformats-officedocument.drawingml.chart+xml"/>
  <Override PartName="/xl/charts/style40.xml" ContentType="application/vnd.ms-office.chartstyle+xml"/>
  <Override PartName="/xl/charts/colors40.xml" ContentType="application/vnd.ms-office.chartcolorstyle+xml"/>
  <Override PartName="/xl/charts/chart60.xml" ContentType="application/vnd.openxmlformats-officedocument.drawingml.chart+xml"/>
  <Override PartName="/xl/comments41.xml" ContentType="application/vnd.openxmlformats-officedocument.spreadsheetml.comments+xml"/>
  <Override PartName="/xl/drawings/drawing21.xml" ContentType="application/vnd.openxmlformats-officedocument.drawing+xml"/>
  <Override PartName="/xl/comments42.xml" ContentType="application/vnd.openxmlformats-officedocument.spreadsheetml.comments+xml"/>
  <Override PartName="/xl/charts/chart61.xml" ContentType="application/vnd.openxmlformats-officedocument.drawingml.chart+xml"/>
  <Override PartName="/xl/charts/style41.xml" ContentType="application/vnd.ms-office.chartstyle+xml"/>
  <Override PartName="/xl/charts/colors41.xml" ContentType="application/vnd.ms-office.chartcolorstyle+xml"/>
  <Override PartName="/xl/charts/chart62.xml" ContentType="application/vnd.openxmlformats-officedocument.drawingml.chart+xml"/>
  <Override PartName="/xl/charts/style42.xml" ContentType="application/vnd.ms-office.chartstyle+xml"/>
  <Override PartName="/xl/charts/colors42.xml" ContentType="application/vnd.ms-office.chartcolorstyle+xml"/>
  <Override PartName="/xl/charts/chart63.xml" ContentType="application/vnd.openxmlformats-officedocument.drawingml.chart+xml"/>
  <Override PartName="/xl/drawings/drawing22.xml" ContentType="application/vnd.openxmlformats-officedocument.drawing+xml"/>
  <Override PartName="/xl/comments43.xml" ContentType="application/vnd.openxmlformats-officedocument.spreadsheetml.comments+xml"/>
  <Override PartName="/xl/charts/chart64.xml" ContentType="application/vnd.openxmlformats-officedocument.drawingml.chart+xml"/>
  <Override PartName="/xl/drawings/drawing23.xml" ContentType="application/vnd.openxmlformats-officedocument.drawing+xml"/>
  <Override PartName="/xl/comments44.xml" ContentType="application/vnd.openxmlformats-officedocument.spreadsheetml.comments+xml"/>
  <Override PartName="/xl/charts/chart65.xml" ContentType="application/vnd.openxmlformats-officedocument.drawingml.chart+xml"/>
  <Override PartName="/xl/charts/style43.xml" ContentType="application/vnd.ms-office.chartstyle+xml"/>
  <Override PartName="/xl/charts/colors43.xml" ContentType="application/vnd.ms-office.chartcolorstyle+xml"/>
  <Override PartName="/xl/charts/chart66.xml" ContentType="application/vnd.openxmlformats-officedocument.drawingml.chart+xml"/>
  <Override PartName="/xl/charts/style44.xml" ContentType="application/vnd.ms-office.chartstyle+xml"/>
  <Override PartName="/xl/charts/colors44.xml" ContentType="application/vnd.ms-office.chartcolorstyle+xml"/>
  <Override PartName="/xl/charts/chart67.xml" ContentType="application/vnd.openxmlformats-officedocument.drawingml.chart+xml"/>
  <Override PartName="/xl/charts/chart68.xml" ContentType="application/vnd.openxmlformats-officedocument.drawingml.chart+xml"/>
  <Override PartName="/xl/drawings/drawing24.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charts/chart69.xml" ContentType="application/vnd.openxmlformats-officedocument.drawingml.chart+xml"/>
  <Override PartName="/xl/charts/chart70.xml" ContentType="application/vnd.openxmlformats-officedocument.drawingml.chart+xml"/>
  <Override PartName="/xl/charts/chart71.xml" ContentType="application/vnd.openxmlformats-officedocument.drawingml.chart+xml"/>
  <Override PartName="/xl/charts/chart72.xml" ContentType="application/vnd.openxmlformats-officedocument.drawingml.chart+xml"/>
  <Override PartName="/xl/charts/chart73.xml" ContentType="application/vnd.openxmlformats-officedocument.drawingml.chart+xml"/>
  <Override PartName="/xl/theme/themeOverride1.xml" ContentType="application/vnd.openxmlformats-officedocument.themeOverride+xml"/>
  <Override PartName="/xl/charts/chart74.xml" ContentType="application/vnd.openxmlformats-officedocument.drawingml.chart+xml"/>
  <Override PartName="/xl/charts/style45.xml" ContentType="application/vnd.ms-office.chartstyle+xml"/>
  <Override PartName="/xl/charts/colors45.xml" ContentType="application/vnd.ms-office.chartcolorstyle+xml"/>
  <Override PartName="/xl/charts/chart75.xml" ContentType="application/vnd.openxmlformats-officedocument.drawingml.chart+xml"/>
  <Override PartName="/xl/charts/style46.xml" ContentType="application/vnd.ms-office.chartstyle+xml"/>
  <Override PartName="/xl/charts/colors46.xml" ContentType="application/vnd.ms-office.chartcolorstyle+xml"/>
  <Override PartName="/xl/charts/chart76.xml" ContentType="application/vnd.openxmlformats-officedocument.drawingml.chart+xml"/>
  <Override PartName="/xl/charts/style47.xml" ContentType="application/vnd.ms-office.chartstyle+xml"/>
  <Override PartName="/xl/charts/colors47.xml" ContentType="application/vnd.ms-office.chartcolorstyle+xml"/>
  <Override PartName="/xl/charts/chart77.xml" ContentType="application/vnd.openxmlformats-officedocument.drawingml.chart+xml"/>
  <Override PartName="/xl/theme/themeOverride2.xml" ContentType="application/vnd.openxmlformats-officedocument.themeOverride+xml"/>
  <Override PartName="/xl/charts/chart78.xml" ContentType="application/vnd.openxmlformats-officedocument.drawingml.chart+xml"/>
  <Override PartName="/xl/charts/style48.xml" ContentType="application/vnd.ms-office.chartstyle+xml"/>
  <Override PartName="/xl/charts/colors48.xml" ContentType="application/vnd.ms-office.chartcolorstyle+xml"/>
  <Override PartName="/xl/charts/chart79.xml" ContentType="application/vnd.openxmlformats-officedocument.drawingml.chart+xml"/>
  <Override PartName="/xl/charts/style49.xml" ContentType="application/vnd.ms-office.chartstyle+xml"/>
  <Override PartName="/xl/charts/colors49.xml" ContentType="application/vnd.ms-office.chartcolorstyle+xml"/>
  <Override PartName="/xl/charts/chart80.xml" ContentType="application/vnd.openxmlformats-officedocument.drawingml.chart+xml"/>
  <Override PartName="/xl/charts/style50.xml" ContentType="application/vnd.ms-office.chartstyle+xml"/>
  <Override PartName="/xl/charts/colors50.xml" ContentType="application/vnd.ms-office.chartcolorstyle+xml"/>
  <Override PartName="/xl/charts/chart81.xml" ContentType="application/vnd.openxmlformats-officedocument.drawingml.chart+xml"/>
  <Override PartName="/xl/charts/chart82.xml" ContentType="application/vnd.openxmlformats-officedocument.drawingml.chart+xml"/>
  <Override PartName="/xl/charts/style51.xml" ContentType="application/vnd.ms-office.chartstyle+xml"/>
  <Override PartName="/xl/charts/colors51.xml" ContentType="application/vnd.ms-office.chartcolorstyle+xml"/>
  <Override PartName="/xl/charts/chart83.xml" ContentType="application/vnd.openxmlformats-officedocument.drawingml.chart+xml"/>
  <Override PartName="/xl/drawings/drawing25.xml" ContentType="application/vnd.openxmlformats-officedocument.drawing+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charts/chart84.xml" ContentType="application/vnd.openxmlformats-officedocument.drawingml.chart+xml"/>
  <Override PartName="/xl/charts/chart85.xml" ContentType="application/vnd.openxmlformats-officedocument.drawingml.chart+xml"/>
  <Override PartName="/xl/charts/chart86.xml" ContentType="application/vnd.openxmlformats-officedocument.drawingml.chart+xml"/>
  <Override PartName="/xl/charts/chart87.xml" ContentType="application/vnd.openxmlformats-officedocument.drawingml.chart+xml"/>
  <Override PartName="/xl/charts/style52.xml" ContentType="application/vnd.ms-office.chartstyle+xml"/>
  <Override PartName="/xl/charts/colors52.xml" ContentType="application/vnd.ms-office.chartcolorstyle+xml"/>
  <Override PartName="/xl/charts/chart88.xml" ContentType="application/vnd.openxmlformats-officedocument.drawingml.chart+xml"/>
  <Override PartName="/xl/charts/style53.xml" ContentType="application/vnd.ms-office.chartstyle+xml"/>
  <Override PartName="/xl/charts/colors53.xml" ContentType="application/vnd.ms-office.chartcolorstyle+xml"/>
  <Override PartName="/xl/charts/chart89.xml" ContentType="application/vnd.openxmlformats-officedocument.drawingml.chart+xml"/>
  <Override PartName="/xl/charts/chart90.xml" ContentType="application/vnd.openxmlformats-officedocument.drawingml.chart+xml"/>
  <Override PartName="/xl/charts/style54.xml" ContentType="application/vnd.ms-office.chartstyle+xml"/>
  <Override PartName="/xl/charts/colors54.xml" ContentType="application/vnd.ms-office.chartcolorstyle+xml"/>
  <Override PartName="/xl/charts/chart91.xml" ContentType="application/vnd.openxmlformats-officedocument.drawingml.chart+xml"/>
  <Override PartName="/xl/drawings/drawing26.xml" ContentType="application/vnd.openxmlformats-officedocument.drawingml.chartshapes+xml"/>
  <Override PartName="/xl/charts/chart92.xml" ContentType="application/vnd.openxmlformats-officedocument.drawingml.chart+xml"/>
  <Override PartName="/xl/drawings/drawing27.xml" ContentType="application/vnd.openxmlformats-officedocument.drawingml.chartshapes+xml"/>
  <Override PartName="/xl/charts/chart93.xml" ContentType="application/vnd.openxmlformats-officedocument.drawingml.chart+xml"/>
  <Override PartName="/xl/drawings/drawing28.xml" ContentType="application/vnd.openxmlformats-officedocument.drawingml.chartshapes+xml"/>
  <Override PartName="/xl/charts/chart94.xml" ContentType="application/vnd.openxmlformats-officedocument.drawingml.chart+xml"/>
  <Override PartName="/xl/drawings/drawing29.xml" ContentType="application/vnd.openxmlformats-officedocument.drawingml.chartshapes+xml"/>
  <Override PartName="/xl/charts/chart95.xml" ContentType="application/vnd.openxmlformats-officedocument.drawingml.chart+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mc:AlternateContent xmlns:mc="http://schemas.openxmlformats.org/markup-compatibility/2006">
    <mc:Choice Requires="x15">
      <x15ac:absPath xmlns:x15ac="http://schemas.microsoft.com/office/spreadsheetml/2010/11/ac" url="X:\Dga_EI\AMicro\AMicro_PFiscal\Fiscal_Drag_Europe\journal\03_EER\02_cond_accepted\Replication_files\"/>
    </mc:Choice>
  </mc:AlternateContent>
  <xr:revisionPtr revIDLastSave="0" documentId="13_ncr:1_{BB1A6B09-BD86-4B64-8F4E-DC7597D0690C}" xr6:coauthVersionLast="47" xr6:coauthVersionMax="47" xr10:uidLastSave="{00000000-0000-0000-0000-000000000000}"/>
  <bookViews>
    <workbookView xWindow="-108" yWindow="-108" windowWidth="30936" windowHeight="16776" tabRatio="841" activeTab="46" xr2:uid="{00000000-000D-0000-FFFF-FFFF00000000}"/>
  </bookViews>
  <sheets>
    <sheet name="1AT" sheetId="111" r:id="rId1"/>
    <sheet name="2AT" sheetId="115" r:id="rId2"/>
    <sheet name="1BE" sheetId="132" r:id="rId3"/>
    <sheet name="2BE" sheetId="129" r:id="rId4"/>
    <sheet name="1CY" sheetId="140" r:id="rId5"/>
    <sheet name="2CY" sheetId="139" r:id="rId6"/>
    <sheet name="1DE" sheetId="120" r:id="rId7"/>
    <sheet name="2DE" sheetId="124" r:id="rId8"/>
    <sheet name="1EE" sheetId="87" r:id="rId9"/>
    <sheet name="2EE" sheetId="130" r:id="rId10"/>
    <sheet name="1EL" sheetId="133" r:id="rId11"/>
    <sheet name="2EL" sheetId="135" r:id="rId12"/>
    <sheet name="1ES" sheetId="107" r:id="rId13"/>
    <sheet name="2ES" sheetId="105" r:id="rId14"/>
    <sheet name="1FI" sheetId="153" r:id="rId15"/>
    <sheet name="2FI" sheetId="152" r:id="rId16"/>
    <sheet name="1FR" sheetId="156" r:id="rId17"/>
    <sheet name="2FR" sheetId="161" r:id="rId18"/>
    <sheet name="1HR" sheetId="136" r:id="rId19"/>
    <sheet name="2HR" sheetId="137" r:id="rId20"/>
    <sheet name="1HU" sheetId="99" r:id="rId21"/>
    <sheet name="2HU" sheetId="126" r:id="rId22"/>
    <sheet name="1IE" sheetId="163" r:id="rId23"/>
    <sheet name="2IE" sheetId="162" r:id="rId24"/>
    <sheet name="1IT" sheetId="113" r:id="rId25"/>
    <sheet name="2IT" sheetId="121" r:id="rId26"/>
    <sheet name="1LT" sheetId="112" r:id="rId27"/>
    <sheet name="2LT" sheetId="116" r:id="rId28"/>
    <sheet name="1LU" sheetId="143" r:id="rId29"/>
    <sheet name="2LU" sheetId="144" r:id="rId30"/>
    <sheet name="1LV" sheetId="110" r:id="rId31"/>
    <sheet name="2LV" sheetId="125" r:id="rId32"/>
    <sheet name="1MT" sheetId="131" r:id="rId33"/>
    <sheet name="2MT" sheetId="138" r:id="rId34"/>
    <sheet name="1NL" sheetId="145" r:id="rId35"/>
    <sheet name="2NL" sheetId="146" r:id="rId36"/>
    <sheet name="1PT" sheetId="108" r:id="rId37"/>
    <sheet name="2PT" sheetId="109" r:id="rId38"/>
    <sheet name="1SI" sheetId="147" r:id="rId39"/>
    <sheet name="2SI" sheetId="151" r:id="rId40"/>
    <sheet name="1SK" sheetId="155" r:id="rId41"/>
    <sheet name="2SK" sheetId="149" r:id="rId42"/>
    <sheet name="1CC" sheetId="29" r:id="rId43"/>
    <sheet name="2CC" sheetId="106" r:id="rId44"/>
    <sheet name="1Cross" sheetId="28" r:id="rId45"/>
    <sheet name="2Cross" sheetId="36" r:id="rId46"/>
    <sheet name="Table_A2" sheetId="38" r:id="rId47"/>
    <sheet name="Table_A3" sheetId="45" r:id="rId48"/>
    <sheet name="Table_A4" sheetId="40" r:id="rId49"/>
    <sheet name="Table_A5" sheetId="158" r:id="rId50"/>
    <sheet name="Table_A6" sheetId="154" r:id="rId51"/>
    <sheet name="Table_D1" sheetId="165" r:id="rId52"/>
  </sheets>
  <externalReferences>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 r:id="rId151"/>
    <externalReference r:id="rId152"/>
    <externalReference r:id="rId153"/>
    <externalReference r:id="rId154"/>
    <externalReference r:id="rId155"/>
    <externalReference r:id="rId156"/>
    <externalReference r:id="rId157"/>
    <externalReference r:id="rId158"/>
    <externalReference r:id="rId159"/>
    <externalReference r:id="rId160"/>
  </externalReferences>
  <definedNames>
    <definedName name="_xlnm._FilterDatabase" localSheetId="44" hidden="1">'1Cross'!$F$364:$J$393</definedName>
    <definedName name="_xlnm._FilterDatabase" localSheetId="45" hidden="1">'2Cross'!$J$76:$K$76</definedName>
    <definedName name="DATEBISS">[1]!ALL_DATA[DATA_OSS]</definedName>
    <definedName name="NAN">[1]PARAMETRI!$A$36</definedName>
    <definedName name="SERIEBISS">[1]!ALL_DATA[#Headers]</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R12" i="149" l="1"/>
  <c r="AS21" i="137"/>
  <c r="AS20" i="137"/>
  <c r="AS19" i="137"/>
  <c r="AS18" i="137"/>
  <c r="AS17" i="137"/>
  <c r="AS16" i="137"/>
  <c r="AS15" i="137"/>
  <c r="AS14" i="137"/>
  <c r="AS13" i="137"/>
  <c r="AS12" i="137"/>
  <c r="AS21" i="126"/>
  <c r="AS20" i="126"/>
  <c r="AS19" i="126"/>
  <c r="AS18" i="126"/>
  <c r="AS17" i="126"/>
  <c r="AS16" i="126"/>
  <c r="AS15" i="126"/>
  <c r="AS14" i="126"/>
  <c r="AS13" i="126"/>
  <c r="AS12" i="126"/>
  <c r="AS21" i="162"/>
  <c r="AS20" i="162"/>
  <c r="AS19" i="162"/>
  <c r="AS18" i="162"/>
  <c r="AS17" i="162"/>
  <c r="AS16" i="162"/>
  <c r="AS15" i="162"/>
  <c r="AS14" i="162"/>
  <c r="AS13" i="162"/>
  <c r="AS12" i="162"/>
  <c r="AR12" i="116"/>
  <c r="AS21" i="144"/>
  <c r="AS20" i="144"/>
  <c r="AS19" i="144"/>
  <c r="AS18" i="144"/>
  <c r="AS17" i="144"/>
  <c r="AS16" i="144"/>
  <c r="AS15" i="144"/>
  <c r="AS14" i="144"/>
  <c r="AS13" i="144"/>
  <c r="AS12" i="144"/>
  <c r="AS21" i="125"/>
  <c r="AS20" i="125"/>
  <c r="AS19" i="125"/>
  <c r="AS18" i="125"/>
  <c r="AS17" i="125"/>
  <c r="AS16" i="125"/>
  <c r="AS15" i="125"/>
  <c r="AS14" i="125"/>
  <c r="AS13" i="125"/>
  <c r="AS12" i="125"/>
  <c r="D8" i="106" a="1"/>
  <c r="D8" i="29" a="1"/>
  <c r="D8" i="106" l="1"/>
  <c r="D8" i="29"/>
  <c r="CN22" i="99"/>
  <c r="CM22" i="99"/>
  <c r="CL22" i="99"/>
  <c r="CK22" i="99"/>
  <c r="FE22" i="163"/>
  <c r="FD22" i="163"/>
  <c r="FC22" i="163"/>
  <c r="FB22" i="163"/>
  <c r="EZ22" i="163"/>
  <c r="EW22" i="163"/>
  <c r="EV22" i="163"/>
  <c r="EP22" i="163"/>
  <c r="DD22" i="163"/>
  <c r="DC22" i="163"/>
  <c r="CV22" i="163"/>
  <c r="CU22" i="163"/>
  <c r="CT22" i="163"/>
  <c r="CS22" i="163"/>
  <c r="CW22" i="163" s="1"/>
  <c r="CR22" i="163"/>
  <c r="CP22" i="163"/>
  <c r="CO22" i="163"/>
  <c r="BO22" i="163"/>
  <c r="BN22" i="163"/>
  <c r="BM22" i="163"/>
  <c r="BL22" i="163"/>
  <c r="AN22" i="163"/>
  <c r="AG22" i="163"/>
  <c r="AF22" i="163"/>
  <c r="FH22" i="163" s="1"/>
  <c r="AE22" i="163"/>
  <c r="AD22" i="163"/>
  <c r="BE22" i="163" s="1"/>
  <c r="AB22" i="163"/>
  <c r="AC22" i="163" s="1"/>
  <c r="AA22" i="163"/>
  <c r="Z22" i="163"/>
  <c r="Y22" i="163"/>
  <c r="X22" i="163"/>
  <c r="W22" i="163"/>
  <c r="AH22" i="163" s="1"/>
  <c r="R22" i="163"/>
  <c r="EZ21" i="163"/>
  <c r="EW21" i="163"/>
  <c r="EV21" i="163"/>
  <c r="EU21" i="163"/>
  <c r="EP21" i="163"/>
  <c r="EM21" i="163"/>
  <c r="DD21" i="163"/>
  <c r="BS21" i="163"/>
  <c r="BO21" i="163"/>
  <c r="BN21" i="163"/>
  <c r="BM21" i="163"/>
  <c r="BL21" i="163"/>
  <c r="AN21" i="163"/>
  <c r="AB21" i="163"/>
  <c r="AC21" i="163" s="1"/>
  <c r="AA21" i="163"/>
  <c r="Z21" i="163"/>
  <c r="Y21" i="163"/>
  <c r="X21" i="163"/>
  <c r="W21" i="163"/>
  <c r="R21" i="163"/>
  <c r="O21" i="163"/>
  <c r="EZ20" i="163"/>
  <c r="EW20" i="163"/>
  <c r="EV20" i="163"/>
  <c r="EU20" i="163"/>
  <c r="EP20" i="163"/>
  <c r="EM20" i="163"/>
  <c r="DD20" i="163"/>
  <c r="BS20" i="163"/>
  <c r="BO20" i="163"/>
  <c r="BN20" i="163"/>
  <c r="BM20" i="163"/>
  <c r="BL20" i="163"/>
  <c r="AN20" i="163"/>
  <c r="AB20" i="163"/>
  <c r="AC20" i="163" s="1"/>
  <c r="AA20" i="163"/>
  <c r="Z20" i="163"/>
  <c r="Y20" i="163"/>
  <c r="X20" i="163"/>
  <c r="W20" i="163"/>
  <c r="R20" i="163"/>
  <c r="O20" i="163"/>
  <c r="EZ19" i="163"/>
  <c r="EW19" i="163"/>
  <c r="EX19" i="163" s="1"/>
  <c r="EV19" i="163"/>
  <c r="EU19" i="163"/>
  <c r="EP19" i="163"/>
  <c r="EM19" i="163"/>
  <c r="DD19" i="163"/>
  <c r="BS19" i="163"/>
  <c r="BO19" i="163"/>
  <c r="BN19" i="163"/>
  <c r="BM19" i="163"/>
  <c r="BL19" i="163"/>
  <c r="AN19" i="163"/>
  <c r="AB19" i="163"/>
  <c r="AC19" i="163" s="1"/>
  <c r="AA19" i="163"/>
  <c r="Z19" i="163"/>
  <c r="Y19" i="163"/>
  <c r="X19" i="163"/>
  <c r="W19" i="163"/>
  <c r="R19" i="163"/>
  <c r="O19" i="163"/>
  <c r="EZ18" i="163"/>
  <c r="EW18" i="163"/>
  <c r="EX18" i="163" s="1"/>
  <c r="EV18" i="163"/>
  <c r="EY18" i="163" s="1"/>
  <c r="EU18" i="163"/>
  <c r="EP18" i="163"/>
  <c r="EM18" i="163"/>
  <c r="DD18" i="163"/>
  <c r="BS18" i="163"/>
  <c r="BO18" i="163"/>
  <c r="BN18" i="163"/>
  <c r="BM18" i="163"/>
  <c r="BL18" i="163"/>
  <c r="AN18" i="163"/>
  <c r="AB18" i="163"/>
  <c r="AC18" i="163" s="1"/>
  <c r="AA18" i="163"/>
  <c r="Z18" i="163"/>
  <c r="Y18" i="163"/>
  <c r="X18" i="163"/>
  <c r="W18" i="163"/>
  <c r="R18" i="163"/>
  <c r="O18" i="163"/>
  <c r="EZ17" i="163"/>
  <c r="EW17" i="163"/>
  <c r="EX17" i="163" s="1"/>
  <c r="EV17" i="163"/>
  <c r="EY17" i="163" s="1"/>
  <c r="EU17" i="163"/>
  <c r="EP17" i="163"/>
  <c r="EM17" i="163"/>
  <c r="DD17" i="163"/>
  <c r="BS17" i="163"/>
  <c r="BO17" i="163"/>
  <c r="BN17" i="163"/>
  <c r="BM17" i="163"/>
  <c r="BL17" i="163"/>
  <c r="AN17" i="163"/>
  <c r="AB17" i="163"/>
  <c r="AC17" i="163" s="1"/>
  <c r="AA17" i="163"/>
  <c r="Z17" i="163"/>
  <c r="Y17" i="163"/>
  <c r="X17" i="163"/>
  <c r="W17" i="163"/>
  <c r="R17" i="163"/>
  <c r="O17" i="163"/>
  <c r="EZ16" i="163"/>
  <c r="EW16" i="163"/>
  <c r="EV16" i="163"/>
  <c r="EY16" i="163" s="1"/>
  <c r="EU16" i="163"/>
  <c r="EP16" i="163"/>
  <c r="EM16" i="163"/>
  <c r="DD16" i="163"/>
  <c r="BS16" i="163"/>
  <c r="BO16" i="163"/>
  <c r="BN16" i="163"/>
  <c r="BM16" i="163"/>
  <c r="BL16" i="163"/>
  <c r="AN16" i="163"/>
  <c r="AB16" i="163"/>
  <c r="AC16" i="163" s="1"/>
  <c r="AA16" i="163"/>
  <c r="Z16" i="163"/>
  <c r="Y16" i="163"/>
  <c r="X16" i="163"/>
  <c r="W16" i="163"/>
  <c r="R16" i="163"/>
  <c r="O16" i="163"/>
  <c r="EZ15" i="163"/>
  <c r="EW15" i="163"/>
  <c r="EV15" i="163"/>
  <c r="EU15" i="163"/>
  <c r="EP15" i="163"/>
  <c r="EM15" i="163"/>
  <c r="DD15" i="163"/>
  <c r="BS15" i="163"/>
  <c r="BO15" i="163"/>
  <c r="BN15" i="163"/>
  <c r="BM15" i="163"/>
  <c r="BL15" i="163"/>
  <c r="AN15" i="163"/>
  <c r="AB15" i="163"/>
  <c r="AC15" i="163" s="1"/>
  <c r="AA15" i="163"/>
  <c r="Z15" i="163"/>
  <c r="Y15" i="163"/>
  <c r="X15" i="163"/>
  <c r="W15" i="163"/>
  <c r="R15" i="163"/>
  <c r="O15" i="163"/>
  <c r="EZ14" i="163"/>
  <c r="EW14" i="163"/>
  <c r="EV14" i="163"/>
  <c r="EU14" i="163"/>
  <c r="EP14" i="163"/>
  <c r="EM14" i="163"/>
  <c r="DD14" i="163"/>
  <c r="BS14" i="163"/>
  <c r="BO14" i="163"/>
  <c r="BN14" i="163"/>
  <c r="BM14" i="163"/>
  <c r="BL14" i="163"/>
  <c r="AN14" i="163"/>
  <c r="AB14" i="163"/>
  <c r="AC14" i="163" s="1"/>
  <c r="AA14" i="163"/>
  <c r="Z14" i="163"/>
  <c r="Y14" i="163"/>
  <c r="X14" i="163"/>
  <c r="W14" i="163"/>
  <c r="R14" i="163"/>
  <c r="O14" i="163"/>
  <c r="EZ13" i="163"/>
  <c r="EW13" i="163"/>
  <c r="EX13" i="163" s="1"/>
  <c r="EV13" i="163"/>
  <c r="EU13" i="163"/>
  <c r="EP13" i="163"/>
  <c r="EM13" i="163"/>
  <c r="DD13" i="163"/>
  <c r="BS13" i="163"/>
  <c r="BO13" i="163"/>
  <c r="BN13" i="163"/>
  <c r="BM13" i="163"/>
  <c r="BL13" i="163"/>
  <c r="AN13" i="163"/>
  <c r="AB13" i="163"/>
  <c r="AC13" i="163" s="1"/>
  <c r="AA13" i="163"/>
  <c r="Z13" i="163"/>
  <c r="Y13" i="163"/>
  <c r="X13" i="163"/>
  <c r="W13" i="163"/>
  <c r="R13" i="163"/>
  <c r="O13" i="163"/>
  <c r="EZ12" i="163"/>
  <c r="EW12" i="163"/>
  <c r="EX12" i="163" s="1"/>
  <c r="EV12" i="163"/>
  <c r="EY12" i="163" s="1"/>
  <c r="EU12" i="163"/>
  <c r="EP12" i="163"/>
  <c r="EM12" i="163"/>
  <c r="DD12" i="163"/>
  <c r="BS12" i="163"/>
  <c r="BO12" i="163"/>
  <c r="BN12" i="163"/>
  <c r="BM12" i="163"/>
  <c r="BL12" i="163"/>
  <c r="AN12" i="163"/>
  <c r="AB12" i="163"/>
  <c r="AC12" i="163" s="1"/>
  <c r="AA12" i="163"/>
  <c r="Z12" i="163"/>
  <c r="Y12" i="163"/>
  <c r="X12" i="163"/>
  <c r="W12" i="163"/>
  <c r="AH12" i="163" s="1"/>
  <c r="AJ12" i="163" s="1"/>
  <c r="R12" i="163"/>
  <c r="O12" i="163"/>
  <c r="AM19" i="162" a="1"/>
  <c r="J212" i="28" a="1"/>
  <c r="G258" i="28" a="1"/>
  <c r="AM16" i="162" a="1"/>
  <c r="J198" i="28" a="1"/>
  <c r="G261" i="28" a="1"/>
  <c r="AM15" i="162" a="1"/>
  <c r="AM21" i="162" a="1"/>
  <c r="J206" i="28" a="1"/>
  <c r="H259" i="28" a="1"/>
  <c r="G257" i="28" a="1"/>
  <c r="AM20" i="162" a="1"/>
  <c r="H260" i="28" a="1"/>
  <c r="H264" i="28" a="1"/>
  <c r="J213" i="28" a="1"/>
  <c r="G263" i="28" a="1"/>
  <c r="AM22" i="162" a="1"/>
  <c r="H257" i="28" a="1"/>
  <c r="G262" i="28" a="1"/>
  <c r="G259" i="28" a="1"/>
  <c r="J209" i="28" a="1"/>
  <c r="H258" i="28" a="1"/>
  <c r="AM13" i="162" a="1"/>
  <c r="J207" i="28" a="1"/>
  <c r="G264" i="28" a="1"/>
  <c r="J208" i="28" a="1"/>
  <c r="H263" i="28" a="1"/>
  <c r="G278" i="28" a="1"/>
  <c r="H278" i="28" a="1"/>
  <c r="J210" i="28" a="1"/>
  <c r="AM18" i="162" a="1"/>
  <c r="AM14" i="162" a="1"/>
  <c r="H262" i="28" a="1"/>
  <c r="H261" i="28" a="1"/>
  <c r="J211" i="28" a="1"/>
  <c r="G260" i="28" a="1"/>
  <c r="AM17" i="162" a="1"/>
  <c r="AM12" i="162" a="1"/>
  <c r="FI22" i="163" l="1"/>
  <c r="EX16" i="163"/>
  <c r="EY22" i="163"/>
  <c r="AW13" i="163"/>
  <c r="AW22" i="163"/>
  <c r="AW12" i="163"/>
  <c r="EY15" i="163"/>
  <c r="EX15" i="163"/>
  <c r="EY14" i="163"/>
  <c r="EX14" i="163"/>
  <c r="EY13" i="163"/>
  <c r="AM21" i="162"/>
  <c r="AM20" i="162"/>
  <c r="AM17" i="162"/>
  <c r="AM16" i="162"/>
  <c r="AM19" i="162"/>
  <c r="AM15" i="162"/>
  <c r="AM18" i="162"/>
  <c r="AM13" i="162"/>
  <c r="AM12" i="162"/>
  <c r="AM14" i="162"/>
  <c r="AM22" i="162"/>
  <c r="AH21" i="163"/>
  <c r="AJ21" i="163" s="1"/>
  <c r="AS21" i="163" s="1"/>
  <c r="CZ22" i="163"/>
  <c r="AH20" i="163"/>
  <c r="CX22" i="163"/>
  <c r="CY22" i="163" s="1"/>
  <c r="AW21" i="163"/>
  <c r="AJ22" i="163"/>
  <c r="AS22" i="163" s="1"/>
  <c r="EX22" i="163"/>
  <c r="AH17" i="163"/>
  <c r="AJ17" i="163" s="1"/>
  <c r="AS17" i="163" s="1"/>
  <c r="AW20" i="163"/>
  <c r="AH16" i="163"/>
  <c r="AJ16" i="163" s="1"/>
  <c r="AS16" i="163" s="1"/>
  <c r="BF22" i="163"/>
  <c r="FG22" i="163"/>
  <c r="AW19" i="163"/>
  <c r="BP22" i="163"/>
  <c r="BQ22" i="163" s="1"/>
  <c r="AH19" i="163"/>
  <c r="AJ19" i="163" s="1"/>
  <c r="AS19" i="163" s="1"/>
  <c r="AH15" i="163"/>
  <c r="AJ15" i="163" s="1"/>
  <c r="AS15" i="163" s="1"/>
  <c r="AH18" i="163"/>
  <c r="AH13" i="163"/>
  <c r="AW16" i="163"/>
  <c r="EY21" i="163"/>
  <c r="EX21" i="163"/>
  <c r="AW15" i="163"/>
  <c r="EY20" i="163"/>
  <c r="AH14" i="163"/>
  <c r="AJ14" i="163" s="1"/>
  <c r="AS14" i="163" s="1"/>
  <c r="EX20" i="163"/>
  <c r="CQ22" i="163"/>
  <c r="AW18" i="163"/>
  <c r="AW17" i="163"/>
  <c r="AW14" i="163"/>
  <c r="EY19" i="163"/>
  <c r="BD22" i="163"/>
  <c r="J209" i="28"/>
  <c r="J206" i="28"/>
  <c r="J208" i="28"/>
  <c r="J207" i="28"/>
  <c r="J213" i="28"/>
  <c r="J212" i="28"/>
  <c r="J210" i="28"/>
  <c r="J211" i="28"/>
  <c r="J198" i="28"/>
  <c r="H257" i="28"/>
  <c r="H264" i="28"/>
  <c r="H263" i="28"/>
  <c r="H262" i="28"/>
  <c r="H261" i="28"/>
  <c r="H260" i="28"/>
  <c r="H259" i="28"/>
  <c r="H278" i="28"/>
  <c r="H258" i="28"/>
  <c r="G264" i="28"/>
  <c r="G263" i="28"/>
  <c r="G262" i="28"/>
  <c r="G261" i="28"/>
  <c r="G260" i="28"/>
  <c r="G259" i="28"/>
  <c r="G278" i="28"/>
  <c r="G258" i="28"/>
  <c r="G257" i="28"/>
  <c r="AJ20" i="163"/>
  <c r="AS20" i="163" s="1"/>
  <c r="AK22" i="163"/>
  <c r="AT22" i="163" s="1"/>
  <c r="BG22" i="163"/>
  <c r="AS12" i="163"/>
  <c r="AK12" i="163"/>
  <c r="AT12" i="163" s="1"/>
  <c r="FF22" i="163"/>
  <c r="AJ18" i="163" l="1"/>
  <c r="AS18" i="163" s="1"/>
  <c r="BR22" i="163"/>
  <c r="AJ13" i="163"/>
  <c r="AS13" i="163" s="1"/>
  <c r="AK17" i="163"/>
  <c r="AT17" i="163" s="1"/>
  <c r="AK14" i="163"/>
  <c r="AT14" i="163" s="1"/>
  <c r="AK16" i="163"/>
  <c r="AT16" i="163" s="1"/>
  <c r="AK20" i="163"/>
  <c r="AT20" i="163" s="1"/>
  <c r="AK19" i="163"/>
  <c r="AT19" i="163" s="1"/>
  <c r="AL17" i="163"/>
  <c r="AU17" i="163" s="1"/>
  <c r="AK21" i="163"/>
  <c r="AT21" i="163" s="1"/>
  <c r="AK15" i="163"/>
  <c r="AT15" i="163" s="1"/>
  <c r="AL14" i="163"/>
  <c r="AM14" i="163" s="1"/>
  <c r="AV14" i="163" s="1"/>
  <c r="AL12" i="163"/>
  <c r="AM12" i="163" s="1"/>
  <c r="AV12" i="163" s="1"/>
  <c r="AL22" i="163"/>
  <c r="AU22" i="163" s="1"/>
  <c r="AL16" i="163"/>
  <c r="AM16" i="163"/>
  <c r="AV16" i="163" s="1"/>
  <c r="AK18" i="163" l="1"/>
  <c r="AL19" i="163"/>
  <c r="AU19" i="163" s="1"/>
  <c r="AK13" i="163"/>
  <c r="AM17" i="163"/>
  <c r="AM19" i="163"/>
  <c r="AO19" i="163" s="1"/>
  <c r="AL20" i="163"/>
  <c r="AU16" i="163"/>
  <c r="AO16" i="163"/>
  <c r="AX16" i="163" s="1"/>
  <c r="AU14" i="163"/>
  <c r="AO14" i="163"/>
  <c r="AX14" i="163" s="1"/>
  <c r="AV19" i="163"/>
  <c r="AL15" i="163"/>
  <c r="AU15" i="163" s="1"/>
  <c r="AM22" i="163"/>
  <c r="AL21" i="163"/>
  <c r="AU12" i="163"/>
  <c r="AO12" i="163"/>
  <c r="AX12" i="163" s="1"/>
  <c r="AT18" i="163" l="1"/>
  <c r="AL18" i="163"/>
  <c r="AT13" i="163"/>
  <c r="AL13" i="163"/>
  <c r="AX19" i="163"/>
  <c r="AI19" i="163"/>
  <c r="AI12" i="163"/>
  <c r="AI14" i="163"/>
  <c r="AR14" i="163" s="1"/>
  <c r="AU20" i="163"/>
  <c r="AM20" i="163"/>
  <c r="AV17" i="163"/>
  <c r="AO17" i="163"/>
  <c r="AR19" i="163"/>
  <c r="AP19" i="163"/>
  <c r="AY19" i="163" s="1"/>
  <c r="AM15" i="163"/>
  <c r="AV15" i="163" s="1"/>
  <c r="AV22" i="163"/>
  <c r="AO22" i="163"/>
  <c r="AX22" i="163" s="1"/>
  <c r="AP12" i="163"/>
  <c r="AY12" i="163" s="1"/>
  <c r="AR12" i="163"/>
  <c r="AO15" i="163"/>
  <c r="AX15" i="163" s="1"/>
  <c r="AP14" i="163"/>
  <c r="AY14" i="163" s="1"/>
  <c r="AU21" i="163"/>
  <c r="AM21" i="163"/>
  <c r="AV21" i="163" s="1"/>
  <c r="AI16" i="163"/>
  <c r="AU18" i="163" l="1"/>
  <c r="AM18" i="163"/>
  <c r="AU13" i="163"/>
  <c r="AM13" i="163"/>
  <c r="AI22" i="163"/>
  <c r="AX17" i="163"/>
  <c r="AI17" i="163"/>
  <c r="AO20" i="163"/>
  <c r="AX20" i="163" s="1"/>
  <c r="AV20" i="163"/>
  <c r="AI20" i="163"/>
  <c r="AP20" i="163" s="1"/>
  <c r="AY20" i="163" s="1"/>
  <c r="AR22" i="163"/>
  <c r="AP22" i="163"/>
  <c r="AY22" i="163" s="1"/>
  <c r="AI15" i="163"/>
  <c r="AR16" i="163"/>
  <c r="AP16" i="163"/>
  <c r="AY16" i="163" s="1"/>
  <c r="AO21" i="163"/>
  <c r="AX21" i="163" s="1"/>
  <c r="AV18" i="163" l="1"/>
  <c r="AO18" i="163"/>
  <c r="AV13" i="163"/>
  <c r="AO13" i="163"/>
  <c r="AX13" i="163" s="1"/>
  <c r="AR20" i="163"/>
  <c r="AR17" i="163"/>
  <c r="AP17" i="163"/>
  <c r="AY17" i="163" s="1"/>
  <c r="AI21" i="163"/>
  <c r="AP15" i="163"/>
  <c r="AY15" i="163" s="1"/>
  <c r="AR15" i="163"/>
  <c r="AI13" i="163" l="1"/>
  <c r="AX18" i="163"/>
  <c r="AI18" i="163"/>
  <c r="AR13" i="163"/>
  <c r="AP13" i="163"/>
  <c r="AY13" i="163" s="1"/>
  <c r="AP21" i="163"/>
  <c r="AY21" i="163" s="1"/>
  <c r="AR21" i="163"/>
  <c r="AR18" i="163" l="1"/>
  <c r="AP18" i="163"/>
  <c r="AY18" i="163" s="1"/>
  <c r="G69" i="162"/>
  <c r="G82" i="162" s="1"/>
  <c r="F69" i="162"/>
  <c r="F82" i="162" s="1"/>
  <c r="E69" i="162"/>
  <c r="E82" i="162" s="1"/>
  <c r="D69" i="162"/>
  <c r="D82" i="162" s="1"/>
  <c r="C69" i="162"/>
  <c r="C82" i="162" s="1"/>
  <c r="C68" i="162"/>
  <c r="C81" i="162" s="1"/>
  <c r="C67" i="162"/>
  <c r="C80" i="162" s="1"/>
  <c r="C66" i="162"/>
  <c r="C79" i="162" s="1"/>
  <c r="C65" i="162"/>
  <c r="C78" i="162" s="1"/>
  <c r="W50" i="162"/>
  <c r="V50" i="162"/>
  <c r="D50" i="162"/>
  <c r="C50" i="162"/>
  <c r="W49" i="162"/>
  <c r="V49" i="162"/>
  <c r="D49" i="162"/>
  <c r="C49" i="162"/>
  <c r="W48" i="162"/>
  <c r="V48" i="162"/>
  <c r="D48" i="162"/>
  <c r="W47" i="162"/>
  <c r="D47" i="162"/>
  <c r="W46" i="162"/>
  <c r="D46" i="162"/>
  <c r="E37" i="162"/>
  <c r="C37" i="162"/>
  <c r="G37" i="162" s="1"/>
  <c r="E36" i="162"/>
  <c r="C36" i="162"/>
  <c r="E35" i="162"/>
  <c r="C35" i="162"/>
  <c r="C48" i="162" s="1"/>
  <c r="E34" i="162"/>
  <c r="C34" i="162"/>
  <c r="V47" i="162" s="1"/>
  <c r="E33" i="162"/>
  <c r="C33" i="162"/>
  <c r="V46" i="162" s="1"/>
  <c r="U22" i="162"/>
  <c r="U21" i="162"/>
  <c r="U20" i="162"/>
  <c r="U19" i="162"/>
  <c r="U18" i="162"/>
  <c r="U17" i="162"/>
  <c r="U16" i="162"/>
  <c r="U15" i="162"/>
  <c r="U14" i="162"/>
  <c r="U13" i="162"/>
  <c r="U12" i="162"/>
  <c r="AQ13" i="162" l="1"/>
  <c r="AR13" i="162" s="1"/>
  <c r="AP13" i="162" s="1"/>
  <c r="AN13" i="162"/>
  <c r="AQ17" i="162"/>
  <c r="AR17" i="162" s="1"/>
  <c r="AP17" i="162" s="1"/>
  <c r="AN17" i="162"/>
  <c r="AQ15" i="162"/>
  <c r="AR15" i="162" s="1"/>
  <c r="AP15" i="162" s="1"/>
  <c r="AN15" i="162"/>
  <c r="AR23" i="162"/>
  <c r="AO16" i="162"/>
  <c r="AO17" i="162"/>
  <c r="AO18" i="162"/>
  <c r="AO13" i="162"/>
  <c r="AO15" i="162"/>
  <c r="AO14" i="162"/>
  <c r="AO19" i="162"/>
  <c r="AO20" i="162"/>
  <c r="AO21" i="162"/>
  <c r="AO12" i="162"/>
  <c r="AR21" i="162"/>
  <c r="AP21" i="162" s="1"/>
  <c r="AQ21" i="162"/>
  <c r="AN21" i="162"/>
  <c r="AQ19" i="162"/>
  <c r="AR19" i="162"/>
  <c r="AP19" i="162" s="1"/>
  <c r="AN19" i="162"/>
  <c r="AQ16" i="162"/>
  <c r="AR16" i="162" s="1"/>
  <c r="AP16" i="162" s="1"/>
  <c r="AN16" i="162"/>
  <c r="AR20" i="162"/>
  <c r="AP20" i="162" s="1"/>
  <c r="AQ20" i="162"/>
  <c r="AN20" i="162"/>
  <c r="AQ14" i="162"/>
  <c r="AR14" i="162" s="1"/>
  <c r="AP14" i="162" s="1"/>
  <c r="AN14" i="162"/>
  <c r="AQ12" i="162"/>
  <c r="AN12" i="162"/>
  <c r="AQ18" i="162"/>
  <c r="AR18" i="162" s="1"/>
  <c r="AP18" i="162" s="1"/>
  <c r="AN18" i="162"/>
  <c r="O37" i="162"/>
  <c r="H37" i="162"/>
  <c r="K37" i="162"/>
  <c r="I37" i="162"/>
  <c r="M37" i="162"/>
  <c r="J37" i="162"/>
  <c r="L37" i="162"/>
  <c r="G33" i="162"/>
  <c r="O33" i="162" s="1"/>
  <c r="H33" i="162"/>
  <c r="C46" i="162"/>
  <c r="G34" i="162"/>
  <c r="H34" i="162"/>
  <c r="G35" i="162"/>
  <c r="H35" i="162" s="1"/>
  <c r="C47" i="162"/>
  <c r="G36" i="162"/>
  <c r="H36" i="162" s="1"/>
  <c r="AO22" i="162" l="1"/>
  <c r="AN22" i="162"/>
  <c r="AN24" i="162" s="1"/>
  <c r="AR12" i="162"/>
  <c r="AQ22" i="162"/>
  <c r="Y46" i="162"/>
  <c r="F46" i="162"/>
  <c r="J50" i="162"/>
  <c r="AC50" i="162"/>
  <c r="AA50" i="162"/>
  <c r="H50" i="162"/>
  <c r="K50" i="162"/>
  <c r="Z50" i="162"/>
  <c r="V37" i="162"/>
  <c r="Z42" i="162" s="1"/>
  <c r="U37" i="162"/>
  <c r="Y42" i="162" s="1"/>
  <c r="T37" i="162"/>
  <c r="G50" i="162"/>
  <c r="AB50" i="162"/>
  <c r="I50" i="162"/>
  <c r="Y50" i="162"/>
  <c r="Q37" i="162"/>
  <c r="AD37" i="162" s="1"/>
  <c r="P37" i="162"/>
  <c r="F50" i="162"/>
  <c r="R37" i="162"/>
  <c r="AE37" i="162" s="1"/>
  <c r="AR22" i="162" l="1"/>
  <c r="AR24" i="162" s="1"/>
  <c r="AP12" i="162"/>
  <c r="AP22" i="162" s="1"/>
  <c r="AO26" i="162"/>
  <c r="X37" i="162"/>
  <c r="W37" i="162"/>
  <c r="AO28" i="162" s="1"/>
  <c r="AF37" i="162"/>
  <c r="AH37" i="162"/>
  <c r="Z37" i="162"/>
  <c r="AC37" i="162"/>
  <c r="S37" i="162"/>
  <c r="Y37" i="162"/>
  <c r="AG37" i="162"/>
  <c r="X42" i="162"/>
  <c r="AA42" i="162" s="1"/>
  <c r="D18" i="165" a="1"/>
  <c r="E18" i="165" a="1"/>
  <c r="E18" i="165" l="1"/>
  <c r="D18" i="165"/>
  <c r="AP28" i="162"/>
  <c r="AP26" i="162"/>
  <c r="AR25" i="162"/>
  <c r="AA37" i="162"/>
  <c r="H18" i="165" a="1"/>
  <c r="G18" i="165" a="1"/>
  <c r="J18" i="165" a="1"/>
  <c r="G18" i="165" l="1"/>
  <c r="H18" i="165"/>
  <c r="J18" i="165"/>
  <c r="W50" i="161"/>
  <c r="D50" i="161"/>
  <c r="W49" i="161"/>
  <c r="D49" i="161"/>
  <c r="W48" i="161"/>
  <c r="D48" i="161"/>
  <c r="W47" i="161"/>
  <c r="D47" i="161"/>
  <c r="W46" i="161"/>
  <c r="D46" i="161"/>
  <c r="E37" i="161"/>
  <c r="E36" i="161"/>
  <c r="E35" i="161"/>
  <c r="E34" i="161"/>
  <c r="E33" i="161"/>
  <c r="AK22" i="161"/>
  <c r="T22" i="161"/>
  <c r="S22" i="161"/>
  <c r="R22" i="161"/>
  <c r="Q22" i="161"/>
  <c r="P22" i="161"/>
  <c r="K22" i="161"/>
  <c r="J22" i="161"/>
  <c r="I22" i="161"/>
  <c r="H22" i="161"/>
  <c r="G22" i="161"/>
  <c r="F22" i="161"/>
  <c r="E22" i="161"/>
  <c r="D22" i="161"/>
  <c r="C34" i="161" s="1"/>
  <c r="V47" i="161" s="1"/>
  <c r="C22" i="161"/>
  <c r="C33" i="161" s="1"/>
  <c r="AK21" i="161"/>
  <c r="T21" i="161"/>
  <c r="S21" i="161"/>
  <c r="R21" i="161"/>
  <c r="Q21" i="161"/>
  <c r="P21" i="161"/>
  <c r="K21" i="161"/>
  <c r="J21" i="161"/>
  <c r="I21" i="161"/>
  <c r="H21" i="161"/>
  <c r="G21" i="161"/>
  <c r="F21" i="161"/>
  <c r="E21" i="161"/>
  <c r="D21" i="161"/>
  <c r="C21" i="161"/>
  <c r="AK20" i="161"/>
  <c r="T20" i="161"/>
  <c r="S20" i="161"/>
  <c r="R20" i="161"/>
  <c r="Q20" i="161"/>
  <c r="P20" i="161"/>
  <c r="K20" i="161"/>
  <c r="J20" i="161"/>
  <c r="I20" i="161"/>
  <c r="H20" i="161"/>
  <c r="G20" i="161"/>
  <c r="F20" i="161"/>
  <c r="E20" i="161"/>
  <c r="D20" i="161"/>
  <c r="C20" i="161"/>
  <c r="AK19" i="161"/>
  <c r="T19" i="161"/>
  <c r="S19" i="161"/>
  <c r="R19" i="161"/>
  <c r="Q19" i="161"/>
  <c r="P19" i="161"/>
  <c r="K19" i="161"/>
  <c r="J19" i="161"/>
  <c r="I19" i="161"/>
  <c r="H19" i="161"/>
  <c r="G19" i="161"/>
  <c r="F19" i="161"/>
  <c r="E19" i="161"/>
  <c r="D19" i="161"/>
  <c r="C19" i="161"/>
  <c r="AK18" i="161"/>
  <c r="T18" i="161"/>
  <c r="S18" i="161"/>
  <c r="R18" i="161"/>
  <c r="Q18" i="161"/>
  <c r="P18" i="161"/>
  <c r="K18" i="161"/>
  <c r="J18" i="161"/>
  <c r="I18" i="161"/>
  <c r="H18" i="161"/>
  <c r="G18" i="161"/>
  <c r="F18" i="161"/>
  <c r="E18" i="161"/>
  <c r="D18" i="161"/>
  <c r="C18" i="161"/>
  <c r="AK17" i="161"/>
  <c r="T17" i="161"/>
  <c r="S17" i="161"/>
  <c r="R17" i="161"/>
  <c r="Q17" i="161"/>
  <c r="P17" i="161"/>
  <c r="K17" i="161"/>
  <c r="J17" i="161"/>
  <c r="I17" i="161"/>
  <c r="H17" i="161"/>
  <c r="G17" i="161"/>
  <c r="F17" i="161"/>
  <c r="E17" i="161"/>
  <c r="D17" i="161"/>
  <c r="C17" i="161"/>
  <c r="AK16" i="161"/>
  <c r="T16" i="161"/>
  <c r="S16" i="161"/>
  <c r="R16" i="161"/>
  <c r="Q16" i="161"/>
  <c r="P16" i="161"/>
  <c r="K16" i="161"/>
  <c r="J16" i="161"/>
  <c r="I16" i="161"/>
  <c r="H16" i="161"/>
  <c r="G16" i="161"/>
  <c r="F16" i="161"/>
  <c r="E16" i="161"/>
  <c r="D16" i="161"/>
  <c r="C16" i="161"/>
  <c r="AK15" i="161"/>
  <c r="T15" i="161"/>
  <c r="S15" i="161"/>
  <c r="R15" i="161"/>
  <c r="Q15" i="161"/>
  <c r="P15" i="161"/>
  <c r="K15" i="161"/>
  <c r="J15" i="161"/>
  <c r="I15" i="161"/>
  <c r="H15" i="161"/>
  <c r="G15" i="161"/>
  <c r="F15" i="161"/>
  <c r="E15" i="161"/>
  <c r="D15" i="161"/>
  <c r="C15" i="161"/>
  <c r="AK14" i="161"/>
  <c r="T14" i="161"/>
  <c r="S14" i="161"/>
  <c r="R14" i="161"/>
  <c r="Q14" i="161"/>
  <c r="P14" i="161"/>
  <c r="AS14" i="161" s="1"/>
  <c r="K14" i="161"/>
  <c r="J14" i="161"/>
  <c r="I14" i="161"/>
  <c r="H14" i="161"/>
  <c r="G14" i="161"/>
  <c r="F14" i="161"/>
  <c r="E14" i="161"/>
  <c r="D14" i="161"/>
  <c r="C14" i="161"/>
  <c r="AK13" i="161"/>
  <c r="T13" i="161"/>
  <c r="S13" i="161"/>
  <c r="R13" i="161"/>
  <c r="Q13" i="161"/>
  <c r="P13" i="161"/>
  <c r="K13" i="161"/>
  <c r="J13" i="161"/>
  <c r="I13" i="161"/>
  <c r="H13" i="161"/>
  <c r="G13" i="161"/>
  <c r="F13" i="161"/>
  <c r="E13" i="161"/>
  <c r="D13" i="161"/>
  <c r="C13" i="161"/>
  <c r="AK12" i="161"/>
  <c r="T12" i="161"/>
  <c r="S12" i="161"/>
  <c r="R12" i="161"/>
  <c r="Q12" i="161"/>
  <c r="P12" i="161"/>
  <c r="K12" i="161"/>
  <c r="J12" i="161"/>
  <c r="I12" i="161"/>
  <c r="H12" i="161"/>
  <c r="G12" i="161"/>
  <c r="F12" i="161"/>
  <c r="E12" i="161"/>
  <c r="D12" i="161"/>
  <c r="C12" i="161"/>
  <c r="C295" i="36" a="1"/>
  <c r="B298" i="36" a="1"/>
  <c r="C300" i="36" a="1"/>
  <c r="C298" i="36" a="1"/>
  <c r="C296" i="36" a="1"/>
  <c r="C297" i="36" a="1"/>
  <c r="B296" i="36" a="1"/>
  <c r="B299" i="36" a="1"/>
  <c r="B300" i="36" a="1"/>
  <c r="C299" i="36" a="1"/>
  <c r="B294" i="36" a="1"/>
  <c r="B293" i="36" a="1"/>
  <c r="B297" i="36" a="1"/>
  <c r="B295" i="36" a="1"/>
  <c r="C293" i="36" a="1"/>
  <c r="C294" i="36" a="1"/>
  <c r="AS19" i="161" l="1"/>
  <c r="C67" i="161"/>
  <c r="C80" i="161" s="1"/>
  <c r="C68" i="161"/>
  <c r="C81" i="161" s="1"/>
  <c r="C69" i="161"/>
  <c r="C82" i="161" s="1"/>
  <c r="AS15" i="161"/>
  <c r="AS18" i="161"/>
  <c r="U20" i="161"/>
  <c r="U16" i="161"/>
  <c r="AQ16" i="161" s="1"/>
  <c r="AR16" i="161" s="1"/>
  <c r="AQ20" i="161"/>
  <c r="AS21" i="161"/>
  <c r="U17" i="161"/>
  <c r="AQ17" i="161" s="1"/>
  <c r="AR17" i="161" s="1"/>
  <c r="AS13" i="161"/>
  <c r="AS16" i="161"/>
  <c r="AS17" i="161"/>
  <c r="AS12" i="161"/>
  <c r="AS20" i="161"/>
  <c r="C35" i="161"/>
  <c r="V48" i="161" s="1"/>
  <c r="C36" i="161"/>
  <c r="V49" i="161" s="1"/>
  <c r="C65" i="161"/>
  <c r="C78" i="161" s="1"/>
  <c r="U14" i="161"/>
  <c r="AQ14" i="161" s="1"/>
  <c r="AR14" i="161" s="1"/>
  <c r="C66" i="161"/>
  <c r="C79" i="161" s="1"/>
  <c r="U21" i="161"/>
  <c r="U22" i="161"/>
  <c r="C37" i="161"/>
  <c r="C299" i="36"/>
  <c r="C298" i="36"/>
  <c r="C297" i="36"/>
  <c r="C296" i="36"/>
  <c r="C300" i="36"/>
  <c r="C295" i="36"/>
  <c r="C294" i="36"/>
  <c r="C293" i="36"/>
  <c r="B299" i="36"/>
  <c r="B298" i="36"/>
  <c r="B294" i="36"/>
  <c r="B300" i="36"/>
  <c r="B297" i="36"/>
  <c r="B296" i="36"/>
  <c r="B295" i="36"/>
  <c r="B293" i="36"/>
  <c r="G33" i="161"/>
  <c r="O33" i="161" s="1"/>
  <c r="C46" i="161"/>
  <c r="V46" i="161"/>
  <c r="G34" i="161"/>
  <c r="H34" i="161" s="1"/>
  <c r="C47" i="161"/>
  <c r="U19" i="161"/>
  <c r="AQ19" i="161" s="1"/>
  <c r="D69" i="161"/>
  <c r="D82" i="161" s="1"/>
  <c r="E69" i="161"/>
  <c r="E82" i="161" s="1"/>
  <c r="U15" i="161"/>
  <c r="AQ15" i="161" s="1"/>
  <c r="AR15" i="161" s="1"/>
  <c r="F69" i="161"/>
  <c r="F82" i="161" s="1"/>
  <c r="G69" i="161"/>
  <c r="G82" i="161" s="1"/>
  <c r="U18" i="161"/>
  <c r="AQ18" i="161" s="1"/>
  <c r="AR18" i="161" s="1"/>
  <c r="U13" i="161"/>
  <c r="AQ13" i="161" s="1"/>
  <c r="AR13" i="161" s="1"/>
  <c r="U12" i="161"/>
  <c r="AQ12" i="161" s="1"/>
  <c r="AR19" i="161" l="1"/>
  <c r="C49" i="161"/>
  <c r="C48" i="161"/>
  <c r="G35" i="161"/>
  <c r="AR12" i="161"/>
  <c r="G36" i="161"/>
  <c r="H36" i="161" s="1"/>
  <c r="H24" i="161"/>
  <c r="AR23" i="161"/>
  <c r="AR21" i="161"/>
  <c r="AQ21" i="161"/>
  <c r="AQ22" i="161" s="1"/>
  <c r="AR20" i="161"/>
  <c r="H35" i="161"/>
  <c r="V50" i="161"/>
  <c r="G37" i="161"/>
  <c r="C50" i="161"/>
  <c r="H33" i="161"/>
  <c r="AR22" i="161" l="1"/>
  <c r="AR25" i="161" s="1"/>
  <c r="O37" i="161"/>
  <c r="L37" i="161"/>
  <c r="H37" i="161"/>
  <c r="K37" i="161"/>
  <c r="M37" i="161"/>
  <c r="I37" i="161"/>
  <c r="J37" i="161"/>
  <c r="F46" i="161"/>
  <c r="Y46" i="161"/>
  <c r="J15" i="165" a="1"/>
  <c r="AR24" i="161" l="1"/>
  <c r="J15" i="165"/>
  <c r="H50" i="161"/>
  <c r="AA50" i="161"/>
  <c r="R37" i="161"/>
  <c r="AE37" i="161" s="1"/>
  <c r="F50" i="161"/>
  <c r="Q37" i="161"/>
  <c r="AD37" i="161" s="1"/>
  <c r="Y50" i="161"/>
  <c r="P37" i="161"/>
  <c r="G50" i="161"/>
  <c r="V37" i="161"/>
  <c r="U37" i="161"/>
  <c r="Y42" i="161" s="1"/>
  <c r="T37" i="161"/>
  <c r="Z50" i="161"/>
  <c r="K50" i="161"/>
  <c r="X42" i="161"/>
  <c r="Z42" i="161"/>
  <c r="AB50" i="161"/>
  <c r="I50" i="161"/>
  <c r="J50" i="161"/>
  <c r="AC50" i="161"/>
  <c r="AA42" i="161" l="1"/>
  <c r="AC37" i="161"/>
  <c r="S37" i="161"/>
  <c r="AF37" i="161"/>
  <c r="W37" i="161"/>
  <c r="X37" i="161"/>
  <c r="AG37" i="161"/>
  <c r="Y37" i="161"/>
  <c r="AH37" i="161"/>
  <c r="Z37" i="161"/>
  <c r="J299" i="36" a="1"/>
  <c r="B118" i="28" a="1"/>
  <c r="B140" i="28" a="1"/>
  <c r="B113" i="28" a="1"/>
  <c r="B127" i="28" a="1"/>
  <c r="B128" i="28" a="1"/>
  <c r="B133" i="28" a="1"/>
  <c r="B130" i="28" a="1"/>
  <c r="J294" i="36" a="1"/>
  <c r="B121" i="28" a="1"/>
  <c r="J295" i="36" a="1"/>
  <c r="J298" i="36" a="1"/>
  <c r="B120" i="28" a="1"/>
  <c r="B131" i="28" a="1"/>
  <c r="B136" i="28" a="1"/>
  <c r="B114" i="28" a="1"/>
  <c r="J293" i="36" a="1"/>
  <c r="B139" i="28" a="1"/>
  <c r="B125" i="28" a="1"/>
  <c r="B124" i="28" a="1"/>
  <c r="B117" i="28" a="1"/>
  <c r="B123" i="28" a="1"/>
  <c r="J296" i="36" a="1"/>
  <c r="C319" i="36" a="1"/>
  <c r="B137" i="28" a="1"/>
  <c r="B116" i="28" a="1"/>
  <c r="J297" i="36" a="1"/>
  <c r="J312" i="36" a="1"/>
  <c r="B134" i="28" a="1"/>
  <c r="B132" i="28" a="1"/>
  <c r="B119" i="28" a="1"/>
  <c r="B138" i="28" a="1"/>
  <c r="B141" i="28" a="1"/>
  <c r="B135" i="28" a="1"/>
  <c r="J300" i="36" a="1"/>
  <c r="B319" i="36" a="1"/>
  <c r="B319" i="36" l="1"/>
  <c r="C319" i="36"/>
  <c r="AA37" i="161"/>
  <c r="J298" i="36"/>
  <c r="J293" i="36"/>
  <c r="J294" i="36"/>
  <c r="J296" i="36"/>
  <c r="J312" i="36"/>
  <c r="J299" i="36"/>
  <c r="J295" i="36"/>
  <c r="J297" i="36"/>
  <c r="J300" i="36"/>
  <c r="B123" i="28"/>
  <c r="B138" i="28"/>
  <c r="B120" i="28"/>
  <c r="B121" i="28"/>
  <c r="B125" i="28"/>
  <c r="B119" i="28"/>
  <c r="B139" i="28"/>
  <c r="B140" i="28"/>
  <c r="B118" i="28"/>
  <c r="B124" i="28"/>
  <c r="B117" i="28"/>
  <c r="B135" i="28"/>
  <c r="B127" i="28"/>
  <c r="B134" i="28"/>
  <c r="B116" i="28"/>
  <c r="B136" i="28"/>
  <c r="B131" i="28"/>
  <c r="B137" i="28"/>
  <c r="B133" i="28"/>
  <c r="B130" i="28"/>
  <c r="B114" i="28"/>
  <c r="B132" i="28"/>
  <c r="B141" i="28"/>
  <c r="B128" i="28"/>
  <c r="B113" i="28"/>
  <c r="I312" i="36" a="1"/>
  <c r="I298" i="36" a="1"/>
  <c r="I294" i="36" a="1"/>
  <c r="I295" i="36" a="1"/>
  <c r="I293" i="36" a="1"/>
  <c r="I297" i="36" a="1"/>
  <c r="I296" i="36" a="1"/>
  <c r="I300" i="36" a="1"/>
  <c r="I299" i="36" a="1"/>
  <c r="I296" i="36" l="1"/>
  <c r="I299" i="36"/>
  <c r="I312" i="36"/>
  <c r="I294" i="36"/>
  <c r="I300" i="36"/>
  <c r="I297" i="36"/>
  <c r="I295" i="36"/>
  <c r="I293" i="36"/>
  <c r="I298" i="36"/>
  <c r="G293" i="36" l="1"/>
  <c r="H293" i="36" s="1"/>
  <c r="G295" i="36"/>
  <c r="K295" i="36" s="1"/>
  <c r="G297" i="36"/>
  <c r="K297" i="36" s="1"/>
  <c r="G300" i="36"/>
  <c r="K300" i="36" s="1"/>
  <c r="G294" i="36"/>
  <c r="H294" i="36" s="1"/>
  <c r="G312" i="36"/>
  <c r="H312" i="36" s="1"/>
  <c r="G298" i="36"/>
  <c r="K298" i="36" s="1"/>
  <c r="G299" i="36"/>
  <c r="H299" i="36" s="1"/>
  <c r="G296" i="36"/>
  <c r="H296" i="36" s="1"/>
  <c r="H298" i="36" l="1"/>
  <c r="H300" i="36"/>
  <c r="H295" i="36"/>
  <c r="H297" i="36"/>
  <c r="K296" i="36"/>
  <c r="K293" i="36"/>
  <c r="K312" i="36"/>
  <c r="K299" i="36"/>
  <c r="K294" i="36"/>
  <c r="FA22" i="156" l="1"/>
  <c r="EZ22" i="156" s="1"/>
  <c r="ET22" i="156"/>
  <c r="ES22" i="156"/>
  <c r="ER22" i="156"/>
  <c r="EQ22" i="156"/>
  <c r="EO22" i="156"/>
  <c r="EN22" i="156"/>
  <c r="EL22" i="156"/>
  <c r="EK22" i="156"/>
  <c r="EJ22" i="156"/>
  <c r="EI22" i="156"/>
  <c r="EG22" i="156"/>
  <c r="EF22" i="156"/>
  <c r="EE22" i="156"/>
  <c r="ED22" i="156"/>
  <c r="EC22" i="156"/>
  <c r="EB22" i="156"/>
  <c r="EA22" i="156"/>
  <c r="FB22" i="156" s="1"/>
  <c r="DE22" i="156"/>
  <c r="DD22" i="156" s="1"/>
  <c r="DB22" i="156"/>
  <c r="DA22" i="156"/>
  <c r="CN22" i="156"/>
  <c r="CM22" i="156"/>
  <c r="CL22" i="156"/>
  <c r="CK22" i="156"/>
  <c r="BK22" i="156"/>
  <c r="BJ22" i="156"/>
  <c r="BI22" i="156"/>
  <c r="BH22" i="156"/>
  <c r="AN22" i="156"/>
  <c r="V22" i="156"/>
  <c r="U22" i="156"/>
  <c r="T22" i="156"/>
  <c r="S22" i="156"/>
  <c r="Q22" i="156"/>
  <c r="P22" i="156"/>
  <c r="N22" i="156"/>
  <c r="M22" i="156"/>
  <c r="L22" i="156"/>
  <c r="K22" i="156"/>
  <c r="I22" i="156"/>
  <c r="H22" i="156"/>
  <c r="G22" i="156"/>
  <c r="F22" i="156"/>
  <c r="E22" i="156"/>
  <c r="D22" i="156"/>
  <c r="C22" i="156"/>
  <c r="FA21" i="156"/>
  <c r="EZ21" i="156" s="1"/>
  <c r="EO21" i="156"/>
  <c r="EN21" i="156"/>
  <c r="EG21" i="156"/>
  <c r="EF21" i="156"/>
  <c r="EE21" i="156"/>
  <c r="ED21" i="156"/>
  <c r="EC21" i="156"/>
  <c r="EB21" i="156"/>
  <c r="EA21" i="156"/>
  <c r="DE21" i="156"/>
  <c r="DD21" i="156" s="1"/>
  <c r="BK21" i="156"/>
  <c r="BJ21" i="156"/>
  <c r="BI21" i="156"/>
  <c r="BH21" i="156"/>
  <c r="AN21" i="156"/>
  <c r="Q21" i="156"/>
  <c r="P21" i="156"/>
  <c r="R21" i="156" s="1"/>
  <c r="I21" i="156"/>
  <c r="H21" i="156"/>
  <c r="G21" i="156"/>
  <c r="F21" i="156"/>
  <c r="E21" i="156"/>
  <c r="D21" i="156"/>
  <c r="C21" i="156"/>
  <c r="O21" i="156" s="1"/>
  <c r="FA20" i="156"/>
  <c r="EZ20" i="156" s="1"/>
  <c r="EO20" i="156"/>
  <c r="EN20" i="156"/>
  <c r="EP20" i="156" s="1"/>
  <c r="EG20" i="156"/>
  <c r="EF20" i="156"/>
  <c r="EE20" i="156"/>
  <c r="ED20" i="156"/>
  <c r="EC20" i="156"/>
  <c r="EB20" i="156"/>
  <c r="EA20" i="156"/>
  <c r="DE20" i="156"/>
  <c r="DD20" i="156" s="1"/>
  <c r="BK20" i="156"/>
  <c r="BJ20" i="156"/>
  <c r="BI20" i="156"/>
  <c r="BH20" i="156"/>
  <c r="AN20" i="156"/>
  <c r="Q20" i="156"/>
  <c r="P20" i="156"/>
  <c r="I20" i="156"/>
  <c r="H20" i="156"/>
  <c r="G20" i="156"/>
  <c r="F20" i="156"/>
  <c r="E20" i="156"/>
  <c r="D20" i="156"/>
  <c r="C20" i="156"/>
  <c r="FA19" i="156"/>
  <c r="EZ19" i="156" s="1"/>
  <c r="EO19" i="156"/>
  <c r="EN19" i="156"/>
  <c r="EG19" i="156"/>
  <c r="EF19" i="156"/>
  <c r="EE19" i="156"/>
  <c r="ED19" i="156"/>
  <c r="EC19" i="156"/>
  <c r="EB19" i="156"/>
  <c r="EA19" i="156"/>
  <c r="DE19" i="156"/>
  <c r="DD19" i="156" s="1"/>
  <c r="BK19" i="156"/>
  <c r="BJ19" i="156"/>
  <c r="BI19" i="156"/>
  <c r="BH19" i="156"/>
  <c r="BM19" i="156" s="1"/>
  <c r="AN19" i="156"/>
  <c r="Q19" i="156"/>
  <c r="P19" i="156"/>
  <c r="I19" i="156"/>
  <c r="H19" i="156"/>
  <c r="G19" i="156"/>
  <c r="F19" i="156"/>
  <c r="E19" i="156"/>
  <c r="D19" i="156"/>
  <c r="C19" i="156"/>
  <c r="FA18" i="156"/>
  <c r="EZ18" i="156" s="1"/>
  <c r="EO18" i="156"/>
  <c r="EN18" i="156"/>
  <c r="EG18" i="156"/>
  <c r="EF18" i="156"/>
  <c r="EE18" i="156"/>
  <c r="ED18" i="156"/>
  <c r="EC18" i="156"/>
  <c r="EB18" i="156"/>
  <c r="EA18" i="156"/>
  <c r="DE18" i="156"/>
  <c r="DD18" i="156" s="1"/>
  <c r="BK18" i="156"/>
  <c r="BJ18" i="156"/>
  <c r="BI18" i="156"/>
  <c r="BH18" i="156"/>
  <c r="AN18" i="156"/>
  <c r="Q18" i="156"/>
  <c r="P18" i="156"/>
  <c r="I18" i="156"/>
  <c r="H18" i="156"/>
  <c r="G18" i="156"/>
  <c r="F18" i="156"/>
  <c r="E18" i="156"/>
  <c r="D18" i="156"/>
  <c r="C18" i="156"/>
  <c r="FA17" i="156"/>
  <c r="EZ17" i="156" s="1"/>
  <c r="EO17" i="156"/>
  <c r="EN17" i="156"/>
  <c r="EU17" i="156" s="1"/>
  <c r="EG17" i="156"/>
  <c r="EF17" i="156"/>
  <c r="EE17" i="156"/>
  <c r="ED17" i="156"/>
  <c r="EC17" i="156"/>
  <c r="EB17" i="156"/>
  <c r="EA17" i="156"/>
  <c r="DE17" i="156"/>
  <c r="DD17" i="156" s="1"/>
  <c r="BK17" i="156"/>
  <c r="BJ17" i="156"/>
  <c r="BI17" i="156"/>
  <c r="BH17" i="156"/>
  <c r="AN17" i="156"/>
  <c r="Q17" i="156"/>
  <c r="P17" i="156"/>
  <c r="I17" i="156"/>
  <c r="H17" i="156"/>
  <c r="G17" i="156"/>
  <c r="F17" i="156"/>
  <c r="E17" i="156"/>
  <c r="D17" i="156"/>
  <c r="C17" i="156"/>
  <c r="FA16" i="156"/>
  <c r="EZ16" i="156" s="1"/>
  <c r="EO16" i="156"/>
  <c r="EN16" i="156"/>
  <c r="EU16" i="156" s="1"/>
  <c r="EG16" i="156"/>
  <c r="EF16" i="156"/>
  <c r="EE16" i="156"/>
  <c r="ED16" i="156"/>
  <c r="EC16" i="156"/>
  <c r="EB16" i="156"/>
  <c r="EA16" i="156"/>
  <c r="DE16" i="156"/>
  <c r="DD16" i="156" s="1"/>
  <c r="BK16" i="156"/>
  <c r="BJ16" i="156"/>
  <c r="BI16" i="156"/>
  <c r="BH16" i="156"/>
  <c r="AN16" i="156"/>
  <c r="Q16" i="156"/>
  <c r="P16" i="156"/>
  <c r="I16" i="156"/>
  <c r="H16" i="156"/>
  <c r="G16" i="156"/>
  <c r="F16" i="156"/>
  <c r="E16" i="156"/>
  <c r="D16" i="156"/>
  <c r="C16" i="156"/>
  <c r="FA15" i="156"/>
  <c r="EZ15" i="156"/>
  <c r="EO15" i="156"/>
  <c r="EN15" i="156"/>
  <c r="EU15" i="156" s="1"/>
  <c r="EG15" i="156"/>
  <c r="EF15" i="156"/>
  <c r="EE15" i="156"/>
  <c r="ED15" i="156"/>
  <c r="EC15" i="156"/>
  <c r="EB15" i="156"/>
  <c r="EA15" i="156"/>
  <c r="DE15" i="156"/>
  <c r="DD15" i="156" s="1"/>
  <c r="BK15" i="156"/>
  <c r="BJ15" i="156"/>
  <c r="BI15" i="156"/>
  <c r="BH15" i="156"/>
  <c r="AN15" i="156"/>
  <c r="Q15" i="156"/>
  <c r="P15" i="156"/>
  <c r="I15" i="156"/>
  <c r="H15" i="156"/>
  <c r="G15" i="156"/>
  <c r="F15" i="156"/>
  <c r="E15" i="156"/>
  <c r="D15" i="156"/>
  <c r="C15" i="156"/>
  <c r="FA14" i="156"/>
  <c r="EZ14" i="156" s="1"/>
  <c r="EO14" i="156"/>
  <c r="EN14" i="156"/>
  <c r="EU14" i="156" s="1"/>
  <c r="EG14" i="156"/>
  <c r="EF14" i="156"/>
  <c r="EE14" i="156"/>
  <c r="ED14" i="156"/>
  <c r="EC14" i="156"/>
  <c r="EB14" i="156"/>
  <c r="EA14" i="156"/>
  <c r="DE14" i="156"/>
  <c r="DD14" i="156"/>
  <c r="BK14" i="156"/>
  <c r="BJ14" i="156"/>
  <c r="BI14" i="156"/>
  <c r="BH14" i="156"/>
  <c r="AN14" i="156"/>
  <c r="Q14" i="156"/>
  <c r="P14" i="156"/>
  <c r="I14" i="156"/>
  <c r="H14" i="156"/>
  <c r="G14" i="156"/>
  <c r="F14" i="156"/>
  <c r="E14" i="156"/>
  <c r="D14" i="156"/>
  <c r="C14" i="156"/>
  <c r="FA13" i="156"/>
  <c r="EZ13" i="156" s="1"/>
  <c r="EO13" i="156"/>
  <c r="EN13" i="156"/>
  <c r="EG13" i="156"/>
  <c r="EF13" i="156"/>
  <c r="EE13" i="156"/>
  <c r="ED13" i="156"/>
  <c r="EC13" i="156"/>
  <c r="EB13" i="156"/>
  <c r="EA13" i="156"/>
  <c r="DE13" i="156"/>
  <c r="DD13" i="156" s="1"/>
  <c r="BK13" i="156"/>
  <c r="BJ13" i="156"/>
  <c r="BI13" i="156"/>
  <c r="BH13" i="156"/>
  <c r="BL13" i="156" s="1"/>
  <c r="AN13" i="156"/>
  <c r="Q13" i="156"/>
  <c r="P13" i="156"/>
  <c r="I13" i="156"/>
  <c r="H13" i="156"/>
  <c r="G13" i="156"/>
  <c r="F13" i="156"/>
  <c r="E13" i="156"/>
  <c r="D13" i="156"/>
  <c r="C13" i="156"/>
  <c r="FA12" i="156"/>
  <c r="EZ12" i="156" s="1"/>
  <c r="EO12" i="156"/>
  <c r="EN12" i="156"/>
  <c r="EG12" i="156"/>
  <c r="EF12" i="156"/>
  <c r="EE12" i="156"/>
  <c r="ED12" i="156"/>
  <c r="EC12" i="156"/>
  <c r="EB12" i="156"/>
  <c r="EA12" i="156"/>
  <c r="DE12" i="156"/>
  <c r="DD12" i="156" s="1"/>
  <c r="BK12" i="156"/>
  <c r="BJ12" i="156"/>
  <c r="BI12" i="156"/>
  <c r="BH12" i="156"/>
  <c r="AN12" i="156"/>
  <c r="Q12" i="156"/>
  <c r="P12" i="156"/>
  <c r="I12" i="156"/>
  <c r="H12" i="156"/>
  <c r="G12" i="156"/>
  <c r="F12" i="156"/>
  <c r="E12" i="156"/>
  <c r="D12" i="156"/>
  <c r="C12" i="156"/>
  <c r="J15" i="154" a="1"/>
  <c r="I15" i="154" a="1"/>
  <c r="J15" i="158" a="1"/>
  <c r="H15" i="158" a="1"/>
  <c r="D15" i="158" a="1"/>
  <c r="D15" i="154" a="1"/>
  <c r="F15" i="154" a="1"/>
  <c r="L15" i="158" a="1"/>
  <c r="L15" i="154" a="1"/>
  <c r="M15" i="154" a="1"/>
  <c r="I15" i="158" a="1"/>
  <c r="F15" i="158" a="1"/>
  <c r="G15" i="158" a="1"/>
  <c r="G15" i="154" a="1"/>
  <c r="H15" i="154" a="1"/>
  <c r="M15" i="158" a="1"/>
  <c r="K15" i="154" a="1"/>
  <c r="K15" i="158" a="1"/>
  <c r="AA22" i="156" l="1"/>
  <c r="AF22" i="156"/>
  <c r="BF22" i="156" s="1"/>
  <c r="AG22" i="156"/>
  <c r="BG22" i="156" s="1"/>
  <c r="AB22" i="156"/>
  <c r="AC22" i="156" s="1"/>
  <c r="EM16" i="156"/>
  <c r="O12" i="156"/>
  <c r="O14" i="156"/>
  <c r="O15" i="156"/>
  <c r="O16" i="156"/>
  <c r="EU18" i="156"/>
  <c r="O17" i="156"/>
  <c r="EU19" i="156"/>
  <c r="O18" i="156"/>
  <c r="O19" i="156"/>
  <c r="O13" i="156"/>
  <c r="O20" i="156"/>
  <c r="EM17" i="156"/>
  <c r="EM18" i="156"/>
  <c r="BO21" i="156"/>
  <c r="EM19" i="156"/>
  <c r="BM18" i="156"/>
  <c r="W18" i="156"/>
  <c r="AW18" i="156" s="1"/>
  <c r="EP21" i="156"/>
  <c r="BS15" i="156"/>
  <c r="BS12" i="156"/>
  <c r="DC22" i="156"/>
  <c r="CR22" i="156"/>
  <c r="BN19" i="156"/>
  <c r="BN20" i="156"/>
  <c r="Y15" i="156"/>
  <c r="R13" i="156"/>
  <c r="AA15" i="156"/>
  <c r="BS13" i="156"/>
  <c r="EM21" i="156"/>
  <c r="AB15" i="156"/>
  <c r="AC15" i="156" s="1"/>
  <c r="EW19" i="156"/>
  <c r="EW20" i="156"/>
  <c r="Z14" i="156"/>
  <c r="EP14" i="156"/>
  <c r="EM20" i="156"/>
  <c r="BS14" i="156"/>
  <c r="BO13" i="156"/>
  <c r="AB16" i="156"/>
  <c r="AC16" i="156" s="1"/>
  <c r="BM22" i="156"/>
  <c r="FD22" i="156"/>
  <c r="FH22" i="156" s="1"/>
  <c r="AA14" i="156"/>
  <c r="BO18" i="156"/>
  <c r="W16" i="156"/>
  <c r="AW16" i="156" s="1"/>
  <c r="AA18" i="156"/>
  <c r="Y14" i="156"/>
  <c r="EM12" i="156"/>
  <c r="EV12" i="156"/>
  <c r="Z18" i="156"/>
  <c r="AB18" i="156"/>
  <c r="AC18" i="156" s="1"/>
  <c r="EP22" i="156"/>
  <c r="X19" i="156"/>
  <c r="AA19" i="156"/>
  <c r="X21" i="156"/>
  <c r="BM21" i="156"/>
  <c r="EV20" i="156"/>
  <c r="BN12" i="156"/>
  <c r="BM14" i="156"/>
  <c r="R16" i="156"/>
  <c r="EM14" i="156"/>
  <c r="BS18" i="156"/>
  <c r="EW16" i="156"/>
  <c r="X15" i="156"/>
  <c r="AA16" i="156"/>
  <c r="BS16" i="156"/>
  <c r="BL15" i="156"/>
  <c r="BS17" i="156"/>
  <c r="BN16" i="156"/>
  <c r="R18" i="156"/>
  <c r="BS19" i="156"/>
  <c r="Z21" i="156"/>
  <c r="Z16" i="156"/>
  <c r="R15" i="156"/>
  <c r="EM13" i="156"/>
  <c r="EM15" i="156"/>
  <c r="BM17" i="156"/>
  <c r="Y22" i="156"/>
  <c r="CS22" i="156"/>
  <c r="Z22" i="156"/>
  <c r="CO22" i="156"/>
  <c r="AA13" i="156"/>
  <c r="BO12" i="156"/>
  <c r="AB13" i="156"/>
  <c r="AC13" i="156" s="1"/>
  <c r="X16" i="156"/>
  <c r="EW17" i="156"/>
  <c r="Y19" i="156"/>
  <c r="BO20" i="156"/>
  <c r="BS21" i="156"/>
  <c r="X22" i="156"/>
  <c r="CP22" i="156"/>
  <c r="EW22" i="156"/>
  <c r="EX22" i="156" s="1"/>
  <c r="FE22" i="156"/>
  <c r="FI22" i="156" s="1"/>
  <c r="EW12" i="156"/>
  <c r="Z15" i="156"/>
  <c r="X14" i="156"/>
  <c r="Y16" i="156"/>
  <c r="BM16" i="156"/>
  <c r="Y17" i="156"/>
  <c r="Z19" i="156"/>
  <c r="EV19" i="156"/>
  <c r="W21" i="156"/>
  <c r="W22" i="156"/>
  <c r="AH22" i="156" s="1"/>
  <c r="EU21" i="156"/>
  <c r="R12" i="156"/>
  <c r="EP12" i="156"/>
  <c r="W13" i="156"/>
  <c r="EP13" i="156"/>
  <c r="BO14" i="156"/>
  <c r="EV15" i="156"/>
  <c r="EP15" i="156"/>
  <c r="BO16" i="156"/>
  <c r="BL17" i="156"/>
  <c r="EP18" i="156"/>
  <c r="BL19" i="156"/>
  <c r="R20" i="156"/>
  <c r="Y21" i="156"/>
  <c r="BL21" i="156"/>
  <c r="EV21" i="156"/>
  <c r="BN22" i="156"/>
  <c r="EW15" i="156"/>
  <c r="EV18" i="156"/>
  <c r="BL18" i="156"/>
  <c r="AD22" i="156"/>
  <c r="BE22" i="156" s="1"/>
  <c r="BL12" i="156"/>
  <c r="EU12" i="156"/>
  <c r="Y13" i="156"/>
  <c r="BM13" i="156"/>
  <c r="EV13" i="156"/>
  <c r="EU13" i="156"/>
  <c r="BN14" i="156"/>
  <c r="W15" i="156"/>
  <c r="BN15" i="156"/>
  <c r="BN17" i="156"/>
  <c r="X18" i="156"/>
  <c r="EW18" i="156"/>
  <c r="R19" i="156"/>
  <c r="BL20" i="156"/>
  <c r="AA21" i="156"/>
  <c r="BN21" i="156"/>
  <c r="AE22" i="156"/>
  <c r="X13" i="156"/>
  <c r="EU20" i="156"/>
  <c r="EW21" i="156"/>
  <c r="BO22" i="156"/>
  <c r="BM12" i="156"/>
  <c r="Z13" i="156"/>
  <c r="BN13" i="156"/>
  <c r="EW13" i="156"/>
  <c r="BO15" i="156"/>
  <c r="EV16" i="156"/>
  <c r="BO17" i="156"/>
  <c r="Y18" i="156"/>
  <c r="BN18" i="156"/>
  <c r="W19" i="156"/>
  <c r="BM20" i="156"/>
  <c r="AB21" i="156"/>
  <c r="AC21" i="156" s="1"/>
  <c r="FC22" i="156"/>
  <c r="BO19" i="156"/>
  <c r="EV22" i="156"/>
  <c r="EY22" i="156" s="1"/>
  <c r="L15" i="154"/>
  <c r="F15" i="154"/>
  <c r="G15" i="154"/>
  <c r="H15" i="154"/>
  <c r="I15" i="154"/>
  <c r="J15" i="154"/>
  <c r="K15" i="154"/>
  <c r="M15" i="154"/>
  <c r="D15" i="154"/>
  <c r="D15" i="158"/>
  <c r="J15" i="158"/>
  <c r="H15" i="158"/>
  <c r="M15" i="158"/>
  <c r="K15" i="158"/>
  <c r="I15" i="158"/>
  <c r="F15" i="158"/>
  <c r="L15" i="158"/>
  <c r="G15" i="158"/>
  <c r="W20" i="156"/>
  <c r="X20" i="156"/>
  <c r="BL22" i="156"/>
  <c r="BM15" i="156"/>
  <c r="R17" i="156"/>
  <c r="Y20" i="156"/>
  <c r="CT22" i="156"/>
  <c r="Z20" i="156"/>
  <c r="CU22" i="156"/>
  <c r="X12" i="156"/>
  <c r="EV17" i="156"/>
  <c r="X17" i="156"/>
  <c r="AA20" i="156"/>
  <c r="CV22" i="156"/>
  <c r="EP17" i="156"/>
  <c r="AA12" i="156"/>
  <c r="R14" i="156"/>
  <c r="AB20" i="156"/>
  <c r="AC20" i="156" s="1"/>
  <c r="W12" i="156"/>
  <c r="W14" i="156"/>
  <c r="EP19" i="156"/>
  <c r="W17" i="156"/>
  <c r="AA17" i="156"/>
  <c r="EV14" i="156"/>
  <c r="EY14" i="156" s="1"/>
  <c r="AB17" i="156"/>
  <c r="AC17" i="156" s="1"/>
  <c r="BS20" i="156"/>
  <c r="R22" i="156"/>
  <c r="EP16" i="156"/>
  <c r="BL14" i="156"/>
  <c r="AB12" i="156"/>
  <c r="AC12" i="156" s="1"/>
  <c r="EW14" i="156"/>
  <c r="AB14" i="156"/>
  <c r="AC14" i="156" s="1"/>
  <c r="Z12" i="156"/>
  <c r="Z17" i="156"/>
  <c r="Y12" i="156"/>
  <c r="BL16" i="156"/>
  <c r="AB19" i="156"/>
  <c r="AC19" i="156" s="1"/>
  <c r="J18" i="154" a="1"/>
  <c r="J18" i="158" a="1"/>
  <c r="AM13" i="161" a="1"/>
  <c r="AM16" i="161" a="1"/>
  <c r="AM12" i="161" a="1"/>
  <c r="AM19" i="161" a="1"/>
  <c r="AM20" i="161" a="1"/>
  <c r="AM17" i="161" a="1"/>
  <c r="AM22" i="161" a="1"/>
  <c r="AM15" i="161" a="1"/>
  <c r="AM21" i="161" a="1"/>
  <c r="AM14" i="161" a="1"/>
  <c r="G282" i="28" a="1"/>
  <c r="H282" i="28" a="1"/>
  <c r="AM18" i="161" a="1"/>
  <c r="J192" i="28" a="1"/>
  <c r="AH18" i="156" l="1"/>
  <c r="EY18" i="156"/>
  <c r="AM18" i="161"/>
  <c r="AP18" i="161" s="1"/>
  <c r="BP22" i="156"/>
  <c r="EY16" i="156"/>
  <c r="AM15" i="161"/>
  <c r="AM13" i="161"/>
  <c r="J192" i="28"/>
  <c r="AM21" i="161"/>
  <c r="AM19" i="161"/>
  <c r="AM20" i="161"/>
  <c r="AM22" i="161"/>
  <c r="G282" i="28"/>
  <c r="AM14" i="161"/>
  <c r="AM12" i="161"/>
  <c r="H282" i="28"/>
  <c r="AM16" i="161"/>
  <c r="AM17" i="161"/>
  <c r="EY21" i="156"/>
  <c r="AH15" i="156"/>
  <c r="AJ15" i="156" s="1"/>
  <c r="AS15" i="156" s="1"/>
  <c r="AH19" i="156"/>
  <c r="AJ19" i="156" s="1"/>
  <c r="AS19" i="156" s="1"/>
  <c r="AW20" i="156"/>
  <c r="AW12" i="156"/>
  <c r="AW13" i="156"/>
  <c r="AH13" i="156"/>
  <c r="AJ13" i="156" s="1"/>
  <c r="AW22" i="156"/>
  <c r="AW21" i="156"/>
  <c r="BD22" i="156"/>
  <c r="CQ22" i="156"/>
  <c r="AH21" i="156"/>
  <c r="FG22" i="156"/>
  <c r="AW15" i="156"/>
  <c r="AH16" i="156"/>
  <c r="AJ16" i="156" s="1"/>
  <c r="AS16" i="156" s="1"/>
  <c r="FF22" i="156"/>
  <c r="EY13" i="156"/>
  <c r="AJ21" i="156"/>
  <c r="AS21" i="156" s="1"/>
  <c r="CW22" i="156"/>
  <c r="EY12" i="156"/>
  <c r="AW19" i="156"/>
  <c r="EY19" i="156"/>
  <c r="CZ22" i="156"/>
  <c r="EY15" i="156"/>
  <c r="J18" i="154"/>
  <c r="J18" i="158"/>
  <c r="BR22" i="156"/>
  <c r="BQ22" i="156"/>
  <c r="AH20" i="156"/>
  <c r="AW17" i="156"/>
  <c r="AH17" i="156"/>
  <c r="AJ18" i="156"/>
  <c r="AJ22" i="156"/>
  <c r="AS22" i="156" s="1"/>
  <c r="EY20" i="156"/>
  <c r="AH14" i="156"/>
  <c r="AJ14" i="156" s="1"/>
  <c r="AW14" i="156"/>
  <c r="AO12" i="156"/>
  <c r="AX12" i="156" s="1"/>
  <c r="AM12" i="156"/>
  <c r="AV12" i="156" s="1"/>
  <c r="AL12" i="156"/>
  <c r="AU12" i="156" s="1"/>
  <c r="AK12" i="156"/>
  <c r="AT12" i="156" s="1"/>
  <c r="AJ12" i="156"/>
  <c r="AS12" i="156" s="1"/>
  <c r="AH12" i="156"/>
  <c r="AI12" i="156"/>
  <c r="CX22" i="156"/>
  <c r="CY22" i="156" s="1"/>
  <c r="AK16" i="156"/>
  <c r="AT16" i="156" s="1"/>
  <c r="AK21" i="156"/>
  <c r="AT21" i="156" s="1"/>
  <c r="EY17" i="156"/>
  <c r="F18" i="154" a="1"/>
  <c r="K18" i="154" a="1"/>
  <c r="G18" i="158" a="1"/>
  <c r="I18" i="154" a="1"/>
  <c r="H18" i="154" a="1"/>
  <c r="F18" i="158" a="1"/>
  <c r="I18" i="158" a="1"/>
  <c r="G18" i="154" a="1"/>
  <c r="H18" i="158" a="1"/>
  <c r="M18" i="158" a="1"/>
  <c r="AO18" i="161" l="1"/>
  <c r="AN18" i="161"/>
  <c r="AP16" i="161"/>
  <c r="AO16" i="161"/>
  <c r="AN16" i="161"/>
  <c r="AO12" i="161"/>
  <c r="AN12" i="161"/>
  <c r="AP12" i="161"/>
  <c r="AN21" i="161"/>
  <c r="AO21" i="161"/>
  <c r="AP21" i="161"/>
  <c r="AP13" i="161"/>
  <c r="AO13" i="161"/>
  <c r="AN13" i="161"/>
  <c r="AP17" i="161"/>
  <c r="AN17" i="161"/>
  <c r="AO17" i="161"/>
  <c r="AK19" i="156"/>
  <c r="AT19" i="156" s="1"/>
  <c r="AP14" i="161"/>
  <c r="AO14" i="161"/>
  <c r="AN14" i="161"/>
  <c r="AN20" i="161"/>
  <c r="AO20" i="161"/>
  <c r="AP20" i="161"/>
  <c r="AP19" i="161"/>
  <c r="AO19" i="161"/>
  <c r="AN19" i="161"/>
  <c r="AO15" i="161"/>
  <c r="AP15" i="161"/>
  <c r="AN15" i="161"/>
  <c r="AK22" i="156"/>
  <c r="AT22" i="156" s="1"/>
  <c r="G18" i="158"/>
  <c r="F18" i="154"/>
  <c r="H18" i="158"/>
  <c r="G18" i="154"/>
  <c r="F18" i="158"/>
  <c r="H18" i="154"/>
  <c r="K18" i="154"/>
  <c r="M18" i="158"/>
  <c r="I18" i="154"/>
  <c r="I18" i="158"/>
  <c r="AS14" i="156"/>
  <c r="AL21" i="156"/>
  <c r="AU21" i="156" s="1"/>
  <c r="AS18" i="156"/>
  <c r="AM21" i="156"/>
  <c r="AV21" i="156" s="1"/>
  <c r="AR12" i="156"/>
  <c r="AP12" i="156"/>
  <c r="AY12" i="156" s="1"/>
  <c r="AJ20" i="156"/>
  <c r="AJ17" i="156"/>
  <c r="AK17" i="156" s="1"/>
  <c r="AT17" i="156" s="1"/>
  <c r="AL16" i="156"/>
  <c r="AU16" i="156" s="1"/>
  <c r="AK15" i="156"/>
  <c r="AT15" i="156" s="1"/>
  <c r="AS13" i="156"/>
  <c r="AK13" i="156"/>
  <c r="AT13" i="156" s="1"/>
  <c r="AK14" i="156"/>
  <c r="AT14" i="156" s="1"/>
  <c r="AK18" i="156"/>
  <c r="M18" i="154" a="1"/>
  <c r="D18" i="158" a="1"/>
  <c r="L18" i="154" a="1"/>
  <c r="K18" i="158" a="1"/>
  <c r="B317" i="36" a="1"/>
  <c r="C317" i="36" a="1"/>
  <c r="L18" i="158" a="1"/>
  <c r="D18" i="154" a="1"/>
  <c r="AO21" i="156" l="1"/>
  <c r="AX21" i="156" s="1"/>
  <c r="AL19" i="156"/>
  <c r="AU19" i="156" s="1"/>
  <c r="AL22" i="156"/>
  <c r="AU22" i="156" s="1"/>
  <c r="AN22" i="161"/>
  <c r="AN24" i="161" s="1"/>
  <c r="AO22" i="161"/>
  <c r="AP22" i="161"/>
  <c r="AM19" i="156"/>
  <c r="AV19" i="156" s="1"/>
  <c r="C317" i="36"/>
  <c r="B317" i="36"/>
  <c r="AM22" i="156"/>
  <c r="AV22" i="156" s="1"/>
  <c r="K18" i="158"/>
  <c r="L18" i="154"/>
  <c r="D18" i="154"/>
  <c r="L18" i="158"/>
  <c r="M18" i="154"/>
  <c r="D18" i="158"/>
  <c r="AT18" i="156"/>
  <c r="AL18" i="156"/>
  <c r="AU18" i="156" s="1"/>
  <c r="AO19" i="156"/>
  <c r="AX19" i="156" s="1"/>
  <c r="AI21" i="156"/>
  <c r="AL13" i="156"/>
  <c r="AL14" i="156"/>
  <c r="AS20" i="156"/>
  <c r="AL15" i="156"/>
  <c r="AS17" i="156"/>
  <c r="AK20" i="156"/>
  <c r="AT20" i="156" s="1"/>
  <c r="AL17" i="156"/>
  <c r="AU17" i="156" s="1"/>
  <c r="AM16" i="156"/>
  <c r="AO16" i="156" s="1"/>
  <c r="AX16" i="156" s="1"/>
  <c r="J305" i="36" a="1"/>
  <c r="AO28" i="161" l="1"/>
  <c r="AO26" i="161"/>
  <c r="AP28" i="161"/>
  <c r="AP26" i="161"/>
  <c r="AM17" i="156"/>
  <c r="AV17" i="156" s="1"/>
  <c r="J305" i="36"/>
  <c r="AO22" i="156"/>
  <c r="AI19" i="156"/>
  <c r="AP19" i="156" s="1"/>
  <c r="AY19" i="156" s="1"/>
  <c r="AU13" i="156"/>
  <c r="AR21" i="156"/>
  <c r="AP21" i="156"/>
  <c r="AY21" i="156" s="1"/>
  <c r="AU15" i="156"/>
  <c r="AM15" i="156"/>
  <c r="AV15" i="156" s="1"/>
  <c r="AU14" i="156"/>
  <c r="AM14" i="156"/>
  <c r="AM13" i="156"/>
  <c r="AV13" i="156" s="1"/>
  <c r="AO17" i="156"/>
  <c r="AX17" i="156" s="1"/>
  <c r="AV16" i="156"/>
  <c r="AI16" i="156"/>
  <c r="AM18" i="156"/>
  <c r="AL20" i="156"/>
  <c r="E15" i="165" a="1"/>
  <c r="D15" i="165" a="1"/>
  <c r="H15" i="165" a="1"/>
  <c r="G15" i="165" a="1"/>
  <c r="I305" i="36" a="1"/>
  <c r="G15" i="165" l="1"/>
  <c r="H15" i="165"/>
  <c r="D15" i="165"/>
  <c r="E15" i="165"/>
  <c r="AR19" i="156"/>
  <c r="I305" i="36"/>
  <c r="G305" i="36" s="1"/>
  <c r="AI17" i="156"/>
  <c r="AO15" i="156"/>
  <c r="AX15" i="156" s="1"/>
  <c r="AX22" i="156"/>
  <c r="AI22" i="156"/>
  <c r="AU20" i="156"/>
  <c r="AM20" i="156"/>
  <c r="AV20" i="156" s="1"/>
  <c r="AV18" i="156"/>
  <c r="AO18" i="156"/>
  <c r="AX18" i="156" s="1"/>
  <c r="AP16" i="156"/>
  <c r="AY16" i="156" s="1"/>
  <c r="AR16" i="156"/>
  <c r="AV14" i="156"/>
  <c r="AO14" i="156"/>
  <c r="AI15" i="156"/>
  <c r="AP17" i="156"/>
  <c r="AY17" i="156" s="1"/>
  <c r="AR17" i="156"/>
  <c r="AO13" i="156"/>
  <c r="AX13" i="156" s="1"/>
  <c r="H305" i="36" l="1"/>
  <c r="K305" i="36"/>
  <c r="AR22" i="156"/>
  <c r="AP22" i="156"/>
  <c r="AY22" i="156" s="1"/>
  <c r="AX14" i="156"/>
  <c r="AI14" i="156"/>
  <c r="AI18" i="156"/>
  <c r="AI13" i="156"/>
  <c r="AR15" i="156"/>
  <c r="AP15" i="156"/>
  <c r="AY15" i="156" s="1"/>
  <c r="AO20" i="156"/>
  <c r="AX20" i="156" s="1"/>
  <c r="AI20" i="156" l="1"/>
  <c r="AP13" i="156"/>
  <c r="AY13" i="156" s="1"/>
  <c r="AR13" i="156"/>
  <c r="AR18" i="156"/>
  <c r="AP18" i="156"/>
  <c r="AY18" i="156" s="1"/>
  <c r="AP14" i="156"/>
  <c r="AY14" i="156" s="1"/>
  <c r="AR14" i="156"/>
  <c r="AR20" i="156" l="1"/>
  <c r="AP20" i="156"/>
  <c r="AY20" i="156" s="1"/>
  <c r="FA22" i="155" l="1"/>
  <c r="EZ22" i="155" s="1"/>
  <c r="ET22" i="155"/>
  <c r="ES22" i="155"/>
  <c r="ER22" i="155"/>
  <c r="EQ22" i="155"/>
  <c r="EO22" i="155"/>
  <c r="EN22" i="155"/>
  <c r="EL22" i="155"/>
  <c r="EK22" i="155"/>
  <c r="EJ22" i="155"/>
  <c r="EI22" i="155"/>
  <c r="EC22" i="155"/>
  <c r="EB22" i="155"/>
  <c r="EA22" i="155"/>
  <c r="DE22" i="155"/>
  <c r="DD22" i="155" s="1"/>
  <c r="DB22" i="155"/>
  <c r="DA22" i="155"/>
  <c r="CN22" i="155"/>
  <c r="CM22" i="155"/>
  <c r="CP22" i="155" s="1"/>
  <c r="CL22" i="155"/>
  <c r="CK22" i="155"/>
  <c r="CO22" i="155" s="1"/>
  <c r="BK22" i="155"/>
  <c r="BJ22" i="155"/>
  <c r="BI22" i="155"/>
  <c r="BH22" i="155"/>
  <c r="AN22" i="155"/>
  <c r="AM22" i="155"/>
  <c r="V22" i="155"/>
  <c r="U22" i="155"/>
  <c r="T22" i="155"/>
  <c r="S22" i="155"/>
  <c r="Q22" i="155"/>
  <c r="P22" i="155"/>
  <c r="N22" i="155"/>
  <c r="M22" i="155"/>
  <c r="L22" i="155"/>
  <c r="K22" i="155"/>
  <c r="H22" i="155"/>
  <c r="G22" i="155"/>
  <c r="F22" i="155"/>
  <c r="E22" i="155"/>
  <c r="D22" i="155"/>
  <c r="C22" i="155"/>
  <c r="FA21" i="155"/>
  <c r="EZ21" i="155" s="1"/>
  <c r="EO21" i="155"/>
  <c r="EN21" i="155"/>
  <c r="EC21" i="155"/>
  <c r="EB21" i="155"/>
  <c r="EA21" i="155"/>
  <c r="DE21" i="155"/>
  <c r="DD21" i="155" s="1"/>
  <c r="BK21" i="155"/>
  <c r="BJ21" i="155"/>
  <c r="BI21" i="155"/>
  <c r="BH21" i="155"/>
  <c r="AN21" i="155"/>
  <c r="AM21" i="155"/>
  <c r="Q21" i="155"/>
  <c r="P21" i="155"/>
  <c r="H21" i="155"/>
  <c r="G21" i="155"/>
  <c r="F21" i="155"/>
  <c r="E21" i="155"/>
  <c r="D21" i="155"/>
  <c r="C21" i="155"/>
  <c r="FA20" i="155"/>
  <c r="EZ20" i="155" s="1"/>
  <c r="EO20" i="155"/>
  <c r="EN20" i="155"/>
  <c r="EC20" i="155"/>
  <c r="EB20" i="155"/>
  <c r="EA20" i="155"/>
  <c r="DE20" i="155"/>
  <c r="DD20" i="155" s="1"/>
  <c r="BK20" i="155"/>
  <c r="BJ20" i="155"/>
  <c r="BI20" i="155"/>
  <c r="BH20" i="155"/>
  <c r="AN20" i="155"/>
  <c r="AM20" i="155"/>
  <c r="Q20" i="155"/>
  <c r="P20" i="155"/>
  <c r="H20" i="155"/>
  <c r="G20" i="155"/>
  <c r="F20" i="155"/>
  <c r="E20" i="155"/>
  <c r="D20" i="155"/>
  <c r="C20" i="155"/>
  <c r="FA19" i="155"/>
  <c r="EZ19" i="155" s="1"/>
  <c r="EO19" i="155"/>
  <c r="EN19" i="155"/>
  <c r="EU19" i="155" s="1"/>
  <c r="EC19" i="155"/>
  <c r="EB19" i="155"/>
  <c r="EA19" i="155"/>
  <c r="DE19" i="155"/>
  <c r="DD19" i="155" s="1"/>
  <c r="BK19" i="155"/>
  <c r="BJ19" i="155"/>
  <c r="BI19" i="155"/>
  <c r="BH19" i="155"/>
  <c r="AN19" i="155"/>
  <c r="AM19" i="155"/>
  <c r="Q19" i="155"/>
  <c r="P19" i="155"/>
  <c r="H19" i="155"/>
  <c r="G19" i="155"/>
  <c r="F19" i="155"/>
  <c r="E19" i="155"/>
  <c r="D19" i="155"/>
  <c r="C19" i="155"/>
  <c r="FA18" i="155"/>
  <c r="EZ18" i="155" s="1"/>
  <c r="EO18" i="155"/>
  <c r="EN18" i="155"/>
  <c r="EU18" i="155" s="1"/>
  <c r="EC18" i="155"/>
  <c r="EB18" i="155"/>
  <c r="EA18" i="155"/>
  <c r="EM18" i="155" s="1"/>
  <c r="DE18" i="155"/>
  <c r="DD18" i="155" s="1"/>
  <c r="BK18" i="155"/>
  <c r="BJ18" i="155"/>
  <c r="BI18" i="155"/>
  <c r="BH18" i="155"/>
  <c r="AN18" i="155"/>
  <c r="AM18" i="155"/>
  <c r="Q18" i="155"/>
  <c r="P18" i="155"/>
  <c r="H18" i="155"/>
  <c r="G18" i="155"/>
  <c r="F18" i="155"/>
  <c r="E18" i="155"/>
  <c r="D18" i="155"/>
  <c r="C18" i="155"/>
  <c r="FA17" i="155"/>
  <c r="EZ17" i="155" s="1"/>
  <c r="EO17" i="155"/>
  <c r="EN17" i="155"/>
  <c r="EU17" i="155" s="1"/>
  <c r="EC17" i="155"/>
  <c r="EB17" i="155"/>
  <c r="EA17" i="155"/>
  <c r="EM17" i="155" s="1"/>
  <c r="DE17" i="155"/>
  <c r="DD17" i="155"/>
  <c r="BK17" i="155"/>
  <c r="BJ17" i="155"/>
  <c r="BI17" i="155"/>
  <c r="BH17" i="155"/>
  <c r="AN17" i="155"/>
  <c r="AM17" i="155"/>
  <c r="Q17" i="155"/>
  <c r="P17" i="155"/>
  <c r="H17" i="155"/>
  <c r="G17" i="155"/>
  <c r="F17" i="155"/>
  <c r="E17" i="155"/>
  <c r="D17" i="155"/>
  <c r="C17" i="155"/>
  <c r="FA16" i="155"/>
  <c r="EZ16" i="155" s="1"/>
  <c r="EO16" i="155"/>
  <c r="EN16" i="155"/>
  <c r="EC16" i="155"/>
  <c r="EB16" i="155"/>
  <c r="EA16" i="155"/>
  <c r="DE16" i="155"/>
  <c r="DD16" i="155" s="1"/>
  <c r="BK16" i="155"/>
  <c r="BJ16" i="155"/>
  <c r="BI16" i="155"/>
  <c r="BH16" i="155"/>
  <c r="AN16" i="155"/>
  <c r="AM16" i="155"/>
  <c r="Q16" i="155"/>
  <c r="P16" i="155"/>
  <c r="H16" i="155"/>
  <c r="G16" i="155"/>
  <c r="F16" i="155"/>
  <c r="E16" i="155"/>
  <c r="D16" i="155"/>
  <c r="C16" i="155"/>
  <c r="FA15" i="155"/>
  <c r="EZ15" i="155" s="1"/>
  <c r="EO15" i="155"/>
  <c r="EN15" i="155"/>
  <c r="EC15" i="155"/>
  <c r="EB15" i="155"/>
  <c r="EA15" i="155"/>
  <c r="DE15" i="155"/>
  <c r="DD15" i="155" s="1"/>
  <c r="BK15" i="155"/>
  <c r="BJ15" i="155"/>
  <c r="BI15" i="155"/>
  <c r="BH15" i="155"/>
  <c r="AN15" i="155"/>
  <c r="AM15" i="155"/>
  <c r="Q15" i="155"/>
  <c r="P15" i="155"/>
  <c r="H15" i="155"/>
  <c r="G15" i="155"/>
  <c r="F15" i="155"/>
  <c r="E15" i="155"/>
  <c r="D15" i="155"/>
  <c r="C15" i="155"/>
  <c r="FA14" i="155"/>
  <c r="EZ14" i="155" s="1"/>
  <c r="EO14" i="155"/>
  <c r="EN14" i="155"/>
  <c r="EC14" i="155"/>
  <c r="EB14" i="155"/>
  <c r="EA14" i="155"/>
  <c r="DE14" i="155"/>
  <c r="DD14" i="155" s="1"/>
  <c r="BK14" i="155"/>
  <c r="BJ14" i="155"/>
  <c r="BI14" i="155"/>
  <c r="BH14" i="155"/>
  <c r="AN14" i="155"/>
  <c r="AM14" i="155"/>
  <c r="Q14" i="155"/>
  <c r="P14" i="155"/>
  <c r="BS14" i="155" s="1"/>
  <c r="H14" i="155"/>
  <c r="G14" i="155"/>
  <c r="F14" i="155"/>
  <c r="E14" i="155"/>
  <c r="D14" i="155"/>
  <c r="C14" i="155"/>
  <c r="FA13" i="155"/>
  <c r="EZ13" i="155" s="1"/>
  <c r="EO13" i="155"/>
  <c r="EN13" i="155"/>
  <c r="EC13" i="155"/>
  <c r="EB13" i="155"/>
  <c r="EA13" i="155"/>
  <c r="DE13" i="155"/>
  <c r="DD13" i="155" s="1"/>
  <c r="BK13" i="155"/>
  <c r="BJ13" i="155"/>
  <c r="BI13" i="155"/>
  <c r="BH13" i="155"/>
  <c r="BL13" i="155" s="1"/>
  <c r="AN13" i="155"/>
  <c r="AM13" i="155"/>
  <c r="Q13" i="155"/>
  <c r="P13" i="155"/>
  <c r="BS13" i="155" s="1"/>
  <c r="H13" i="155"/>
  <c r="G13" i="155"/>
  <c r="F13" i="155"/>
  <c r="E13" i="155"/>
  <c r="D13" i="155"/>
  <c r="C13" i="155"/>
  <c r="FA12" i="155"/>
  <c r="EZ12" i="155" s="1"/>
  <c r="EO12" i="155"/>
  <c r="EN12" i="155"/>
  <c r="EC12" i="155"/>
  <c r="EW12" i="155" s="1"/>
  <c r="EB12" i="155"/>
  <c r="EA12" i="155"/>
  <c r="DE12" i="155"/>
  <c r="DD12" i="155" s="1"/>
  <c r="BK12" i="155"/>
  <c r="BJ12" i="155"/>
  <c r="BI12" i="155"/>
  <c r="BH12" i="155"/>
  <c r="BL12" i="155" s="1"/>
  <c r="AN12" i="155"/>
  <c r="AM12" i="155"/>
  <c r="Q12" i="155"/>
  <c r="P12" i="155"/>
  <c r="BS12" i="155" s="1"/>
  <c r="H12" i="155"/>
  <c r="AA12" i="155" s="1"/>
  <c r="AB12" i="155" s="1"/>
  <c r="AC12" i="155" s="1"/>
  <c r="G12" i="155"/>
  <c r="Z12" i="155" s="1"/>
  <c r="F12" i="155"/>
  <c r="Y12" i="155" s="1"/>
  <c r="E12" i="155"/>
  <c r="X12" i="155" s="1"/>
  <c r="D12" i="155"/>
  <c r="W12" i="155" s="1"/>
  <c r="C12" i="155"/>
  <c r="AM12" i="149" a="1"/>
  <c r="BL15" i="155" l="1"/>
  <c r="BL20" i="155"/>
  <c r="EM15" i="155"/>
  <c r="BS21" i="155"/>
  <c r="EM16" i="155"/>
  <c r="EM14" i="155"/>
  <c r="W17" i="155"/>
  <c r="AH17" i="155" s="1"/>
  <c r="EM13" i="155"/>
  <c r="R19" i="155"/>
  <c r="EU13" i="155"/>
  <c r="BM12" i="155"/>
  <c r="Y13" i="155"/>
  <c r="BM16" i="155"/>
  <c r="BO21" i="155"/>
  <c r="R17" i="155"/>
  <c r="BO12" i="155"/>
  <c r="AM12" i="149"/>
  <c r="DC22" i="155"/>
  <c r="R21" i="155"/>
  <c r="X22" i="155"/>
  <c r="Y22" i="155"/>
  <c r="EP15" i="155"/>
  <c r="W18" i="155"/>
  <c r="AH18" i="155" s="1"/>
  <c r="Z19" i="155"/>
  <c r="EP20" i="155"/>
  <c r="X18" i="155"/>
  <c r="AA19" i="155"/>
  <c r="AB19" i="155" s="1"/>
  <c r="AC19" i="155" s="1"/>
  <c r="O20" i="155"/>
  <c r="X17" i="155"/>
  <c r="Y18" i="155"/>
  <c r="BS19" i="155"/>
  <c r="BN21" i="155"/>
  <c r="Y19" i="155"/>
  <c r="R18" i="155"/>
  <c r="EM21" i="155"/>
  <c r="BL14" i="155"/>
  <c r="EP16" i="155"/>
  <c r="Z17" i="155"/>
  <c r="AA17" i="155"/>
  <c r="AB17" i="155" s="1"/>
  <c r="AC17" i="155" s="1"/>
  <c r="BS16" i="155"/>
  <c r="BO13" i="155"/>
  <c r="AA14" i="155"/>
  <c r="AB14" i="155" s="1"/>
  <c r="AC14" i="155" s="1"/>
  <c r="O12" i="155"/>
  <c r="Z22" i="155"/>
  <c r="BN12" i="155"/>
  <c r="O15" i="155"/>
  <c r="EP12" i="155"/>
  <c r="O13" i="155"/>
  <c r="BS15" i="155"/>
  <c r="EM20" i="155"/>
  <c r="AA22" i="155"/>
  <c r="AB22" i="155" s="1"/>
  <c r="AC22" i="155" s="1"/>
  <c r="EW17" i="155"/>
  <c r="EM12" i="155"/>
  <c r="BM18" i="155"/>
  <c r="O21" i="155"/>
  <c r="Y17" i="155"/>
  <c r="X13" i="155"/>
  <c r="BL16" i="155"/>
  <c r="EM19" i="155"/>
  <c r="EW20" i="155"/>
  <c r="EU12" i="155"/>
  <c r="Z13" i="155"/>
  <c r="BM13" i="155"/>
  <c r="EV14" i="155"/>
  <c r="EV15" i="155"/>
  <c r="EV17" i="155"/>
  <c r="EY17" i="155" s="1"/>
  <c r="BN18" i="155"/>
  <c r="EW22" i="155"/>
  <c r="AA13" i="155"/>
  <c r="AB13" i="155" s="1"/>
  <c r="AC13" i="155" s="1"/>
  <c r="X14" i="155"/>
  <c r="EW14" i="155"/>
  <c r="EW15" i="155"/>
  <c r="EU16" i="155"/>
  <c r="BO18" i="155"/>
  <c r="Y14" i="155"/>
  <c r="EU15" i="155"/>
  <c r="X20" i="155"/>
  <c r="BS17" i="155"/>
  <c r="BN13" i="155"/>
  <c r="EV13" i="155"/>
  <c r="Z14" i="155"/>
  <c r="EU14" i="155"/>
  <c r="Y20" i="155"/>
  <c r="CU22" i="155"/>
  <c r="BN19" i="155"/>
  <c r="EP19" i="155"/>
  <c r="Z20" i="155"/>
  <c r="EU20" i="155"/>
  <c r="EU21" i="155"/>
  <c r="R12" i="155"/>
  <c r="Y16" i="155"/>
  <c r="BL17" i="155"/>
  <c r="AA20" i="155"/>
  <c r="AB20" i="155" s="1"/>
  <c r="AC20" i="155" s="1"/>
  <c r="W14" i="155"/>
  <c r="AH14" i="155" s="1"/>
  <c r="BL18" i="155"/>
  <c r="BL22" i="155"/>
  <c r="FE22" i="155"/>
  <c r="BO17" i="155"/>
  <c r="BM15" i="155"/>
  <c r="BM19" i="155"/>
  <c r="X21" i="155"/>
  <c r="AH12" i="155"/>
  <c r="AO12" i="155"/>
  <c r="AX12" i="155" s="1"/>
  <c r="AL12" i="155"/>
  <c r="AU12" i="155" s="1"/>
  <c r="AK12" i="155"/>
  <c r="AT12" i="155" s="1"/>
  <c r="BL19" i="155"/>
  <c r="R13" i="155"/>
  <c r="EP21" i="155"/>
  <c r="BM17" i="155"/>
  <c r="EW18" i="155"/>
  <c r="EV18" i="155"/>
  <c r="EP18" i="155"/>
  <c r="AJ12" i="155"/>
  <c r="AS12" i="155" s="1"/>
  <c r="EP14" i="155"/>
  <c r="AV12" i="155"/>
  <c r="W21" i="155"/>
  <c r="BO19" i="155"/>
  <c r="Y21" i="155"/>
  <c r="AV17" i="155"/>
  <c r="AW17" i="155"/>
  <c r="AA15" i="155"/>
  <c r="AB15" i="155" s="1"/>
  <c r="AC15" i="155" s="1"/>
  <c r="Z15" i="155"/>
  <c r="Y15" i="155"/>
  <c r="BM20" i="155"/>
  <c r="R15" i="155"/>
  <c r="BN20" i="155"/>
  <c r="W15" i="155"/>
  <c r="EW16" i="155"/>
  <c r="W22" i="155"/>
  <c r="W20" i="155"/>
  <c r="CV22" i="155"/>
  <c r="AI12" i="155"/>
  <c r="BN17" i="155"/>
  <c r="AW12" i="155"/>
  <c r="EP13" i="155"/>
  <c r="EV16" i="155"/>
  <c r="BO20" i="155"/>
  <c r="AF22" i="155"/>
  <c r="BF22" i="155" s="1"/>
  <c r="AE22" i="155"/>
  <c r="O14" i="155"/>
  <c r="AG22" i="155"/>
  <c r="BG22" i="155" s="1"/>
  <c r="O16" i="155"/>
  <c r="AD22" i="155"/>
  <c r="X15" i="155"/>
  <c r="O18" i="155"/>
  <c r="AA18" i="155"/>
  <c r="AB18" i="155" s="1"/>
  <c r="AC18" i="155" s="1"/>
  <c r="Z18" i="155"/>
  <c r="CQ22" i="155"/>
  <c r="CS22" i="155"/>
  <c r="BO15" i="155"/>
  <c r="AA21" i="155"/>
  <c r="AB21" i="155" s="1"/>
  <c r="AC21" i="155" s="1"/>
  <c r="W13" i="155"/>
  <c r="EP22" i="155"/>
  <c r="BM22" i="155"/>
  <c r="BN22" i="155"/>
  <c r="O17" i="155"/>
  <c r="AW19" i="155"/>
  <c r="O19" i="155"/>
  <c r="EV22" i="155"/>
  <c r="BN16" i="155"/>
  <c r="EV19" i="155"/>
  <c r="EV20" i="155"/>
  <c r="Z16" i="155"/>
  <c r="EW19" i="155"/>
  <c r="BN14" i="155"/>
  <c r="EW13" i="155"/>
  <c r="Z21" i="155"/>
  <c r="CR22" i="155"/>
  <c r="R20" i="155"/>
  <c r="EV12" i="155"/>
  <c r="EY12" i="155" s="1"/>
  <c r="BS20" i="155"/>
  <c r="BL21" i="155"/>
  <c r="R16" i="155"/>
  <c r="BM21" i="155"/>
  <c r="BO22" i="155"/>
  <c r="W19" i="155"/>
  <c r="R14" i="155"/>
  <c r="X19" i="155"/>
  <c r="AA16" i="155"/>
  <c r="AB16" i="155" s="1"/>
  <c r="AC16" i="155" s="1"/>
  <c r="EP17" i="155"/>
  <c r="BS18" i="155"/>
  <c r="EV21" i="155"/>
  <c r="BN15" i="155"/>
  <c r="CT22" i="155"/>
  <c r="AV19" i="155"/>
  <c r="W16" i="155"/>
  <c r="X16" i="155"/>
  <c r="BM14" i="155"/>
  <c r="BO16" i="155"/>
  <c r="R22" i="155"/>
  <c r="BO14" i="155"/>
  <c r="EW21" i="155"/>
  <c r="FD22" i="155"/>
  <c r="FC22" i="155"/>
  <c r="FB22" i="155"/>
  <c r="AM17" i="149" a="1"/>
  <c r="AM18" i="149" a="1"/>
  <c r="H275" i="28" a="1"/>
  <c r="AM14" i="149" a="1"/>
  <c r="AM15" i="149" a="1"/>
  <c r="AM16" i="149" a="1"/>
  <c r="J187" i="28" a="1"/>
  <c r="AM20" i="149" a="1"/>
  <c r="G275" i="28" a="1"/>
  <c r="AM13" i="149" a="1"/>
  <c r="AM19" i="149" a="1"/>
  <c r="AM21" i="149" a="1"/>
  <c r="AM22" i="149" a="1"/>
  <c r="AV14" i="155" l="1"/>
  <c r="AM17" i="149"/>
  <c r="AJ18" i="155"/>
  <c r="AS18" i="155" s="1"/>
  <c r="AW14" i="155"/>
  <c r="EX22" i="155"/>
  <c r="FH22" i="155"/>
  <c r="J187" i="28"/>
  <c r="AM16" i="149"/>
  <c r="AM18" i="149"/>
  <c r="AM21" i="149"/>
  <c r="H275" i="28"/>
  <c r="AM14" i="149"/>
  <c r="AM13" i="149"/>
  <c r="AM19" i="149"/>
  <c r="AM20" i="149"/>
  <c r="AM22" i="149"/>
  <c r="G275" i="28"/>
  <c r="AM15" i="149"/>
  <c r="AJ14" i="155"/>
  <c r="AS14" i="155" s="1"/>
  <c r="EY21" i="155"/>
  <c r="AV21" i="155"/>
  <c r="EY18" i="155"/>
  <c r="FI22" i="155"/>
  <c r="AW18" i="155"/>
  <c r="AV18" i="155"/>
  <c r="CW22" i="155"/>
  <c r="EY14" i="155"/>
  <c r="CX22" i="155"/>
  <c r="CY22" i="155" s="1"/>
  <c r="EY19" i="155"/>
  <c r="AH20" i="155"/>
  <c r="AW20" i="155"/>
  <c r="AH21" i="155"/>
  <c r="AJ21" i="155" s="1"/>
  <c r="AR12" i="155"/>
  <c r="AP12" i="155"/>
  <c r="AY12" i="155" s="1"/>
  <c r="AH22" i="155"/>
  <c r="BD22" i="155"/>
  <c r="AW22" i="155"/>
  <c r="AV22" i="155"/>
  <c r="EY20" i="155"/>
  <c r="AV20" i="155"/>
  <c r="FF22" i="155"/>
  <c r="AH16" i="155"/>
  <c r="AJ16" i="155" s="1"/>
  <c r="AS16" i="155" s="1"/>
  <c r="AW16" i="155"/>
  <c r="AV16" i="155"/>
  <c r="AH15" i="155"/>
  <c r="AV15" i="155"/>
  <c r="AW15" i="155"/>
  <c r="FG22" i="155"/>
  <c r="AW21" i="155"/>
  <c r="AJ17" i="155"/>
  <c r="AK17" i="155" s="1"/>
  <c r="CZ22" i="155"/>
  <c r="BP22" i="155"/>
  <c r="BR22" i="155" s="1"/>
  <c r="BE22" i="155"/>
  <c r="EY22" i="155"/>
  <c r="AH19" i="155"/>
  <c r="AJ19" i="155" s="1"/>
  <c r="AS19" i="155" s="1"/>
  <c r="EY16" i="155"/>
  <c r="AH13" i="155"/>
  <c r="AJ13" i="155" s="1"/>
  <c r="AW13" i="155"/>
  <c r="AV13" i="155"/>
  <c r="EY15" i="155"/>
  <c r="EY13" i="155"/>
  <c r="AK18" i="155" l="1"/>
  <c r="AK14" i="155"/>
  <c r="AJ22" i="155"/>
  <c r="AS22" i="155" s="1"/>
  <c r="AS13" i="155"/>
  <c r="AK13" i="155"/>
  <c r="AT13" i="155" s="1"/>
  <c r="AT17" i="155"/>
  <c r="AS21" i="155"/>
  <c r="AT14" i="155"/>
  <c r="AK21" i="155"/>
  <c r="AT21" i="155" s="1"/>
  <c r="BQ22" i="155"/>
  <c r="AK16" i="155"/>
  <c r="AS17" i="155"/>
  <c r="AL17" i="155"/>
  <c r="AU17" i="155" s="1"/>
  <c r="AJ15" i="155"/>
  <c r="AS15" i="155" s="1"/>
  <c r="AJ20" i="155"/>
  <c r="AK19" i="155"/>
  <c r="AL14" i="155"/>
  <c r="AU14" i="155" s="1"/>
  <c r="AT18" i="155" l="1"/>
  <c r="AL18" i="155"/>
  <c r="AO17" i="155"/>
  <c r="AX17" i="155" s="1"/>
  <c r="AK22" i="155"/>
  <c r="AL16" i="155"/>
  <c r="AU16" i="155" s="1"/>
  <c r="AL22" i="155"/>
  <c r="AU22" i="155" s="1"/>
  <c r="AT19" i="155"/>
  <c r="AS20" i="155"/>
  <c r="AK20" i="155"/>
  <c r="AT20" i="155" s="1"/>
  <c r="AI17" i="155"/>
  <c r="AL19" i="155"/>
  <c r="AU19" i="155" s="1"/>
  <c r="AL21" i="155"/>
  <c r="AO14" i="155"/>
  <c r="AX14" i="155" s="1"/>
  <c r="AT16" i="155"/>
  <c r="AK15" i="155"/>
  <c r="AL13" i="155"/>
  <c r="AO13" i="155" s="1"/>
  <c r="AX13" i="155" s="1"/>
  <c r="AU18" i="155" l="1"/>
  <c r="AO18" i="155"/>
  <c r="AX18" i="155" s="1"/>
  <c r="AI18" i="155"/>
  <c r="AO22" i="155"/>
  <c r="AX22" i="155" s="1"/>
  <c r="AO16" i="155"/>
  <c r="AX16" i="155" s="1"/>
  <c r="AT22" i="155"/>
  <c r="AU21" i="155"/>
  <c r="AI14" i="155"/>
  <c r="AT15" i="155"/>
  <c r="AL15" i="155"/>
  <c r="AR17" i="155"/>
  <c r="AP17" i="155"/>
  <c r="AY17" i="155" s="1"/>
  <c r="AO21" i="155"/>
  <c r="AX21" i="155" s="1"/>
  <c r="AO19" i="155"/>
  <c r="AX19" i="155" s="1"/>
  <c r="AL20" i="155"/>
  <c r="AU20" i="155" s="1"/>
  <c r="AU13" i="155"/>
  <c r="AI13" i="155"/>
  <c r="AR18" i="155" l="1"/>
  <c r="AP18" i="155"/>
  <c r="AY18" i="155" s="1"/>
  <c r="AI16" i="155"/>
  <c r="AP16" i="155" s="1"/>
  <c r="AY16" i="155" s="1"/>
  <c r="AI22" i="155"/>
  <c r="AR13" i="155"/>
  <c r="AP13" i="155"/>
  <c r="AY13" i="155" s="1"/>
  <c r="AU15" i="155"/>
  <c r="AR14" i="155"/>
  <c r="AP14" i="155"/>
  <c r="AY14" i="155" s="1"/>
  <c r="AO15" i="155"/>
  <c r="AX15" i="155" s="1"/>
  <c r="AI19" i="155"/>
  <c r="AO20" i="155"/>
  <c r="AX20" i="155" s="1"/>
  <c r="AI21" i="155"/>
  <c r="AR16" i="155" l="1"/>
  <c r="AP22" i="155"/>
  <c r="AY22" i="155" s="1"/>
  <c r="AR22" i="155"/>
  <c r="AR21" i="155"/>
  <c r="AP21" i="155"/>
  <c r="AY21" i="155" s="1"/>
  <c r="AI20" i="155"/>
  <c r="AR19" i="155"/>
  <c r="AP19" i="155"/>
  <c r="AY19" i="155" s="1"/>
  <c r="AI15" i="155"/>
  <c r="AP15" i="155" l="1"/>
  <c r="AY15" i="155" s="1"/>
  <c r="AR15" i="155"/>
  <c r="AP20" i="155"/>
  <c r="AY20" i="155" s="1"/>
  <c r="AR20" i="155"/>
  <c r="FA22" i="153" l="1"/>
  <c r="EZ22" i="153" s="1"/>
  <c r="ET22" i="153"/>
  <c r="ES22" i="153"/>
  <c r="ER22" i="153"/>
  <c r="EQ22" i="153"/>
  <c r="EO22" i="153"/>
  <c r="EN22" i="153"/>
  <c r="EL22" i="153"/>
  <c r="EK22" i="153"/>
  <c r="EJ22" i="153"/>
  <c r="EI22" i="153"/>
  <c r="EG22" i="153"/>
  <c r="EF22" i="153"/>
  <c r="EE22" i="153"/>
  <c r="ED22" i="153"/>
  <c r="EC22" i="153"/>
  <c r="EB22" i="153"/>
  <c r="EA22" i="153"/>
  <c r="DE22" i="153"/>
  <c r="DD22" i="153" s="1"/>
  <c r="DB22" i="153"/>
  <c r="DA22" i="153"/>
  <c r="CN22" i="153"/>
  <c r="CM22" i="153"/>
  <c r="CL22" i="153"/>
  <c r="CK22" i="153"/>
  <c r="BK22" i="153"/>
  <c r="BJ22" i="153"/>
  <c r="BI22" i="153"/>
  <c r="BH22" i="153"/>
  <c r="AN22" i="153"/>
  <c r="V22" i="153"/>
  <c r="U22" i="153"/>
  <c r="T22" i="153"/>
  <c r="S22" i="153"/>
  <c r="Q22" i="153"/>
  <c r="P22" i="153"/>
  <c r="N22" i="153"/>
  <c r="M22" i="153"/>
  <c r="L22" i="153"/>
  <c r="K22" i="153"/>
  <c r="I22" i="153"/>
  <c r="H22" i="153"/>
  <c r="G22" i="153"/>
  <c r="F22" i="153"/>
  <c r="E22" i="153"/>
  <c r="D22" i="153"/>
  <c r="C22" i="153"/>
  <c r="FA21" i="153"/>
  <c r="EZ21" i="153" s="1"/>
  <c r="EO21" i="153"/>
  <c r="EN21" i="153"/>
  <c r="EG21" i="153"/>
  <c r="EF21" i="153"/>
  <c r="EE21" i="153"/>
  <c r="ED21" i="153"/>
  <c r="EC21" i="153"/>
  <c r="EB21" i="153"/>
  <c r="EA21" i="153"/>
  <c r="DE21" i="153"/>
  <c r="DD21" i="153" s="1"/>
  <c r="BK21" i="153"/>
  <c r="BJ21" i="153"/>
  <c r="BI21" i="153"/>
  <c r="BH21" i="153"/>
  <c r="BL21" i="153" s="1"/>
  <c r="AN21" i="153"/>
  <c r="Q21" i="153"/>
  <c r="P21" i="153"/>
  <c r="BS21" i="153" s="1"/>
  <c r="I21" i="153"/>
  <c r="H21" i="153"/>
  <c r="G21" i="153"/>
  <c r="F21" i="153"/>
  <c r="E21" i="153"/>
  <c r="D21" i="153"/>
  <c r="C21" i="153"/>
  <c r="O21" i="153" s="1"/>
  <c r="FA20" i="153"/>
  <c r="EZ20" i="153"/>
  <c r="EO20" i="153"/>
  <c r="EN20" i="153"/>
  <c r="EG20" i="153"/>
  <c r="EF20" i="153"/>
  <c r="EE20" i="153"/>
  <c r="ED20" i="153"/>
  <c r="EC20" i="153"/>
  <c r="EB20" i="153"/>
  <c r="EA20" i="153"/>
  <c r="DE20" i="153"/>
  <c r="DD20" i="153" s="1"/>
  <c r="BK20" i="153"/>
  <c r="BJ20" i="153"/>
  <c r="BI20" i="153"/>
  <c r="BH20" i="153"/>
  <c r="AN20" i="153"/>
  <c r="Q20" i="153"/>
  <c r="P20" i="153"/>
  <c r="I20" i="153"/>
  <c r="H20" i="153"/>
  <c r="G20" i="153"/>
  <c r="F20" i="153"/>
  <c r="E20" i="153"/>
  <c r="D20" i="153"/>
  <c r="C20" i="153"/>
  <c r="FA19" i="153"/>
  <c r="EZ19" i="153" s="1"/>
  <c r="EO19" i="153"/>
  <c r="EN19" i="153"/>
  <c r="EG19" i="153"/>
  <c r="EF19" i="153"/>
  <c r="EE19" i="153"/>
  <c r="ED19" i="153"/>
  <c r="EC19" i="153"/>
  <c r="EB19" i="153"/>
  <c r="EA19" i="153"/>
  <c r="DE19" i="153"/>
  <c r="DD19" i="153" s="1"/>
  <c r="BK19" i="153"/>
  <c r="BJ19" i="153"/>
  <c r="BI19" i="153"/>
  <c r="BH19" i="153"/>
  <c r="BL19" i="153" s="1"/>
  <c r="AN19" i="153"/>
  <c r="Q19" i="153"/>
  <c r="P19" i="153"/>
  <c r="I19" i="153"/>
  <c r="H19" i="153"/>
  <c r="G19" i="153"/>
  <c r="F19" i="153"/>
  <c r="E19" i="153"/>
  <c r="D19" i="153"/>
  <c r="C19" i="153"/>
  <c r="FA18" i="153"/>
  <c r="EZ18" i="153" s="1"/>
  <c r="EO18" i="153"/>
  <c r="EN18" i="153"/>
  <c r="EU18" i="153" s="1"/>
  <c r="EG18" i="153"/>
  <c r="EF18" i="153"/>
  <c r="EE18" i="153"/>
  <c r="ED18" i="153"/>
  <c r="EC18" i="153"/>
  <c r="EB18" i="153"/>
  <c r="EA18" i="153"/>
  <c r="DE18" i="153"/>
  <c r="DD18" i="153" s="1"/>
  <c r="BK18" i="153"/>
  <c r="BJ18" i="153"/>
  <c r="BI18" i="153"/>
  <c r="BH18" i="153"/>
  <c r="AN18" i="153"/>
  <c r="Q18" i="153"/>
  <c r="P18" i="153"/>
  <c r="I18" i="153"/>
  <c r="H18" i="153"/>
  <c r="G18" i="153"/>
  <c r="F18" i="153"/>
  <c r="E18" i="153"/>
  <c r="D18" i="153"/>
  <c r="C18" i="153"/>
  <c r="FA17" i="153"/>
  <c r="EZ17" i="153" s="1"/>
  <c r="EO17" i="153"/>
  <c r="EN17" i="153"/>
  <c r="EG17" i="153"/>
  <c r="EF17" i="153"/>
  <c r="EE17" i="153"/>
  <c r="ED17" i="153"/>
  <c r="EC17" i="153"/>
  <c r="EB17" i="153"/>
  <c r="EA17" i="153"/>
  <c r="DE17" i="153"/>
  <c r="DD17" i="153" s="1"/>
  <c r="BK17" i="153"/>
  <c r="BJ17" i="153"/>
  <c r="BI17" i="153"/>
  <c r="BH17" i="153"/>
  <c r="AN17" i="153"/>
  <c r="Q17" i="153"/>
  <c r="P17" i="153"/>
  <c r="I17" i="153"/>
  <c r="H17" i="153"/>
  <c r="G17" i="153"/>
  <c r="F17" i="153"/>
  <c r="E17" i="153"/>
  <c r="D17" i="153"/>
  <c r="C17" i="153"/>
  <c r="FA16" i="153"/>
  <c r="EZ16" i="153" s="1"/>
  <c r="EO16" i="153"/>
  <c r="EN16" i="153"/>
  <c r="EU16" i="153" s="1"/>
  <c r="EG16" i="153"/>
  <c r="EF16" i="153"/>
  <c r="EE16" i="153"/>
  <c r="ED16" i="153"/>
  <c r="EC16" i="153"/>
  <c r="EB16" i="153"/>
  <c r="EA16" i="153"/>
  <c r="DE16" i="153"/>
  <c r="DD16" i="153" s="1"/>
  <c r="BK16" i="153"/>
  <c r="BJ16" i="153"/>
  <c r="BI16" i="153"/>
  <c r="BH16" i="153"/>
  <c r="AN16" i="153"/>
  <c r="Q16" i="153"/>
  <c r="P16" i="153"/>
  <c r="I16" i="153"/>
  <c r="H16" i="153"/>
  <c r="G16" i="153"/>
  <c r="F16" i="153"/>
  <c r="E16" i="153"/>
  <c r="D16" i="153"/>
  <c r="C16" i="153"/>
  <c r="FA15" i="153"/>
  <c r="EZ15" i="153" s="1"/>
  <c r="EO15" i="153"/>
  <c r="EN15" i="153"/>
  <c r="EU15" i="153" s="1"/>
  <c r="EG15" i="153"/>
  <c r="EF15" i="153"/>
  <c r="EE15" i="153"/>
  <c r="ED15" i="153"/>
  <c r="EC15" i="153"/>
  <c r="EB15" i="153"/>
  <c r="EA15" i="153"/>
  <c r="DE15" i="153"/>
  <c r="DD15" i="153" s="1"/>
  <c r="BK15" i="153"/>
  <c r="BJ15" i="153"/>
  <c r="BI15" i="153"/>
  <c r="BH15" i="153"/>
  <c r="AN15" i="153"/>
  <c r="Q15" i="153"/>
  <c r="P15" i="153"/>
  <c r="I15" i="153"/>
  <c r="H15" i="153"/>
  <c r="G15" i="153"/>
  <c r="F15" i="153"/>
  <c r="E15" i="153"/>
  <c r="D15" i="153"/>
  <c r="C15" i="153"/>
  <c r="FA14" i="153"/>
  <c r="EZ14" i="153" s="1"/>
  <c r="EO14" i="153"/>
  <c r="EN14" i="153"/>
  <c r="EG14" i="153"/>
  <c r="EF14" i="153"/>
  <c r="EE14" i="153"/>
  <c r="ED14" i="153"/>
  <c r="EC14" i="153"/>
  <c r="EB14" i="153"/>
  <c r="EA14" i="153"/>
  <c r="DE14" i="153"/>
  <c r="DD14" i="153" s="1"/>
  <c r="BK14" i="153"/>
  <c r="BJ14" i="153"/>
  <c r="BI14" i="153"/>
  <c r="BH14" i="153"/>
  <c r="AN14" i="153"/>
  <c r="Q14" i="153"/>
  <c r="P14" i="153"/>
  <c r="I14" i="153"/>
  <c r="H14" i="153"/>
  <c r="G14" i="153"/>
  <c r="F14" i="153"/>
  <c r="E14" i="153"/>
  <c r="D14" i="153"/>
  <c r="C14" i="153"/>
  <c r="FA13" i="153"/>
  <c r="EZ13" i="153"/>
  <c r="EO13" i="153"/>
  <c r="EN13" i="153"/>
  <c r="EG13" i="153"/>
  <c r="EF13" i="153"/>
  <c r="EE13" i="153"/>
  <c r="ED13" i="153"/>
  <c r="EC13" i="153"/>
  <c r="EB13" i="153"/>
  <c r="EA13" i="153"/>
  <c r="DE13" i="153"/>
  <c r="DD13" i="153" s="1"/>
  <c r="BK13" i="153"/>
  <c r="BJ13" i="153"/>
  <c r="BI13" i="153"/>
  <c r="BH13" i="153"/>
  <c r="AN13" i="153"/>
  <c r="Q13" i="153"/>
  <c r="P13" i="153"/>
  <c r="I13" i="153"/>
  <c r="H13" i="153"/>
  <c r="G13" i="153"/>
  <c r="F13" i="153"/>
  <c r="E13" i="153"/>
  <c r="D13" i="153"/>
  <c r="C13" i="153"/>
  <c r="FA12" i="153"/>
  <c r="EZ12" i="153"/>
  <c r="EO12" i="153"/>
  <c r="EN12" i="153"/>
  <c r="EG12" i="153"/>
  <c r="EF12" i="153"/>
  <c r="EE12" i="153"/>
  <c r="ED12" i="153"/>
  <c r="EC12" i="153"/>
  <c r="EB12" i="153"/>
  <c r="EA12" i="153"/>
  <c r="DE12" i="153"/>
  <c r="DD12" i="153" s="1"/>
  <c r="BK12" i="153"/>
  <c r="BJ12" i="153"/>
  <c r="BI12" i="153"/>
  <c r="BH12" i="153"/>
  <c r="AN12" i="153"/>
  <c r="Q12" i="153"/>
  <c r="P12" i="153"/>
  <c r="I12" i="153"/>
  <c r="H12" i="153"/>
  <c r="G12" i="153"/>
  <c r="F12" i="153"/>
  <c r="E12" i="153"/>
  <c r="D12" i="153"/>
  <c r="C12" i="153"/>
  <c r="Q15" i="154" a="1"/>
  <c r="U18" i="154" a="1"/>
  <c r="T18" i="154" a="1"/>
  <c r="Q18" i="154" a="1"/>
  <c r="O18" i="154" a="1"/>
  <c r="S15" i="154" a="1"/>
  <c r="S18" i="154" a="1"/>
  <c r="R15" i="154" a="1"/>
  <c r="U15" i="154" a="1"/>
  <c r="O15" i="154" a="1"/>
  <c r="T15" i="154" a="1"/>
  <c r="R18" i="154" a="1"/>
  <c r="AF22" i="153" l="1"/>
  <c r="BF22" i="153" s="1"/>
  <c r="EM16" i="153"/>
  <c r="AG22" i="153"/>
  <c r="BG22" i="153" s="1"/>
  <c r="O13" i="153"/>
  <c r="EM15" i="153"/>
  <c r="EM17" i="153"/>
  <c r="O12" i="153"/>
  <c r="O15" i="153"/>
  <c r="O16" i="153"/>
  <c r="O18" i="153"/>
  <c r="O17" i="153"/>
  <c r="O20" i="153"/>
  <c r="O14" i="153"/>
  <c r="R22" i="153"/>
  <c r="EM18" i="153"/>
  <c r="R19" i="153"/>
  <c r="EM19" i="153"/>
  <c r="BN18" i="153"/>
  <c r="BO16" i="153"/>
  <c r="AA19" i="153"/>
  <c r="R14" i="153"/>
  <c r="X19" i="153"/>
  <c r="EP12" i="153"/>
  <c r="EV12" i="153"/>
  <c r="EW12" i="153"/>
  <c r="BN20" i="153"/>
  <c r="EW20" i="153"/>
  <c r="EM21" i="153"/>
  <c r="BO18" i="153"/>
  <c r="DC22" i="153"/>
  <c r="Z13" i="153"/>
  <c r="EV20" i="153"/>
  <c r="Y13" i="153"/>
  <c r="W16" i="153"/>
  <c r="AW16" i="153" s="1"/>
  <c r="AA13" i="153"/>
  <c r="X15" i="153"/>
  <c r="X16" i="153"/>
  <c r="CP22" i="153"/>
  <c r="CQ22" i="153" s="1"/>
  <c r="AA15" i="153"/>
  <c r="Y16" i="153"/>
  <c r="R21" i="153"/>
  <c r="Z16" i="153"/>
  <c r="EU20" i="153"/>
  <c r="AA14" i="153"/>
  <c r="AA16" i="153"/>
  <c r="EP13" i="153"/>
  <c r="EW19" i="153"/>
  <c r="BN12" i="153"/>
  <c r="R13" i="153"/>
  <c r="BS16" i="153"/>
  <c r="FE22" i="153"/>
  <c r="FI22" i="153" s="1"/>
  <c r="AA18" i="153"/>
  <c r="EM13" i="153"/>
  <c r="AB18" i="153"/>
  <c r="AC18" i="153" s="1"/>
  <c r="Z19" i="153"/>
  <c r="AB15" i="153"/>
  <c r="AC15" i="153" s="1"/>
  <c r="Y19" i="153"/>
  <c r="W21" i="153"/>
  <c r="AH21" i="153" s="1"/>
  <c r="AJ21" i="153" s="1"/>
  <c r="AS21" i="153" s="1"/>
  <c r="W13" i="153"/>
  <c r="AH13" i="153" s="1"/>
  <c r="AB13" i="153"/>
  <c r="AC13" i="153" s="1"/>
  <c r="Z15" i="153"/>
  <c r="BS15" i="153"/>
  <c r="BS17" i="153"/>
  <c r="X21" i="153"/>
  <c r="Y15" i="153"/>
  <c r="EM12" i="153"/>
  <c r="BO13" i="153"/>
  <c r="EP21" i="153"/>
  <c r="BS18" i="153"/>
  <c r="BL17" i="153"/>
  <c r="W22" i="153"/>
  <c r="BD22" i="153" s="1"/>
  <c r="X13" i="153"/>
  <c r="BN22" i="153"/>
  <c r="BN14" i="153"/>
  <c r="EM14" i="153"/>
  <c r="BL18" i="153"/>
  <c r="X22" i="153"/>
  <c r="Y14" i="153"/>
  <c r="BS14" i="153"/>
  <c r="AB16" i="153"/>
  <c r="AC16" i="153" s="1"/>
  <c r="EU21" i="153"/>
  <c r="BM18" i="153"/>
  <c r="CO22" i="153"/>
  <c r="BM17" i="153"/>
  <c r="EV21" i="153"/>
  <c r="CS22" i="153"/>
  <c r="BS13" i="153"/>
  <c r="BO14" i="153"/>
  <c r="W15" i="153"/>
  <c r="R15" i="153"/>
  <c r="BM15" i="153"/>
  <c r="EW15" i="153"/>
  <c r="EP16" i="153"/>
  <c r="BN17" i="153"/>
  <c r="X18" i="153"/>
  <c r="EV18" i="153"/>
  <c r="EP18" i="153"/>
  <c r="BO19" i="153"/>
  <c r="Y21" i="153"/>
  <c r="BM21" i="153"/>
  <c r="EW21" i="153"/>
  <c r="AB22" i="153"/>
  <c r="AC22" i="153" s="1"/>
  <c r="CR22" i="153"/>
  <c r="EP22" i="153"/>
  <c r="EP15" i="153"/>
  <c r="W18" i="153"/>
  <c r="AH18" i="153" s="1"/>
  <c r="EP20" i="153"/>
  <c r="BN15" i="153"/>
  <c r="R16" i="153"/>
  <c r="EV16" i="153"/>
  <c r="BO17" i="153"/>
  <c r="Y18" i="153"/>
  <c r="EW18" i="153"/>
  <c r="BL20" i="153"/>
  <c r="Z21" i="153"/>
  <c r="BN21" i="153"/>
  <c r="AD22" i="153"/>
  <c r="BE22" i="153" s="1"/>
  <c r="CV22" i="153"/>
  <c r="Y12" i="153"/>
  <c r="BO15" i="153"/>
  <c r="EW16" i="153"/>
  <c r="EV17" i="153"/>
  <c r="Z18" i="153"/>
  <c r="BS19" i="153"/>
  <c r="BM20" i="153"/>
  <c r="AA21" i="153"/>
  <c r="AE22" i="153"/>
  <c r="BM22" i="153"/>
  <c r="Z22" i="153"/>
  <c r="BO12" i="153"/>
  <c r="R18" i="153"/>
  <c r="EU14" i="153"/>
  <c r="BL16" i="153"/>
  <c r="EW17" i="153"/>
  <c r="AB21" i="153"/>
  <c r="AC21" i="153" s="1"/>
  <c r="BO21" i="153"/>
  <c r="AA22" i="153"/>
  <c r="BL13" i="153"/>
  <c r="BL14" i="153"/>
  <c r="BL12" i="153"/>
  <c r="EU12" i="153"/>
  <c r="BM13" i="153"/>
  <c r="EV13" i="153"/>
  <c r="Z14" i="153"/>
  <c r="BM14" i="153"/>
  <c r="EW14" i="153"/>
  <c r="BM16" i="153"/>
  <c r="AA17" i="153"/>
  <c r="W19" i="153"/>
  <c r="AW19" i="153" s="1"/>
  <c r="EU19" i="153"/>
  <c r="BO20" i="153"/>
  <c r="BO22" i="153"/>
  <c r="EM20" i="153"/>
  <c r="FC22" i="153"/>
  <c r="EV15" i="153"/>
  <c r="BM12" i="153"/>
  <c r="BN13" i="153"/>
  <c r="EW13" i="153"/>
  <c r="EU13" i="153"/>
  <c r="BN16" i="153"/>
  <c r="EV19" i="153"/>
  <c r="Y22" i="153"/>
  <c r="BS12" i="153"/>
  <c r="FD22" i="153"/>
  <c r="FH22" i="153" s="1"/>
  <c r="Q18" i="154"/>
  <c r="S18" i="154"/>
  <c r="S15" i="154"/>
  <c r="R18" i="154"/>
  <c r="T18" i="154"/>
  <c r="U18" i="154"/>
  <c r="Q15" i="154"/>
  <c r="O15" i="154"/>
  <c r="R15" i="154"/>
  <c r="T15" i="154"/>
  <c r="U15" i="154"/>
  <c r="O18" i="154"/>
  <c r="R20" i="153"/>
  <c r="EP17" i="153"/>
  <c r="W20" i="153"/>
  <c r="R12" i="153"/>
  <c r="EU17" i="153"/>
  <c r="X20" i="153"/>
  <c r="BL22" i="153"/>
  <c r="Y20" i="153"/>
  <c r="CT22" i="153"/>
  <c r="EP14" i="153"/>
  <c r="W17" i="153"/>
  <c r="Z20" i="153"/>
  <c r="CU22" i="153"/>
  <c r="R17" i="153"/>
  <c r="X17" i="153"/>
  <c r="AA20" i="153"/>
  <c r="EV14" i="153"/>
  <c r="O19" i="153"/>
  <c r="AB20" i="153"/>
  <c r="AC20" i="153" s="1"/>
  <c r="AA12" i="153"/>
  <c r="EP19" i="153"/>
  <c r="Y17" i="153"/>
  <c r="W14" i="153"/>
  <c r="Z17" i="153"/>
  <c r="X14" i="153"/>
  <c r="AB17" i="153"/>
  <c r="AC17" i="153" s="1"/>
  <c r="BS20" i="153"/>
  <c r="EV22" i="153"/>
  <c r="BL15" i="153"/>
  <c r="EW22" i="153"/>
  <c r="AB12" i="153"/>
  <c r="AC12" i="153" s="1"/>
  <c r="X12" i="153"/>
  <c r="AB14" i="153"/>
  <c r="AC14" i="153" s="1"/>
  <c r="BM19" i="153"/>
  <c r="FB22" i="153"/>
  <c r="W12" i="153"/>
  <c r="AB19" i="153"/>
  <c r="AC19" i="153" s="1"/>
  <c r="BN19" i="153"/>
  <c r="Z12" i="153"/>
  <c r="AM12" i="152" a="1"/>
  <c r="AM13" i="152" a="1"/>
  <c r="AM21" i="152" a="1"/>
  <c r="AM20" i="152" a="1"/>
  <c r="J189" i="28" a="1"/>
  <c r="AM18" i="152" a="1"/>
  <c r="G280" i="28" a="1"/>
  <c r="AM14" i="152" a="1"/>
  <c r="AM15" i="152" a="1"/>
  <c r="AM22" i="152" a="1"/>
  <c r="AM16" i="152" a="1"/>
  <c r="H280" i="28" a="1"/>
  <c r="AM17" i="152" a="1"/>
  <c r="AM19" i="152" a="1"/>
  <c r="FF22" i="153" l="1"/>
  <c r="CX22" i="153"/>
  <c r="AW22" i="153"/>
  <c r="AH22" i="153"/>
  <c r="EX22" i="153"/>
  <c r="AW21" i="153"/>
  <c r="EY16" i="153"/>
  <c r="AW13" i="153"/>
  <c r="AJ13" i="153"/>
  <c r="AS13" i="153" s="1"/>
  <c r="AK13" i="153"/>
  <c r="AT13" i="153" s="1"/>
  <c r="EY21" i="153"/>
  <c r="AM12" i="152"/>
  <c r="AM18" i="152"/>
  <c r="J189" i="28"/>
  <c r="AM19" i="152"/>
  <c r="AM13" i="152"/>
  <c r="AM17" i="152"/>
  <c r="H280" i="28"/>
  <c r="AM21" i="152"/>
  <c r="AM20" i="152"/>
  <c r="AM15" i="152"/>
  <c r="AM16" i="152"/>
  <c r="AM14" i="152"/>
  <c r="AM22" i="152"/>
  <c r="G280" i="28"/>
  <c r="EY12" i="153"/>
  <c r="EY17" i="153"/>
  <c r="EY19" i="153"/>
  <c r="AW18" i="153"/>
  <c r="EY13" i="153"/>
  <c r="CW22" i="153"/>
  <c r="EY22" i="153"/>
  <c r="BP22" i="153"/>
  <c r="BQ22" i="153" s="1"/>
  <c r="AW20" i="153"/>
  <c r="EY18" i="153"/>
  <c r="AH19" i="153"/>
  <c r="AJ19" i="153" s="1"/>
  <c r="AJ22" i="153"/>
  <c r="AW15" i="153"/>
  <c r="AH16" i="153"/>
  <c r="AJ16" i="153" s="1"/>
  <c r="EY15" i="153"/>
  <c r="AW12" i="153"/>
  <c r="FG22" i="153"/>
  <c r="AH15" i="153"/>
  <c r="AJ15" i="153" s="1"/>
  <c r="AS15" i="153" s="1"/>
  <c r="AS19" i="153"/>
  <c r="AS16" i="153"/>
  <c r="AK16" i="153"/>
  <c r="AT16" i="153" s="1"/>
  <c r="BR22" i="153"/>
  <c r="CZ22" i="153"/>
  <c r="AH14" i="153"/>
  <c r="AW14" i="153"/>
  <c r="AH20" i="153"/>
  <c r="EY20" i="153"/>
  <c r="AK21" i="153"/>
  <c r="AL21" i="153" s="1"/>
  <c r="AU21" i="153" s="1"/>
  <c r="AJ18" i="153"/>
  <c r="CY22" i="153"/>
  <c r="AH17" i="153"/>
  <c r="AW17" i="153"/>
  <c r="EY14" i="153"/>
  <c r="AO12" i="153"/>
  <c r="AX12" i="153" s="1"/>
  <c r="AM12" i="153"/>
  <c r="AV12" i="153" s="1"/>
  <c r="AL12" i="153"/>
  <c r="AU12" i="153" s="1"/>
  <c r="AJ12" i="153"/>
  <c r="AS12" i="153" s="1"/>
  <c r="AH12" i="153"/>
  <c r="AK12" i="153"/>
  <c r="AT12" i="153" s="1"/>
  <c r="AI12" i="153"/>
  <c r="AK18" i="153"/>
  <c r="AT18" i="153" s="1"/>
  <c r="AL13" i="153" l="1"/>
  <c r="AU13" i="153" s="1"/>
  <c r="AL16" i="153"/>
  <c r="AU16" i="153" s="1"/>
  <c r="AK19" i="153"/>
  <c r="AT19" i="153" s="1"/>
  <c r="AS22" i="153"/>
  <c r="AK22" i="153"/>
  <c r="AL18" i="153"/>
  <c r="AU18" i="153" s="1"/>
  <c r="AJ14" i="153"/>
  <c r="AS14" i="153" s="1"/>
  <c r="AR12" i="153"/>
  <c r="AP12" i="153"/>
  <c r="AY12" i="153" s="1"/>
  <c r="AM16" i="153"/>
  <c r="AV16" i="153" s="1"/>
  <c r="AM21" i="153"/>
  <c r="AV21" i="153" s="1"/>
  <c r="AS18" i="153"/>
  <c r="AM18" i="153"/>
  <c r="AV18" i="153" s="1"/>
  <c r="AT21" i="153"/>
  <c r="AJ20" i="153"/>
  <c r="AS20" i="153" s="1"/>
  <c r="AJ17" i="153"/>
  <c r="AM13" i="153"/>
  <c r="AV13" i="153" s="1"/>
  <c r="AK15" i="153"/>
  <c r="AK14" i="153" l="1"/>
  <c r="AT14" i="153" s="1"/>
  <c r="AT22" i="153"/>
  <c r="AL22" i="153"/>
  <c r="AU22" i="153" s="1"/>
  <c r="AK20" i="153"/>
  <c r="AT20" i="153" s="1"/>
  <c r="AL19" i="153"/>
  <c r="AO21" i="153"/>
  <c r="AS17" i="153"/>
  <c r="AO18" i="153"/>
  <c r="AX18" i="153" s="1"/>
  <c r="AL20" i="153"/>
  <c r="AU20" i="153" s="1"/>
  <c r="AO16" i="153"/>
  <c r="AX16" i="153" s="1"/>
  <c r="AO13" i="153"/>
  <c r="AL14" i="153"/>
  <c r="AT15" i="153"/>
  <c r="AL15" i="153"/>
  <c r="AU15" i="153" s="1"/>
  <c r="AK17" i="153"/>
  <c r="AT17" i="153" s="1"/>
  <c r="AM22" i="153" l="1"/>
  <c r="AV22" i="153" s="1"/>
  <c r="AM15" i="153"/>
  <c r="AV15" i="153" s="1"/>
  <c r="AU19" i="153"/>
  <c r="AM19" i="153"/>
  <c r="AO22" i="153"/>
  <c r="AX22" i="153" s="1"/>
  <c r="AL17" i="153"/>
  <c r="AU17" i="153" s="1"/>
  <c r="AM20" i="153"/>
  <c r="AV20" i="153" s="1"/>
  <c r="AU14" i="153"/>
  <c r="AI16" i="153"/>
  <c r="AO15" i="153"/>
  <c r="AX15" i="153" s="1"/>
  <c r="AM14" i="153"/>
  <c r="AX21" i="153"/>
  <c r="AI21" i="153"/>
  <c r="AX13" i="153"/>
  <c r="AI13" i="153"/>
  <c r="AM17" i="153"/>
  <c r="AO17" i="153" s="1"/>
  <c r="AX17" i="153" s="1"/>
  <c r="AI18" i="153"/>
  <c r="AI22" i="153" l="1"/>
  <c r="AV19" i="153"/>
  <c r="AO19" i="153"/>
  <c r="AI15" i="153"/>
  <c r="AO20" i="153"/>
  <c r="AX20" i="153" s="1"/>
  <c r="AR18" i="153"/>
  <c r="AP18" i="153"/>
  <c r="AY18" i="153" s="1"/>
  <c r="AR21" i="153"/>
  <c r="AP21" i="153"/>
  <c r="AY21" i="153" s="1"/>
  <c r="AV17" i="153"/>
  <c r="AI17" i="153"/>
  <c r="AR15" i="153"/>
  <c r="AP15" i="153"/>
  <c r="AY15" i="153" s="1"/>
  <c r="AR13" i="153"/>
  <c r="AP13" i="153"/>
  <c r="AY13" i="153" s="1"/>
  <c r="AV14" i="153"/>
  <c r="AO14" i="153"/>
  <c r="AX14" i="153" s="1"/>
  <c r="AR16" i="153"/>
  <c r="AP16" i="153"/>
  <c r="AY16" i="153" s="1"/>
  <c r="AX19" i="153" l="1"/>
  <c r="AI19" i="153"/>
  <c r="AR22" i="153"/>
  <c r="AP22" i="153"/>
  <c r="AY22" i="153" s="1"/>
  <c r="AI20" i="153"/>
  <c r="AR17" i="153"/>
  <c r="AP17" i="153"/>
  <c r="AY17" i="153" s="1"/>
  <c r="AI14" i="153"/>
  <c r="AP19" i="153" l="1"/>
  <c r="AY19" i="153" s="1"/>
  <c r="AR19" i="153"/>
  <c r="AR20" i="153"/>
  <c r="AP20" i="153"/>
  <c r="AY20" i="153" s="1"/>
  <c r="AP14" i="153"/>
  <c r="AY14" i="153" s="1"/>
  <c r="AR14" i="153"/>
  <c r="F37" i="152" l="1"/>
  <c r="D37" i="152"/>
  <c r="F36" i="152"/>
  <c r="D36" i="152"/>
  <c r="E36" i="152" s="1"/>
  <c r="F35" i="152"/>
  <c r="D35" i="152"/>
  <c r="F34" i="152"/>
  <c r="D34" i="152"/>
  <c r="F33" i="152"/>
  <c r="D33" i="152"/>
  <c r="AK22" i="152"/>
  <c r="T22" i="152"/>
  <c r="S22" i="152"/>
  <c r="R22" i="152"/>
  <c r="Q22" i="152"/>
  <c r="P22" i="152"/>
  <c r="K22" i="152"/>
  <c r="J22" i="152"/>
  <c r="I22" i="152"/>
  <c r="H22" i="152"/>
  <c r="G22" i="152"/>
  <c r="F22" i="152"/>
  <c r="C36" i="152" s="1"/>
  <c r="E22" i="152"/>
  <c r="C35" i="152" s="1"/>
  <c r="D22" i="152"/>
  <c r="C34" i="152" s="1"/>
  <c r="C22" i="152"/>
  <c r="C33" i="152" s="1"/>
  <c r="C46" i="152" s="1"/>
  <c r="AK21" i="152"/>
  <c r="T21" i="152"/>
  <c r="S21" i="152"/>
  <c r="R21" i="152"/>
  <c r="Q21" i="152"/>
  <c r="P21" i="152"/>
  <c r="K21" i="152"/>
  <c r="J21" i="152"/>
  <c r="I21" i="152"/>
  <c r="H21" i="152"/>
  <c r="G21" i="152"/>
  <c r="F21" i="152"/>
  <c r="E21" i="152"/>
  <c r="D21" i="152"/>
  <c r="C21" i="152"/>
  <c r="AK20" i="152"/>
  <c r="T20" i="152"/>
  <c r="S20" i="152"/>
  <c r="R20" i="152"/>
  <c r="Q20" i="152"/>
  <c r="P20" i="152"/>
  <c r="AS20" i="152" s="1"/>
  <c r="K20" i="152"/>
  <c r="J20" i="152"/>
  <c r="I20" i="152"/>
  <c r="H20" i="152"/>
  <c r="G20" i="152"/>
  <c r="F20" i="152"/>
  <c r="E20" i="152"/>
  <c r="D20" i="152"/>
  <c r="C20" i="152"/>
  <c r="AK19" i="152"/>
  <c r="T19" i="152"/>
  <c r="S19" i="152"/>
  <c r="R19" i="152"/>
  <c r="Q19" i="152"/>
  <c r="P19" i="152"/>
  <c r="K19" i="152"/>
  <c r="J19" i="152"/>
  <c r="I19" i="152"/>
  <c r="H19" i="152"/>
  <c r="G19" i="152"/>
  <c r="F19" i="152"/>
  <c r="E19" i="152"/>
  <c r="D19" i="152"/>
  <c r="C19" i="152"/>
  <c r="AK18" i="152"/>
  <c r="T18" i="152"/>
  <c r="S18" i="152"/>
  <c r="R18" i="152"/>
  <c r="Q18" i="152"/>
  <c r="P18" i="152"/>
  <c r="K18" i="152"/>
  <c r="J18" i="152"/>
  <c r="I18" i="152"/>
  <c r="H18" i="152"/>
  <c r="G18" i="152"/>
  <c r="F18" i="152"/>
  <c r="E18" i="152"/>
  <c r="D18" i="152"/>
  <c r="C18" i="152"/>
  <c r="AK17" i="152"/>
  <c r="T17" i="152"/>
  <c r="S17" i="152"/>
  <c r="R17" i="152"/>
  <c r="Q17" i="152"/>
  <c r="P17" i="152"/>
  <c r="AS17" i="152" s="1"/>
  <c r="K17" i="152"/>
  <c r="J17" i="152"/>
  <c r="I17" i="152"/>
  <c r="H17" i="152"/>
  <c r="G17" i="152"/>
  <c r="F17" i="152"/>
  <c r="E17" i="152"/>
  <c r="D17" i="152"/>
  <c r="C17" i="152"/>
  <c r="AK16" i="152"/>
  <c r="T16" i="152"/>
  <c r="S16" i="152"/>
  <c r="R16" i="152"/>
  <c r="Q16" i="152"/>
  <c r="P16" i="152"/>
  <c r="K16" i="152"/>
  <c r="J16" i="152"/>
  <c r="I16" i="152"/>
  <c r="H16" i="152"/>
  <c r="G16" i="152"/>
  <c r="F16" i="152"/>
  <c r="E16" i="152"/>
  <c r="D16" i="152"/>
  <c r="C16" i="152"/>
  <c r="AK15" i="152"/>
  <c r="T15" i="152"/>
  <c r="S15" i="152"/>
  <c r="R15" i="152"/>
  <c r="Q15" i="152"/>
  <c r="P15" i="152"/>
  <c r="K15" i="152"/>
  <c r="J15" i="152"/>
  <c r="I15" i="152"/>
  <c r="H15" i="152"/>
  <c r="G15" i="152"/>
  <c r="F15" i="152"/>
  <c r="E15" i="152"/>
  <c r="D15" i="152"/>
  <c r="C15" i="152"/>
  <c r="AK14" i="152"/>
  <c r="T14" i="152"/>
  <c r="S14" i="152"/>
  <c r="R14" i="152"/>
  <c r="Q14" i="152"/>
  <c r="P14" i="152"/>
  <c r="AS14" i="152" s="1"/>
  <c r="K14" i="152"/>
  <c r="J14" i="152"/>
  <c r="I14" i="152"/>
  <c r="H14" i="152"/>
  <c r="G14" i="152"/>
  <c r="F14" i="152"/>
  <c r="E14" i="152"/>
  <c r="D14" i="152"/>
  <c r="C14" i="152"/>
  <c r="AK13" i="152"/>
  <c r="T13" i="152"/>
  <c r="S13" i="152"/>
  <c r="R13" i="152"/>
  <c r="Q13" i="152"/>
  <c r="P13" i="152"/>
  <c r="K13" i="152"/>
  <c r="J13" i="152"/>
  <c r="I13" i="152"/>
  <c r="H13" i="152"/>
  <c r="G13" i="152"/>
  <c r="F13" i="152"/>
  <c r="E13" i="152"/>
  <c r="D13" i="152"/>
  <c r="C13" i="152"/>
  <c r="AK12" i="152"/>
  <c r="T12" i="152"/>
  <c r="S12" i="152"/>
  <c r="R12" i="152"/>
  <c r="Q12" i="152"/>
  <c r="P12" i="152"/>
  <c r="AS12" i="152" s="1"/>
  <c r="K12" i="152"/>
  <c r="J12" i="152"/>
  <c r="I12" i="152"/>
  <c r="H12" i="152"/>
  <c r="G12" i="152"/>
  <c r="F12" i="152"/>
  <c r="E12" i="152"/>
  <c r="D12" i="152"/>
  <c r="C12" i="152"/>
  <c r="AS21" i="152" l="1"/>
  <c r="AS18" i="152"/>
  <c r="AS19" i="152"/>
  <c r="AS16" i="152"/>
  <c r="W46" i="152"/>
  <c r="AS15" i="152"/>
  <c r="AS13" i="152"/>
  <c r="W49" i="152"/>
  <c r="U14" i="152"/>
  <c r="AQ14" i="152" s="1"/>
  <c r="AR14" i="152" s="1"/>
  <c r="AP14" i="152" s="1"/>
  <c r="V47" i="152"/>
  <c r="C47" i="152"/>
  <c r="E37" i="152"/>
  <c r="C66" i="152"/>
  <c r="C79" i="152" s="1"/>
  <c r="G34" i="152"/>
  <c r="H34" i="152" s="1"/>
  <c r="D47" i="152"/>
  <c r="E35" i="152"/>
  <c r="W47" i="152"/>
  <c r="D50" i="152"/>
  <c r="U13" i="152"/>
  <c r="AQ13" i="152" s="1"/>
  <c r="AR13" i="152" s="1"/>
  <c r="AP13" i="152" s="1"/>
  <c r="E33" i="152"/>
  <c r="W50" i="152"/>
  <c r="V49" i="152"/>
  <c r="C49" i="152"/>
  <c r="C48" i="152"/>
  <c r="V48" i="152"/>
  <c r="G35" i="152"/>
  <c r="H35" i="152" s="1"/>
  <c r="U16" i="152"/>
  <c r="AQ16" i="152" s="1"/>
  <c r="AR16" i="152" s="1"/>
  <c r="AP16" i="152" s="1"/>
  <c r="D48" i="152"/>
  <c r="C65" i="152"/>
  <c r="U20" i="152"/>
  <c r="AQ20" i="152" s="1"/>
  <c r="U21" i="152"/>
  <c r="AN21" i="152" s="1"/>
  <c r="G36" i="152"/>
  <c r="M36" i="152" s="1"/>
  <c r="W48" i="152"/>
  <c r="C67" i="152"/>
  <c r="C80" i="152" s="1"/>
  <c r="C68" i="152"/>
  <c r="C81" i="152" s="1"/>
  <c r="C37" i="152"/>
  <c r="D49" i="152"/>
  <c r="C69" i="152"/>
  <c r="U12" i="152"/>
  <c r="AQ12" i="152" s="1"/>
  <c r="U17" i="152"/>
  <c r="AQ17" i="152" s="1"/>
  <c r="AR17" i="152" s="1"/>
  <c r="AP17" i="152" s="1"/>
  <c r="D69" i="152"/>
  <c r="U22" i="152"/>
  <c r="AO15" i="152" s="1"/>
  <c r="G33" i="152"/>
  <c r="O33" i="152" s="1"/>
  <c r="E69" i="152"/>
  <c r="F69" i="152"/>
  <c r="G69" i="152"/>
  <c r="E34" i="152"/>
  <c r="U15" i="152"/>
  <c r="AQ15" i="152" s="1"/>
  <c r="AR15" i="152" s="1"/>
  <c r="AP15" i="152" s="1"/>
  <c r="U18" i="152"/>
  <c r="AQ18" i="152" s="1"/>
  <c r="AR18" i="152" s="1"/>
  <c r="AP18" i="152" s="1"/>
  <c r="D46" i="152"/>
  <c r="U19" i="152"/>
  <c r="V46" i="152"/>
  <c r="T14" i="154" a="1"/>
  <c r="S14" i="154" a="1"/>
  <c r="Q14" i="154" a="1"/>
  <c r="U14" i="154" a="1"/>
  <c r="O14" i="154" a="1"/>
  <c r="R14" i="154" a="1"/>
  <c r="AN13" i="152" l="1"/>
  <c r="AO20" i="152"/>
  <c r="AO13" i="152"/>
  <c r="AO14" i="152"/>
  <c r="AO21" i="152"/>
  <c r="AN17" i="152"/>
  <c r="H33" i="152"/>
  <c r="AN20" i="152"/>
  <c r="AN18" i="152"/>
  <c r="AN14" i="152"/>
  <c r="AR12" i="152"/>
  <c r="H24" i="152"/>
  <c r="AR23" i="152"/>
  <c r="AO18" i="152"/>
  <c r="AQ19" i="152"/>
  <c r="AR19" i="152"/>
  <c r="AP19" i="152" s="1"/>
  <c r="AO17" i="152"/>
  <c r="AO19" i="152"/>
  <c r="AN16" i="152"/>
  <c r="AR21" i="152"/>
  <c r="AP21" i="152" s="1"/>
  <c r="AQ21" i="152"/>
  <c r="AO16" i="152"/>
  <c r="AO12" i="152"/>
  <c r="AN19" i="152"/>
  <c r="AN15" i="152"/>
  <c r="AN12" i="152"/>
  <c r="AR20" i="152"/>
  <c r="AP20" i="152" s="1"/>
  <c r="R14" i="154"/>
  <c r="S14" i="154"/>
  <c r="Q14" i="154"/>
  <c r="U14" i="154"/>
  <c r="O14" i="154"/>
  <c r="T14" i="154"/>
  <c r="D82" i="152"/>
  <c r="E82" i="152"/>
  <c r="C82" i="152"/>
  <c r="G82" i="152"/>
  <c r="C78" i="152"/>
  <c r="F82" i="152"/>
  <c r="K49" i="152"/>
  <c r="V50" i="152"/>
  <c r="C50" i="152"/>
  <c r="G37" i="152"/>
  <c r="F46" i="152"/>
  <c r="Y46" i="152"/>
  <c r="H36" i="152"/>
  <c r="F49" i="152" s="1"/>
  <c r="D14" i="154" a="1"/>
  <c r="D14" i="158" a="1"/>
  <c r="AQ22" i="152" l="1"/>
  <c r="AN22" i="152"/>
  <c r="AN24" i="152" s="1"/>
  <c r="AO22" i="152"/>
  <c r="AR22" i="152"/>
  <c r="AR24" i="152" s="1"/>
  <c r="AP12" i="152"/>
  <c r="AP22" i="152" s="1"/>
  <c r="D14" i="154"/>
  <c r="D14" i="158"/>
  <c r="O37" i="152"/>
  <c r="L37" i="152"/>
  <c r="K37" i="152"/>
  <c r="I37" i="152"/>
  <c r="J37" i="152"/>
  <c r="H37" i="152"/>
  <c r="AO26" i="152" l="1"/>
  <c r="AP26" i="152"/>
  <c r="AR25" i="152"/>
  <c r="J50" i="152"/>
  <c r="AC50" i="152"/>
  <c r="R37" i="152"/>
  <c r="AE37" i="152" s="1"/>
  <c r="Q37" i="152"/>
  <c r="AD37" i="152" s="1"/>
  <c r="P37" i="152"/>
  <c r="F50" i="152"/>
  <c r="Y50" i="152"/>
  <c r="H50" i="152"/>
  <c r="AA50" i="152"/>
  <c r="V37" i="152"/>
  <c r="G50" i="152"/>
  <c r="U37" i="152"/>
  <c r="Z50" i="152"/>
  <c r="T37" i="152"/>
  <c r="I50" i="152"/>
  <c r="AB50" i="152"/>
  <c r="D14" i="165" a="1"/>
  <c r="G14" i="165" a="1"/>
  <c r="H14" i="154" a="1"/>
  <c r="G14" i="154" a="1"/>
  <c r="I14" i="154" a="1"/>
  <c r="J14" i="165" a="1"/>
  <c r="J14" i="158" a="1"/>
  <c r="G14" i="158" a="1"/>
  <c r="H14" i="158" a="1"/>
  <c r="J14" i="154" a="1"/>
  <c r="F14" i="154" a="1"/>
  <c r="I14" i="158" a="1"/>
  <c r="F14" i="158" a="1"/>
  <c r="G14" i="165" l="1"/>
  <c r="D14" i="165"/>
  <c r="J14" i="165"/>
  <c r="J14" i="158"/>
  <c r="F14" i="154"/>
  <c r="F14" i="158"/>
  <c r="H14" i="154"/>
  <c r="I14" i="154"/>
  <c r="H14" i="158"/>
  <c r="I14" i="158"/>
  <c r="G14" i="154"/>
  <c r="J14" i="154"/>
  <c r="G14" i="158"/>
  <c r="K50" i="152"/>
  <c r="W37" i="152"/>
  <c r="AF37" i="152"/>
  <c r="X37" i="152"/>
  <c r="X42" i="152"/>
  <c r="AG37" i="152"/>
  <c r="Y37" i="152"/>
  <c r="Y42" i="152"/>
  <c r="AH37" i="152"/>
  <c r="Z37" i="152"/>
  <c r="Z42" i="152"/>
  <c r="AC37" i="152"/>
  <c r="S37" i="152"/>
  <c r="M14" i="154" a="1"/>
  <c r="B305" i="36" a="1"/>
  <c r="L14" i="158" a="1"/>
  <c r="L14" i="154" a="1"/>
  <c r="M14" i="158" a="1"/>
  <c r="K14" i="158" a="1"/>
  <c r="K14" i="154" a="1"/>
  <c r="C305" i="36" a="1"/>
  <c r="AO28" i="152" l="1"/>
  <c r="AP28" i="152"/>
  <c r="B305" i="36"/>
  <c r="L14" i="154"/>
  <c r="K14" i="158"/>
  <c r="K14" i="154"/>
  <c r="M14" i="158"/>
  <c r="C305" i="36"/>
  <c r="L14" i="158"/>
  <c r="M14" i="154"/>
  <c r="AA42" i="152"/>
  <c r="AA37" i="152"/>
  <c r="E14" i="165" a="1"/>
  <c r="H14" i="165" a="1"/>
  <c r="J306" i="36" a="1"/>
  <c r="H14" i="165" l="1"/>
  <c r="E14" i="165"/>
  <c r="J306" i="36"/>
  <c r="W50" i="151"/>
  <c r="D50" i="151"/>
  <c r="W49" i="151"/>
  <c r="D49" i="151"/>
  <c r="W48" i="151"/>
  <c r="D48" i="151"/>
  <c r="W47" i="151"/>
  <c r="D47" i="151"/>
  <c r="W46" i="151"/>
  <c r="D46" i="151"/>
  <c r="E37" i="151"/>
  <c r="E36" i="151"/>
  <c r="E35" i="151"/>
  <c r="E34" i="151"/>
  <c r="E33" i="151"/>
  <c r="AK22" i="151"/>
  <c r="T22" i="151"/>
  <c r="S22" i="151"/>
  <c r="R22" i="151"/>
  <c r="Q22" i="151"/>
  <c r="P22" i="151"/>
  <c r="K22" i="151"/>
  <c r="J22" i="151"/>
  <c r="I22" i="151"/>
  <c r="H22" i="151"/>
  <c r="G22" i="151"/>
  <c r="C37" i="151" s="1"/>
  <c r="F22" i="151"/>
  <c r="E22" i="151"/>
  <c r="D22" i="151"/>
  <c r="C22" i="151"/>
  <c r="C33" i="151" s="1"/>
  <c r="AK21" i="151"/>
  <c r="T21" i="151"/>
  <c r="S21" i="151"/>
  <c r="R21" i="151"/>
  <c r="Q21" i="151"/>
  <c r="P21" i="151"/>
  <c r="K21" i="151"/>
  <c r="J21" i="151"/>
  <c r="I21" i="151"/>
  <c r="H21" i="151"/>
  <c r="G21" i="151"/>
  <c r="F21" i="151"/>
  <c r="E21" i="151"/>
  <c r="D21" i="151"/>
  <c r="C21" i="151"/>
  <c r="AK20" i="151"/>
  <c r="T20" i="151"/>
  <c r="S20" i="151"/>
  <c r="R20" i="151"/>
  <c r="Q20" i="151"/>
  <c r="P20" i="151"/>
  <c r="K20" i="151"/>
  <c r="J20" i="151"/>
  <c r="I20" i="151"/>
  <c r="H20" i="151"/>
  <c r="G20" i="151"/>
  <c r="F20" i="151"/>
  <c r="E20" i="151"/>
  <c r="D20" i="151"/>
  <c r="C20" i="151"/>
  <c r="AK19" i="151"/>
  <c r="T19" i="151"/>
  <c r="S19" i="151"/>
  <c r="R19" i="151"/>
  <c r="Q19" i="151"/>
  <c r="P19" i="151"/>
  <c r="K19" i="151"/>
  <c r="J19" i="151"/>
  <c r="I19" i="151"/>
  <c r="H19" i="151"/>
  <c r="G19" i="151"/>
  <c r="F19" i="151"/>
  <c r="E19" i="151"/>
  <c r="D19" i="151"/>
  <c r="C19" i="151"/>
  <c r="AK18" i="151"/>
  <c r="T18" i="151"/>
  <c r="S18" i="151"/>
  <c r="R18" i="151"/>
  <c r="Q18" i="151"/>
  <c r="P18" i="151"/>
  <c r="K18" i="151"/>
  <c r="J18" i="151"/>
  <c r="I18" i="151"/>
  <c r="H18" i="151"/>
  <c r="G18" i="151"/>
  <c r="F18" i="151"/>
  <c r="E18" i="151"/>
  <c r="D18" i="151"/>
  <c r="C18" i="151"/>
  <c r="AK17" i="151"/>
  <c r="T17" i="151"/>
  <c r="S17" i="151"/>
  <c r="R17" i="151"/>
  <c r="Q17" i="151"/>
  <c r="P17" i="151"/>
  <c r="K17" i="151"/>
  <c r="J17" i="151"/>
  <c r="I17" i="151"/>
  <c r="H17" i="151"/>
  <c r="G17" i="151"/>
  <c r="F17" i="151"/>
  <c r="E17" i="151"/>
  <c r="D17" i="151"/>
  <c r="C17" i="151"/>
  <c r="AK16" i="151"/>
  <c r="T16" i="151"/>
  <c r="S16" i="151"/>
  <c r="R16" i="151"/>
  <c r="Q16" i="151"/>
  <c r="P16" i="151"/>
  <c r="K16" i="151"/>
  <c r="J16" i="151"/>
  <c r="I16" i="151"/>
  <c r="H16" i="151"/>
  <c r="G16" i="151"/>
  <c r="F16" i="151"/>
  <c r="E16" i="151"/>
  <c r="D16" i="151"/>
  <c r="C16" i="151"/>
  <c r="AK15" i="151"/>
  <c r="T15" i="151"/>
  <c r="S15" i="151"/>
  <c r="R15" i="151"/>
  <c r="Q15" i="151"/>
  <c r="P15" i="151"/>
  <c r="K15" i="151"/>
  <c r="J15" i="151"/>
  <c r="I15" i="151"/>
  <c r="H15" i="151"/>
  <c r="G15" i="151"/>
  <c r="F15" i="151"/>
  <c r="E15" i="151"/>
  <c r="D15" i="151"/>
  <c r="C15" i="151"/>
  <c r="AK14" i="151"/>
  <c r="T14" i="151"/>
  <c r="S14" i="151"/>
  <c r="R14" i="151"/>
  <c r="Q14" i="151"/>
  <c r="P14" i="151"/>
  <c r="K14" i="151"/>
  <c r="J14" i="151"/>
  <c r="I14" i="151"/>
  <c r="H14" i="151"/>
  <c r="G14" i="151"/>
  <c r="F14" i="151"/>
  <c r="E14" i="151"/>
  <c r="D14" i="151"/>
  <c r="C14" i="151"/>
  <c r="AK13" i="151"/>
  <c r="T13" i="151"/>
  <c r="S13" i="151"/>
  <c r="R13" i="151"/>
  <c r="Q13" i="151"/>
  <c r="P13" i="151"/>
  <c r="K13" i="151"/>
  <c r="J13" i="151"/>
  <c r="I13" i="151"/>
  <c r="H13" i="151"/>
  <c r="G13" i="151"/>
  <c r="F13" i="151"/>
  <c r="E13" i="151"/>
  <c r="D13" i="151"/>
  <c r="C13" i="151"/>
  <c r="AK12" i="151"/>
  <c r="T12" i="151"/>
  <c r="S12" i="151"/>
  <c r="R12" i="151"/>
  <c r="Q12" i="151"/>
  <c r="P12" i="151"/>
  <c r="K12" i="151"/>
  <c r="J12" i="151"/>
  <c r="I12" i="151"/>
  <c r="H12" i="151"/>
  <c r="G12" i="151"/>
  <c r="F12" i="151"/>
  <c r="E12" i="151"/>
  <c r="D12" i="151"/>
  <c r="C12" i="151"/>
  <c r="I306" i="36" a="1"/>
  <c r="AS14" i="151" l="1"/>
  <c r="C68" i="151"/>
  <c r="C81" i="151" s="1"/>
  <c r="C66" i="151"/>
  <c r="C79" i="151" s="1"/>
  <c r="AS13" i="151"/>
  <c r="C36" i="151"/>
  <c r="V49" i="151" s="1"/>
  <c r="AS16" i="151"/>
  <c r="AS18" i="151"/>
  <c r="AS21" i="151"/>
  <c r="AS19" i="151"/>
  <c r="U12" i="151"/>
  <c r="AQ12" i="151" s="1"/>
  <c r="AS12" i="151"/>
  <c r="U20" i="151"/>
  <c r="AS20" i="151"/>
  <c r="AS15" i="151"/>
  <c r="U17" i="151"/>
  <c r="AQ17" i="151" s="1"/>
  <c r="AR17" i="151" s="1"/>
  <c r="AS17" i="151"/>
  <c r="I306" i="36"/>
  <c r="G306" i="36" s="1"/>
  <c r="K306" i="36" s="1"/>
  <c r="U22" i="151"/>
  <c r="C34" i="151"/>
  <c r="C47" i="151" s="1"/>
  <c r="C67" i="151"/>
  <c r="C80" i="151" s="1"/>
  <c r="C35" i="151"/>
  <c r="V48" i="151" s="1"/>
  <c r="G33" i="151"/>
  <c r="O33" i="151" s="1"/>
  <c r="C46" i="151"/>
  <c r="V46" i="151"/>
  <c r="V50" i="151"/>
  <c r="C50" i="151"/>
  <c r="G37" i="151"/>
  <c r="O37" i="151" s="1"/>
  <c r="U13" i="151"/>
  <c r="AQ13" i="151" s="1"/>
  <c r="AR13" i="151" s="1"/>
  <c r="U18" i="151"/>
  <c r="AQ18" i="151" s="1"/>
  <c r="AR18" i="151" s="1"/>
  <c r="C65" i="151"/>
  <c r="C69" i="151"/>
  <c r="G36" i="151"/>
  <c r="C49" i="151"/>
  <c r="D69" i="151"/>
  <c r="H36" i="151"/>
  <c r="E69" i="151"/>
  <c r="U15" i="151"/>
  <c r="AQ15" i="151" s="1"/>
  <c r="AR15" i="151" s="1"/>
  <c r="F69" i="151"/>
  <c r="G69" i="151"/>
  <c r="U14" i="151"/>
  <c r="AQ14" i="151" s="1"/>
  <c r="AR14" i="151" s="1"/>
  <c r="U19" i="151"/>
  <c r="U16" i="151"/>
  <c r="AQ16" i="151" s="1"/>
  <c r="AR16" i="151" s="1"/>
  <c r="U21" i="151"/>
  <c r="R26" i="154" a="1"/>
  <c r="Q26" i="154" a="1"/>
  <c r="O26" i="154" a="1"/>
  <c r="T26" i="154" a="1"/>
  <c r="U26" i="154" a="1"/>
  <c r="S26" i="154" a="1"/>
  <c r="AR21" i="151" l="1"/>
  <c r="AQ21" i="151"/>
  <c r="AR19" i="151"/>
  <c r="AQ19" i="151"/>
  <c r="V47" i="151"/>
  <c r="G34" i="151"/>
  <c r="H34" i="151" s="1"/>
  <c r="H24" i="151"/>
  <c r="AR23" i="151"/>
  <c r="AR12" i="151"/>
  <c r="AR20" i="151"/>
  <c r="AQ20" i="151"/>
  <c r="AQ22" i="151" s="1"/>
  <c r="G35" i="151"/>
  <c r="H35" i="151" s="1"/>
  <c r="R26" i="154"/>
  <c r="U26" i="154"/>
  <c r="T26" i="154"/>
  <c r="Q26" i="154"/>
  <c r="O26" i="154"/>
  <c r="S26" i="154"/>
  <c r="K37" i="151"/>
  <c r="I50" i="151" s="1"/>
  <c r="D82" i="151"/>
  <c r="G82" i="151"/>
  <c r="F82" i="151"/>
  <c r="C82" i="151"/>
  <c r="C48" i="151"/>
  <c r="C78" i="151"/>
  <c r="E82" i="151"/>
  <c r="L37" i="151"/>
  <c r="J50" i="151" s="1"/>
  <c r="H306" i="36"/>
  <c r="AC50" i="151"/>
  <c r="H37" i="151"/>
  <c r="J37" i="151"/>
  <c r="M37" i="151"/>
  <c r="I37" i="151"/>
  <c r="H33" i="151"/>
  <c r="I26" i="158" a="1"/>
  <c r="J26" i="154" a="1"/>
  <c r="J26" i="158" a="1"/>
  <c r="AB50" i="151" l="1"/>
  <c r="AR22" i="151"/>
  <c r="AR25" i="151" s="1"/>
  <c r="J26" i="158"/>
  <c r="I26" i="158"/>
  <c r="J26" i="154"/>
  <c r="K50" i="151"/>
  <c r="F46" i="151"/>
  <c r="Y46" i="151"/>
  <c r="G50" i="151"/>
  <c r="T37" i="151"/>
  <c r="V37" i="151"/>
  <c r="U37" i="151"/>
  <c r="Z50" i="151"/>
  <c r="H50" i="151"/>
  <c r="AA50" i="151"/>
  <c r="P37" i="151"/>
  <c r="Q37" i="151"/>
  <c r="AD37" i="151" s="1"/>
  <c r="F50" i="151"/>
  <c r="R37" i="151"/>
  <c r="AE37" i="151" s="1"/>
  <c r="Y50" i="151"/>
  <c r="D26" i="154" a="1"/>
  <c r="M26" i="158" a="1"/>
  <c r="J26" i="165" a="1"/>
  <c r="G26" i="154" a="1"/>
  <c r="I26" i="154" a="1"/>
  <c r="H26" i="158" a="1"/>
  <c r="F26" i="154" a="1"/>
  <c r="D26" i="158" a="1"/>
  <c r="H26" i="154" a="1"/>
  <c r="K26" i="154" a="1"/>
  <c r="F26" i="158" a="1"/>
  <c r="G26" i="158" a="1"/>
  <c r="I26" i="154" l="1"/>
  <c r="J26" i="165"/>
  <c r="AR24" i="151"/>
  <c r="G26" i="158"/>
  <c r="D26" i="154"/>
  <c r="H26" i="154"/>
  <c r="D26" i="158"/>
  <c r="H26" i="158"/>
  <c r="K26" i="154"/>
  <c r="M26" i="158"/>
  <c r="G26" i="154"/>
  <c r="F26" i="154"/>
  <c r="F26" i="158"/>
  <c r="AC37" i="151"/>
  <c r="S37" i="151"/>
  <c r="AG37" i="151"/>
  <c r="Y37" i="151"/>
  <c r="AH37" i="151"/>
  <c r="Z37" i="151"/>
  <c r="AF37" i="151"/>
  <c r="X37" i="151"/>
  <c r="AA37" i="151" s="1"/>
  <c r="W37" i="151"/>
  <c r="X42" i="151"/>
  <c r="Z42" i="151"/>
  <c r="Y42" i="151"/>
  <c r="L26" i="154" a="1"/>
  <c r="B312" i="36" a="1"/>
  <c r="L26" i="158" a="1"/>
  <c r="M26" i="154" a="1"/>
  <c r="C312" i="36" a="1"/>
  <c r="K26" i="158" a="1"/>
  <c r="C312" i="36" l="1"/>
  <c r="M26" i="154"/>
  <c r="L26" i="158"/>
  <c r="B312" i="36"/>
  <c r="L26" i="154"/>
  <c r="K26" i="158"/>
  <c r="AA42" i="151"/>
  <c r="J315" i="36" a="1"/>
  <c r="J315" i="36" l="1"/>
  <c r="W50" i="149"/>
  <c r="D50" i="149"/>
  <c r="W49" i="149"/>
  <c r="D49" i="149"/>
  <c r="W48" i="149"/>
  <c r="D48" i="149"/>
  <c r="W47" i="149"/>
  <c r="D47" i="149"/>
  <c r="W46" i="149"/>
  <c r="D46" i="149"/>
  <c r="E37" i="149"/>
  <c r="E36" i="149"/>
  <c r="E35" i="149"/>
  <c r="E34" i="149"/>
  <c r="E33" i="149"/>
  <c r="AK22" i="149"/>
  <c r="T22" i="149"/>
  <c r="S22" i="149"/>
  <c r="R22" i="149"/>
  <c r="Q22" i="149"/>
  <c r="P22" i="149"/>
  <c r="K22" i="149"/>
  <c r="J22" i="149"/>
  <c r="I22" i="149"/>
  <c r="H22" i="149"/>
  <c r="G22" i="149"/>
  <c r="F22" i="149"/>
  <c r="E22" i="149"/>
  <c r="C35" i="149" s="1"/>
  <c r="D22" i="149"/>
  <c r="C22" i="149"/>
  <c r="AK21" i="149"/>
  <c r="T21" i="149"/>
  <c r="S21" i="149"/>
  <c r="R21" i="149"/>
  <c r="Q21" i="149"/>
  <c r="P21" i="149"/>
  <c r="K21" i="149"/>
  <c r="J21" i="149"/>
  <c r="I21" i="149"/>
  <c r="H21" i="149"/>
  <c r="G21" i="149"/>
  <c r="F21" i="149"/>
  <c r="E21" i="149"/>
  <c r="D21" i="149"/>
  <c r="C21" i="149"/>
  <c r="AK20" i="149"/>
  <c r="T20" i="149"/>
  <c r="U20" i="149" s="1"/>
  <c r="S20" i="149"/>
  <c r="R20" i="149"/>
  <c r="Q20" i="149"/>
  <c r="P20" i="149"/>
  <c r="K20" i="149"/>
  <c r="J20" i="149"/>
  <c r="I20" i="149"/>
  <c r="H20" i="149"/>
  <c r="G20" i="149"/>
  <c r="F20" i="149"/>
  <c r="E20" i="149"/>
  <c r="D20" i="149"/>
  <c r="C20" i="149"/>
  <c r="AK19" i="149"/>
  <c r="T19" i="149"/>
  <c r="S19" i="149"/>
  <c r="R19" i="149"/>
  <c r="Q19" i="149"/>
  <c r="P19" i="149"/>
  <c r="K19" i="149"/>
  <c r="J19" i="149"/>
  <c r="I19" i="149"/>
  <c r="H19" i="149"/>
  <c r="G19" i="149"/>
  <c r="F19" i="149"/>
  <c r="E19" i="149"/>
  <c r="D19" i="149"/>
  <c r="C19" i="149"/>
  <c r="AK18" i="149"/>
  <c r="T18" i="149"/>
  <c r="S18" i="149"/>
  <c r="R18" i="149"/>
  <c r="Q18" i="149"/>
  <c r="P18" i="149"/>
  <c r="K18" i="149"/>
  <c r="J18" i="149"/>
  <c r="I18" i="149"/>
  <c r="H18" i="149"/>
  <c r="G18" i="149"/>
  <c r="F18" i="149"/>
  <c r="E18" i="149"/>
  <c r="D18" i="149"/>
  <c r="C18" i="149"/>
  <c r="AK17" i="149"/>
  <c r="T17" i="149"/>
  <c r="S17" i="149"/>
  <c r="R17" i="149"/>
  <c r="Q17" i="149"/>
  <c r="P17" i="149"/>
  <c r="K17" i="149"/>
  <c r="J17" i="149"/>
  <c r="I17" i="149"/>
  <c r="H17" i="149"/>
  <c r="G17" i="149"/>
  <c r="F17" i="149"/>
  <c r="E17" i="149"/>
  <c r="D17" i="149"/>
  <c r="C17" i="149"/>
  <c r="AK16" i="149"/>
  <c r="T16" i="149"/>
  <c r="S16" i="149"/>
  <c r="R16" i="149"/>
  <c r="Q16" i="149"/>
  <c r="P16" i="149"/>
  <c r="K16" i="149"/>
  <c r="J16" i="149"/>
  <c r="I16" i="149"/>
  <c r="H16" i="149"/>
  <c r="G16" i="149"/>
  <c r="F16" i="149"/>
  <c r="E16" i="149"/>
  <c r="D16" i="149"/>
  <c r="C16" i="149"/>
  <c r="AK15" i="149"/>
  <c r="T15" i="149"/>
  <c r="S15" i="149"/>
  <c r="R15" i="149"/>
  <c r="Q15" i="149"/>
  <c r="P15" i="149"/>
  <c r="K15" i="149"/>
  <c r="J15" i="149"/>
  <c r="I15" i="149"/>
  <c r="H15" i="149"/>
  <c r="G15" i="149"/>
  <c r="F15" i="149"/>
  <c r="E15" i="149"/>
  <c r="D15" i="149"/>
  <c r="C15" i="149"/>
  <c r="AK14" i="149"/>
  <c r="T14" i="149"/>
  <c r="S14" i="149"/>
  <c r="R14" i="149"/>
  <c r="Q14" i="149"/>
  <c r="P14" i="149"/>
  <c r="AS14" i="149" s="1"/>
  <c r="K14" i="149"/>
  <c r="J14" i="149"/>
  <c r="I14" i="149"/>
  <c r="H14" i="149"/>
  <c r="G14" i="149"/>
  <c r="F14" i="149"/>
  <c r="E14" i="149"/>
  <c r="D14" i="149"/>
  <c r="C14" i="149"/>
  <c r="AK13" i="149"/>
  <c r="T13" i="149"/>
  <c r="S13" i="149"/>
  <c r="R13" i="149"/>
  <c r="Q13" i="149"/>
  <c r="P13" i="149"/>
  <c r="K13" i="149"/>
  <c r="J13" i="149"/>
  <c r="I13" i="149"/>
  <c r="H13" i="149"/>
  <c r="G13" i="149"/>
  <c r="F13" i="149"/>
  <c r="E13" i="149"/>
  <c r="D13" i="149"/>
  <c r="C13" i="149"/>
  <c r="AK12" i="149"/>
  <c r="T12" i="149"/>
  <c r="U12" i="149" s="1"/>
  <c r="S12" i="149"/>
  <c r="R12" i="149"/>
  <c r="Q12" i="149"/>
  <c r="P12" i="149"/>
  <c r="K12" i="149"/>
  <c r="J12" i="149"/>
  <c r="I12" i="149"/>
  <c r="H12" i="149"/>
  <c r="G12" i="149"/>
  <c r="F12" i="149"/>
  <c r="E12" i="149"/>
  <c r="D12" i="149"/>
  <c r="C12" i="149"/>
  <c r="FA22" i="147"/>
  <c r="EZ22" i="147" s="1"/>
  <c r="ET22" i="147"/>
  <c r="ES22" i="147"/>
  <c r="ER22" i="147"/>
  <c r="EQ22" i="147"/>
  <c r="EO22" i="147"/>
  <c r="EN22" i="147"/>
  <c r="EL22" i="147"/>
  <c r="EK22" i="147"/>
  <c r="EJ22" i="147"/>
  <c r="EI22" i="147"/>
  <c r="EC22" i="147"/>
  <c r="EB22" i="147"/>
  <c r="EA22" i="147"/>
  <c r="DE22" i="147"/>
  <c r="DD22" i="147"/>
  <c r="DB22" i="147"/>
  <c r="DA22" i="147"/>
  <c r="CN22" i="147"/>
  <c r="CM22" i="147"/>
  <c r="CL22" i="147"/>
  <c r="CK22" i="147"/>
  <c r="CO22" i="147" s="1"/>
  <c r="BK22" i="147"/>
  <c r="BJ22" i="147"/>
  <c r="BI22" i="147"/>
  <c r="BH22" i="147"/>
  <c r="AN22" i="147"/>
  <c r="AM22" i="147"/>
  <c r="V22" i="147"/>
  <c r="U22" i="147"/>
  <c r="T22" i="147"/>
  <c r="S22" i="147"/>
  <c r="Q22" i="147"/>
  <c r="P22" i="147"/>
  <c r="N22" i="147"/>
  <c r="M22" i="147"/>
  <c r="L22" i="147"/>
  <c r="K22" i="147"/>
  <c r="H22" i="147"/>
  <c r="G22" i="147"/>
  <c r="F22" i="147"/>
  <c r="E22" i="147"/>
  <c r="D22" i="147"/>
  <c r="C22" i="147"/>
  <c r="FA21" i="147"/>
  <c r="EZ21" i="147"/>
  <c r="EO21" i="147"/>
  <c r="EN21" i="147"/>
  <c r="EC21" i="147"/>
  <c r="EB21" i="147"/>
  <c r="EA21" i="147"/>
  <c r="DE21" i="147"/>
  <c r="DD21" i="147" s="1"/>
  <c r="BK21" i="147"/>
  <c r="BJ21" i="147"/>
  <c r="BI21" i="147"/>
  <c r="BH21" i="147"/>
  <c r="AN21" i="147"/>
  <c r="AM21" i="147"/>
  <c r="Q21" i="147"/>
  <c r="P21" i="147"/>
  <c r="H21" i="147"/>
  <c r="G21" i="147"/>
  <c r="F21" i="147"/>
  <c r="E21" i="147"/>
  <c r="D21" i="147"/>
  <c r="C21" i="147"/>
  <c r="FA20" i="147"/>
  <c r="EZ20" i="147" s="1"/>
  <c r="EO20" i="147"/>
  <c r="EN20" i="147"/>
  <c r="EC20" i="147"/>
  <c r="EB20" i="147"/>
  <c r="EA20" i="147"/>
  <c r="DE20" i="147"/>
  <c r="DD20" i="147" s="1"/>
  <c r="BK20" i="147"/>
  <c r="BJ20" i="147"/>
  <c r="BI20" i="147"/>
  <c r="BH20" i="147"/>
  <c r="AN20" i="147"/>
  <c r="AM20" i="147"/>
  <c r="Q20" i="147"/>
  <c r="P20" i="147"/>
  <c r="H20" i="147"/>
  <c r="G20" i="147"/>
  <c r="F20" i="147"/>
  <c r="E20" i="147"/>
  <c r="D20" i="147"/>
  <c r="C20" i="147"/>
  <c r="FA19" i="147"/>
  <c r="EZ19" i="147" s="1"/>
  <c r="EO19" i="147"/>
  <c r="EN19" i="147"/>
  <c r="EC19" i="147"/>
  <c r="EB19" i="147"/>
  <c r="EA19" i="147"/>
  <c r="DE19" i="147"/>
  <c r="DD19" i="147" s="1"/>
  <c r="BK19" i="147"/>
  <c r="BJ19" i="147"/>
  <c r="BI19" i="147"/>
  <c r="BH19" i="147"/>
  <c r="AN19" i="147"/>
  <c r="AM19" i="147"/>
  <c r="Q19" i="147"/>
  <c r="P19" i="147"/>
  <c r="H19" i="147"/>
  <c r="G19" i="147"/>
  <c r="F19" i="147"/>
  <c r="E19" i="147"/>
  <c r="D19" i="147"/>
  <c r="C19" i="147"/>
  <c r="FA18" i="147"/>
  <c r="EZ18" i="147" s="1"/>
  <c r="EO18" i="147"/>
  <c r="EN18" i="147"/>
  <c r="EC18" i="147"/>
  <c r="EB18" i="147"/>
  <c r="EA18" i="147"/>
  <c r="DE18" i="147"/>
  <c r="DD18" i="147" s="1"/>
  <c r="BK18" i="147"/>
  <c r="BJ18" i="147"/>
  <c r="BI18" i="147"/>
  <c r="BH18" i="147"/>
  <c r="AN18" i="147"/>
  <c r="AM18" i="147"/>
  <c r="Q18" i="147"/>
  <c r="P18" i="147"/>
  <c r="H18" i="147"/>
  <c r="G18" i="147"/>
  <c r="F18" i="147"/>
  <c r="E18" i="147"/>
  <c r="D18" i="147"/>
  <c r="C18" i="147"/>
  <c r="O18" i="147" s="1"/>
  <c r="FA17" i="147"/>
  <c r="EZ17" i="147" s="1"/>
  <c r="EO17" i="147"/>
  <c r="EN17" i="147"/>
  <c r="EC17" i="147"/>
  <c r="EB17" i="147"/>
  <c r="EA17" i="147"/>
  <c r="DE17" i="147"/>
  <c r="DD17" i="147" s="1"/>
  <c r="BK17" i="147"/>
  <c r="BJ17" i="147"/>
  <c r="BI17" i="147"/>
  <c r="BH17" i="147"/>
  <c r="AN17" i="147"/>
  <c r="AM17" i="147"/>
  <c r="Q17" i="147"/>
  <c r="P17" i="147"/>
  <c r="H17" i="147"/>
  <c r="G17" i="147"/>
  <c r="F17" i="147"/>
  <c r="E17" i="147"/>
  <c r="D17" i="147"/>
  <c r="C17" i="147"/>
  <c r="FA16" i="147"/>
  <c r="EZ16" i="147" s="1"/>
  <c r="EO16" i="147"/>
  <c r="EN16" i="147"/>
  <c r="EU16" i="147" s="1"/>
  <c r="EC16" i="147"/>
  <c r="EB16" i="147"/>
  <c r="EA16" i="147"/>
  <c r="DE16" i="147"/>
  <c r="DD16" i="147" s="1"/>
  <c r="BK16" i="147"/>
  <c r="BJ16" i="147"/>
  <c r="BI16" i="147"/>
  <c r="BH16" i="147"/>
  <c r="AN16" i="147"/>
  <c r="AM16" i="147"/>
  <c r="Q16" i="147"/>
  <c r="P16" i="147"/>
  <c r="H16" i="147"/>
  <c r="G16" i="147"/>
  <c r="F16" i="147"/>
  <c r="E16" i="147"/>
  <c r="D16" i="147"/>
  <c r="C16" i="147"/>
  <c r="FA15" i="147"/>
  <c r="EZ15" i="147" s="1"/>
  <c r="EO15" i="147"/>
  <c r="EN15" i="147"/>
  <c r="EC15" i="147"/>
  <c r="EB15" i="147"/>
  <c r="EA15" i="147"/>
  <c r="DE15" i="147"/>
  <c r="DD15" i="147" s="1"/>
  <c r="BK15" i="147"/>
  <c r="BJ15" i="147"/>
  <c r="BI15" i="147"/>
  <c r="BH15" i="147"/>
  <c r="AN15" i="147"/>
  <c r="AM15" i="147"/>
  <c r="Q15" i="147"/>
  <c r="R15" i="147" s="1"/>
  <c r="P15" i="147"/>
  <c r="H15" i="147"/>
  <c r="G15" i="147"/>
  <c r="F15" i="147"/>
  <c r="E15" i="147"/>
  <c r="D15" i="147"/>
  <c r="C15" i="147"/>
  <c r="FA14" i="147"/>
  <c r="EZ14" i="147" s="1"/>
  <c r="EO14" i="147"/>
  <c r="EN14" i="147"/>
  <c r="EC14" i="147"/>
  <c r="EB14" i="147"/>
  <c r="EA14" i="147"/>
  <c r="DE14" i="147"/>
  <c r="DD14" i="147" s="1"/>
  <c r="BK14" i="147"/>
  <c r="BJ14" i="147"/>
  <c r="BI14" i="147"/>
  <c r="BH14" i="147"/>
  <c r="AN14" i="147"/>
  <c r="AM14" i="147"/>
  <c r="Q14" i="147"/>
  <c r="P14" i="147"/>
  <c r="H14" i="147"/>
  <c r="G14" i="147"/>
  <c r="F14" i="147"/>
  <c r="E14" i="147"/>
  <c r="D14" i="147"/>
  <c r="C14" i="147"/>
  <c r="FA13" i="147"/>
  <c r="EZ13" i="147" s="1"/>
  <c r="EO13" i="147"/>
  <c r="EN13" i="147"/>
  <c r="EC13" i="147"/>
  <c r="EB13" i="147"/>
  <c r="EA13" i="147"/>
  <c r="DE13" i="147"/>
  <c r="DD13" i="147" s="1"/>
  <c r="BK13" i="147"/>
  <c r="BJ13" i="147"/>
  <c r="BI13" i="147"/>
  <c r="BH13" i="147"/>
  <c r="AN13" i="147"/>
  <c r="AM13" i="147"/>
  <c r="Q13" i="147"/>
  <c r="P13" i="147"/>
  <c r="H13" i="147"/>
  <c r="G13" i="147"/>
  <c r="F13" i="147"/>
  <c r="E13" i="147"/>
  <c r="D13" i="147"/>
  <c r="C13" i="147"/>
  <c r="O13" i="147" s="1"/>
  <c r="FA12" i="147"/>
  <c r="EZ12" i="147" s="1"/>
  <c r="EO12" i="147"/>
  <c r="EN12" i="147"/>
  <c r="EC12" i="147"/>
  <c r="EB12" i="147"/>
  <c r="EA12" i="147"/>
  <c r="DE12" i="147"/>
  <c r="DD12" i="147" s="1"/>
  <c r="BK12" i="147"/>
  <c r="BJ12" i="147"/>
  <c r="BI12" i="147"/>
  <c r="BH12" i="147"/>
  <c r="AN12" i="147"/>
  <c r="AM12" i="147"/>
  <c r="Q12" i="147"/>
  <c r="P12" i="147"/>
  <c r="H12" i="147"/>
  <c r="G12" i="147"/>
  <c r="F12" i="147"/>
  <c r="E12" i="147"/>
  <c r="D12" i="147"/>
  <c r="C12" i="147"/>
  <c r="D37" i="146"/>
  <c r="F37" i="146" s="1"/>
  <c r="D50" i="146" s="1"/>
  <c r="D36" i="146"/>
  <c r="F36" i="146" s="1"/>
  <c r="D35" i="146"/>
  <c r="F35" i="146" s="1"/>
  <c r="D34" i="146"/>
  <c r="F34" i="146" s="1"/>
  <c r="D33" i="146"/>
  <c r="F33" i="146" s="1"/>
  <c r="D46" i="146" s="1"/>
  <c r="AK22" i="146"/>
  <c r="T22" i="146"/>
  <c r="S22" i="146"/>
  <c r="R22" i="146"/>
  <c r="Q22" i="146"/>
  <c r="P22" i="146"/>
  <c r="K22" i="146"/>
  <c r="J22" i="146"/>
  <c r="I22" i="146"/>
  <c r="H22" i="146"/>
  <c r="G22" i="146"/>
  <c r="F22" i="146"/>
  <c r="E22" i="146"/>
  <c r="C35" i="146" s="1"/>
  <c r="D22" i="146"/>
  <c r="C22" i="146"/>
  <c r="AK21" i="146"/>
  <c r="T21" i="146"/>
  <c r="S21" i="146"/>
  <c r="R21" i="146"/>
  <c r="Q21" i="146"/>
  <c r="P21" i="146"/>
  <c r="K21" i="146"/>
  <c r="J21" i="146"/>
  <c r="I21" i="146"/>
  <c r="H21" i="146"/>
  <c r="G21" i="146"/>
  <c r="F21" i="146"/>
  <c r="E21" i="146"/>
  <c r="D21" i="146"/>
  <c r="C21" i="146"/>
  <c r="AK20" i="146"/>
  <c r="T20" i="146"/>
  <c r="S20" i="146"/>
  <c r="R20" i="146"/>
  <c r="Q20" i="146"/>
  <c r="P20" i="146"/>
  <c r="K20" i="146"/>
  <c r="J20" i="146"/>
  <c r="I20" i="146"/>
  <c r="H20" i="146"/>
  <c r="G20" i="146"/>
  <c r="F20" i="146"/>
  <c r="E20" i="146"/>
  <c r="D20" i="146"/>
  <c r="C20" i="146"/>
  <c r="AK19" i="146"/>
  <c r="T19" i="146"/>
  <c r="S19" i="146"/>
  <c r="R19" i="146"/>
  <c r="Q19" i="146"/>
  <c r="P19" i="146"/>
  <c r="K19" i="146"/>
  <c r="J19" i="146"/>
  <c r="I19" i="146"/>
  <c r="H19" i="146"/>
  <c r="G19" i="146"/>
  <c r="F19" i="146"/>
  <c r="E19" i="146"/>
  <c r="D19" i="146"/>
  <c r="C19" i="146"/>
  <c r="AK18" i="146"/>
  <c r="T18" i="146"/>
  <c r="S18" i="146"/>
  <c r="R18" i="146"/>
  <c r="Q18" i="146"/>
  <c r="P18" i="146"/>
  <c r="K18" i="146"/>
  <c r="J18" i="146"/>
  <c r="I18" i="146"/>
  <c r="H18" i="146"/>
  <c r="G18" i="146"/>
  <c r="F18" i="146"/>
  <c r="E18" i="146"/>
  <c r="D18" i="146"/>
  <c r="C18" i="146"/>
  <c r="AK17" i="146"/>
  <c r="T17" i="146"/>
  <c r="S17" i="146"/>
  <c r="R17" i="146"/>
  <c r="Q17" i="146"/>
  <c r="P17" i="146"/>
  <c r="K17" i="146"/>
  <c r="J17" i="146"/>
  <c r="I17" i="146"/>
  <c r="H17" i="146"/>
  <c r="G17" i="146"/>
  <c r="F17" i="146"/>
  <c r="E17" i="146"/>
  <c r="D17" i="146"/>
  <c r="C17" i="146"/>
  <c r="AK16" i="146"/>
  <c r="T16" i="146"/>
  <c r="S16" i="146"/>
  <c r="R16" i="146"/>
  <c r="Q16" i="146"/>
  <c r="P16" i="146"/>
  <c r="K16" i="146"/>
  <c r="J16" i="146"/>
  <c r="I16" i="146"/>
  <c r="H16" i="146"/>
  <c r="G16" i="146"/>
  <c r="F16" i="146"/>
  <c r="E16" i="146"/>
  <c r="D16" i="146"/>
  <c r="C16" i="146"/>
  <c r="AK15" i="146"/>
  <c r="T15" i="146"/>
  <c r="S15" i="146"/>
  <c r="R15" i="146"/>
  <c r="Q15" i="146"/>
  <c r="P15" i="146"/>
  <c r="K15" i="146"/>
  <c r="J15" i="146"/>
  <c r="I15" i="146"/>
  <c r="H15" i="146"/>
  <c r="G15" i="146"/>
  <c r="F15" i="146"/>
  <c r="E15" i="146"/>
  <c r="D15" i="146"/>
  <c r="C15" i="146"/>
  <c r="AK14" i="146"/>
  <c r="T14" i="146"/>
  <c r="S14" i="146"/>
  <c r="R14" i="146"/>
  <c r="Q14" i="146"/>
  <c r="P14" i="146"/>
  <c r="K14" i="146"/>
  <c r="J14" i="146"/>
  <c r="I14" i="146"/>
  <c r="H14" i="146"/>
  <c r="G14" i="146"/>
  <c r="F14" i="146"/>
  <c r="E14" i="146"/>
  <c r="D14" i="146"/>
  <c r="C14" i="146"/>
  <c r="AK13" i="146"/>
  <c r="T13" i="146"/>
  <c r="S13" i="146"/>
  <c r="R13" i="146"/>
  <c r="Q13" i="146"/>
  <c r="P13" i="146"/>
  <c r="K13" i="146"/>
  <c r="J13" i="146"/>
  <c r="I13" i="146"/>
  <c r="H13" i="146"/>
  <c r="G13" i="146"/>
  <c r="F13" i="146"/>
  <c r="E13" i="146"/>
  <c r="D13" i="146"/>
  <c r="C13" i="146"/>
  <c r="AK12" i="146"/>
  <c r="T12" i="146"/>
  <c r="S12" i="146"/>
  <c r="R12" i="146"/>
  <c r="Q12" i="146"/>
  <c r="P12" i="146"/>
  <c r="AS12" i="146" s="1"/>
  <c r="K12" i="146"/>
  <c r="J12" i="146"/>
  <c r="I12" i="146"/>
  <c r="H12" i="146"/>
  <c r="G12" i="146"/>
  <c r="F12" i="146"/>
  <c r="E12" i="146"/>
  <c r="D12" i="146"/>
  <c r="C12" i="146"/>
  <c r="FA22" i="145"/>
  <c r="EZ22" i="145" s="1"/>
  <c r="ET22" i="145"/>
  <c r="ES22" i="145"/>
  <c r="ER22" i="145"/>
  <c r="EQ22" i="145"/>
  <c r="EO22" i="145"/>
  <c r="EN22" i="145"/>
  <c r="EL22" i="145"/>
  <c r="EK22" i="145"/>
  <c r="EJ22" i="145"/>
  <c r="EI22" i="145"/>
  <c r="EC22" i="145"/>
  <c r="EB22" i="145"/>
  <c r="EA22" i="145"/>
  <c r="DE22" i="145"/>
  <c r="DD22" i="145" s="1"/>
  <c r="DB22" i="145"/>
  <c r="DA22" i="145"/>
  <c r="CN22" i="145"/>
  <c r="CM22" i="145"/>
  <c r="CL22" i="145"/>
  <c r="CK22" i="145"/>
  <c r="BK22" i="145"/>
  <c r="BJ22" i="145"/>
  <c r="BI22" i="145"/>
  <c r="BH22" i="145"/>
  <c r="AN22" i="145"/>
  <c r="AM22" i="145"/>
  <c r="V22" i="145"/>
  <c r="U22" i="145"/>
  <c r="T22" i="145"/>
  <c r="S22" i="145"/>
  <c r="Q22" i="145"/>
  <c r="P22" i="145"/>
  <c r="N22" i="145"/>
  <c r="M22" i="145"/>
  <c r="L22" i="145"/>
  <c r="K22" i="145"/>
  <c r="H22" i="145"/>
  <c r="G22" i="145"/>
  <c r="F22" i="145"/>
  <c r="E22" i="145"/>
  <c r="D22" i="145"/>
  <c r="C22" i="145"/>
  <c r="FA21" i="145"/>
  <c r="EZ21" i="145" s="1"/>
  <c r="EO21" i="145"/>
  <c r="EN21" i="145"/>
  <c r="EC21" i="145"/>
  <c r="EB21" i="145"/>
  <c r="EA21" i="145"/>
  <c r="DE21" i="145"/>
  <c r="DD21" i="145" s="1"/>
  <c r="BK21" i="145"/>
  <c r="BJ21" i="145"/>
  <c r="BI21" i="145"/>
  <c r="BH21" i="145"/>
  <c r="AN21" i="145"/>
  <c r="AM21" i="145"/>
  <c r="Q21" i="145"/>
  <c r="P21" i="145"/>
  <c r="H21" i="145"/>
  <c r="G21" i="145"/>
  <c r="F21" i="145"/>
  <c r="E21" i="145"/>
  <c r="D21" i="145"/>
  <c r="C21" i="145"/>
  <c r="FA20" i="145"/>
  <c r="EZ20" i="145" s="1"/>
  <c r="EO20" i="145"/>
  <c r="EN20" i="145"/>
  <c r="EC20" i="145"/>
  <c r="EB20" i="145"/>
  <c r="EA20" i="145"/>
  <c r="DE20" i="145"/>
  <c r="DD20" i="145" s="1"/>
  <c r="BK20" i="145"/>
  <c r="BJ20" i="145"/>
  <c r="BI20" i="145"/>
  <c r="BH20" i="145"/>
  <c r="AN20" i="145"/>
  <c r="AM20" i="145"/>
  <c r="Q20" i="145"/>
  <c r="P20" i="145"/>
  <c r="H20" i="145"/>
  <c r="G20" i="145"/>
  <c r="F20" i="145"/>
  <c r="E20" i="145"/>
  <c r="D20" i="145"/>
  <c r="C20" i="145"/>
  <c r="O20" i="145" s="1"/>
  <c r="FA19" i="145"/>
  <c r="EZ19" i="145" s="1"/>
  <c r="EO19" i="145"/>
  <c r="EN19" i="145"/>
  <c r="EC19" i="145"/>
  <c r="EB19" i="145"/>
  <c r="EA19" i="145"/>
  <c r="DE19" i="145"/>
  <c r="DD19" i="145" s="1"/>
  <c r="BK19" i="145"/>
  <c r="BJ19" i="145"/>
  <c r="BI19" i="145"/>
  <c r="BH19" i="145"/>
  <c r="AN19" i="145"/>
  <c r="AM19" i="145"/>
  <c r="Q19" i="145"/>
  <c r="P19" i="145"/>
  <c r="H19" i="145"/>
  <c r="G19" i="145"/>
  <c r="F19" i="145"/>
  <c r="E19" i="145"/>
  <c r="D19" i="145"/>
  <c r="C19" i="145"/>
  <c r="FA18" i="145"/>
  <c r="EZ18" i="145" s="1"/>
  <c r="EO18" i="145"/>
  <c r="EN18" i="145"/>
  <c r="EC18" i="145"/>
  <c r="EB18" i="145"/>
  <c r="EA18" i="145"/>
  <c r="DE18" i="145"/>
  <c r="DD18" i="145" s="1"/>
  <c r="BK18" i="145"/>
  <c r="BJ18" i="145"/>
  <c r="BI18" i="145"/>
  <c r="BH18" i="145"/>
  <c r="AN18" i="145"/>
  <c r="AM18" i="145"/>
  <c r="Q18" i="145"/>
  <c r="P18" i="145"/>
  <c r="H18" i="145"/>
  <c r="G18" i="145"/>
  <c r="F18" i="145"/>
  <c r="E18" i="145"/>
  <c r="D18" i="145"/>
  <c r="C18" i="145"/>
  <c r="FA17" i="145"/>
  <c r="EZ17" i="145" s="1"/>
  <c r="EO17" i="145"/>
  <c r="EN17" i="145"/>
  <c r="EC17" i="145"/>
  <c r="EB17" i="145"/>
  <c r="EA17" i="145"/>
  <c r="DE17" i="145"/>
  <c r="DD17" i="145" s="1"/>
  <c r="BK17" i="145"/>
  <c r="BJ17" i="145"/>
  <c r="BI17" i="145"/>
  <c r="BH17" i="145"/>
  <c r="AN17" i="145"/>
  <c r="AM17" i="145"/>
  <c r="Q17" i="145"/>
  <c r="P17" i="145"/>
  <c r="H17" i="145"/>
  <c r="G17" i="145"/>
  <c r="F17" i="145"/>
  <c r="E17" i="145"/>
  <c r="D17" i="145"/>
  <c r="C17" i="145"/>
  <c r="FA16" i="145"/>
  <c r="EZ16" i="145" s="1"/>
  <c r="EO16" i="145"/>
  <c r="EN16" i="145"/>
  <c r="EC16" i="145"/>
  <c r="EB16" i="145"/>
  <c r="EA16" i="145"/>
  <c r="DE16" i="145"/>
  <c r="DD16" i="145" s="1"/>
  <c r="BK16" i="145"/>
  <c r="BJ16" i="145"/>
  <c r="BI16" i="145"/>
  <c r="BH16" i="145"/>
  <c r="AN16" i="145"/>
  <c r="AM16" i="145"/>
  <c r="Q16" i="145"/>
  <c r="P16" i="145"/>
  <c r="H16" i="145"/>
  <c r="G16" i="145"/>
  <c r="F16" i="145"/>
  <c r="E16" i="145"/>
  <c r="D16" i="145"/>
  <c r="C16" i="145"/>
  <c r="FA15" i="145"/>
  <c r="EZ15" i="145" s="1"/>
  <c r="EO15" i="145"/>
  <c r="EN15" i="145"/>
  <c r="EC15" i="145"/>
  <c r="EB15" i="145"/>
  <c r="EA15" i="145"/>
  <c r="DE15" i="145"/>
  <c r="DD15" i="145" s="1"/>
  <c r="BK15" i="145"/>
  <c r="BJ15" i="145"/>
  <c r="BI15" i="145"/>
  <c r="BH15" i="145"/>
  <c r="AN15" i="145"/>
  <c r="AM15" i="145"/>
  <c r="Q15" i="145"/>
  <c r="P15" i="145"/>
  <c r="H15" i="145"/>
  <c r="G15" i="145"/>
  <c r="F15" i="145"/>
  <c r="E15" i="145"/>
  <c r="D15" i="145"/>
  <c r="C15" i="145"/>
  <c r="FA14" i="145"/>
  <c r="EZ14" i="145" s="1"/>
  <c r="EO14" i="145"/>
  <c r="EN14" i="145"/>
  <c r="EC14" i="145"/>
  <c r="EB14" i="145"/>
  <c r="EA14" i="145"/>
  <c r="DE14" i="145"/>
  <c r="DD14" i="145" s="1"/>
  <c r="BK14" i="145"/>
  <c r="BJ14" i="145"/>
  <c r="BI14" i="145"/>
  <c r="BH14" i="145"/>
  <c r="AN14" i="145"/>
  <c r="AM14" i="145"/>
  <c r="Q14" i="145"/>
  <c r="P14" i="145"/>
  <c r="H14" i="145"/>
  <c r="G14" i="145"/>
  <c r="F14" i="145"/>
  <c r="E14" i="145"/>
  <c r="D14" i="145"/>
  <c r="C14" i="145"/>
  <c r="O14" i="145" s="1"/>
  <c r="FA13" i="145"/>
  <c r="EZ13" i="145" s="1"/>
  <c r="EO13" i="145"/>
  <c r="EN13" i="145"/>
  <c r="EC13" i="145"/>
  <c r="EB13" i="145"/>
  <c r="EA13" i="145"/>
  <c r="DE13" i="145"/>
  <c r="DD13" i="145" s="1"/>
  <c r="BK13" i="145"/>
  <c r="BJ13" i="145"/>
  <c r="BI13" i="145"/>
  <c r="BH13" i="145"/>
  <c r="AN13" i="145"/>
  <c r="AM13" i="145"/>
  <c r="Q13" i="145"/>
  <c r="P13" i="145"/>
  <c r="H13" i="145"/>
  <c r="G13" i="145"/>
  <c r="F13" i="145"/>
  <c r="E13" i="145"/>
  <c r="D13" i="145"/>
  <c r="C13" i="145"/>
  <c r="FA12" i="145"/>
  <c r="EZ12" i="145" s="1"/>
  <c r="EO12" i="145"/>
  <c r="EN12" i="145"/>
  <c r="EC12" i="145"/>
  <c r="EB12" i="145"/>
  <c r="EA12" i="145"/>
  <c r="DE12" i="145"/>
  <c r="DD12" i="145" s="1"/>
  <c r="BK12" i="145"/>
  <c r="BJ12" i="145"/>
  <c r="BI12" i="145"/>
  <c r="BH12" i="145"/>
  <c r="AN12" i="145"/>
  <c r="AM12" i="145"/>
  <c r="Q12" i="145"/>
  <c r="P12" i="145"/>
  <c r="H12" i="145"/>
  <c r="G12" i="145"/>
  <c r="F12" i="145"/>
  <c r="E12" i="145"/>
  <c r="D12" i="145"/>
  <c r="C12" i="145"/>
  <c r="F82" i="144"/>
  <c r="E82" i="144"/>
  <c r="G69" i="144"/>
  <c r="G82" i="144" s="1"/>
  <c r="F69" i="144"/>
  <c r="E69" i="144"/>
  <c r="D69" i="144"/>
  <c r="C69" i="144"/>
  <c r="C68" i="144"/>
  <c r="C81" i="144" s="1"/>
  <c r="C67" i="144"/>
  <c r="C80" i="144" s="1"/>
  <c r="C66" i="144"/>
  <c r="C79" i="144" s="1"/>
  <c r="C65" i="144"/>
  <c r="W50" i="144"/>
  <c r="D50" i="144"/>
  <c r="W49" i="144"/>
  <c r="D49" i="144"/>
  <c r="W48" i="144"/>
  <c r="D48" i="144"/>
  <c r="W47" i="144"/>
  <c r="D47" i="144"/>
  <c r="W46" i="144"/>
  <c r="D46" i="144"/>
  <c r="E37" i="144"/>
  <c r="C37" i="144"/>
  <c r="G36" i="144"/>
  <c r="H36" i="144" s="1"/>
  <c r="E36" i="144"/>
  <c r="C36" i="144"/>
  <c r="V49" i="144" s="1"/>
  <c r="E35" i="144"/>
  <c r="C35" i="144"/>
  <c r="E34" i="144"/>
  <c r="C34" i="144"/>
  <c r="G34" i="144" s="1"/>
  <c r="H34" i="144" s="1"/>
  <c r="E33" i="144"/>
  <c r="C33" i="144"/>
  <c r="G33" i="144" s="1"/>
  <c r="U22" i="144"/>
  <c r="U21" i="144"/>
  <c r="U20" i="144"/>
  <c r="U19" i="144"/>
  <c r="U18" i="144"/>
  <c r="U17" i="144"/>
  <c r="U16" i="144"/>
  <c r="U15" i="144"/>
  <c r="U14" i="144"/>
  <c r="U13" i="144"/>
  <c r="U12" i="144"/>
  <c r="FE22" i="143"/>
  <c r="FD22" i="143"/>
  <c r="FC22" i="143"/>
  <c r="FB22" i="143"/>
  <c r="EZ22" i="143"/>
  <c r="EW22" i="143"/>
  <c r="EV22" i="143"/>
  <c r="EP22" i="143"/>
  <c r="DD22" i="143"/>
  <c r="DC22" i="143"/>
  <c r="CV22" i="143"/>
  <c r="CU22" i="143"/>
  <c r="CX22" i="143" s="1"/>
  <c r="CT22" i="143"/>
  <c r="CS22" i="143"/>
  <c r="CR22" i="143"/>
  <c r="CP22" i="143"/>
  <c r="CO22" i="143"/>
  <c r="BO22" i="143"/>
  <c r="BN22" i="143"/>
  <c r="BM22" i="143"/>
  <c r="BL22" i="143"/>
  <c r="AN22" i="143"/>
  <c r="AG22" i="143"/>
  <c r="BG22" i="143" s="1"/>
  <c r="AF22" i="143"/>
  <c r="BF22" i="143" s="1"/>
  <c r="AE22" i="143"/>
  <c r="AD22" i="143"/>
  <c r="BE22" i="143" s="1"/>
  <c r="AB22" i="143"/>
  <c r="AC22" i="143" s="1"/>
  <c r="AA22" i="143"/>
  <c r="Z22" i="143"/>
  <c r="Y22" i="143"/>
  <c r="X22" i="143"/>
  <c r="W22" i="143"/>
  <c r="R22" i="143"/>
  <c r="EZ21" i="143"/>
  <c r="EW21" i="143"/>
  <c r="EV21" i="143"/>
  <c r="EU21" i="143"/>
  <c r="EP21" i="143"/>
  <c r="EM21" i="143"/>
  <c r="DD21" i="143"/>
  <c r="BS21" i="143"/>
  <c r="BO21" i="143"/>
  <c r="BN21" i="143"/>
  <c r="BM21" i="143"/>
  <c r="BL21" i="143"/>
  <c r="AN21" i="143"/>
  <c r="AB21" i="143"/>
  <c r="AC21" i="143" s="1"/>
  <c r="AA21" i="143"/>
  <c r="Z21" i="143"/>
  <c r="Y21" i="143"/>
  <c r="X21" i="143"/>
  <c r="W21" i="143"/>
  <c r="R21" i="143"/>
  <c r="O21" i="143"/>
  <c r="EZ20" i="143"/>
  <c r="EW20" i="143"/>
  <c r="EV20" i="143"/>
  <c r="EU20" i="143"/>
  <c r="EP20" i="143"/>
  <c r="EM20" i="143"/>
  <c r="DD20" i="143"/>
  <c r="BS20" i="143"/>
  <c r="BO20" i="143"/>
  <c r="BN20" i="143"/>
  <c r="BM20" i="143"/>
  <c r="BL20" i="143"/>
  <c r="AN20" i="143"/>
  <c r="AB20" i="143"/>
  <c r="AC20" i="143" s="1"/>
  <c r="AA20" i="143"/>
  <c r="Z20" i="143"/>
  <c r="Y20" i="143"/>
  <c r="X20" i="143"/>
  <c r="W20" i="143"/>
  <c r="R20" i="143"/>
  <c r="O20" i="143"/>
  <c r="EZ19" i="143"/>
  <c r="EW19" i="143"/>
  <c r="EV19" i="143"/>
  <c r="EU19" i="143"/>
  <c r="EP19" i="143"/>
  <c r="EM19" i="143"/>
  <c r="DD19" i="143"/>
  <c r="BS19" i="143"/>
  <c r="BO19" i="143"/>
  <c r="BN19" i="143"/>
  <c r="BM19" i="143"/>
  <c r="BL19" i="143"/>
  <c r="AN19" i="143"/>
  <c r="AB19" i="143"/>
  <c r="AC19" i="143" s="1"/>
  <c r="AA19" i="143"/>
  <c r="Z19" i="143"/>
  <c r="Y19" i="143"/>
  <c r="X19" i="143"/>
  <c r="W19" i="143"/>
  <c r="R19" i="143"/>
  <c r="O19" i="143"/>
  <c r="EZ18" i="143"/>
  <c r="EW18" i="143"/>
  <c r="EV18" i="143"/>
  <c r="EU18" i="143"/>
  <c r="EP18" i="143"/>
  <c r="EM18" i="143"/>
  <c r="DD18" i="143"/>
  <c r="BS18" i="143"/>
  <c r="BO18" i="143"/>
  <c r="BN18" i="143"/>
  <c r="BM18" i="143"/>
  <c r="BL18" i="143"/>
  <c r="AN18" i="143"/>
  <c r="AB18" i="143"/>
  <c r="AC18" i="143" s="1"/>
  <c r="AA18" i="143"/>
  <c r="Z18" i="143"/>
  <c r="Y18" i="143"/>
  <c r="X18" i="143"/>
  <c r="W18" i="143"/>
  <c r="R18" i="143"/>
  <c r="O18" i="143"/>
  <c r="EZ17" i="143"/>
  <c r="EW17" i="143"/>
  <c r="EV17" i="143"/>
  <c r="EU17" i="143"/>
  <c r="EP17" i="143"/>
  <c r="EM17" i="143"/>
  <c r="DD17" i="143"/>
  <c r="BS17" i="143"/>
  <c r="BO17" i="143"/>
  <c r="BN17" i="143"/>
  <c r="BM17" i="143"/>
  <c r="BL17" i="143"/>
  <c r="AN17" i="143"/>
  <c r="AB17" i="143"/>
  <c r="AC17" i="143" s="1"/>
  <c r="AA17" i="143"/>
  <c r="Z17" i="143"/>
  <c r="Y17" i="143"/>
  <c r="X17" i="143"/>
  <c r="W17" i="143"/>
  <c r="R17" i="143"/>
  <c r="O17" i="143"/>
  <c r="EZ16" i="143"/>
  <c r="EW16" i="143"/>
  <c r="EV16" i="143"/>
  <c r="EU16" i="143"/>
  <c r="EP16" i="143"/>
  <c r="EM16" i="143"/>
  <c r="DD16" i="143"/>
  <c r="BS16" i="143"/>
  <c r="BO16" i="143"/>
  <c r="BN16" i="143"/>
  <c r="BM16" i="143"/>
  <c r="BL16" i="143"/>
  <c r="AN16" i="143"/>
  <c r="AB16" i="143"/>
  <c r="AC16" i="143" s="1"/>
  <c r="AA16" i="143"/>
  <c r="Z16" i="143"/>
  <c r="Y16" i="143"/>
  <c r="X16" i="143"/>
  <c r="W16" i="143"/>
  <c r="R16" i="143"/>
  <c r="O16" i="143"/>
  <c r="EZ15" i="143"/>
  <c r="EW15" i="143"/>
  <c r="EV15" i="143"/>
  <c r="EU15" i="143"/>
  <c r="EP15" i="143"/>
  <c r="EM15" i="143"/>
  <c r="DD15" i="143"/>
  <c r="BS15" i="143"/>
  <c r="BO15" i="143"/>
  <c r="BN15" i="143"/>
  <c r="BM15" i="143"/>
  <c r="BL15" i="143"/>
  <c r="AN15" i="143"/>
  <c r="AB15" i="143"/>
  <c r="AC15" i="143" s="1"/>
  <c r="AA15" i="143"/>
  <c r="Z15" i="143"/>
  <c r="Y15" i="143"/>
  <c r="X15" i="143"/>
  <c r="W15" i="143"/>
  <c r="R15" i="143"/>
  <c r="O15" i="143"/>
  <c r="EZ14" i="143"/>
  <c r="EW14" i="143"/>
  <c r="EV14" i="143"/>
  <c r="EU14" i="143"/>
  <c r="EP14" i="143"/>
  <c r="EM14" i="143"/>
  <c r="DD14" i="143"/>
  <c r="BS14" i="143"/>
  <c r="BO14" i="143"/>
  <c r="BN14" i="143"/>
  <c r="BM14" i="143"/>
  <c r="BL14" i="143"/>
  <c r="AN14" i="143"/>
  <c r="AB14" i="143"/>
  <c r="AC14" i="143" s="1"/>
  <c r="AA14" i="143"/>
  <c r="Z14" i="143"/>
  <c r="Y14" i="143"/>
  <c r="X14" i="143"/>
  <c r="W14" i="143"/>
  <c r="R14" i="143"/>
  <c r="O14" i="143"/>
  <c r="EZ13" i="143"/>
  <c r="EW13" i="143"/>
  <c r="EV13" i="143"/>
  <c r="EU13" i="143"/>
  <c r="EP13" i="143"/>
  <c r="EM13" i="143"/>
  <c r="DD13" i="143"/>
  <c r="BS13" i="143"/>
  <c r="BO13" i="143"/>
  <c r="BN13" i="143"/>
  <c r="BM13" i="143"/>
  <c r="BL13" i="143"/>
  <c r="AN13" i="143"/>
  <c r="AB13" i="143"/>
  <c r="AC13" i="143" s="1"/>
  <c r="AA13" i="143"/>
  <c r="Z13" i="143"/>
  <c r="Y13" i="143"/>
  <c r="X13" i="143"/>
  <c r="W13" i="143"/>
  <c r="R13" i="143"/>
  <c r="O13" i="143"/>
  <c r="EZ12" i="143"/>
  <c r="EW12" i="143"/>
  <c r="EV12" i="143"/>
  <c r="EU12" i="143"/>
  <c r="EP12" i="143"/>
  <c r="EM12" i="143"/>
  <c r="DD12" i="143"/>
  <c r="BS12" i="143"/>
  <c r="BO12" i="143"/>
  <c r="BN12" i="143"/>
  <c r="BM12" i="143"/>
  <c r="BL12" i="143"/>
  <c r="AN12" i="143"/>
  <c r="AB12" i="143"/>
  <c r="AC12" i="143" s="1"/>
  <c r="AA12" i="143"/>
  <c r="Z12" i="143"/>
  <c r="Y12" i="143"/>
  <c r="X12" i="143"/>
  <c r="W12" i="143"/>
  <c r="R12" i="143"/>
  <c r="O12" i="143"/>
  <c r="R21" i="154" a="1"/>
  <c r="Q21" i="154" a="1"/>
  <c r="AM22" i="144" a="1"/>
  <c r="AM16" i="144" a="1"/>
  <c r="AM14" i="144" a="1"/>
  <c r="AM18" i="144" a="1"/>
  <c r="AM20" i="144" a="1"/>
  <c r="J195" i="28" a="1"/>
  <c r="S21" i="154" a="1"/>
  <c r="AM13" i="144" a="1"/>
  <c r="H272" i="28" a="1"/>
  <c r="O21" i="154" a="1"/>
  <c r="AM21" i="144" a="1"/>
  <c r="AM17" i="144" a="1"/>
  <c r="I315" i="36" a="1"/>
  <c r="AM12" i="144" a="1"/>
  <c r="AM19" i="144" a="1"/>
  <c r="U21" i="154" a="1"/>
  <c r="T21" i="154" a="1"/>
  <c r="G272" i="28" a="1"/>
  <c r="AM15" i="144" a="1"/>
  <c r="R18" i="147" l="1"/>
  <c r="F69" i="149"/>
  <c r="EP19" i="145"/>
  <c r="BS21" i="145"/>
  <c r="BM14" i="145"/>
  <c r="EP17" i="145"/>
  <c r="EP22" i="145"/>
  <c r="R19" i="145"/>
  <c r="EU13" i="145"/>
  <c r="BO21" i="147"/>
  <c r="AS13" i="146"/>
  <c r="AS21" i="146"/>
  <c r="EM20" i="145"/>
  <c r="U16" i="146"/>
  <c r="AQ16" i="146" s="1"/>
  <c r="AR16" i="146" s="1"/>
  <c r="BS14" i="147"/>
  <c r="EP13" i="145"/>
  <c r="O19" i="147"/>
  <c r="AS19" i="149"/>
  <c r="U14" i="146"/>
  <c r="AQ14" i="146" s="1"/>
  <c r="AR14" i="146" s="1"/>
  <c r="U16" i="149"/>
  <c r="AQ16" i="149" s="1"/>
  <c r="AR16" i="149" s="1"/>
  <c r="AS18" i="149"/>
  <c r="AS15" i="149"/>
  <c r="C65" i="149"/>
  <c r="AS18" i="146"/>
  <c r="C68" i="149"/>
  <c r="C81" i="149" s="1"/>
  <c r="U15" i="149"/>
  <c r="AQ15" i="149" s="1"/>
  <c r="AR15" i="149" s="1"/>
  <c r="AP15" i="149" s="1"/>
  <c r="C69" i="149"/>
  <c r="D69" i="149"/>
  <c r="AS17" i="149"/>
  <c r="R17" i="145"/>
  <c r="Y12" i="147"/>
  <c r="Z21" i="147"/>
  <c r="AW15" i="143"/>
  <c r="BS20" i="147"/>
  <c r="BN16" i="145"/>
  <c r="EP18" i="145"/>
  <c r="DC22" i="145"/>
  <c r="EU16" i="145"/>
  <c r="EP16" i="145"/>
  <c r="W19" i="145"/>
  <c r="AH19" i="145" s="1"/>
  <c r="W15" i="147"/>
  <c r="EV17" i="147"/>
  <c r="W20" i="147"/>
  <c r="R13" i="147"/>
  <c r="EW17" i="147"/>
  <c r="X20" i="147"/>
  <c r="EV16" i="147"/>
  <c r="Y20" i="147"/>
  <c r="BO18" i="145"/>
  <c r="EW16" i="147"/>
  <c r="BO17" i="145"/>
  <c r="CO22" i="145"/>
  <c r="R13" i="145"/>
  <c r="BS19" i="147"/>
  <c r="BO20" i="147"/>
  <c r="FC22" i="147"/>
  <c r="R12" i="145"/>
  <c r="W20" i="145"/>
  <c r="BM20" i="147"/>
  <c r="EM21" i="147"/>
  <c r="EP15" i="145"/>
  <c r="O17" i="145"/>
  <c r="O18" i="145"/>
  <c r="AA20" i="145"/>
  <c r="AB20" i="145" s="1"/>
  <c r="AC20" i="145" s="1"/>
  <c r="X15" i="147"/>
  <c r="EM20" i="147"/>
  <c r="W17" i="145"/>
  <c r="Z19" i="145"/>
  <c r="BN22" i="147"/>
  <c r="Z15" i="147"/>
  <c r="BS16" i="147"/>
  <c r="EW14" i="145"/>
  <c r="EM19" i="147"/>
  <c r="CZ22" i="143"/>
  <c r="O15" i="145"/>
  <c r="BM17" i="147"/>
  <c r="EY19" i="143"/>
  <c r="EM18" i="147"/>
  <c r="EU19" i="147"/>
  <c r="O21" i="147"/>
  <c r="AM22" i="144"/>
  <c r="G272" i="28"/>
  <c r="AM14" i="144"/>
  <c r="AO14" i="144" s="1"/>
  <c r="AM13" i="144"/>
  <c r="AO13" i="144" s="1"/>
  <c r="AM21" i="144"/>
  <c r="AO21" i="144" s="1"/>
  <c r="AM20" i="144"/>
  <c r="AO20" i="144" s="1"/>
  <c r="AM12" i="144"/>
  <c r="AO12" i="144" s="1"/>
  <c r="AM19" i="144"/>
  <c r="AM18" i="144"/>
  <c r="AN18" i="144" s="1"/>
  <c r="AM17" i="144"/>
  <c r="AO17" i="144" s="1"/>
  <c r="H272" i="28"/>
  <c r="J195" i="28"/>
  <c r="AM16" i="144"/>
  <c r="AN16" i="144" s="1"/>
  <c r="AM15" i="144"/>
  <c r="AO15" i="144" s="1"/>
  <c r="AQ13" i="144"/>
  <c r="AR13" i="144" s="1"/>
  <c r="CP22" i="145"/>
  <c r="AQ20" i="149"/>
  <c r="EP14" i="145"/>
  <c r="X20" i="145"/>
  <c r="BO16" i="147"/>
  <c r="BL22" i="147"/>
  <c r="EV14" i="145"/>
  <c r="Y20" i="145"/>
  <c r="R12" i="147"/>
  <c r="EP19" i="147"/>
  <c r="BM22" i="147"/>
  <c r="AQ20" i="144"/>
  <c r="AR20" i="144"/>
  <c r="X17" i="145"/>
  <c r="Y19" i="145"/>
  <c r="W21" i="145"/>
  <c r="AS17" i="146"/>
  <c r="EU18" i="147"/>
  <c r="O20" i="147"/>
  <c r="H24" i="144"/>
  <c r="AR23" i="144"/>
  <c r="AQ18" i="144"/>
  <c r="AR18" i="144" s="1"/>
  <c r="Z17" i="145"/>
  <c r="AA19" i="145"/>
  <c r="AB19" i="145" s="1"/>
  <c r="AC19" i="145" s="1"/>
  <c r="CV22" i="145"/>
  <c r="X15" i="145"/>
  <c r="Y16" i="145"/>
  <c r="BL21" i="145"/>
  <c r="EU17" i="147"/>
  <c r="AQ16" i="144"/>
  <c r="AR16" i="144" s="1"/>
  <c r="Y15" i="145"/>
  <c r="U21" i="146"/>
  <c r="EW14" i="147"/>
  <c r="EU15" i="147"/>
  <c r="EP16" i="147"/>
  <c r="EP17" i="147"/>
  <c r="Z20" i="147"/>
  <c r="Z15" i="145"/>
  <c r="AS16" i="146"/>
  <c r="AA15" i="145"/>
  <c r="AB15" i="145" s="1"/>
  <c r="AC15" i="145" s="1"/>
  <c r="AS20" i="146"/>
  <c r="Y19" i="147"/>
  <c r="AN16" i="149"/>
  <c r="AP16" i="149"/>
  <c r="AW22" i="143"/>
  <c r="FI22" i="143"/>
  <c r="EU14" i="145"/>
  <c r="EW13" i="147"/>
  <c r="O16" i="147"/>
  <c r="R20" i="147"/>
  <c r="AN20" i="149"/>
  <c r="AW13" i="143"/>
  <c r="AQ14" i="144"/>
  <c r="AR14" i="144" s="1"/>
  <c r="AH18" i="143"/>
  <c r="AJ18" i="143" s="1"/>
  <c r="AS18" i="143" s="1"/>
  <c r="BP22" i="143"/>
  <c r="BR22" i="143" s="1"/>
  <c r="AQ12" i="144"/>
  <c r="EV21" i="145"/>
  <c r="EU13" i="147"/>
  <c r="O15" i="147"/>
  <c r="W16" i="147"/>
  <c r="AV16" i="147" s="1"/>
  <c r="R21" i="147"/>
  <c r="CP22" i="147"/>
  <c r="AS13" i="149"/>
  <c r="CS22" i="145"/>
  <c r="BL17" i="145"/>
  <c r="BO20" i="145"/>
  <c r="C65" i="146"/>
  <c r="O17" i="147"/>
  <c r="AW21" i="143"/>
  <c r="BL16" i="145"/>
  <c r="BM17" i="145"/>
  <c r="AS15" i="146"/>
  <c r="C66" i="146"/>
  <c r="C79" i="146" s="1"/>
  <c r="Y16" i="147"/>
  <c r="R19" i="147"/>
  <c r="U21" i="149"/>
  <c r="AS21" i="149"/>
  <c r="AW17" i="143"/>
  <c r="AR21" i="144"/>
  <c r="AQ21" i="144"/>
  <c r="C47" i="144"/>
  <c r="BO14" i="145"/>
  <c r="BN17" i="145"/>
  <c r="EP21" i="145"/>
  <c r="O14" i="147"/>
  <c r="Y15" i="147"/>
  <c r="Z16" i="147"/>
  <c r="DC22" i="147"/>
  <c r="AA16" i="147"/>
  <c r="AB16" i="147" s="1"/>
  <c r="AC16" i="147" s="1"/>
  <c r="AG22" i="147"/>
  <c r="BG22" i="147" s="1"/>
  <c r="BO16" i="145"/>
  <c r="AS19" i="146"/>
  <c r="W13" i="147"/>
  <c r="AV13" i="147" s="1"/>
  <c r="AA15" i="147"/>
  <c r="AB15" i="147" s="1"/>
  <c r="AC15" i="147" s="1"/>
  <c r="BN20" i="147"/>
  <c r="U13" i="149"/>
  <c r="AQ13" i="149" s="1"/>
  <c r="AR13" i="149" s="1"/>
  <c r="AP13" i="149" s="1"/>
  <c r="BN15" i="145"/>
  <c r="X13" i="147"/>
  <c r="W22" i="147"/>
  <c r="BD22" i="147" s="1"/>
  <c r="AS12" i="149"/>
  <c r="AR19" i="144"/>
  <c r="AQ19" i="144"/>
  <c r="CQ22" i="143"/>
  <c r="AQ17" i="144"/>
  <c r="AR17" i="144" s="1"/>
  <c r="BL13" i="145"/>
  <c r="EP20" i="145"/>
  <c r="AS14" i="146"/>
  <c r="O12" i="147"/>
  <c r="Y13" i="147"/>
  <c r="R16" i="147"/>
  <c r="BS17" i="147"/>
  <c r="BL20" i="147"/>
  <c r="BN21" i="147"/>
  <c r="AS16" i="149"/>
  <c r="EU19" i="145"/>
  <c r="Z13" i="147"/>
  <c r="EW22" i="147"/>
  <c r="AS20" i="149"/>
  <c r="AW18" i="143"/>
  <c r="AH15" i="143"/>
  <c r="AJ15" i="143" s="1"/>
  <c r="AS15" i="143" s="1"/>
  <c r="CW22" i="143"/>
  <c r="CY22" i="143" s="1"/>
  <c r="AQ15" i="144"/>
  <c r="AR15" i="144" s="1"/>
  <c r="BO13" i="145"/>
  <c r="X12" i="147"/>
  <c r="FB22" i="147"/>
  <c r="R21" i="154"/>
  <c r="T21" i="154"/>
  <c r="S21" i="154"/>
  <c r="O21" i="154"/>
  <c r="U21" i="154"/>
  <c r="Q21" i="154"/>
  <c r="I315" i="36"/>
  <c r="G315" i="36" s="1"/>
  <c r="H315" i="36" s="1"/>
  <c r="AW15" i="147"/>
  <c r="O33" i="144"/>
  <c r="H33" i="144"/>
  <c r="Y46" i="144" s="1"/>
  <c r="V48" i="149"/>
  <c r="G35" i="149"/>
  <c r="H35" i="149" s="1"/>
  <c r="C48" i="149"/>
  <c r="C78" i="146"/>
  <c r="AV15" i="147"/>
  <c r="AH15" i="147"/>
  <c r="FG22" i="143"/>
  <c r="D82" i="144"/>
  <c r="V47" i="144"/>
  <c r="R16" i="145"/>
  <c r="Y17" i="145"/>
  <c r="X19" i="145"/>
  <c r="EV20" i="145"/>
  <c r="EY20" i="145" s="1"/>
  <c r="Z12" i="147"/>
  <c r="BM13" i="147"/>
  <c r="EP13" i="147"/>
  <c r="BM14" i="147"/>
  <c r="EU14" i="147"/>
  <c r="EW15" i="147"/>
  <c r="AA17" i="147"/>
  <c r="AB17" i="147" s="1"/>
  <c r="AC17" i="147" s="1"/>
  <c r="BN18" i="147"/>
  <c r="BO19" i="147"/>
  <c r="AA20" i="147"/>
  <c r="AB20" i="147" s="1"/>
  <c r="AC20" i="147" s="1"/>
  <c r="U19" i="149"/>
  <c r="AQ19" i="149" s="1"/>
  <c r="EY16" i="143"/>
  <c r="AH19" i="143"/>
  <c r="AA12" i="145"/>
  <c r="AB12" i="145" s="1"/>
  <c r="AC12" i="145" s="1"/>
  <c r="W13" i="145"/>
  <c r="AH13" i="145" s="1"/>
  <c r="R15" i="145"/>
  <c r="BO19" i="145"/>
  <c r="EW20" i="145"/>
  <c r="EW21" i="145"/>
  <c r="AG22" i="145"/>
  <c r="BG22" i="145" s="1"/>
  <c r="CR22" i="145"/>
  <c r="AA12" i="147"/>
  <c r="AB12" i="147" s="1"/>
  <c r="AC12" i="147" s="1"/>
  <c r="BL12" i="147"/>
  <c r="BN13" i="147"/>
  <c r="EV14" i="147"/>
  <c r="AA18" i="147"/>
  <c r="AB18" i="147" s="1"/>
  <c r="AC18" i="147" s="1"/>
  <c r="EU20" i="147"/>
  <c r="BL21" i="147"/>
  <c r="C33" i="149"/>
  <c r="C37" i="149"/>
  <c r="C46" i="144"/>
  <c r="C78" i="144"/>
  <c r="AA14" i="145"/>
  <c r="AB14" i="145" s="1"/>
  <c r="AC14" i="145" s="1"/>
  <c r="EM15" i="145"/>
  <c r="AA17" i="145"/>
  <c r="AB17" i="145" s="1"/>
  <c r="AC17" i="145" s="1"/>
  <c r="BN18" i="145"/>
  <c r="EU18" i="145"/>
  <c r="R20" i="145"/>
  <c r="U13" i="146"/>
  <c r="AQ13" i="146" s="1"/>
  <c r="AR13" i="146" s="1"/>
  <c r="C67" i="146"/>
  <c r="C80" i="146" s="1"/>
  <c r="C34" i="146"/>
  <c r="C47" i="146" s="1"/>
  <c r="EU12" i="147"/>
  <c r="EV20" i="147"/>
  <c r="EY20" i="147" s="1"/>
  <c r="BM21" i="147"/>
  <c r="BS15" i="147"/>
  <c r="FC22" i="145"/>
  <c r="EY21" i="143"/>
  <c r="BN14" i="145"/>
  <c r="X16" i="145"/>
  <c r="EM19" i="145"/>
  <c r="FH22" i="143"/>
  <c r="C36" i="149"/>
  <c r="V49" i="149" s="1"/>
  <c r="EY15" i="143"/>
  <c r="AW19" i="143"/>
  <c r="V46" i="144"/>
  <c r="C49" i="144"/>
  <c r="BL12" i="145"/>
  <c r="EW12" i="145"/>
  <c r="AV19" i="145"/>
  <c r="EV19" i="145"/>
  <c r="EY19" i="145" s="1"/>
  <c r="EU20" i="145"/>
  <c r="EU21" i="145"/>
  <c r="W17" i="147"/>
  <c r="AH17" i="147" s="1"/>
  <c r="EV19" i="147"/>
  <c r="F82" i="149"/>
  <c r="FB22" i="145"/>
  <c r="BO22" i="147"/>
  <c r="EY18" i="143"/>
  <c r="FF22" i="143"/>
  <c r="C82" i="144"/>
  <c r="EV12" i="145"/>
  <c r="Z16" i="145"/>
  <c r="AW19" i="145"/>
  <c r="EW19" i="145"/>
  <c r="BO22" i="145"/>
  <c r="AA13" i="147"/>
  <c r="AB13" i="147" s="1"/>
  <c r="AC13" i="147" s="1"/>
  <c r="EV13" i="147"/>
  <c r="W14" i="147"/>
  <c r="AW14" i="147" s="1"/>
  <c r="X16" i="147"/>
  <c r="X19" i="147"/>
  <c r="C67" i="149"/>
  <c r="C80" i="149" s="1"/>
  <c r="EV15" i="147"/>
  <c r="BS19" i="145"/>
  <c r="BS17" i="145"/>
  <c r="BS12" i="145"/>
  <c r="Z22" i="145"/>
  <c r="BS14" i="145"/>
  <c r="Y22" i="145"/>
  <c r="X22" i="145"/>
  <c r="BS13" i="145"/>
  <c r="W22" i="145"/>
  <c r="AW22" i="145" s="1"/>
  <c r="V48" i="146"/>
  <c r="C48" i="146"/>
  <c r="AH16" i="143"/>
  <c r="BL22" i="145"/>
  <c r="BD22" i="143"/>
  <c r="AH22" i="143"/>
  <c r="BN22" i="145"/>
  <c r="BS15" i="145"/>
  <c r="X18" i="145"/>
  <c r="W18" i="145"/>
  <c r="Z18" i="145"/>
  <c r="Y18" i="145"/>
  <c r="AV21" i="145"/>
  <c r="AW21" i="145"/>
  <c r="EY21" i="145"/>
  <c r="AH21" i="145"/>
  <c r="U22" i="146"/>
  <c r="E69" i="146"/>
  <c r="D69" i="146"/>
  <c r="EP15" i="147"/>
  <c r="AH20" i="147"/>
  <c r="AW20" i="147"/>
  <c r="EP12" i="147"/>
  <c r="BO17" i="147"/>
  <c r="AO12" i="143"/>
  <c r="AX12" i="143" s="1"/>
  <c r="AM12" i="143"/>
  <c r="AV12" i="143" s="1"/>
  <c r="AK12" i="143"/>
  <c r="AT12" i="143" s="1"/>
  <c r="AI12" i="143"/>
  <c r="AH12" i="143"/>
  <c r="AW12" i="143"/>
  <c r="AL12" i="143"/>
  <c r="AU12" i="143" s="1"/>
  <c r="EY12" i="143"/>
  <c r="AJ12" i="143"/>
  <c r="AS12" i="143" s="1"/>
  <c r="O13" i="145"/>
  <c r="Y13" i="145"/>
  <c r="AE22" i="145"/>
  <c r="BL17" i="147"/>
  <c r="W49" i="146"/>
  <c r="E36" i="146"/>
  <c r="D49" i="146"/>
  <c r="BM22" i="145"/>
  <c r="AK15" i="143"/>
  <c r="AT15" i="143" s="1"/>
  <c r="AW16" i="143"/>
  <c r="BS18" i="145"/>
  <c r="G34" i="146"/>
  <c r="H34" i="146" s="1"/>
  <c r="E34" i="146"/>
  <c r="D47" i="146"/>
  <c r="W47" i="146"/>
  <c r="AV20" i="147"/>
  <c r="EY22" i="143"/>
  <c r="Y12" i="145"/>
  <c r="EM14" i="145"/>
  <c r="AA14" i="147"/>
  <c r="AB14" i="147" s="1"/>
  <c r="AC14" i="147" s="1"/>
  <c r="Z14" i="147"/>
  <c r="Y14" i="147"/>
  <c r="R14" i="147"/>
  <c r="X14" i="147"/>
  <c r="AA21" i="145"/>
  <c r="AB21" i="145" s="1"/>
  <c r="AC21" i="145" s="1"/>
  <c r="Z21" i="145"/>
  <c r="R14" i="145"/>
  <c r="EY14" i="143"/>
  <c r="X14" i="145"/>
  <c r="Y21" i="145"/>
  <c r="BL18" i="147"/>
  <c r="EP20" i="147"/>
  <c r="U17" i="149"/>
  <c r="AQ17" i="149" s="1"/>
  <c r="AR17" i="149" s="1"/>
  <c r="AP17" i="149" s="1"/>
  <c r="EX22" i="143"/>
  <c r="EM13" i="145"/>
  <c r="Y14" i="145"/>
  <c r="BM19" i="145"/>
  <c r="BO13" i="147"/>
  <c r="BM18" i="147"/>
  <c r="EM15" i="147"/>
  <c r="FE22" i="147"/>
  <c r="EV22" i="147"/>
  <c r="EM14" i="147"/>
  <c r="D48" i="146"/>
  <c r="W48" i="146"/>
  <c r="G35" i="146"/>
  <c r="H35" i="146" s="1"/>
  <c r="E35" i="146"/>
  <c r="EW19" i="147"/>
  <c r="EM17" i="145"/>
  <c r="EV17" i="145"/>
  <c r="EY17" i="145" s="1"/>
  <c r="C36" i="146"/>
  <c r="G36" i="146" s="1"/>
  <c r="C68" i="146"/>
  <c r="C81" i="146" s="1"/>
  <c r="AJ15" i="147"/>
  <c r="AS15" i="147" s="1"/>
  <c r="G37" i="144"/>
  <c r="H37" i="144" s="1"/>
  <c r="EW17" i="145"/>
  <c r="BM15" i="147"/>
  <c r="BO15" i="147"/>
  <c r="BN15" i="147"/>
  <c r="BO18" i="147"/>
  <c r="AH14" i="143"/>
  <c r="AJ14" i="143" s="1"/>
  <c r="AS14" i="143" s="1"/>
  <c r="AK18" i="143"/>
  <c r="AT18" i="143" s="1"/>
  <c r="AW20" i="143"/>
  <c r="EY20" i="143"/>
  <c r="AH17" i="145"/>
  <c r="BL15" i="147"/>
  <c r="R18" i="145"/>
  <c r="AH20" i="145"/>
  <c r="AW20" i="145"/>
  <c r="AV20" i="145"/>
  <c r="EM16" i="145"/>
  <c r="BL14" i="147"/>
  <c r="BO14" i="147"/>
  <c r="AW14" i="143"/>
  <c r="AH17" i="143"/>
  <c r="EV13" i="145"/>
  <c r="EW16" i="145"/>
  <c r="W18" i="147"/>
  <c r="EV18" i="147"/>
  <c r="EV21" i="147"/>
  <c r="O12" i="145"/>
  <c r="Z12" i="145"/>
  <c r="X12" i="145"/>
  <c r="W12" i="145"/>
  <c r="EM18" i="145"/>
  <c r="EM21" i="145"/>
  <c r="EM12" i="145"/>
  <c r="FE22" i="145"/>
  <c r="BM12" i="145"/>
  <c r="BN12" i="145"/>
  <c r="EV18" i="145"/>
  <c r="X21" i="145"/>
  <c r="V50" i="144"/>
  <c r="C50" i="144"/>
  <c r="EV16" i="145"/>
  <c r="EY13" i="143"/>
  <c r="AH13" i="143"/>
  <c r="AJ13" i="143" s="1"/>
  <c r="AS13" i="143" s="1"/>
  <c r="AH21" i="143"/>
  <c r="AJ21" i="143" s="1"/>
  <c r="AS21" i="143" s="1"/>
  <c r="EW13" i="145"/>
  <c r="AH16" i="147"/>
  <c r="AJ16" i="147" s="1"/>
  <c r="AS16" i="147" s="1"/>
  <c r="X18" i="147"/>
  <c r="EW18" i="147"/>
  <c r="EW21" i="147"/>
  <c r="U18" i="149"/>
  <c r="AQ18" i="149" s="1"/>
  <c r="AR18" i="149" s="1"/>
  <c r="AP18" i="149" s="1"/>
  <c r="EU12" i="145"/>
  <c r="EP12" i="145"/>
  <c r="R22" i="147"/>
  <c r="AV17" i="145"/>
  <c r="Y18" i="147"/>
  <c r="AH20" i="143"/>
  <c r="AJ20" i="143" s="1"/>
  <c r="AS20" i="143" s="1"/>
  <c r="R21" i="145"/>
  <c r="BM15" i="145"/>
  <c r="BL15" i="145"/>
  <c r="BO15" i="145"/>
  <c r="CT22" i="145"/>
  <c r="U12" i="146"/>
  <c r="AQ12" i="146" s="1"/>
  <c r="AR12" i="146" s="1"/>
  <c r="E33" i="146"/>
  <c r="W46" i="146"/>
  <c r="EM12" i="147"/>
  <c r="EU21" i="147"/>
  <c r="EP21" i="147"/>
  <c r="BN17" i="147"/>
  <c r="G33" i="149"/>
  <c r="O33" i="149" s="1"/>
  <c r="FD22" i="147"/>
  <c r="X13" i="145"/>
  <c r="EV15" i="145"/>
  <c r="AV22" i="147"/>
  <c r="EW15" i="145"/>
  <c r="EW22" i="145"/>
  <c r="U19" i="146"/>
  <c r="AQ19" i="146" s="1"/>
  <c r="BN16" i="147"/>
  <c r="Z17" i="147"/>
  <c r="Z22" i="147"/>
  <c r="BO12" i="145"/>
  <c r="Z13" i="145"/>
  <c r="AW17" i="145"/>
  <c r="E37" i="146"/>
  <c r="EP18" i="147"/>
  <c r="AA22" i="147"/>
  <c r="AB22" i="147" s="1"/>
  <c r="AC22" i="147" s="1"/>
  <c r="Y22" i="147"/>
  <c r="O21" i="145"/>
  <c r="O19" i="145"/>
  <c r="AD22" i="145"/>
  <c r="F69" i="146"/>
  <c r="AH13" i="147"/>
  <c r="AD22" i="147"/>
  <c r="BM16" i="147"/>
  <c r="BL16" i="147"/>
  <c r="AA22" i="145"/>
  <c r="AB22" i="145" s="1"/>
  <c r="AC22" i="145" s="1"/>
  <c r="EY17" i="143"/>
  <c r="Z20" i="145"/>
  <c r="BM21" i="145"/>
  <c r="FD22" i="145"/>
  <c r="U15" i="146"/>
  <c r="AQ15" i="146" s="1"/>
  <c r="AR15" i="146" s="1"/>
  <c r="EP14" i="147"/>
  <c r="R17" i="147"/>
  <c r="EV22" i="145"/>
  <c r="C37" i="146"/>
  <c r="C69" i="146"/>
  <c r="BN21" i="145"/>
  <c r="Y17" i="147"/>
  <c r="CQ22" i="147"/>
  <c r="BM12" i="147"/>
  <c r="V48" i="144"/>
  <c r="C48" i="144"/>
  <c r="G35" i="144"/>
  <c r="H35" i="144" s="1"/>
  <c r="AA13" i="145"/>
  <c r="AB13" i="145" s="1"/>
  <c r="AC13" i="145" s="1"/>
  <c r="W50" i="146"/>
  <c r="BM13" i="145"/>
  <c r="Z14" i="145"/>
  <c r="BL14" i="145"/>
  <c r="O16" i="145"/>
  <c r="BN20" i="145"/>
  <c r="BO21" i="145"/>
  <c r="EV12" i="147"/>
  <c r="BM19" i="147"/>
  <c r="BN19" i="147"/>
  <c r="BL19" i="147"/>
  <c r="BS21" i="147"/>
  <c r="BN13" i="145"/>
  <c r="W16" i="145"/>
  <c r="AA18" i="145"/>
  <c r="AB18" i="145" s="1"/>
  <c r="AC18" i="145" s="1"/>
  <c r="BL19" i="145"/>
  <c r="BS12" i="147"/>
  <c r="W12" i="147"/>
  <c r="EW12" i="147"/>
  <c r="AA21" i="147"/>
  <c r="AB21" i="147" s="1"/>
  <c r="AC21" i="147" s="1"/>
  <c r="BL18" i="145"/>
  <c r="BS13" i="147"/>
  <c r="X17" i="147"/>
  <c r="AE22" i="147"/>
  <c r="FG22" i="147" s="1"/>
  <c r="W15" i="145"/>
  <c r="BM18" i="145"/>
  <c r="BL13" i="147"/>
  <c r="EW20" i="147"/>
  <c r="AF22" i="147"/>
  <c r="BF22" i="147" s="1"/>
  <c r="C34" i="149"/>
  <c r="C66" i="149"/>
  <c r="C79" i="149" s="1"/>
  <c r="E69" i="149"/>
  <c r="BN19" i="145"/>
  <c r="R22" i="145"/>
  <c r="U17" i="146"/>
  <c r="AQ17" i="146" s="1"/>
  <c r="AR17" i="146" s="1"/>
  <c r="EM13" i="147"/>
  <c r="EM16" i="147"/>
  <c r="Z18" i="147"/>
  <c r="G69" i="149"/>
  <c r="AA16" i="145"/>
  <c r="AB16" i="145" s="1"/>
  <c r="AC16" i="145" s="1"/>
  <c r="BS20" i="145"/>
  <c r="G69" i="146"/>
  <c r="BS18" i="147"/>
  <c r="W21" i="147"/>
  <c r="W14" i="145"/>
  <c r="EW18" i="145"/>
  <c r="CU22" i="145"/>
  <c r="CX22" i="145" s="1"/>
  <c r="BL20" i="145"/>
  <c r="CT22" i="147"/>
  <c r="X21" i="147"/>
  <c r="CS22" i="147"/>
  <c r="BS16" i="145"/>
  <c r="BM16" i="145"/>
  <c r="BM20" i="145"/>
  <c r="AW16" i="147"/>
  <c r="EM17" i="147"/>
  <c r="CV22" i="147"/>
  <c r="CU22" i="147"/>
  <c r="Y21" i="147"/>
  <c r="EU15" i="145"/>
  <c r="EU17" i="145"/>
  <c r="AF22" i="145"/>
  <c r="BF22" i="145" s="1"/>
  <c r="W19" i="147"/>
  <c r="AW19" i="147" s="1"/>
  <c r="U14" i="149"/>
  <c r="AQ14" i="149" s="1"/>
  <c r="AR14" i="149" s="1"/>
  <c r="AP14" i="149" s="1"/>
  <c r="C33" i="146"/>
  <c r="G33" i="146" s="1"/>
  <c r="O33" i="146" s="1"/>
  <c r="BN12" i="147"/>
  <c r="BN14" i="147"/>
  <c r="Z19" i="147"/>
  <c r="CR22" i="147"/>
  <c r="U20" i="146"/>
  <c r="AQ20" i="146" s="1"/>
  <c r="BO12" i="147"/>
  <c r="AA19" i="147"/>
  <c r="AB19" i="147" s="1"/>
  <c r="AC19" i="147" s="1"/>
  <c r="EP22" i="147"/>
  <c r="U22" i="149"/>
  <c r="AO15" i="149" s="1"/>
  <c r="X22" i="147"/>
  <c r="EX22" i="147" s="1"/>
  <c r="U18" i="146"/>
  <c r="AQ18" i="146" s="1"/>
  <c r="AR18" i="146" s="1"/>
  <c r="FA22" i="140"/>
  <c r="EZ22" i="140" s="1"/>
  <c r="ET22" i="140"/>
  <c r="ES22" i="140"/>
  <c r="ER22" i="140"/>
  <c r="EQ22" i="140"/>
  <c r="EO22" i="140"/>
  <c r="EN22" i="140"/>
  <c r="EU20" i="140" s="1"/>
  <c r="EL22" i="140"/>
  <c r="EK22" i="140"/>
  <c r="EJ22" i="140"/>
  <c r="EI22" i="140"/>
  <c r="EE22" i="140"/>
  <c r="EF22" i="140" s="1"/>
  <c r="ED22" i="140"/>
  <c r="EC22" i="140"/>
  <c r="EB22" i="140"/>
  <c r="EA22" i="140"/>
  <c r="DE22" i="140"/>
  <c r="DD22" i="140" s="1"/>
  <c r="DB22" i="140"/>
  <c r="DA22" i="140"/>
  <c r="CN22" i="140"/>
  <c r="CM22" i="140"/>
  <c r="CL22" i="140"/>
  <c r="CK22" i="140"/>
  <c r="BK22" i="140"/>
  <c r="BJ22" i="140"/>
  <c r="BI22" i="140"/>
  <c r="BH22" i="140"/>
  <c r="AN22" i="140"/>
  <c r="AM22" i="140"/>
  <c r="V22" i="140"/>
  <c r="U22" i="140"/>
  <c r="T22" i="140"/>
  <c r="S22" i="140"/>
  <c r="Q22" i="140"/>
  <c r="P22" i="140"/>
  <c r="N22" i="140"/>
  <c r="M22" i="140"/>
  <c r="L22" i="140"/>
  <c r="K22" i="140"/>
  <c r="G22" i="140"/>
  <c r="H22" i="140" s="1"/>
  <c r="F22" i="140"/>
  <c r="E22" i="140"/>
  <c r="D22" i="140"/>
  <c r="C22" i="140"/>
  <c r="FA21" i="140"/>
  <c r="EZ21" i="140" s="1"/>
  <c r="EO21" i="140"/>
  <c r="EN21" i="140"/>
  <c r="EE21" i="140"/>
  <c r="EF21" i="140" s="1"/>
  <c r="ED21" i="140"/>
  <c r="EC21" i="140"/>
  <c r="EB21" i="140"/>
  <c r="EA21" i="140"/>
  <c r="DE21" i="140"/>
  <c r="DD21" i="140" s="1"/>
  <c r="BK21" i="140"/>
  <c r="BJ21" i="140"/>
  <c r="BI21" i="140"/>
  <c r="BH21" i="140"/>
  <c r="AN21" i="140"/>
  <c r="AM21" i="140"/>
  <c r="Q21" i="140"/>
  <c r="P21" i="140"/>
  <c r="G21" i="140"/>
  <c r="F21" i="140"/>
  <c r="E21" i="140"/>
  <c r="D21" i="140"/>
  <c r="C21" i="140"/>
  <c r="FA20" i="140"/>
  <c r="EZ20" i="140" s="1"/>
  <c r="EO20" i="140"/>
  <c r="EN20" i="140"/>
  <c r="EE20" i="140"/>
  <c r="EF20" i="140" s="1"/>
  <c r="ED20" i="140"/>
  <c r="EC20" i="140"/>
  <c r="EB20" i="140"/>
  <c r="EA20" i="140"/>
  <c r="DE20" i="140"/>
  <c r="DD20" i="140" s="1"/>
  <c r="BK20" i="140"/>
  <c r="BJ20" i="140"/>
  <c r="BI20" i="140"/>
  <c r="BH20" i="140"/>
  <c r="AN20" i="140"/>
  <c r="AM20" i="140"/>
  <c r="Q20" i="140"/>
  <c r="P20" i="140"/>
  <c r="G20" i="140"/>
  <c r="H20" i="140" s="1"/>
  <c r="F20" i="140"/>
  <c r="E20" i="140"/>
  <c r="D20" i="140"/>
  <c r="C20" i="140"/>
  <c r="FA19" i="140"/>
  <c r="EZ19" i="140" s="1"/>
  <c r="EO19" i="140"/>
  <c r="EN19" i="140"/>
  <c r="EE19" i="140"/>
  <c r="EF19" i="140" s="1"/>
  <c r="ED19" i="140"/>
  <c r="EC19" i="140"/>
  <c r="EB19" i="140"/>
  <c r="EA19" i="140"/>
  <c r="DE19" i="140"/>
  <c r="DD19" i="140" s="1"/>
  <c r="BK19" i="140"/>
  <c r="BJ19" i="140"/>
  <c r="BI19" i="140"/>
  <c r="BH19" i="140"/>
  <c r="AN19" i="140"/>
  <c r="AM19" i="140"/>
  <c r="Q19" i="140"/>
  <c r="P19" i="140"/>
  <c r="G19" i="140"/>
  <c r="F19" i="140"/>
  <c r="E19" i="140"/>
  <c r="D19" i="140"/>
  <c r="C19" i="140"/>
  <c r="FA18" i="140"/>
  <c r="EZ18" i="140" s="1"/>
  <c r="EO18" i="140"/>
  <c r="EN18" i="140"/>
  <c r="EE18" i="140"/>
  <c r="EF18" i="140" s="1"/>
  <c r="ED18" i="140"/>
  <c r="EC18" i="140"/>
  <c r="EB18" i="140"/>
  <c r="EA18" i="140"/>
  <c r="DE18" i="140"/>
  <c r="DD18" i="140" s="1"/>
  <c r="BK18" i="140"/>
  <c r="BJ18" i="140"/>
  <c r="BI18" i="140"/>
  <c r="BH18" i="140"/>
  <c r="AN18" i="140"/>
  <c r="AM18" i="140"/>
  <c r="Q18" i="140"/>
  <c r="P18" i="140"/>
  <c r="G18" i="140"/>
  <c r="H18" i="140" s="1"/>
  <c r="F18" i="140"/>
  <c r="E18" i="140"/>
  <c r="D18" i="140"/>
  <c r="C18" i="140"/>
  <c r="FA17" i="140"/>
  <c r="EZ17" i="140" s="1"/>
  <c r="EO17" i="140"/>
  <c r="EN17" i="140"/>
  <c r="EE17" i="140"/>
  <c r="EF17" i="140" s="1"/>
  <c r="ED17" i="140"/>
  <c r="EC17" i="140"/>
  <c r="EB17" i="140"/>
  <c r="EA17" i="140"/>
  <c r="DE17" i="140"/>
  <c r="DD17" i="140" s="1"/>
  <c r="BK17" i="140"/>
  <c r="BJ17" i="140"/>
  <c r="BI17" i="140"/>
  <c r="BH17" i="140"/>
  <c r="AN17" i="140"/>
  <c r="AM17" i="140"/>
  <c r="Q17" i="140"/>
  <c r="P17" i="140"/>
  <c r="G17" i="140"/>
  <c r="F17" i="140"/>
  <c r="E17" i="140"/>
  <c r="D17" i="140"/>
  <c r="C17" i="140"/>
  <c r="FA16" i="140"/>
  <c r="EZ16" i="140" s="1"/>
  <c r="EO16" i="140"/>
  <c r="EN16" i="140"/>
  <c r="EE16" i="140"/>
  <c r="EF16" i="140" s="1"/>
  <c r="ED16" i="140"/>
  <c r="EC16" i="140"/>
  <c r="EB16" i="140"/>
  <c r="EA16" i="140"/>
  <c r="EM16" i="140" s="1"/>
  <c r="DE16" i="140"/>
  <c r="DD16" i="140" s="1"/>
  <c r="BK16" i="140"/>
  <c r="BJ16" i="140"/>
  <c r="BI16" i="140"/>
  <c r="BH16" i="140"/>
  <c r="AN16" i="140"/>
  <c r="AM16" i="140"/>
  <c r="Q16" i="140"/>
  <c r="P16" i="140"/>
  <c r="G16" i="140"/>
  <c r="H16" i="140" s="1"/>
  <c r="F16" i="140"/>
  <c r="E16" i="140"/>
  <c r="D16" i="140"/>
  <c r="C16" i="140"/>
  <c r="FA15" i="140"/>
  <c r="EZ15" i="140" s="1"/>
  <c r="EO15" i="140"/>
  <c r="EN15" i="140"/>
  <c r="EE15" i="140"/>
  <c r="EF15" i="140" s="1"/>
  <c r="ED15" i="140"/>
  <c r="EC15" i="140"/>
  <c r="EB15" i="140"/>
  <c r="EA15" i="140"/>
  <c r="DE15" i="140"/>
  <c r="DD15" i="140" s="1"/>
  <c r="BK15" i="140"/>
  <c r="BJ15" i="140"/>
  <c r="BI15" i="140"/>
  <c r="BH15" i="140"/>
  <c r="AN15" i="140"/>
  <c r="AM15" i="140"/>
  <c r="Q15" i="140"/>
  <c r="P15" i="140"/>
  <c r="G15" i="140"/>
  <c r="F15" i="140"/>
  <c r="E15" i="140"/>
  <c r="D15" i="140"/>
  <c r="C15" i="140"/>
  <c r="FA14" i="140"/>
  <c r="EZ14" i="140" s="1"/>
  <c r="EO14" i="140"/>
  <c r="EN14" i="140"/>
  <c r="EE14" i="140"/>
  <c r="EF14" i="140" s="1"/>
  <c r="ED14" i="140"/>
  <c r="EC14" i="140"/>
  <c r="EB14" i="140"/>
  <c r="EA14" i="140"/>
  <c r="DE14" i="140"/>
  <c r="DD14" i="140" s="1"/>
  <c r="BK14" i="140"/>
  <c r="BJ14" i="140"/>
  <c r="BI14" i="140"/>
  <c r="BH14" i="140"/>
  <c r="AN14" i="140"/>
  <c r="AM14" i="140"/>
  <c r="Q14" i="140"/>
  <c r="P14" i="140"/>
  <c r="G14" i="140"/>
  <c r="H14" i="140" s="1"/>
  <c r="F14" i="140"/>
  <c r="E14" i="140"/>
  <c r="D14" i="140"/>
  <c r="C14" i="140"/>
  <c r="FA13" i="140"/>
  <c r="EZ13" i="140" s="1"/>
  <c r="EO13" i="140"/>
  <c r="EN13" i="140"/>
  <c r="EE13" i="140"/>
  <c r="EF13" i="140" s="1"/>
  <c r="ED13" i="140"/>
  <c r="EC13" i="140"/>
  <c r="EB13" i="140"/>
  <c r="EA13" i="140"/>
  <c r="DE13" i="140"/>
  <c r="DD13" i="140" s="1"/>
  <c r="BK13" i="140"/>
  <c r="BJ13" i="140"/>
  <c r="BI13" i="140"/>
  <c r="BH13" i="140"/>
  <c r="AN13" i="140"/>
  <c r="AM13" i="140"/>
  <c r="Q13" i="140"/>
  <c r="P13" i="140"/>
  <c r="G13" i="140"/>
  <c r="F13" i="140"/>
  <c r="E13" i="140"/>
  <c r="D13" i="140"/>
  <c r="C13" i="140"/>
  <c r="FA12" i="140"/>
  <c r="EZ12" i="140" s="1"/>
  <c r="EO12" i="140"/>
  <c r="EN12" i="140"/>
  <c r="EE12" i="140"/>
  <c r="EF12" i="140" s="1"/>
  <c r="ED12" i="140"/>
  <c r="EC12" i="140"/>
  <c r="EW12" i="140" s="1"/>
  <c r="EB12" i="140"/>
  <c r="EA12" i="140"/>
  <c r="DE12" i="140"/>
  <c r="DD12" i="140" s="1"/>
  <c r="BK12" i="140"/>
  <c r="BJ12" i="140"/>
  <c r="BI12" i="140"/>
  <c r="BH12" i="140"/>
  <c r="AN12" i="140"/>
  <c r="AM12" i="140"/>
  <c r="Q12" i="140"/>
  <c r="P12" i="140"/>
  <c r="G12" i="140"/>
  <c r="Z12" i="140" s="1"/>
  <c r="F12" i="140"/>
  <c r="Y12" i="140" s="1"/>
  <c r="E12" i="140"/>
  <c r="X12" i="140" s="1"/>
  <c r="D12" i="140"/>
  <c r="W12" i="140" s="1"/>
  <c r="C12" i="140"/>
  <c r="T27" i="154" a="1"/>
  <c r="AM15" i="146" a="1"/>
  <c r="R27" i="154" a="1"/>
  <c r="G271" i="28" a="1"/>
  <c r="U27" i="154" a="1"/>
  <c r="AM18" i="146" a="1"/>
  <c r="O27" i="154" a="1"/>
  <c r="AM14" i="146" a="1"/>
  <c r="G267" i="28" a="1"/>
  <c r="J201" i="28" a="1"/>
  <c r="AM22" i="146" a="1"/>
  <c r="S24" i="154" a="1"/>
  <c r="T24" i="154" a="1"/>
  <c r="AM16" i="151" a="1"/>
  <c r="O24" i="154" a="1"/>
  <c r="H271" i="28" a="1"/>
  <c r="R24" i="154" a="1"/>
  <c r="AM15" i="151" a="1"/>
  <c r="AM21" i="151" a="1"/>
  <c r="AM20" i="146" a="1"/>
  <c r="AM20" i="151" a="1"/>
  <c r="AM12" i="146" a="1"/>
  <c r="AM19" i="146" a="1"/>
  <c r="AM13" i="151" a="1"/>
  <c r="S27" i="154" a="1"/>
  <c r="AM12" i="139" a="1"/>
  <c r="Q27" i="154" a="1"/>
  <c r="J197" i="28" a="1"/>
  <c r="AM12" i="151" a="1"/>
  <c r="AM14" i="151" a="1"/>
  <c r="U24" i="154" a="1"/>
  <c r="AM18" i="151" a="1"/>
  <c r="Q24" i="154" a="1"/>
  <c r="AM17" i="146" a="1"/>
  <c r="AM17" i="151" a="1"/>
  <c r="AM13" i="146" a="1"/>
  <c r="AM16" i="146" a="1"/>
  <c r="H267" i="28" a="1"/>
  <c r="AM22" i="151" a="1"/>
  <c r="AM19" i="151" a="1"/>
  <c r="AM21" i="146" a="1"/>
  <c r="D21" i="154" a="1"/>
  <c r="AJ19" i="145" l="1"/>
  <c r="AS19" i="145" s="1"/>
  <c r="EY15" i="147"/>
  <c r="AJ13" i="147"/>
  <c r="AS13" i="147" s="1"/>
  <c r="EP20" i="140"/>
  <c r="T27" i="154"/>
  <c r="EM15" i="140"/>
  <c r="AW17" i="147"/>
  <c r="CP22" i="140"/>
  <c r="AV17" i="147"/>
  <c r="FI22" i="147"/>
  <c r="EM12" i="140"/>
  <c r="EY14" i="147"/>
  <c r="CO22" i="140"/>
  <c r="BL20" i="140"/>
  <c r="AN19" i="149"/>
  <c r="FG22" i="145"/>
  <c r="EM14" i="140"/>
  <c r="EM13" i="140"/>
  <c r="BS21" i="140"/>
  <c r="AV14" i="147"/>
  <c r="CW22" i="145"/>
  <c r="AW22" i="147"/>
  <c r="R27" i="154"/>
  <c r="Q27" i="154"/>
  <c r="O27" i="154"/>
  <c r="V47" i="146"/>
  <c r="D82" i="149"/>
  <c r="C78" i="149"/>
  <c r="AN15" i="149"/>
  <c r="G36" i="149"/>
  <c r="H36" i="149" s="1"/>
  <c r="C82" i="149"/>
  <c r="AN17" i="144"/>
  <c r="AM15" i="151"/>
  <c r="AO15" i="151" s="1"/>
  <c r="AM19" i="146"/>
  <c r="AO19" i="146" s="1"/>
  <c r="BO17" i="140"/>
  <c r="EM17" i="140"/>
  <c r="BO12" i="140"/>
  <c r="CR22" i="140"/>
  <c r="EP12" i="140"/>
  <c r="AH14" i="147"/>
  <c r="AJ14" i="147" s="1"/>
  <c r="EY13" i="147"/>
  <c r="O15" i="140"/>
  <c r="O13" i="140"/>
  <c r="W19" i="140"/>
  <c r="O14" i="140"/>
  <c r="O12" i="140"/>
  <c r="AJ13" i="145"/>
  <c r="AS13" i="145" s="1"/>
  <c r="O16" i="140"/>
  <c r="EM21" i="140"/>
  <c r="BQ22" i="143"/>
  <c r="AP13" i="144"/>
  <c r="AM20" i="146"/>
  <c r="AN20" i="146" s="1"/>
  <c r="AM17" i="146"/>
  <c r="AN17" i="146" s="1"/>
  <c r="AM20" i="151"/>
  <c r="AN20" i="151" s="1"/>
  <c r="BS12" i="140"/>
  <c r="EV20" i="140"/>
  <c r="BS16" i="140"/>
  <c r="R18" i="140"/>
  <c r="BS15" i="140"/>
  <c r="EY18" i="147"/>
  <c r="EX22" i="145"/>
  <c r="BO13" i="140"/>
  <c r="EP22" i="140"/>
  <c r="EV14" i="140"/>
  <c r="O20" i="140"/>
  <c r="EW14" i="140"/>
  <c r="BN12" i="140"/>
  <c r="O19" i="140"/>
  <c r="EY13" i="145"/>
  <c r="AO16" i="144"/>
  <c r="CY22" i="145"/>
  <c r="O18" i="140"/>
  <c r="BS20" i="140"/>
  <c r="EU12" i="140"/>
  <c r="O17" i="140"/>
  <c r="BS17" i="140"/>
  <c r="CQ22" i="145"/>
  <c r="H12" i="140"/>
  <c r="AA12" i="140" s="1"/>
  <c r="AB12" i="140" s="1"/>
  <c r="AC12" i="140" s="1"/>
  <c r="BS14" i="140"/>
  <c r="EM20" i="140"/>
  <c r="AN14" i="144"/>
  <c r="AP14" i="144"/>
  <c r="AN15" i="144"/>
  <c r="AN21" i="144"/>
  <c r="AN13" i="144"/>
  <c r="AN12" i="144"/>
  <c r="J201" i="28"/>
  <c r="AM22" i="146"/>
  <c r="G267" i="28"/>
  <c r="AM12" i="151"/>
  <c r="AM22" i="151"/>
  <c r="G271" i="28"/>
  <c r="AM21" i="151"/>
  <c r="AM16" i="151"/>
  <c r="AM16" i="146"/>
  <c r="AM18" i="146"/>
  <c r="AP18" i="146" s="1"/>
  <c r="AM15" i="146"/>
  <c r="AP15" i="146" s="1"/>
  <c r="AM12" i="146"/>
  <c r="AP12" i="146" s="1"/>
  <c r="AM17" i="151"/>
  <c r="AM14" i="151"/>
  <c r="J197" i="28"/>
  <c r="AM18" i="151"/>
  <c r="O24" i="154"/>
  <c r="AM12" i="139"/>
  <c r="H267" i="28"/>
  <c r="AM13" i="146"/>
  <c r="AN13" i="146" s="1"/>
  <c r="AM13" i="151"/>
  <c r="AM21" i="146"/>
  <c r="AN21" i="146" s="1"/>
  <c r="H271" i="28"/>
  <c r="AM19" i="151"/>
  <c r="AM14" i="146"/>
  <c r="AO14" i="146" s="1"/>
  <c r="AP18" i="144"/>
  <c r="W15" i="140"/>
  <c r="AH15" i="140" s="1"/>
  <c r="X18" i="140"/>
  <c r="EY16" i="145"/>
  <c r="AA14" i="140"/>
  <c r="AB14" i="140" s="1"/>
  <c r="AC14" i="140" s="1"/>
  <c r="AA16" i="140"/>
  <c r="AB16" i="140" s="1"/>
  <c r="AC16" i="140" s="1"/>
  <c r="DC22" i="140"/>
  <c r="AR19" i="149"/>
  <c r="AP19" i="149" s="1"/>
  <c r="AR21" i="146"/>
  <c r="AQ21" i="146"/>
  <c r="AQ22" i="146" s="1"/>
  <c r="AP19" i="144"/>
  <c r="EU21" i="140"/>
  <c r="H24" i="149"/>
  <c r="AR23" i="149"/>
  <c r="H24" i="146"/>
  <c r="AR23" i="146"/>
  <c r="AO18" i="149"/>
  <c r="AR21" i="149"/>
  <c r="AP21" i="149" s="1"/>
  <c r="AQ21" i="149"/>
  <c r="AQ22" i="149" s="1"/>
  <c r="R15" i="140"/>
  <c r="R17" i="140"/>
  <c r="BL19" i="140"/>
  <c r="BL12" i="140"/>
  <c r="BL18" i="140"/>
  <c r="BM12" i="140"/>
  <c r="BO15" i="140"/>
  <c r="BO21" i="140"/>
  <c r="F46" i="144"/>
  <c r="AN18" i="149"/>
  <c r="AH22" i="147"/>
  <c r="AJ22" i="147" s="1"/>
  <c r="AK22" i="147" s="1"/>
  <c r="AT22" i="147" s="1"/>
  <c r="AN13" i="149"/>
  <c r="AR20" i="149"/>
  <c r="AP20" i="149" s="1"/>
  <c r="R12" i="140"/>
  <c r="BM15" i="140"/>
  <c r="AO13" i="149"/>
  <c r="EP18" i="140"/>
  <c r="AO16" i="149"/>
  <c r="AR20" i="146"/>
  <c r="EM19" i="140"/>
  <c r="EW20" i="140"/>
  <c r="EV19" i="140"/>
  <c r="EY19" i="140" s="1"/>
  <c r="FI22" i="145"/>
  <c r="AV16" i="145"/>
  <c r="AO21" i="149"/>
  <c r="EV12" i="140"/>
  <c r="EY12" i="140" s="1"/>
  <c r="EV18" i="140"/>
  <c r="FC22" i="140"/>
  <c r="AO19" i="149"/>
  <c r="AW15" i="145"/>
  <c r="EW19" i="140"/>
  <c r="EV16" i="140"/>
  <c r="EW18" i="140"/>
  <c r="AN21" i="149"/>
  <c r="AP20" i="144"/>
  <c r="AW12" i="145"/>
  <c r="AQ22" i="144"/>
  <c r="AR12" i="144"/>
  <c r="AP21" i="144"/>
  <c r="AN14" i="149"/>
  <c r="AO12" i="149"/>
  <c r="AN17" i="149"/>
  <c r="AO14" i="149"/>
  <c r="AO17" i="149"/>
  <c r="EU13" i="140"/>
  <c r="EU14" i="140"/>
  <c r="EU15" i="140"/>
  <c r="EU16" i="140"/>
  <c r="EP17" i="140"/>
  <c r="EY16" i="147"/>
  <c r="EP14" i="140"/>
  <c r="EP16" i="140"/>
  <c r="AP15" i="144"/>
  <c r="EU17" i="140"/>
  <c r="AV18" i="147"/>
  <c r="EY12" i="145"/>
  <c r="AP16" i="144"/>
  <c r="BN22" i="140"/>
  <c r="EY22" i="145"/>
  <c r="AW13" i="147"/>
  <c r="AO20" i="149"/>
  <c r="AR19" i="146"/>
  <c r="W14" i="140"/>
  <c r="AW14" i="140" s="1"/>
  <c r="Y18" i="140"/>
  <c r="AA22" i="140"/>
  <c r="AB22" i="140" s="1"/>
  <c r="AC22" i="140" s="1"/>
  <c r="AO19" i="144"/>
  <c r="EY22" i="147"/>
  <c r="X14" i="140"/>
  <c r="EY17" i="147"/>
  <c r="AN19" i="144"/>
  <c r="AO18" i="144"/>
  <c r="AP17" i="144"/>
  <c r="EU19" i="140"/>
  <c r="X16" i="140"/>
  <c r="BS19" i="140"/>
  <c r="R21" i="140"/>
  <c r="AV19" i="147"/>
  <c r="BS13" i="140"/>
  <c r="Y14" i="140"/>
  <c r="Y16" i="140"/>
  <c r="EY14" i="145"/>
  <c r="C49" i="149"/>
  <c r="AN20" i="144"/>
  <c r="K315" i="36"/>
  <c r="S27" i="154"/>
  <c r="Q24" i="154"/>
  <c r="D21" i="154"/>
  <c r="R24" i="154"/>
  <c r="U24" i="154"/>
  <c r="U27" i="154"/>
  <c r="T24" i="154"/>
  <c r="S24" i="154"/>
  <c r="AJ17" i="143"/>
  <c r="AK14" i="143"/>
  <c r="AT14" i="143" s="1"/>
  <c r="AL15" i="143"/>
  <c r="AU15" i="143" s="1"/>
  <c r="EP13" i="140"/>
  <c r="X13" i="140"/>
  <c r="BN14" i="140"/>
  <c r="Y15" i="140"/>
  <c r="R16" i="140"/>
  <c r="EV17" i="140"/>
  <c r="W18" i="140"/>
  <c r="AV18" i="140" s="1"/>
  <c r="BN18" i="140"/>
  <c r="Y19" i="140"/>
  <c r="BN19" i="140"/>
  <c r="BN20" i="140"/>
  <c r="X21" i="140"/>
  <c r="AD22" i="140"/>
  <c r="BA22" i="140" s="1"/>
  <c r="BE22" i="140" s="1"/>
  <c r="FD22" i="140"/>
  <c r="EY12" i="147"/>
  <c r="EY15" i="145"/>
  <c r="AL18" i="143"/>
  <c r="AU18" i="143" s="1"/>
  <c r="AJ21" i="145"/>
  <c r="AS21" i="145" s="1"/>
  <c r="BM16" i="140"/>
  <c r="BM18" i="140"/>
  <c r="BN13" i="140"/>
  <c r="BN16" i="140"/>
  <c r="Y13" i="140"/>
  <c r="BM13" i="140"/>
  <c r="R14" i="140"/>
  <c r="Z15" i="140"/>
  <c r="BO16" i="140"/>
  <c r="W17" i="140"/>
  <c r="AH17" i="140" s="1"/>
  <c r="EW17" i="140"/>
  <c r="BO18" i="140"/>
  <c r="EU18" i="140"/>
  <c r="Z19" i="140"/>
  <c r="BO19" i="140"/>
  <c r="EP19" i="140"/>
  <c r="BO20" i="140"/>
  <c r="W21" i="140"/>
  <c r="AV21" i="140" s="1"/>
  <c r="AE22" i="140"/>
  <c r="FG22" i="140" s="1"/>
  <c r="EM18" i="140"/>
  <c r="FE22" i="140"/>
  <c r="E82" i="149"/>
  <c r="AV12" i="145"/>
  <c r="C50" i="149"/>
  <c r="G37" i="149"/>
  <c r="V50" i="149"/>
  <c r="EP15" i="140"/>
  <c r="BM19" i="140"/>
  <c r="BM20" i="140"/>
  <c r="EP21" i="140"/>
  <c r="BO22" i="140"/>
  <c r="Z13" i="140"/>
  <c r="Z14" i="140"/>
  <c r="BL15" i="140"/>
  <c r="X17" i="140"/>
  <c r="BL21" i="140"/>
  <c r="EV21" i="140"/>
  <c r="AF22" i="140"/>
  <c r="BB22" i="140" s="1"/>
  <c r="BF22" i="140" s="1"/>
  <c r="FH22" i="147"/>
  <c r="C46" i="149"/>
  <c r="V46" i="149"/>
  <c r="X15" i="140"/>
  <c r="EW16" i="140"/>
  <c r="X19" i="140"/>
  <c r="C82" i="146"/>
  <c r="W16" i="140"/>
  <c r="Z16" i="140"/>
  <c r="Y17" i="140"/>
  <c r="BN17" i="140"/>
  <c r="Z18" i="140"/>
  <c r="CV22" i="140"/>
  <c r="Y21" i="140"/>
  <c r="BM21" i="140"/>
  <c r="EW21" i="140"/>
  <c r="AG22" i="140"/>
  <c r="CQ22" i="140"/>
  <c r="AK13" i="147"/>
  <c r="AT13" i="147" s="1"/>
  <c r="BN15" i="140"/>
  <c r="Z17" i="140"/>
  <c r="AA18" i="140"/>
  <c r="AB18" i="140" s="1"/>
  <c r="AC18" i="140" s="1"/>
  <c r="Z21" i="140"/>
  <c r="BN21" i="140"/>
  <c r="BS18" i="140"/>
  <c r="BL22" i="140"/>
  <c r="CX22" i="147"/>
  <c r="CY22" i="147" s="1"/>
  <c r="AV15" i="145"/>
  <c r="D82" i="146"/>
  <c r="W13" i="140"/>
  <c r="AV13" i="140" s="1"/>
  <c r="Z22" i="140"/>
  <c r="BM22" i="140"/>
  <c r="G82" i="146"/>
  <c r="G82" i="149"/>
  <c r="F82" i="146"/>
  <c r="E82" i="146"/>
  <c r="AW13" i="145"/>
  <c r="AV13" i="145"/>
  <c r="AJ19" i="143"/>
  <c r="AK19" i="143" s="1"/>
  <c r="AT19" i="143" s="1"/>
  <c r="BE22" i="147"/>
  <c r="BP22" i="147"/>
  <c r="AJ17" i="147"/>
  <c r="AH12" i="147"/>
  <c r="AJ16" i="143"/>
  <c r="AH19" i="147"/>
  <c r="AJ19" i="147" s="1"/>
  <c r="CW22" i="147"/>
  <c r="AH21" i="147"/>
  <c r="C50" i="146"/>
  <c r="V50" i="146"/>
  <c r="EY21" i="147"/>
  <c r="AK16" i="147"/>
  <c r="AT16" i="147" s="1"/>
  <c r="AK20" i="143"/>
  <c r="AL20" i="143" s="1"/>
  <c r="AU20" i="143" s="1"/>
  <c r="AJ17" i="145"/>
  <c r="CZ22" i="145"/>
  <c r="AK21" i="143"/>
  <c r="AL21" i="143" s="1"/>
  <c r="AU21" i="143" s="1"/>
  <c r="AJ20" i="147"/>
  <c r="EY19" i="147"/>
  <c r="AW14" i="145"/>
  <c r="AH14" i="145"/>
  <c r="AJ14" i="145" s="1"/>
  <c r="BE22" i="145"/>
  <c r="BP22" i="145"/>
  <c r="BR22" i="145" s="1"/>
  <c r="FF22" i="145"/>
  <c r="G34" i="149"/>
  <c r="H34" i="149" s="1"/>
  <c r="V47" i="149"/>
  <c r="C47" i="149"/>
  <c r="EY18" i="145"/>
  <c r="AR12" i="143"/>
  <c r="AP12" i="143"/>
  <c r="AY12" i="143" s="1"/>
  <c r="H33" i="146"/>
  <c r="V46" i="146"/>
  <c r="C46" i="146"/>
  <c r="AK19" i="145"/>
  <c r="G37" i="146"/>
  <c r="H37" i="146" s="1"/>
  <c r="H33" i="149"/>
  <c r="O37" i="144"/>
  <c r="M37" i="144"/>
  <c r="L37" i="144"/>
  <c r="I37" i="144"/>
  <c r="K37" i="144"/>
  <c r="Q37" i="144" s="1"/>
  <c r="AD37" i="144" s="1"/>
  <c r="J37" i="144"/>
  <c r="P37" i="144" s="1"/>
  <c r="AJ22" i="143"/>
  <c r="AK22" i="143" s="1"/>
  <c r="AJ20" i="145"/>
  <c r="AH18" i="145"/>
  <c r="AW18" i="145"/>
  <c r="AV18" i="145"/>
  <c r="BD22" i="145"/>
  <c r="AH22" i="145"/>
  <c r="AV22" i="145"/>
  <c r="AV14" i="145"/>
  <c r="AK13" i="143"/>
  <c r="AL13" i="143" s="1"/>
  <c r="AU13" i="143" s="1"/>
  <c r="AK15" i="147"/>
  <c r="FF22" i="147"/>
  <c r="AH16" i="145"/>
  <c r="AH15" i="145"/>
  <c r="F50" i="144"/>
  <c r="Y50" i="144"/>
  <c r="AW16" i="145"/>
  <c r="AO12" i="145"/>
  <c r="AX12" i="145" s="1"/>
  <c r="AL12" i="145"/>
  <c r="AU12" i="145" s="1"/>
  <c r="AH12" i="145"/>
  <c r="AK12" i="145"/>
  <c r="AT12" i="145" s="1"/>
  <c r="AJ12" i="145"/>
  <c r="AS12" i="145" s="1"/>
  <c r="AI12" i="145"/>
  <c r="V49" i="146"/>
  <c r="H36" i="146"/>
  <c r="C49" i="146"/>
  <c r="AH18" i="147"/>
  <c r="AJ18" i="147" s="1"/>
  <c r="AS18" i="147" s="1"/>
  <c r="CZ22" i="147"/>
  <c r="FH22" i="145"/>
  <c r="AW12" i="147"/>
  <c r="AV12" i="147"/>
  <c r="AW18" i="147"/>
  <c r="AV21" i="147"/>
  <c r="AW21" i="147"/>
  <c r="AW12" i="140"/>
  <c r="AI12" i="140"/>
  <c r="AL12" i="140"/>
  <c r="AU12" i="140" s="1"/>
  <c r="AO12" i="140"/>
  <c r="AX12" i="140" s="1"/>
  <c r="AJ12" i="140"/>
  <c r="AS12" i="140" s="1"/>
  <c r="AK12" i="140"/>
  <c r="AT12" i="140" s="1"/>
  <c r="AH12" i="140"/>
  <c r="AH19" i="140"/>
  <c r="AV12" i="140"/>
  <c r="AW19" i="140"/>
  <c r="BC22" i="140"/>
  <c r="BG22" i="140" s="1"/>
  <c r="AV19" i="140"/>
  <c r="AV17" i="140"/>
  <c r="AV15" i="140"/>
  <c r="AW15" i="140"/>
  <c r="R20" i="140"/>
  <c r="W20" i="140"/>
  <c r="BL14" i="140"/>
  <c r="X20" i="140"/>
  <c r="CS22" i="140"/>
  <c r="Y20" i="140"/>
  <c r="CT22" i="140"/>
  <c r="Z20" i="140"/>
  <c r="CU22" i="140"/>
  <c r="BO14" i="140"/>
  <c r="AA20" i="140"/>
  <c r="AB20" i="140" s="1"/>
  <c r="AC20" i="140" s="1"/>
  <c r="R22" i="140"/>
  <c r="BL16" i="140"/>
  <c r="EV13" i="140"/>
  <c r="EW13" i="140"/>
  <c r="EV15" i="140"/>
  <c r="EW15" i="140"/>
  <c r="H19" i="140"/>
  <c r="AA19" i="140" s="1"/>
  <c r="AB19" i="140" s="1"/>
  <c r="AC19" i="140" s="1"/>
  <c r="H13" i="140"/>
  <c r="AA13" i="140" s="1"/>
  <c r="AB13" i="140" s="1"/>
  <c r="AC13" i="140" s="1"/>
  <c r="R13" i="140"/>
  <c r="H17" i="140"/>
  <c r="AA17" i="140" s="1"/>
  <c r="AB17" i="140" s="1"/>
  <c r="AC17" i="140" s="1"/>
  <c r="EV22" i="140"/>
  <c r="H21" i="140"/>
  <c r="AA21" i="140" s="1"/>
  <c r="AB21" i="140" s="1"/>
  <c r="AC21" i="140" s="1"/>
  <c r="EW22" i="140"/>
  <c r="H15" i="140"/>
  <c r="AA15" i="140" s="1"/>
  <c r="AB15" i="140" s="1"/>
  <c r="AC15" i="140" s="1"/>
  <c r="BL13" i="140"/>
  <c r="O21" i="140"/>
  <c r="W22" i="140"/>
  <c r="R19" i="140"/>
  <c r="X22" i="140"/>
  <c r="Y22" i="140"/>
  <c r="FB22" i="140"/>
  <c r="BM17" i="140"/>
  <c r="BL17" i="140"/>
  <c r="BM14" i="140"/>
  <c r="H266" i="28" a="1"/>
  <c r="AM18" i="139" a="1"/>
  <c r="AM19" i="139" a="1"/>
  <c r="F21" i="158" a="1"/>
  <c r="AM20" i="139" a="1"/>
  <c r="AM22" i="139" a="1"/>
  <c r="J205" i="28" a="1"/>
  <c r="AM21" i="139" a="1"/>
  <c r="AM15" i="139" a="1"/>
  <c r="D21" i="158" a="1"/>
  <c r="G266" i="28" a="1"/>
  <c r="AM16" i="139" a="1"/>
  <c r="AM17" i="139" a="1"/>
  <c r="AM14" i="139" a="1"/>
  <c r="F21" i="154" a="1"/>
  <c r="AM13" i="139" a="1"/>
  <c r="AJ15" i="140" l="1"/>
  <c r="AS15" i="140" s="1"/>
  <c r="EY17" i="140"/>
  <c r="AK13" i="145"/>
  <c r="AT13" i="145" s="1"/>
  <c r="AW17" i="140"/>
  <c r="AN19" i="146"/>
  <c r="AP19" i="146"/>
  <c r="AP15" i="151"/>
  <c r="AN15" i="151"/>
  <c r="AP17" i="146"/>
  <c r="AO17" i="146"/>
  <c r="AO20" i="146"/>
  <c r="AP20" i="146"/>
  <c r="AM19" i="139"/>
  <c r="AK14" i="147"/>
  <c r="AT14" i="147" s="1"/>
  <c r="AS14" i="147"/>
  <c r="EY14" i="140"/>
  <c r="EY15" i="140"/>
  <c r="AH14" i="140"/>
  <c r="AJ14" i="140" s="1"/>
  <c r="AS14" i="140" s="1"/>
  <c r="AH21" i="140"/>
  <c r="FI22" i="140"/>
  <c r="AH18" i="140"/>
  <c r="AL13" i="147"/>
  <c r="AO13" i="147" s="1"/>
  <c r="AX13" i="147" s="1"/>
  <c r="AW18" i="140"/>
  <c r="EY16" i="140"/>
  <c r="AV14" i="140"/>
  <c r="EY18" i="140"/>
  <c r="AP20" i="151"/>
  <c r="AO20" i="151"/>
  <c r="AJ17" i="140"/>
  <c r="AS17" i="140" s="1"/>
  <c r="AL16" i="147"/>
  <c r="AU16" i="147" s="1"/>
  <c r="AL13" i="145"/>
  <c r="EY13" i="140"/>
  <c r="FF22" i="140"/>
  <c r="AV16" i="140"/>
  <c r="AN22" i="144"/>
  <c r="AN24" i="144" s="1"/>
  <c r="AN18" i="146"/>
  <c r="AO21" i="146"/>
  <c r="AN15" i="146"/>
  <c r="AO22" i="144"/>
  <c r="AO13" i="146"/>
  <c r="AP13" i="146"/>
  <c r="AO12" i="146"/>
  <c r="AP22" i="149"/>
  <c r="AO18" i="146"/>
  <c r="AN12" i="146"/>
  <c r="AM15" i="139"/>
  <c r="AM13" i="139"/>
  <c r="AM16" i="139"/>
  <c r="AM20" i="139"/>
  <c r="J205" i="28"/>
  <c r="AM14" i="139"/>
  <c r="AM18" i="139"/>
  <c r="H266" i="28"/>
  <c r="AM17" i="139"/>
  <c r="D21" i="158"/>
  <c r="AM22" i="139"/>
  <c r="G266" i="28"/>
  <c r="AM21" i="139"/>
  <c r="AW16" i="140"/>
  <c r="AR22" i="146"/>
  <c r="AR25" i="146" s="1"/>
  <c r="AP12" i="144"/>
  <c r="AP22" i="144" s="1"/>
  <c r="AR22" i="144"/>
  <c r="AR24" i="144" s="1"/>
  <c r="AR25" i="144"/>
  <c r="AP14" i="151"/>
  <c r="AN14" i="151"/>
  <c r="AO14" i="151"/>
  <c r="BP22" i="140"/>
  <c r="BQ22" i="140" s="1"/>
  <c r="AO15" i="146"/>
  <c r="AP17" i="151"/>
  <c r="AO17" i="151"/>
  <c r="AN17" i="151"/>
  <c r="AR22" i="149"/>
  <c r="AR24" i="149" s="1"/>
  <c r="AV20" i="140"/>
  <c r="AH16" i="140"/>
  <c r="AW21" i="140"/>
  <c r="AP16" i="146"/>
  <c r="AN16" i="146"/>
  <c r="AN14" i="146"/>
  <c r="AP14" i="146"/>
  <c r="AP16" i="151"/>
  <c r="AO16" i="151"/>
  <c r="AN16" i="151"/>
  <c r="AP19" i="151"/>
  <c r="AN19" i="151"/>
  <c r="AO19" i="151"/>
  <c r="AO21" i="151"/>
  <c r="AN21" i="151"/>
  <c r="AP21" i="151"/>
  <c r="AN22" i="149"/>
  <c r="AN24" i="149" s="1"/>
  <c r="AP13" i="151"/>
  <c r="AN13" i="151"/>
  <c r="AO13" i="151"/>
  <c r="EY21" i="140"/>
  <c r="AW13" i="140"/>
  <c r="AO12" i="151"/>
  <c r="AN12" i="151"/>
  <c r="AP12" i="151"/>
  <c r="AP21" i="146"/>
  <c r="AH13" i="140"/>
  <c r="AV22" i="140"/>
  <c r="AL14" i="143"/>
  <c r="AU14" i="143" s="1"/>
  <c r="AM18" i="143"/>
  <c r="AV18" i="143" s="1"/>
  <c r="AO22" i="149"/>
  <c r="AO18" i="151"/>
  <c r="AP18" i="151"/>
  <c r="AN18" i="151"/>
  <c r="AM15" i="143"/>
  <c r="AV15" i="143" s="1"/>
  <c r="AO16" i="146"/>
  <c r="F21" i="158"/>
  <c r="F21" i="154"/>
  <c r="CX22" i="140"/>
  <c r="AK15" i="140"/>
  <c r="AT15" i="140" s="1"/>
  <c r="FH22" i="140"/>
  <c r="AW22" i="140"/>
  <c r="AS17" i="143"/>
  <c r="AL19" i="143"/>
  <c r="AU19" i="143" s="1"/>
  <c r="AS19" i="143"/>
  <c r="AK17" i="140"/>
  <c r="AT17" i="140" s="1"/>
  <c r="AJ21" i="140"/>
  <c r="AS21" i="140" s="1"/>
  <c r="AK21" i="145"/>
  <c r="AT21" i="145" s="1"/>
  <c r="O37" i="149"/>
  <c r="K37" i="149"/>
  <c r="I37" i="149"/>
  <c r="J37" i="149"/>
  <c r="L37" i="149"/>
  <c r="M37" i="149"/>
  <c r="H37" i="149"/>
  <c r="AK17" i="143"/>
  <c r="AL17" i="143" s="1"/>
  <c r="AU17" i="143" s="1"/>
  <c r="CZ22" i="140"/>
  <c r="AT22" i="143"/>
  <c r="AS19" i="147"/>
  <c r="AK19" i="147"/>
  <c r="AT19" i="147" s="1"/>
  <c r="AS14" i="145"/>
  <c r="AK14" i="145"/>
  <c r="AT14" i="145" s="1"/>
  <c r="AC50" i="144"/>
  <c r="J50" i="144"/>
  <c r="AJ16" i="145"/>
  <c r="AS16" i="145" s="1"/>
  <c r="AJ22" i="145"/>
  <c r="AS22" i="145" s="1"/>
  <c r="L37" i="146"/>
  <c r="R37" i="146" s="1"/>
  <c r="AE37" i="146" s="1"/>
  <c r="O37" i="146"/>
  <c r="J37" i="146"/>
  <c r="I37" i="146"/>
  <c r="K37" i="146"/>
  <c r="M37" i="146"/>
  <c r="AJ21" i="147"/>
  <c r="AT19" i="145"/>
  <c r="AL19" i="145"/>
  <c r="AJ15" i="145"/>
  <c r="AS15" i="145" s="1"/>
  <c r="BQ22" i="145"/>
  <c r="AT20" i="143"/>
  <c r="AS20" i="145"/>
  <c r="AK20" i="145"/>
  <c r="AT20" i="145" s="1"/>
  <c r="K50" i="144"/>
  <c r="AS22" i="147"/>
  <c r="AJ12" i="147"/>
  <c r="AS12" i="147" s="1"/>
  <c r="F46" i="149"/>
  <c r="Y46" i="149"/>
  <c r="AK18" i="147"/>
  <c r="AT18" i="147" s="1"/>
  <c r="AC37" i="144"/>
  <c r="AS17" i="145"/>
  <c r="AK17" i="145"/>
  <c r="AT17" i="145" s="1"/>
  <c r="AS17" i="147"/>
  <c r="AU13" i="147"/>
  <c r="AM20" i="143"/>
  <c r="AV20" i="143" s="1"/>
  <c r="AR12" i="145"/>
  <c r="AP12" i="145"/>
  <c r="AY12" i="145" s="1"/>
  <c r="AM13" i="143"/>
  <c r="AV13" i="143" s="1"/>
  <c r="AJ18" i="145"/>
  <c r="H50" i="144"/>
  <c r="AA50" i="144"/>
  <c r="AS20" i="147"/>
  <c r="AK20" i="147"/>
  <c r="U37" i="144"/>
  <c r="V37" i="144"/>
  <c r="T37" i="144"/>
  <c r="G50" i="144"/>
  <c r="Z50" i="144"/>
  <c r="F50" i="146"/>
  <c r="Y50" i="146"/>
  <c r="AL22" i="147"/>
  <c r="AU22" i="147" s="1"/>
  <c r="R37" i="144"/>
  <c r="AE37" i="144" s="1"/>
  <c r="BR22" i="147"/>
  <c r="BQ22" i="147"/>
  <c r="AS22" i="143"/>
  <c r="AL22" i="143"/>
  <c r="AU22" i="143" s="1"/>
  <c r="AS16" i="143"/>
  <c r="AK16" i="143"/>
  <c r="AT16" i="143" s="1"/>
  <c r="AK17" i="147"/>
  <c r="AT17" i="147" s="1"/>
  <c r="AT15" i="147"/>
  <c r="AL15" i="147"/>
  <c r="AU15" i="147" s="1"/>
  <c r="AT13" i="143"/>
  <c r="AB50" i="144"/>
  <c r="I50" i="144"/>
  <c r="Y46" i="146"/>
  <c r="F46" i="146"/>
  <c r="AT21" i="143"/>
  <c r="AM21" i="143"/>
  <c r="AJ19" i="140"/>
  <c r="EX22" i="140"/>
  <c r="AW20" i="140"/>
  <c r="AH20" i="140"/>
  <c r="EY22" i="140"/>
  <c r="AJ18" i="140"/>
  <c r="AS18" i="140" s="1"/>
  <c r="EY20" i="140"/>
  <c r="AK14" i="140"/>
  <c r="AT14" i="140" s="1"/>
  <c r="AJ16" i="140"/>
  <c r="AS16" i="140" s="1"/>
  <c r="AP12" i="140"/>
  <c r="AY12" i="140" s="1"/>
  <c r="AR12" i="140"/>
  <c r="AJ13" i="140"/>
  <c r="AS13" i="140" s="1"/>
  <c r="AH22" i="140"/>
  <c r="AJ22" i="140" s="1"/>
  <c r="AS22" i="140" s="1"/>
  <c r="AZ22" i="140"/>
  <c r="CW22" i="140"/>
  <c r="J21" i="165" a="1"/>
  <c r="H21" i="158" a="1"/>
  <c r="D24" i="158" a="1"/>
  <c r="G21" i="158" a="1"/>
  <c r="J21" i="154" a="1"/>
  <c r="I21" i="158" a="1"/>
  <c r="D27" i="158" a="1"/>
  <c r="J24" i="165" a="1"/>
  <c r="F24" i="154" a="1"/>
  <c r="D24" i="154" a="1"/>
  <c r="D27" i="154" a="1"/>
  <c r="H21" i="154" a="1"/>
  <c r="J27" i="165" a="1"/>
  <c r="K21" i="154" a="1"/>
  <c r="F24" i="158" a="1"/>
  <c r="G21" i="154" a="1"/>
  <c r="I21" i="154" a="1"/>
  <c r="J21" i="158" a="1"/>
  <c r="M21" i="158" a="1"/>
  <c r="AL14" i="147" l="1"/>
  <c r="AU14" i="147" s="1"/>
  <c r="AO26" i="144"/>
  <c r="AR25" i="149"/>
  <c r="AK16" i="145"/>
  <c r="AT16" i="145" s="1"/>
  <c r="AM19" i="143"/>
  <c r="AV19" i="143" s="1"/>
  <c r="AL19" i="147"/>
  <c r="AU19" i="147" s="1"/>
  <c r="AK21" i="140"/>
  <c r="AT21" i="140" s="1"/>
  <c r="AO16" i="147"/>
  <c r="AX16" i="147" s="1"/>
  <c r="AL15" i="140"/>
  <c r="AU15" i="140" s="1"/>
  <c r="AI16" i="147"/>
  <c r="AR16" i="147" s="1"/>
  <c r="AO15" i="143"/>
  <c r="AX15" i="143" s="1"/>
  <c r="AO22" i="146"/>
  <c r="BR22" i="140"/>
  <c r="AL17" i="145"/>
  <c r="AU17" i="145" s="1"/>
  <c r="AU13" i="145"/>
  <c r="AO13" i="145"/>
  <c r="CY22" i="140"/>
  <c r="AO18" i="143"/>
  <c r="AX18" i="143" s="1"/>
  <c r="AO14" i="147"/>
  <c r="AX14" i="147" s="1"/>
  <c r="AN22" i="146"/>
  <c r="AN24" i="146" s="1"/>
  <c r="AP22" i="146"/>
  <c r="AN22" i="151"/>
  <c r="AN24" i="151" s="1"/>
  <c r="AO22" i="151"/>
  <c r="J24" i="165"/>
  <c r="J27" i="165"/>
  <c r="J21" i="165"/>
  <c r="AP26" i="144"/>
  <c r="AP26" i="149"/>
  <c r="AP22" i="151"/>
  <c r="AR24" i="146"/>
  <c r="AK22" i="145"/>
  <c r="AT22" i="145" s="1"/>
  <c r="AL16" i="145"/>
  <c r="AU16" i="145" s="1"/>
  <c r="AL16" i="143"/>
  <c r="AU16" i="143" s="1"/>
  <c r="AL17" i="147"/>
  <c r="AU17" i="147" s="1"/>
  <c r="AL17" i="140"/>
  <c r="AU17" i="140" s="1"/>
  <c r="AL18" i="147"/>
  <c r="AU18" i="147" s="1"/>
  <c r="AM14" i="143"/>
  <c r="AV14" i="143" s="1"/>
  <c r="AL21" i="140"/>
  <c r="AU21" i="140" s="1"/>
  <c r="AO26" i="149"/>
  <c r="D27" i="158"/>
  <c r="G21" i="154"/>
  <c r="H21" i="154"/>
  <c r="D27" i="154"/>
  <c r="D24" i="158"/>
  <c r="G21" i="158"/>
  <c r="H21" i="158"/>
  <c r="J21" i="158"/>
  <c r="D24" i="154"/>
  <c r="J21" i="154"/>
  <c r="F24" i="154"/>
  <c r="I21" i="158"/>
  <c r="I21" i="154"/>
  <c r="F24" i="158"/>
  <c r="M21" i="158"/>
  <c r="K21" i="154"/>
  <c r="K50" i="149"/>
  <c r="AL14" i="140"/>
  <c r="AU14" i="140" s="1"/>
  <c r="AK12" i="147"/>
  <c r="AC50" i="149"/>
  <c r="J50" i="149"/>
  <c r="AI15" i="143"/>
  <c r="AP15" i="143" s="1"/>
  <c r="AY15" i="143" s="1"/>
  <c r="AK18" i="140"/>
  <c r="AO19" i="147"/>
  <c r="AX19" i="147" s="1"/>
  <c r="H50" i="149"/>
  <c r="AA50" i="149"/>
  <c r="AO15" i="140"/>
  <c r="AX15" i="140" s="1"/>
  <c r="AL20" i="145"/>
  <c r="AU20" i="145" s="1"/>
  <c r="AI13" i="147"/>
  <c r="AR13" i="147" s="1"/>
  <c r="S37" i="144"/>
  <c r="AO16" i="145"/>
  <c r="AX16" i="145" s="1"/>
  <c r="G50" i="149"/>
  <c r="T37" i="149"/>
  <c r="U37" i="149"/>
  <c r="Z50" i="149"/>
  <c r="V37" i="149"/>
  <c r="AO19" i="143"/>
  <c r="I50" i="149"/>
  <c r="AB50" i="149"/>
  <c r="AL21" i="145"/>
  <c r="AT17" i="143"/>
  <c r="AM17" i="143"/>
  <c r="Y50" i="149"/>
  <c r="F50" i="149"/>
  <c r="R37" i="149"/>
  <c r="AE37" i="149" s="1"/>
  <c r="Q37" i="149"/>
  <c r="AD37" i="149" s="1"/>
  <c r="P37" i="149"/>
  <c r="AS21" i="147"/>
  <c r="AK21" i="147"/>
  <c r="AT21" i="147" s="1"/>
  <c r="AT20" i="147"/>
  <c r="AL20" i="147"/>
  <c r="AU20" i="147" s="1"/>
  <c r="G50" i="146"/>
  <c r="V37" i="146"/>
  <c r="T37" i="146"/>
  <c r="U37" i="146"/>
  <c r="Z50" i="146"/>
  <c r="AO22" i="147"/>
  <c r="AC50" i="146"/>
  <c r="J50" i="146"/>
  <c r="AH37" i="144"/>
  <c r="Z37" i="144"/>
  <c r="AO15" i="147"/>
  <c r="AA50" i="146"/>
  <c r="H50" i="146"/>
  <c r="X37" i="144"/>
  <c r="AF37" i="144"/>
  <c r="W37" i="144"/>
  <c r="AO28" i="144" s="1"/>
  <c r="K50" i="146"/>
  <c r="AM16" i="143"/>
  <c r="AV16" i="143" s="1"/>
  <c r="AO13" i="143"/>
  <c r="AX13" i="143" s="1"/>
  <c r="X42" i="144"/>
  <c r="AU19" i="145"/>
  <c r="AO19" i="145"/>
  <c r="AX19" i="145" s="1"/>
  <c r="AV21" i="143"/>
  <c r="AO21" i="143"/>
  <c r="AX21" i="143" s="1"/>
  <c r="AK15" i="145"/>
  <c r="AB50" i="146"/>
  <c r="I50" i="146"/>
  <c r="AM22" i="143"/>
  <c r="AO22" i="143" s="1"/>
  <c r="AX22" i="143" s="1"/>
  <c r="AS18" i="145"/>
  <c r="AK18" i="145"/>
  <c r="Q37" i="146"/>
  <c r="AD37" i="146" s="1"/>
  <c r="AG37" i="144"/>
  <c r="Y37" i="144"/>
  <c r="Z42" i="144"/>
  <c r="Y42" i="144"/>
  <c r="P37" i="146"/>
  <c r="AO20" i="143"/>
  <c r="AX20" i="143" s="1"/>
  <c r="AL14" i="145"/>
  <c r="AU14" i="145" s="1"/>
  <c r="BD22" i="140"/>
  <c r="AO14" i="140"/>
  <c r="AX14" i="140" s="1"/>
  <c r="AJ20" i="140"/>
  <c r="AS20" i="140" s="1"/>
  <c r="AO17" i="140"/>
  <c r="AX17" i="140" s="1"/>
  <c r="AK22" i="140"/>
  <c r="AL22" i="140" s="1"/>
  <c r="AU22" i="140" s="1"/>
  <c r="AS19" i="140"/>
  <c r="AK19" i="140"/>
  <c r="AT19" i="140" s="1"/>
  <c r="AK16" i="140"/>
  <c r="AK13" i="140"/>
  <c r="D21" i="165" a="1"/>
  <c r="G21" i="165" a="1"/>
  <c r="D27" i="165" a="1"/>
  <c r="G27" i="165" a="1"/>
  <c r="E21" i="165" a="1"/>
  <c r="H24" i="158" a="1"/>
  <c r="I24" i="154" a="1"/>
  <c r="I24" i="158" a="1"/>
  <c r="J24" i="154" a="1"/>
  <c r="G27" i="158" a="1"/>
  <c r="K21" i="158" a="1"/>
  <c r="I27" i="158" a="1"/>
  <c r="I27" i="154" a="1"/>
  <c r="J27" i="154" a="1"/>
  <c r="J27" i="158" a="1"/>
  <c r="L21" i="158" a="1"/>
  <c r="K27" i="154" a="1"/>
  <c r="M21" i="154" a="1"/>
  <c r="M24" i="158" a="1"/>
  <c r="G24" i="158" a="1"/>
  <c r="F27" i="154" a="1"/>
  <c r="C304" i="36" a="1"/>
  <c r="K24" i="154" a="1"/>
  <c r="G27" i="154" a="1"/>
  <c r="B304" i="36" a="1"/>
  <c r="H24" i="154" a="1"/>
  <c r="H27" i="158" a="1"/>
  <c r="F27" i="158" a="1"/>
  <c r="M27" i="158" a="1"/>
  <c r="L21" i="154" a="1"/>
  <c r="G24" i="154" a="1"/>
  <c r="J24" i="158" a="1"/>
  <c r="H27" i="154" a="1"/>
  <c r="AO21" i="140" l="1"/>
  <c r="AP16" i="147"/>
  <c r="AY16" i="147" s="1"/>
  <c r="E21" i="165"/>
  <c r="G27" i="165"/>
  <c r="D27" i="165"/>
  <c r="G21" i="165"/>
  <c r="D21" i="165"/>
  <c r="AP26" i="146"/>
  <c r="AO28" i="151"/>
  <c r="AO26" i="146"/>
  <c r="AI18" i="143"/>
  <c r="AO17" i="145"/>
  <c r="AX17" i="145" s="1"/>
  <c r="AO26" i="151"/>
  <c r="AO14" i="143"/>
  <c r="AX14" i="143" s="1"/>
  <c r="AI19" i="147"/>
  <c r="AR19" i="147" s="1"/>
  <c r="AK20" i="140"/>
  <c r="AT20" i="140" s="1"/>
  <c r="AL22" i="145"/>
  <c r="AU22" i="145" s="1"/>
  <c r="AX13" i="145"/>
  <c r="AI13" i="145"/>
  <c r="AI14" i="147"/>
  <c r="AP26" i="151"/>
  <c r="AP28" i="151"/>
  <c r="AP28" i="144"/>
  <c r="AR15" i="143"/>
  <c r="AO18" i="147"/>
  <c r="AX18" i="147" s="1"/>
  <c r="AI14" i="140"/>
  <c r="AP14" i="140" s="1"/>
  <c r="AY14" i="140" s="1"/>
  <c r="AO17" i="147"/>
  <c r="AX17" i="147" s="1"/>
  <c r="I24" i="158"/>
  <c r="I24" i="154"/>
  <c r="G24" i="158"/>
  <c r="G27" i="154"/>
  <c r="J27" i="158"/>
  <c r="H24" i="158"/>
  <c r="J24" i="154"/>
  <c r="H24" i="154"/>
  <c r="H27" i="154"/>
  <c r="J27" i="154"/>
  <c r="M24" i="158"/>
  <c r="K24" i="154"/>
  <c r="F27" i="158"/>
  <c r="H27" i="158"/>
  <c r="B304" i="36"/>
  <c r="L21" i="154"/>
  <c r="K21" i="158"/>
  <c r="G24" i="154"/>
  <c r="F27" i="154"/>
  <c r="I27" i="154"/>
  <c r="G27" i="158"/>
  <c r="I27" i="158"/>
  <c r="J24" i="158"/>
  <c r="C304" i="36"/>
  <c r="L21" i="158"/>
  <c r="M21" i="154"/>
  <c r="M27" i="158"/>
  <c r="K27" i="154"/>
  <c r="AH37" i="149"/>
  <c r="Z37" i="149"/>
  <c r="AP13" i="147"/>
  <c r="AY13" i="147" s="1"/>
  <c r="AO20" i="145"/>
  <c r="AX20" i="145" s="1"/>
  <c r="AI14" i="143"/>
  <c r="AO20" i="147"/>
  <c r="AX20" i="147" s="1"/>
  <c r="AI15" i="140"/>
  <c r="Y37" i="149"/>
  <c r="AG37" i="149"/>
  <c r="S37" i="149"/>
  <c r="AC37" i="149"/>
  <c r="AU21" i="145"/>
  <c r="AO21" i="145"/>
  <c r="AX21" i="145" s="1"/>
  <c r="AF37" i="149"/>
  <c r="X37" i="149"/>
  <c r="W37" i="149"/>
  <c r="AT12" i="147"/>
  <c r="AL12" i="147"/>
  <c r="AI17" i="140"/>
  <c r="AP17" i="140" s="1"/>
  <c r="AY17" i="140" s="1"/>
  <c r="AL21" i="147"/>
  <c r="AU21" i="147" s="1"/>
  <c r="Y42" i="149"/>
  <c r="AV17" i="143"/>
  <c r="Z42" i="149"/>
  <c r="AI16" i="145"/>
  <c r="AP16" i="145" s="1"/>
  <c r="AY16" i="145" s="1"/>
  <c r="AI21" i="143"/>
  <c r="AR21" i="143" s="1"/>
  <c r="AA37" i="144"/>
  <c r="AO17" i="143"/>
  <c r="AX17" i="143" s="1"/>
  <c r="AX19" i="143"/>
  <c r="AI19" i="143"/>
  <c r="AT18" i="140"/>
  <c r="AL18" i="140"/>
  <c r="X42" i="149"/>
  <c r="AF37" i="146"/>
  <c r="W37" i="146"/>
  <c r="X37" i="146"/>
  <c r="Z37" i="146"/>
  <c r="AH37" i="146"/>
  <c r="AT15" i="145"/>
  <c r="AO21" i="147"/>
  <c r="AX21" i="147" s="1"/>
  <c r="X42" i="146"/>
  <c r="AT18" i="145"/>
  <c r="AL18" i="145"/>
  <c r="AU18" i="145" s="1"/>
  <c r="AI19" i="145"/>
  <c r="AR18" i="143"/>
  <c r="AP18" i="143"/>
  <c r="AY18" i="143" s="1"/>
  <c r="AI20" i="143"/>
  <c r="AI13" i="143"/>
  <c r="AV22" i="143"/>
  <c r="AI22" i="143"/>
  <c r="AX15" i="147"/>
  <c r="AI15" i="147"/>
  <c r="Y37" i="146"/>
  <c r="AG37" i="146"/>
  <c r="AC37" i="146"/>
  <c r="S37" i="146"/>
  <c r="Y42" i="146"/>
  <c r="AO16" i="143"/>
  <c r="AX16" i="143" s="1"/>
  <c r="AI18" i="147"/>
  <c r="AL15" i="145"/>
  <c r="AU15" i="145" s="1"/>
  <c r="AX22" i="147"/>
  <c r="AI22" i="147"/>
  <c r="AO14" i="145"/>
  <c r="AX14" i="145" s="1"/>
  <c r="Z42" i="146"/>
  <c r="AA42" i="144"/>
  <c r="AT16" i="140"/>
  <c r="AL16" i="140"/>
  <c r="AU16" i="140" s="1"/>
  <c r="AT22" i="140"/>
  <c r="AX21" i="140"/>
  <c r="AI21" i="140"/>
  <c r="AL19" i="140"/>
  <c r="AU19" i="140" s="1"/>
  <c r="AO16" i="140"/>
  <c r="AX16" i="140" s="1"/>
  <c r="AT13" i="140"/>
  <c r="AL13" i="140"/>
  <c r="AU13" i="140" s="1"/>
  <c r="AO22" i="140"/>
  <c r="AX22" i="140" s="1"/>
  <c r="G24" i="165" a="1"/>
  <c r="D26" i="165" a="1"/>
  <c r="H21" i="165" a="1"/>
  <c r="G26" i="165" a="1"/>
  <c r="D24" i="165" a="1"/>
  <c r="H26" i="165" a="1"/>
  <c r="E26" i="165" a="1"/>
  <c r="B315" i="36" a="1"/>
  <c r="L27" i="154" a="1"/>
  <c r="C302" i="36" a="1"/>
  <c r="L24" i="158" a="1"/>
  <c r="L27" i="158" a="1"/>
  <c r="K24" i="158" a="1"/>
  <c r="B302" i="36" a="1"/>
  <c r="L24" i="154" a="1"/>
  <c r="C315" i="36" a="1"/>
  <c r="M27" i="154" a="1"/>
  <c r="J313" i="36" a="1"/>
  <c r="M24" i="154" a="1"/>
  <c r="K27" i="158" a="1"/>
  <c r="AL20" i="140" l="1"/>
  <c r="AU20" i="140" s="1"/>
  <c r="AA37" i="149"/>
  <c r="AO22" i="145"/>
  <c r="AX22" i="145" s="1"/>
  <c r="AI17" i="145"/>
  <c r="AP19" i="147"/>
  <c r="AY19" i="147" s="1"/>
  <c r="E26" i="165"/>
  <c r="H26" i="165"/>
  <c r="D24" i="165"/>
  <c r="G26" i="165"/>
  <c r="H21" i="165"/>
  <c r="D26" i="165"/>
  <c r="G24" i="165"/>
  <c r="AI20" i="147"/>
  <c r="AP20" i="147" s="1"/>
  <c r="AY20" i="147" s="1"/>
  <c r="AO20" i="140"/>
  <c r="AX20" i="140" s="1"/>
  <c r="AO13" i="140"/>
  <c r="AX13" i="140" s="1"/>
  <c r="AI17" i="147"/>
  <c r="AR17" i="147" s="1"/>
  <c r="AI21" i="145"/>
  <c r="AR21" i="145" s="1"/>
  <c r="AR17" i="140"/>
  <c r="AR14" i="140"/>
  <c r="AP14" i="147"/>
  <c r="AY14" i="147" s="1"/>
  <c r="AR14" i="147"/>
  <c r="AR13" i="145"/>
  <c r="AP13" i="145"/>
  <c r="AY13" i="145" s="1"/>
  <c r="AI17" i="143"/>
  <c r="AR17" i="143" s="1"/>
  <c r="AP21" i="143"/>
  <c r="AY21" i="143" s="1"/>
  <c r="AI20" i="145"/>
  <c r="AP20" i="145" s="1"/>
  <c r="AY20" i="145" s="1"/>
  <c r="AR16" i="145"/>
  <c r="AI22" i="145"/>
  <c r="AP22" i="145" s="1"/>
  <c r="AY22" i="145" s="1"/>
  <c r="AO19" i="140"/>
  <c r="AX19" i="140" s="1"/>
  <c r="AP28" i="146"/>
  <c r="AO28" i="146"/>
  <c r="AI21" i="147"/>
  <c r="AR21" i="147" s="1"/>
  <c r="AO28" i="149"/>
  <c r="AP28" i="149"/>
  <c r="AI14" i="145"/>
  <c r="AP14" i="145" s="1"/>
  <c r="AY14" i="145" s="1"/>
  <c r="C302" i="36"/>
  <c r="M24" i="154"/>
  <c r="L24" i="158"/>
  <c r="B315" i="36"/>
  <c r="K27" i="158"/>
  <c r="L27" i="154"/>
  <c r="B302" i="36"/>
  <c r="L24" i="154"/>
  <c r="K24" i="158"/>
  <c r="J313" i="36"/>
  <c r="C315" i="36"/>
  <c r="M27" i="154"/>
  <c r="L27" i="158"/>
  <c r="AO15" i="145"/>
  <c r="AX15" i="145" s="1"/>
  <c r="AU18" i="140"/>
  <c r="AO18" i="140"/>
  <c r="AX18" i="140" s="1"/>
  <c r="AR19" i="143"/>
  <c r="AP19" i="143"/>
  <c r="AY19" i="143" s="1"/>
  <c r="AR15" i="140"/>
  <c r="AP15" i="140"/>
  <c r="AY15" i="140" s="1"/>
  <c r="AU12" i="147"/>
  <c r="AO12" i="147"/>
  <c r="AR14" i="143"/>
  <c r="AP14" i="143"/>
  <c r="AY14" i="143" s="1"/>
  <c r="AI16" i="143"/>
  <c r="AP16" i="143" s="1"/>
  <c r="AY16" i="143" s="1"/>
  <c r="AA42" i="149"/>
  <c r="AO18" i="145"/>
  <c r="AX18" i="145" s="1"/>
  <c r="AA42" i="146"/>
  <c r="AP22" i="147"/>
  <c r="AY22" i="147" s="1"/>
  <c r="AR22" i="147"/>
  <c r="AR17" i="145"/>
  <c r="AP17" i="145"/>
  <c r="AY17" i="145" s="1"/>
  <c r="AA37" i="146"/>
  <c r="AR22" i="143"/>
  <c r="AP22" i="143"/>
  <c r="AY22" i="143" s="1"/>
  <c r="AP20" i="143"/>
  <c r="AY20" i="143" s="1"/>
  <c r="AR20" i="143"/>
  <c r="AR19" i="145"/>
  <c r="AP19" i="145"/>
  <c r="AY19" i="145" s="1"/>
  <c r="AR15" i="147"/>
  <c r="AP15" i="147"/>
  <c r="AY15" i="147" s="1"/>
  <c r="AP13" i="143"/>
  <c r="AY13" i="143" s="1"/>
  <c r="AR13" i="143"/>
  <c r="AR18" i="147"/>
  <c r="AP18" i="147"/>
  <c r="AY18" i="147" s="1"/>
  <c r="AI16" i="140"/>
  <c r="AR21" i="140"/>
  <c r="AP21" i="140"/>
  <c r="AY21" i="140" s="1"/>
  <c r="AI22" i="140"/>
  <c r="H24" i="165" a="1"/>
  <c r="E24" i="165" a="1"/>
  <c r="E27" i="165" a="1"/>
  <c r="H27" i="165" a="1"/>
  <c r="I313" i="36" a="1"/>
  <c r="J302" i="36" a="1"/>
  <c r="J309" i="36" a="1"/>
  <c r="AI20" i="140" l="1"/>
  <c r="AR22" i="145"/>
  <c r="AI13" i="140"/>
  <c r="AR20" i="147"/>
  <c r="H27" i="165"/>
  <c r="E27" i="165"/>
  <c r="E24" i="165"/>
  <c r="H24" i="165"/>
  <c r="AP21" i="145"/>
  <c r="AY21" i="145" s="1"/>
  <c r="AR16" i="143"/>
  <c r="AP17" i="147"/>
  <c r="AY17" i="147" s="1"/>
  <c r="AP17" i="143"/>
  <c r="AY17" i="143" s="1"/>
  <c r="AP21" i="147"/>
  <c r="AY21" i="147" s="1"/>
  <c r="AI19" i="140"/>
  <c r="AR19" i="140" s="1"/>
  <c r="AR20" i="145"/>
  <c r="AI18" i="145"/>
  <c r="AR18" i="145" s="1"/>
  <c r="AI18" i="140"/>
  <c r="AP18" i="140" s="1"/>
  <c r="AY18" i="140" s="1"/>
  <c r="AR14" i="145"/>
  <c r="J302" i="36"/>
  <c r="I313" i="36"/>
  <c r="G313" i="36" s="1"/>
  <c r="K313" i="36" s="1"/>
  <c r="J309" i="36"/>
  <c r="AX12" i="147"/>
  <c r="AI12" i="147"/>
  <c r="AI15" i="145"/>
  <c r="AR15" i="145" s="1"/>
  <c r="AR22" i="140"/>
  <c r="AP22" i="140"/>
  <c r="AY22" i="140" s="1"/>
  <c r="AR20" i="140"/>
  <c r="AP20" i="140"/>
  <c r="AY20" i="140" s="1"/>
  <c r="AR16" i="140"/>
  <c r="AP16" i="140"/>
  <c r="AY16" i="140" s="1"/>
  <c r="AP13" i="140"/>
  <c r="AY13" i="140" s="1"/>
  <c r="AR13" i="140"/>
  <c r="I302" i="36" a="1"/>
  <c r="I309" i="36" a="1"/>
  <c r="AP19" i="140" l="1"/>
  <c r="AY19" i="140" s="1"/>
  <c r="AR18" i="140"/>
  <c r="AP18" i="145"/>
  <c r="AY18" i="145" s="1"/>
  <c r="AP15" i="145"/>
  <c r="AY15" i="145" s="1"/>
  <c r="I309" i="36"/>
  <c r="G309" i="36" s="1"/>
  <c r="K309" i="36" s="1"/>
  <c r="I302" i="36"/>
  <c r="G302" i="36" s="1"/>
  <c r="K302" i="36" s="1"/>
  <c r="AR12" i="147"/>
  <c r="AP12" i="147"/>
  <c r="AY12" i="147" s="1"/>
  <c r="H313" i="36"/>
  <c r="O40" i="139"/>
  <c r="F37" i="139"/>
  <c r="D50" i="139" s="1"/>
  <c r="D37" i="139"/>
  <c r="F36" i="139"/>
  <c r="D36" i="139"/>
  <c r="F35" i="139"/>
  <c r="D35" i="139"/>
  <c r="F34" i="139"/>
  <c r="D34" i="139"/>
  <c r="E34" i="139" s="1"/>
  <c r="F33" i="139"/>
  <c r="D33" i="139"/>
  <c r="AK22" i="139"/>
  <c r="T22" i="139"/>
  <c r="S22" i="139"/>
  <c r="R22" i="139"/>
  <c r="Q22" i="139"/>
  <c r="P22" i="139"/>
  <c r="K22" i="139"/>
  <c r="J22" i="139"/>
  <c r="I22" i="139"/>
  <c r="H22" i="139"/>
  <c r="G22" i="139"/>
  <c r="F22" i="139"/>
  <c r="E22" i="139"/>
  <c r="D22" i="139"/>
  <c r="C22" i="139"/>
  <c r="C33" i="139" s="1"/>
  <c r="AK21" i="139"/>
  <c r="T21" i="139"/>
  <c r="S21" i="139"/>
  <c r="R21" i="139"/>
  <c r="Q21" i="139"/>
  <c r="P21" i="139"/>
  <c r="K21" i="139"/>
  <c r="J21" i="139"/>
  <c r="I21" i="139"/>
  <c r="H21" i="139"/>
  <c r="G21" i="139"/>
  <c r="M21" i="139" s="1"/>
  <c r="F21" i="139"/>
  <c r="E21" i="139"/>
  <c r="D21" i="139"/>
  <c r="C21" i="139"/>
  <c r="AK20" i="139"/>
  <c r="T20" i="139"/>
  <c r="V20" i="139" s="1"/>
  <c r="S20" i="139"/>
  <c r="R20" i="139"/>
  <c r="Q20" i="139"/>
  <c r="P20" i="139"/>
  <c r="K20" i="139"/>
  <c r="J20" i="139"/>
  <c r="I20" i="139"/>
  <c r="H20" i="139"/>
  <c r="G20" i="139"/>
  <c r="O20" i="139" s="1"/>
  <c r="F20" i="139"/>
  <c r="E20" i="139"/>
  <c r="D20" i="139"/>
  <c r="C20" i="139"/>
  <c r="AK19" i="139"/>
  <c r="T19" i="139"/>
  <c r="V19" i="139" s="1"/>
  <c r="S19" i="139"/>
  <c r="R19" i="139"/>
  <c r="Q19" i="139"/>
  <c r="P19" i="139"/>
  <c r="K19" i="139"/>
  <c r="J19" i="139"/>
  <c r="I19" i="139"/>
  <c r="H19" i="139"/>
  <c r="G19" i="139"/>
  <c r="O19" i="139" s="1"/>
  <c r="F19" i="139"/>
  <c r="E19" i="139"/>
  <c r="D19" i="139"/>
  <c r="C19" i="139"/>
  <c r="AK18" i="139"/>
  <c r="T18" i="139"/>
  <c r="S18" i="139"/>
  <c r="R18" i="139"/>
  <c r="Q18" i="139"/>
  <c r="P18" i="139"/>
  <c r="K18" i="139"/>
  <c r="J18" i="139"/>
  <c r="I18" i="139"/>
  <c r="H18" i="139"/>
  <c r="G18" i="139"/>
  <c r="O18" i="139" s="1"/>
  <c r="F18" i="139"/>
  <c r="E18" i="139"/>
  <c r="D18" i="139"/>
  <c r="C18" i="139"/>
  <c r="AK17" i="139"/>
  <c r="T17" i="139"/>
  <c r="S17" i="139"/>
  <c r="R17" i="139"/>
  <c r="Q17" i="139"/>
  <c r="P17" i="139"/>
  <c r="K17" i="139"/>
  <c r="J17" i="139"/>
  <c r="I17" i="139"/>
  <c r="H17" i="139"/>
  <c r="G17" i="139"/>
  <c r="F17" i="139"/>
  <c r="E17" i="139"/>
  <c r="D17" i="139"/>
  <c r="C17" i="139"/>
  <c r="AK16" i="139"/>
  <c r="T16" i="139"/>
  <c r="S16" i="139"/>
  <c r="R16" i="139"/>
  <c r="Q16" i="139"/>
  <c r="P16" i="139"/>
  <c r="K16" i="139"/>
  <c r="J16" i="139"/>
  <c r="I16" i="139"/>
  <c r="H16" i="139"/>
  <c r="G16" i="139"/>
  <c r="M16" i="139" s="1"/>
  <c r="F16" i="139"/>
  <c r="E16" i="139"/>
  <c r="D16" i="139"/>
  <c r="C16" i="139"/>
  <c r="AK15" i="139"/>
  <c r="T15" i="139"/>
  <c r="V15" i="139" s="1"/>
  <c r="S15" i="139"/>
  <c r="R15" i="139"/>
  <c r="Q15" i="139"/>
  <c r="P15" i="139"/>
  <c r="K15" i="139"/>
  <c r="J15" i="139"/>
  <c r="I15" i="139"/>
  <c r="H15" i="139"/>
  <c r="G15" i="139"/>
  <c r="N15" i="139" s="1"/>
  <c r="F15" i="139"/>
  <c r="E15" i="139"/>
  <c r="D15" i="139"/>
  <c r="C15" i="139"/>
  <c r="AK14" i="139"/>
  <c r="T14" i="139"/>
  <c r="V14" i="139" s="1"/>
  <c r="S14" i="139"/>
  <c r="R14" i="139"/>
  <c r="Q14" i="139"/>
  <c r="P14" i="139"/>
  <c r="K14" i="139"/>
  <c r="J14" i="139"/>
  <c r="I14" i="139"/>
  <c r="H14" i="139"/>
  <c r="G14" i="139"/>
  <c r="O14" i="139" s="1"/>
  <c r="F14" i="139"/>
  <c r="E14" i="139"/>
  <c r="D14" i="139"/>
  <c r="C14" i="139"/>
  <c r="AK13" i="139"/>
  <c r="T13" i="139"/>
  <c r="V13" i="139" s="1"/>
  <c r="S13" i="139"/>
  <c r="R13" i="139"/>
  <c r="Q13" i="139"/>
  <c r="P13" i="139"/>
  <c r="K13" i="139"/>
  <c r="J13" i="139"/>
  <c r="I13" i="139"/>
  <c r="H13" i="139"/>
  <c r="G13" i="139"/>
  <c r="O13" i="139" s="1"/>
  <c r="F13" i="139"/>
  <c r="E13" i="139"/>
  <c r="D13" i="139"/>
  <c r="C13" i="139"/>
  <c r="AK12" i="139"/>
  <c r="T12" i="139"/>
  <c r="V12" i="139" s="1"/>
  <c r="S12" i="139"/>
  <c r="R12" i="139"/>
  <c r="Q12" i="139"/>
  <c r="P12" i="139"/>
  <c r="K12" i="139"/>
  <c r="J12" i="139"/>
  <c r="I12" i="139"/>
  <c r="H12" i="139"/>
  <c r="G12" i="139"/>
  <c r="O12" i="139" s="1"/>
  <c r="F12" i="139"/>
  <c r="E12" i="139"/>
  <c r="D12" i="139"/>
  <c r="C12" i="139"/>
  <c r="U17" i="139" l="1"/>
  <c r="AQ17" i="139" s="1"/>
  <c r="AR17" i="139" s="1"/>
  <c r="G69" i="139"/>
  <c r="C66" i="139"/>
  <c r="C79" i="139" s="1"/>
  <c r="C68" i="139"/>
  <c r="C81" i="139" s="1"/>
  <c r="AS19" i="139"/>
  <c r="AS16" i="139"/>
  <c r="AS15" i="139"/>
  <c r="D69" i="139"/>
  <c r="E69" i="139"/>
  <c r="AS12" i="139"/>
  <c r="F69" i="139"/>
  <c r="W48" i="139"/>
  <c r="AN17" i="139"/>
  <c r="AP17" i="139"/>
  <c r="W49" i="139"/>
  <c r="W46" i="139"/>
  <c r="M14" i="139"/>
  <c r="AO12" i="139"/>
  <c r="AO20" i="139"/>
  <c r="AS20" i="139"/>
  <c r="N14" i="139"/>
  <c r="L13" i="139"/>
  <c r="AS13" i="139"/>
  <c r="U21" i="139"/>
  <c r="AN21" i="139" s="1"/>
  <c r="AS21" i="139"/>
  <c r="AS14" i="139"/>
  <c r="AS18" i="139"/>
  <c r="AS17" i="139"/>
  <c r="U15" i="139"/>
  <c r="AQ15" i="139" s="1"/>
  <c r="AR15" i="139" s="1"/>
  <c r="AP15" i="139"/>
  <c r="O16" i="139"/>
  <c r="N21" i="139"/>
  <c r="D82" i="139"/>
  <c r="U22" i="139"/>
  <c r="AO14" i="139" s="1"/>
  <c r="W50" i="139"/>
  <c r="O21" i="139"/>
  <c r="E33" i="139"/>
  <c r="L19" i="139"/>
  <c r="G82" i="139"/>
  <c r="C34" i="139"/>
  <c r="V47" i="139" s="1"/>
  <c r="L14" i="139"/>
  <c r="M19" i="139"/>
  <c r="N19" i="139"/>
  <c r="C67" i="139"/>
  <c r="C80" i="139" s="1"/>
  <c r="W47" i="139"/>
  <c r="D46" i="139"/>
  <c r="L21" i="139"/>
  <c r="H302" i="36"/>
  <c r="N16" i="139"/>
  <c r="H309" i="36"/>
  <c r="G33" i="139"/>
  <c r="O33" i="139" s="1"/>
  <c r="V46" i="139"/>
  <c r="C46" i="139"/>
  <c r="V18" i="139"/>
  <c r="C35" i="139"/>
  <c r="G35" i="139" s="1"/>
  <c r="U18" i="139"/>
  <c r="AQ18" i="139" s="1"/>
  <c r="AR18" i="139" s="1"/>
  <c r="AP18" i="139" s="1"/>
  <c r="V16" i="139"/>
  <c r="L17" i="139"/>
  <c r="E35" i="139"/>
  <c r="M17" i="139"/>
  <c r="N17" i="139"/>
  <c r="V21" i="139"/>
  <c r="L22" i="139"/>
  <c r="U14" i="139"/>
  <c r="AQ14" i="139" s="1"/>
  <c r="AR14" i="139" s="1"/>
  <c r="AP14" i="139" s="1"/>
  <c r="O17" i="139"/>
  <c r="M22" i="139"/>
  <c r="L15" i="139"/>
  <c r="N22" i="139"/>
  <c r="C36" i="139"/>
  <c r="D47" i="139"/>
  <c r="M15" i="139"/>
  <c r="U19" i="139"/>
  <c r="AQ19" i="139" s="1"/>
  <c r="O22" i="139"/>
  <c r="L20" i="139"/>
  <c r="E36" i="139"/>
  <c r="C65" i="139"/>
  <c r="U13" i="139"/>
  <c r="AQ13" i="139" s="1"/>
  <c r="AR13" i="139" s="1"/>
  <c r="AP13" i="139" s="1"/>
  <c r="O15" i="139"/>
  <c r="M20" i="139"/>
  <c r="N20" i="139"/>
  <c r="D48" i="139"/>
  <c r="N12" i="139"/>
  <c r="M12" i="139"/>
  <c r="M13" i="139"/>
  <c r="V17" i="139"/>
  <c r="C37" i="139"/>
  <c r="C69" i="139"/>
  <c r="U12" i="139"/>
  <c r="AQ12" i="139" s="1"/>
  <c r="AR12" i="139" s="1"/>
  <c r="U16" i="139"/>
  <c r="AQ16" i="139" s="1"/>
  <c r="AR16" i="139" s="1"/>
  <c r="AP16" i="139" s="1"/>
  <c r="N13" i="139"/>
  <c r="M18" i="139"/>
  <c r="N18" i="139"/>
  <c r="V22" i="139"/>
  <c r="L24" i="139" s="1"/>
  <c r="E37" i="139"/>
  <c r="D49" i="139"/>
  <c r="L18" i="139"/>
  <c r="L16" i="139"/>
  <c r="L12" i="139"/>
  <c r="U20" i="139"/>
  <c r="U9" i="154" a="1"/>
  <c r="S9" i="154" a="1"/>
  <c r="T9" i="154" a="1"/>
  <c r="O9" i="154" a="1"/>
  <c r="Q9" i="154" a="1"/>
  <c r="R9" i="154" a="1"/>
  <c r="AN15" i="139" l="1"/>
  <c r="U9" i="154"/>
  <c r="AO18" i="139"/>
  <c r="AO17" i="139"/>
  <c r="AN18" i="139"/>
  <c r="AO21" i="139"/>
  <c r="AO13" i="139"/>
  <c r="AO15" i="139"/>
  <c r="AO16" i="139"/>
  <c r="T9" i="154"/>
  <c r="S9" i="154"/>
  <c r="R9" i="154"/>
  <c r="AN14" i="139"/>
  <c r="F82" i="139"/>
  <c r="E82" i="139"/>
  <c r="AR19" i="139"/>
  <c r="AP19" i="139" s="1"/>
  <c r="G34" i="139"/>
  <c r="H34" i="139" s="1"/>
  <c r="AQ20" i="139"/>
  <c r="AR20" i="139"/>
  <c r="AP20" i="139" s="1"/>
  <c r="AN13" i="139"/>
  <c r="AN20" i="139"/>
  <c r="C47" i="139"/>
  <c r="AQ21" i="139"/>
  <c r="AQ22" i="139" s="1"/>
  <c r="AR21" i="139"/>
  <c r="AP21" i="139" s="1"/>
  <c r="AN16" i="139"/>
  <c r="AP12" i="139"/>
  <c r="AN19" i="139"/>
  <c r="H24" i="139"/>
  <c r="AR23" i="139"/>
  <c r="AN12" i="139"/>
  <c r="AO19" i="139"/>
  <c r="Q9" i="154"/>
  <c r="O9" i="154"/>
  <c r="C82" i="139"/>
  <c r="C78" i="139"/>
  <c r="V49" i="139"/>
  <c r="C49" i="139"/>
  <c r="C50" i="139"/>
  <c r="V50" i="139"/>
  <c r="K40" i="139"/>
  <c r="F72" i="139"/>
  <c r="F85" i="139" s="1"/>
  <c r="G37" i="139"/>
  <c r="V48" i="139"/>
  <c r="C48" i="139"/>
  <c r="H35" i="139"/>
  <c r="D72" i="139"/>
  <c r="D85" i="139" s="1"/>
  <c r="I40" i="139"/>
  <c r="J40" i="139"/>
  <c r="E72" i="139"/>
  <c r="E85" i="139" s="1"/>
  <c r="G36" i="139"/>
  <c r="H36" i="139" s="1"/>
  <c r="L40" i="139"/>
  <c r="G72" i="139"/>
  <c r="G85" i="139" s="1"/>
  <c r="H33" i="139"/>
  <c r="AO22" i="139" l="1"/>
  <c r="AP22" i="139"/>
  <c r="AN22" i="139"/>
  <c r="AN24" i="139" s="1"/>
  <c r="F83" i="139"/>
  <c r="F84" i="139" s="1"/>
  <c r="G83" i="139"/>
  <c r="G84" i="139" s="1"/>
  <c r="AR22" i="139"/>
  <c r="AR25" i="139" s="1"/>
  <c r="D83" i="139"/>
  <c r="D84" i="139" s="1"/>
  <c r="E83" i="139"/>
  <c r="E84" i="139" s="1"/>
  <c r="J37" i="139"/>
  <c r="K37" i="139"/>
  <c r="M37" i="139"/>
  <c r="L37" i="139"/>
  <c r="I37" i="139"/>
  <c r="O37" i="139"/>
  <c r="Y46" i="139"/>
  <c r="F46" i="139"/>
  <c r="H37" i="139"/>
  <c r="V40" i="139"/>
  <c r="U40" i="139"/>
  <c r="T40" i="139"/>
  <c r="W40" i="139" s="1"/>
  <c r="J9" i="165" a="1"/>
  <c r="D9" i="158" a="1"/>
  <c r="D9" i="154" a="1"/>
  <c r="AP26" i="139" l="1"/>
  <c r="AO26" i="139"/>
  <c r="J9" i="165"/>
  <c r="AR24" i="139"/>
  <c r="D9" i="158"/>
  <c r="D9" i="154"/>
  <c r="I38" i="139"/>
  <c r="F50" i="139"/>
  <c r="L38" i="139"/>
  <c r="L39" i="139" s="1"/>
  <c r="J38" i="139"/>
  <c r="J39" i="139" s="1"/>
  <c r="Y50" i="139"/>
  <c r="R37" i="139"/>
  <c r="AE37" i="139" s="1"/>
  <c r="Q37" i="139"/>
  <c r="AD37" i="139" s="1"/>
  <c r="P37" i="139"/>
  <c r="K38" i="139"/>
  <c r="K39" i="139" s="1"/>
  <c r="G50" i="139"/>
  <c r="V37" i="139"/>
  <c r="Z42" i="139" s="1"/>
  <c r="U37" i="139"/>
  <c r="Y42" i="139" s="1"/>
  <c r="Z50" i="139"/>
  <c r="T37" i="139"/>
  <c r="X42" i="139" s="1"/>
  <c r="AB50" i="139"/>
  <c r="I50" i="139"/>
  <c r="AC50" i="139"/>
  <c r="J50" i="139"/>
  <c r="K50" i="139"/>
  <c r="H50" i="139"/>
  <c r="AA50" i="139"/>
  <c r="G9" i="165" a="1"/>
  <c r="D9" i="165" a="1"/>
  <c r="H9" i="154" a="1"/>
  <c r="G9" i="158" a="1"/>
  <c r="K9" i="154" a="1"/>
  <c r="M9" i="158" a="1"/>
  <c r="J9" i="158" a="1"/>
  <c r="I9" i="154" a="1"/>
  <c r="F9" i="158" a="1"/>
  <c r="I9" i="158" a="1"/>
  <c r="G9" i="154" a="1"/>
  <c r="H9" i="158" a="1"/>
  <c r="F9" i="154" a="1"/>
  <c r="J9" i="154" a="1"/>
  <c r="D9" i="165" l="1"/>
  <c r="G9" i="165"/>
  <c r="AA42" i="139"/>
  <c r="F9" i="154"/>
  <c r="M9" i="158"/>
  <c r="K9" i="154"/>
  <c r="G9" i="154"/>
  <c r="J9" i="158"/>
  <c r="G9" i="158"/>
  <c r="F9" i="158"/>
  <c r="J9" i="154"/>
  <c r="I9" i="158"/>
  <c r="H9" i="154"/>
  <c r="H9" i="158"/>
  <c r="I9" i="154"/>
  <c r="AF37" i="139"/>
  <c r="X37" i="139"/>
  <c r="W37" i="139"/>
  <c r="AH37" i="139"/>
  <c r="Z37" i="139"/>
  <c r="AG37" i="139"/>
  <c r="Y37" i="139"/>
  <c r="AC37" i="139"/>
  <c r="S37" i="139"/>
  <c r="I39" i="139"/>
  <c r="V38" i="139"/>
  <c r="U38" i="139"/>
  <c r="T38" i="139"/>
  <c r="W38" i="139" s="1"/>
  <c r="B321" i="36" a="1"/>
  <c r="M9" i="154" a="1"/>
  <c r="K9" i="158" a="1"/>
  <c r="J319" i="36" a="1"/>
  <c r="L9" i="154" a="1"/>
  <c r="C321" i="36" a="1"/>
  <c r="L9" i="158" a="1"/>
  <c r="J319" i="36" l="1"/>
  <c r="AO28" i="139"/>
  <c r="AP28" i="139"/>
  <c r="B321" i="36"/>
  <c r="K9" i="158"/>
  <c r="L9" i="154"/>
  <c r="C321" i="36"/>
  <c r="M9" i="154"/>
  <c r="L9" i="158"/>
  <c r="V39" i="139"/>
  <c r="U39" i="139"/>
  <c r="T39" i="139"/>
  <c r="AA37" i="139"/>
  <c r="E9" i="165" a="1"/>
  <c r="H9" i="165" a="1"/>
  <c r="I319" i="36" a="1"/>
  <c r="H9" i="165" l="1"/>
  <c r="E9" i="165"/>
  <c r="I319" i="36"/>
  <c r="W39" i="139"/>
  <c r="G319" i="36" l="1"/>
  <c r="K319" i="36" s="1"/>
  <c r="W50" i="138"/>
  <c r="D50" i="138"/>
  <c r="W49" i="138"/>
  <c r="D49" i="138"/>
  <c r="W48" i="138"/>
  <c r="D48" i="138"/>
  <c r="W47" i="138"/>
  <c r="D47" i="138"/>
  <c r="W46" i="138"/>
  <c r="D46" i="138"/>
  <c r="E37" i="138"/>
  <c r="C37" i="138"/>
  <c r="V50" i="138" s="1"/>
  <c r="E36" i="138"/>
  <c r="C36" i="138"/>
  <c r="V49" i="138" s="1"/>
  <c r="E35" i="138"/>
  <c r="C35" i="138"/>
  <c r="C48" i="138" s="1"/>
  <c r="E34" i="138"/>
  <c r="C34" i="138"/>
  <c r="C47" i="138" s="1"/>
  <c r="E33" i="138"/>
  <c r="C33" i="138"/>
  <c r="V46" i="138" s="1"/>
  <c r="T22" i="138"/>
  <c r="S22" i="138"/>
  <c r="C68" i="138" s="1"/>
  <c r="C81" i="138" s="1"/>
  <c r="R22" i="138"/>
  <c r="C67" i="138" s="1"/>
  <c r="C80" i="138" s="1"/>
  <c r="Q22" i="138"/>
  <c r="C66" i="138" s="1"/>
  <c r="C79" i="138" s="1"/>
  <c r="P22" i="138"/>
  <c r="T21" i="138"/>
  <c r="S21" i="138"/>
  <c r="R21" i="138"/>
  <c r="Q21" i="138"/>
  <c r="P21" i="138"/>
  <c r="T20" i="138"/>
  <c r="S20" i="138"/>
  <c r="R20" i="138"/>
  <c r="Q20" i="138"/>
  <c r="P20" i="138"/>
  <c r="T19" i="138"/>
  <c r="S19" i="138"/>
  <c r="R19" i="138"/>
  <c r="Q19" i="138"/>
  <c r="P19" i="138"/>
  <c r="T18" i="138"/>
  <c r="S18" i="138"/>
  <c r="R18" i="138"/>
  <c r="Q18" i="138"/>
  <c r="P18" i="138"/>
  <c r="T17" i="138"/>
  <c r="S17" i="138"/>
  <c r="R17" i="138"/>
  <c r="Q17" i="138"/>
  <c r="P17" i="138"/>
  <c r="T16" i="138"/>
  <c r="S16" i="138"/>
  <c r="R16" i="138"/>
  <c r="Q16" i="138"/>
  <c r="P16" i="138"/>
  <c r="T15" i="138"/>
  <c r="S15" i="138"/>
  <c r="R15" i="138"/>
  <c r="Q15" i="138"/>
  <c r="P15" i="138"/>
  <c r="T14" i="138"/>
  <c r="S14" i="138"/>
  <c r="R14" i="138"/>
  <c r="Q14" i="138"/>
  <c r="P14" i="138"/>
  <c r="T13" i="138"/>
  <c r="S13" i="138"/>
  <c r="R13" i="138"/>
  <c r="Q13" i="138"/>
  <c r="P13" i="138"/>
  <c r="T12" i="138"/>
  <c r="S12" i="138"/>
  <c r="R12" i="138"/>
  <c r="Q12" i="138"/>
  <c r="P12" i="138"/>
  <c r="AS15" i="138" l="1"/>
  <c r="AS12" i="138"/>
  <c r="AS16" i="138"/>
  <c r="AS13" i="138"/>
  <c r="C50" i="138"/>
  <c r="AS18" i="138"/>
  <c r="AS20" i="138"/>
  <c r="AS19" i="138"/>
  <c r="AS17" i="138"/>
  <c r="AS14" i="138"/>
  <c r="U20" i="138"/>
  <c r="AS21" i="138"/>
  <c r="C65" i="138"/>
  <c r="H319" i="36"/>
  <c r="C78" i="138"/>
  <c r="U17" i="138"/>
  <c r="G69" i="138"/>
  <c r="U13" i="138"/>
  <c r="V47" i="138"/>
  <c r="G34" i="138"/>
  <c r="H34" i="138" s="1"/>
  <c r="V48" i="138"/>
  <c r="C69" i="138"/>
  <c r="G36" i="138"/>
  <c r="H36" i="138" s="1"/>
  <c r="C49" i="138"/>
  <c r="D69" i="138"/>
  <c r="G35" i="138"/>
  <c r="H35" i="138" s="1"/>
  <c r="E69" i="138"/>
  <c r="U22" i="138"/>
  <c r="F69" i="138"/>
  <c r="U12" i="138"/>
  <c r="G37" i="138"/>
  <c r="H37" i="138"/>
  <c r="U18" i="138"/>
  <c r="U19" i="138"/>
  <c r="U15" i="138"/>
  <c r="U21" i="138"/>
  <c r="C46" i="138"/>
  <c r="U16" i="138"/>
  <c r="G33" i="138"/>
  <c r="O33" i="138" s="1"/>
  <c r="U14" i="138"/>
  <c r="O23" i="154" a="1"/>
  <c r="T23" i="154" a="1"/>
  <c r="R23" i="154" a="1"/>
  <c r="U23" i="154" a="1"/>
  <c r="S23" i="154" a="1"/>
  <c r="Q23" i="154" a="1"/>
  <c r="O23" i="154" l="1"/>
  <c r="AQ14" i="138"/>
  <c r="AR14" i="138" s="1"/>
  <c r="AQ19" i="138"/>
  <c r="AQ13" i="138"/>
  <c r="AQ15" i="138"/>
  <c r="AR15" i="138" s="1"/>
  <c r="AQ18" i="138"/>
  <c r="AR18" i="138" s="1"/>
  <c r="H24" i="138"/>
  <c r="AR23" i="138"/>
  <c r="AR19" i="138"/>
  <c r="AQ20" i="138"/>
  <c r="AR20" i="138"/>
  <c r="AQ17" i="138"/>
  <c r="AR17" i="138" s="1"/>
  <c r="AQ12" i="138"/>
  <c r="AR12" i="138" s="1"/>
  <c r="AQ16" i="138"/>
  <c r="AR16" i="138" s="1"/>
  <c r="AR21" i="138"/>
  <c r="AQ21" i="138"/>
  <c r="Q23" i="154"/>
  <c r="R23" i="154"/>
  <c r="S23" i="154"/>
  <c r="U23" i="154"/>
  <c r="T23" i="154"/>
  <c r="C82" i="138"/>
  <c r="D82" i="138"/>
  <c r="E82" i="138"/>
  <c r="G82" i="138"/>
  <c r="F82" i="138"/>
  <c r="O37" i="138"/>
  <c r="L37" i="138"/>
  <c r="M37" i="138"/>
  <c r="K37" i="138"/>
  <c r="Q37" i="138" s="1"/>
  <c r="AD37" i="138" s="1"/>
  <c r="J37" i="138"/>
  <c r="P37" i="138" s="1"/>
  <c r="I37" i="138"/>
  <c r="Y50" i="138"/>
  <c r="F50" i="138"/>
  <c r="R37" i="138"/>
  <c r="AE37" i="138" s="1"/>
  <c r="H33" i="138"/>
  <c r="F23" i="154" a="1"/>
  <c r="F23" i="158" a="1"/>
  <c r="AQ22" i="138" l="1"/>
  <c r="AR13" i="138"/>
  <c r="AR22" i="138" s="1"/>
  <c r="AR24" i="138" s="1"/>
  <c r="F23" i="158"/>
  <c r="F23" i="154"/>
  <c r="F46" i="138"/>
  <c r="Y46" i="138"/>
  <c r="S37" i="138"/>
  <c r="AC37" i="138"/>
  <c r="T37" i="138"/>
  <c r="X42" i="138" s="1"/>
  <c r="V37" i="138"/>
  <c r="G50" i="138"/>
  <c r="Z50" i="138"/>
  <c r="U37" i="138"/>
  <c r="Y42" i="138" s="1"/>
  <c r="H50" i="138"/>
  <c r="AA50" i="138"/>
  <c r="I50" i="138"/>
  <c r="AB50" i="138"/>
  <c r="K50" i="138"/>
  <c r="Z42" i="138"/>
  <c r="J50" i="138"/>
  <c r="AC50" i="138"/>
  <c r="G23" i="154" a="1"/>
  <c r="K23" i="154" a="1"/>
  <c r="I23" i="158" a="1"/>
  <c r="M23" i="154" a="1"/>
  <c r="J23" i="158" a="1"/>
  <c r="H23" i="158" a="1"/>
  <c r="D23" i="154" a="1"/>
  <c r="G23" i="158" a="1"/>
  <c r="C318" i="36" a="1"/>
  <c r="H23" i="154" a="1"/>
  <c r="J23" i="154" a="1"/>
  <c r="L23" i="158" a="1"/>
  <c r="D23" i="158" a="1"/>
  <c r="I23" i="154" a="1"/>
  <c r="M23" i="158" a="1"/>
  <c r="AA42" i="138" l="1"/>
  <c r="AR25" i="138"/>
  <c r="G23" i="154"/>
  <c r="G23" i="158"/>
  <c r="I23" i="154"/>
  <c r="C318" i="36"/>
  <c r="M23" i="154"/>
  <c r="L23" i="158"/>
  <c r="J23" i="158"/>
  <c r="H23" i="158"/>
  <c r="D23" i="154"/>
  <c r="M23" i="158"/>
  <c r="K23" i="154"/>
  <c r="I23" i="158"/>
  <c r="J23" i="154"/>
  <c r="H23" i="154"/>
  <c r="D23" i="158"/>
  <c r="Z37" i="138"/>
  <c r="AH37" i="138"/>
  <c r="AG37" i="138"/>
  <c r="Y37" i="138"/>
  <c r="X37" i="138"/>
  <c r="AA37" i="138" s="1"/>
  <c r="AF37" i="138"/>
  <c r="W37" i="138"/>
  <c r="J311" i="36" a="1"/>
  <c r="J23" i="165" a="1"/>
  <c r="K23" i="158" a="1"/>
  <c r="L23" i="154" a="1"/>
  <c r="B318" i="36" a="1"/>
  <c r="J23" i="165" l="1"/>
  <c r="J311" i="36"/>
  <c r="B318" i="36"/>
  <c r="K23" i="158"/>
  <c r="L23" i="154"/>
  <c r="I311" i="36" a="1"/>
  <c r="I311" i="36" l="1"/>
  <c r="G311" i="36" s="1"/>
  <c r="H311" i="36" s="1"/>
  <c r="G69" i="137"/>
  <c r="F69" i="137"/>
  <c r="E69" i="137"/>
  <c r="D69" i="137"/>
  <c r="D82" i="137" s="1"/>
  <c r="C69" i="137"/>
  <c r="C68" i="137"/>
  <c r="C81" i="137" s="1"/>
  <c r="C67" i="137"/>
  <c r="C80" i="137" s="1"/>
  <c r="C66" i="137"/>
  <c r="C79" i="137" s="1"/>
  <c r="C65" i="137"/>
  <c r="C78" i="137" s="1"/>
  <c r="W50" i="137"/>
  <c r="D50" i="137"/>
  <c r="W49" i="137"/>
  <c r="D49" i="137"/>
  <c r="W48" i="137"/>
  <c r="D48" i="137"/>
  <c r="W47" i="137"/>
  <c r="D47" i="137"/>
  <c r="W46" i="137"/>
  <c r="D46" i="137"/>
  <c r="E37" i="137"/>
  <c r="C37" i="137"/>
  <c r="C50" i="137" s="1"/>
  <c r="E36" i="137"/>
  <c r="C36" i="137"/>
  <c r="V49" i="137" s="1"/>
  <c r="E35" i="137"/>
  <c r="C35" i="137"/>
  <c r="V48" i="137" s="1"/>
  <c r="E34" i="137"/>
  <c r="C34" i="137"/>
  <c r="V47" i="137" s="1"/>
  <c r="E33" i="137"/>
  <c r="C33" i="137"/>
  <c r="V46" i="137" s="1"/>
  <c r="U22" i="137"/>
  <c r="U21" i="137"/>
  <c r="U20" i="137"/>
  <c r="U19" i="137"/>
  <c r="U18" i="137"/>
  <c r="U17" i="137"/>
  <c r="U16" i="137"/>
  <c r="U15" i="137"/>
  <c r="U14" i="137"/>
  <c r="U13" i="137"/>
  <c r="U12" i="137"/>
  <c r="FE22" i="136"/>
  <c r="FD22" i="136"/>
  <c r="FC22" i="136"/>
  <c r="FB22" i="136"/>
  <c r="EZ22" i="136"/>
  <c r="EW22" i="136"/>
  <c r="EV22" i="136"/>
  <c r="EP22" i="136"/>
  <c r="DD22" i="136"/>
  <c r="DC22" i="136"/>
  <c r="CV22" i="136"/>
  <c r="CU22" i="136"/>
  <c r="CX22" i="136" s="1"/>
  <c r="CT22" i="136"/>
  <c r="CS22" i="136"/>
  <c r="CR22" i="136"/>
  <c r="CP22" i="136"/>
  <c r="CO22" i="136"/>
  <c r="BO22" i="136"/>
  <c r="BN22" i="136"/>
  <c r="BM22" i="136"/>
  <c r="BL22" i="136"/>
  <c r="AN22" i="136"/>
  <c r="AM22" i="136"/>
  <c r="AG22" i="136"/>
  <c r="AF22" i="136"/>
  <c r="AE22" i="136"/>
  <c r="AD22" i="136"/>
  <c r="AA22" i="136"/>
  <c r="AB22" i="136" s="1"/>
  <c r="AC22" i="136" s="1"/>
  <c r="Z22" i="136"/>
  <c r="Y22" i="136"/>
  <c r="X22" i="136"/>
  <c r="W22" i="136"/>
  <c r="R22" i="136"/>
  <c r="EZ21" i="136"/>
  <c r="EW21" i="136"/>
  <c r="EV21" i="136"/>
  <c r="EU21" i="136"/>
  <c r="EP21" i="136"/>
  <c r="EM21" i="136"/>
  <c r="DD21" i="136"/>
  <c r="BS21" i="136"/>
  <c r="BO21" i="136"/>
  <c r="BN21" i="136"/>
  <c r="BM21" i="136"/>
  <c r="BL21" i="136"/>
  <c r="AN21" i="136"/>
  <c r="AM21" i="136"/>
  <c r="AA21" i="136"/>
  <c r="AB21" i="136" s="1"/>
  <c r="AC21" i="136" s="1"/>
  <c r="Z21" i="136"/>
  <c r="Y21" i="136"/>
  <c r="X21" i="136"/>
  <c r="W21" i="136"/>
  <c r="R21" i="136"/>
  <c r="O21" i="136"/>
  <c r="EZ20" i="136"/>
  <c r="EW20" i="136"/>
  <c r="EV20" i="136"/>
  <c r="EY20" i="136" s="1"/>
  <c r="EU20" i="136"/>
  <c r="EP20" i="136"/>
  <c r="EM20" i="136"/>
  <c r="DD20" i="136"/>
  <c r="BS20" i="136"/>
  <c r="BO20" i="136"/>
  <c r="BN20" i="136"/>
  <c r="BM20" i="136"/>
  <c r="BL20" i="136"/>
  <c r="AN20" i="136"/>
  <c r="AW20" i="136" s="1"/>
  <c r="AM20" i="136"/>
  <c r="AA20" i="136"/>
  <c r="AB20" i="136" s="1"/>
  <c r="AC20" i="136" s="1"/>
  <c r="Z20" i="136"/>
  <c r="Y20" i="136"/>
  <c r="X20" i="136"/>
  <c r="W20" i="136"/>
  <c r="R20" i="136"/>
  <c r="O20" i="136"/>
  <c r="EZ19" i="136"/>
  <c r="EW19" i="136"/>
  <c r="EV19" i="136"/>
  <c r="EU19" i="136"/>
  <c r="EP19" i="136"/>
  <c r="EM19" i="136"/>
  <c r="DD19" i="136"/>
  <c r="BS19" i="136"/>
  <c r="BO19" i="136"/>
  <c r="BN19" i="136"/>
  <c r="BM19" i="136"/>
  <c r="BL19" i="136"/>
  <c r="AN19" i="136"/>
  <c r="AM19" i="136"/>
  <c r="AA19" i="136"/>
  <c r="AB19" i="136" s="1"/>
  <c r="AC19" i="136" s="1"/>
  <c r="Z19" i="136"/>
  <c r="Y19" i="136"/>
  <c r="X19" i="136"/>
  <c r="W19" i="136"/>
  <c r="R19" i="136"/>
  <c r="O19" i="136"/>
  <c r="EZ18" i="136"/>
  <c r="EW18" i="136"/>
  <c r="EV18" i="136"/>
  <c r="EU18" i="136"/>
  <c r="EP18" i="136"/>
  <c r="EM18" i="136"/>
  <c r="DD18" i="136"/>
  <c r="BS18" i="136"/>
  <c r="BO18" i="136"/>
  <c r="BN18" i="136"/>
  <c r="BM18" i="136"/>
  <c r="BL18" i="136"/>
  <c r="AN18" i="136"/>
  <c r="AM18" i="136"/>
  <c r="AA18" i="136"/>
  <c r="AB18" i="136" s="1"/>
  <c r="AC18" i="136" s="1"/>
  <c r="Z18" i="136"/>
  <c r="Y18" i="136"/>
  <c r="X18" i="136"/>
  <c r="W18" i="136"/>
  <c r="R18" i="136"/>
  <c r="O18" i="136"/>
  <c r="EZ17" i="136"/>
  <c r="EW17" i="136"/>
  <c r="EV17" i="136"/>
  <c r="EU17" i="136"/>
  <c r="EP17" i="136"/>
  <c r="EM17" i="136"/>
  <c r="DD17" i="136"/>
  <c r="BS17" i="136"/>
  <c r="BO17" i="136"/>
  <c r="BN17" i="136"/>
  <c r="BM17" i="136"/>
  <c r="BL17" i="136"/>
  <c r="AN17" i="136"/>
  <c r="AM17" i="136"/>
  <c r="AA17" i="136"/>
  <c r="AB17" i="136" s="1"/>
  <c r="AC17" i="136" s="1"/>
  <c r="Z17" i="136"/>
  <c r="Y17" i="136"/>
  <c r="X17" i="136"/>
  <c r="W17" i="136"/>
  <c r="R17" i="136"/>
  <c r="O17" i="136"/>
  <c r="EZ16" i="136"/>
  <c r="EW16" i="136"/>
  <c r="EV16" i="136"/>
  <c r="EU16" i="136"/>
  <c r="EP16" i="136"/>
  <c r="EM16" i="136"/>
  <c r="DD16" i="136"/>
  <c r="BS16" i="136"/>
  <c r="BO16" i="136"/>
  <c r="BN16" i="136"/>
  <c r="BM16" i="136"/>
  <c r="BL16" i="136"/>
  <c r="AN16" i="136"/>
  <c r="AM16" i="136"/>
  <c r="AA16" i="136"/>
  <c r="AB16" i="136" s="1"/>
  <c r="AC16" i="136" s="1"/>
  <c r="Z16" i="136"/>
  <c r="Y16" i="136"/>
  <c r="X16" i="136"/>
  <c r="W16" i="136"/>
  <c r="R16" i="136"/>
  <c r="O16" i="136"/>
  <c r="EZ15" i="136"/>
  <c r="EW15" i="136"/>
  <c r="EV15" i="136"/>
  <c r="EU15" i="136"/>
  <c r="EP15" i="136"/>
  <c r="EM15" i="136"/>
  <c r="DD15" i="136"/>
  <c r="BS15" i="136"/>
  <c r="BO15" i="136"/>
  <c r="BN15" i="136"/>
  <c r="BM15" i="136"/>
  <c r="BL15" i="136"/>
  <c r="AN15" i="136"/>
  <c r="AM15" i="136"/>
  <c r="AA15" i="136"/>
  <c r="AB15" i="136" s="1"/>
  <c r="AC15" i="136" s="1"/>
  <c r="Z15" i="136"/>
  <c r="Y15" i="136"/>
  <c r="X15" i="136"/>
  <c r="W15" i="136"/>
  <c r="R15" i="136"/>
  <c r="O15" i="136"/>
  <c r="EZ14" i="136"/>
  <c r="EW14" i="136"/>
  <c r="EV14" i="136"/>
  <c r="EU14" i="136"/>
  <c r="EP14" i="136"/>
  <c r="EM14" i="136"/>
  <c r="DD14" i="136"/>
  <c r="BS14" i="136"/>
  <c r="BO14" i="136"/>
  <c r="BN14" i="136"/>
  <c r="BM14" i="136"/>
  <c r="BL14" i="136"/>
  <c r="AN14" i="136"/>
  <c r="AM14" i="136"/>
  <c r="AA14" i="136"/>
  <c r="AB14" i="136" s="1"/>
  <c r="AC14" i="136" s="1"/>
  <c r="Z14" i="136"/>
  <c r="Y14" i="136"/>
  <c r="X14" i="136"/>
  <c r="W14" i="136"/>
  <c r="R14" i="136"/>
  <c r="O14" i="136"/>
  <c r="EZ13" i="136"/>
  <c r="EW13" i="136"/>
  <c r="EV13" i="136"/>
  <c r="EU13" i="136"/>
  <c r="EP13" i="136"/>
  <c r="EM13" i="136"/>
  <c r="DD13" i="136"/>
  <c r="BS13" i="136"/>
  <c r="BO13" i="136"/>
  <c r="BN13" i="136"/>
  <c r="BM13" i="136"/>
  <c r="BL13" i="136"/>
  <c r="AN13" i="136"/>
  <c r="AM13" i="136"/>
  <c r="AA13" i="136"/>
  <c r="AB13" i="136" s="1"/>
  <c r="AC13" i="136" s="1"/>
  <c r="Z13" i="136"/>
  <c r="Y13" i="136"/>
  <c r="X13" i="136"/>
  <c r="W13" i="136"/>
  <c r="R13" i="136"/>
  <c r="O13" i="136"/>
  <c r="EZ12" i="136"/>
  <c r="EW12" i="136"/>
  <c r="EV12" i="136"/>
  <c r="EU12" i="136"/>
  <c r="EP12" i="136"/>
  <c r="EM12" i="136"/>
  <c r="DD12" i="136"/>
  <c r="BS12" i="136"/>
  <c r="BO12" i="136"/>
  <c r="BN12" i="136"/>
  <c r="BM12" i="136"/>
  <c r="BL12" i="136"/>
  <c r="AN12" i="136"/>
  <c r="AM12" i="136"/>
  <c r="AA12" i="136"/>
  <c r="AB12" i="136" s="1"/>
  <c r="AC12" i="136" s="1"/>
  <c r="Z12" i="136"/>
  <c r="Y12" i="136"/>
  <c r="X12" i="136"/>
  <c r="W12" i="136"/>
  <c r="R12" i="136"/>
  <c r="O12" i="136"/>
  <c r="O16" i="154" a="1"/>
  <c r="S16" i="154" a="1"/>
  <c r="G265" i="28" a="1"/>
  <c r="AM17" i="137" a="1"/>
  <c r="AM22" i="137" a="1"/>
  <c r="AM16" i="137" a="1"/>
  <c r="Q16" i="154" a="1"/>
  <c r="AM14" i="137" a="1"/>
  <c r="AM18" i="137" a="1"/>
  <c r="AM15" i="137" a="1"/>
  <c r="U16" i="154" a="1"/>
  <c r="AM21" i="137" a="1"/>
  <c r="J204" i="28" a="1"/>
  <c r="AM12" i="137" a="1"/>
  <c r="H265" i="28" a="1"/>
  <c r="AM13" i="137" a="1"/>
  <c r="AM20" i="137" a="1"/>
  <c r="T16" i="154" a="1"/>
  <c r="AM19" i="137" a="1"/>
  <c r="R16" i="154" a="1"/>
  <c r="G37" i="137" l="1"/>
  <c r="O37" i="137" s="1"/>
  <c r="AW19" i="136"/>
  <c r="EY19" i="136"/>
  <c r="EY18" i="136"/>
  <c r="K311" i="36"/>
  <c r="AM14" i="137"/>
  <c r="AN14" i="137" s="1"/>
  <c r="J204" i="28"/>
  <c r="AM22" i="137"/>
  <c r="G265" i="28"/>
  <c r="AM16" i="137"/>
  <c r="AN16" i="137" s="1"/>
  <c r="AM12" i="137"/>
  <c r="AN12" i="137" s="1"/>
  <c r="AM17" i="137"/>
  <c r="AN17" i="137" s="1"/>
  <c r="AM21" i="137"/>
  <c r="AM15" i="137"/>
  <c r="AN15" i="137" s="1"/>
  <c r="H265" i="28"/>
  <c r="AM20" i="137"/>
  <c r="AP20" i="137" s="1"/>
  <c r="AM19" i="137"/>
  <c r="AP19" i="137" s="1"/>
  <c r="AM13" i="137"/>
  <c r="AN13" i="137" s="1"/>
  <c r="AM18" i="137"/>
  <c r="AN18" i="137" s="1"/>
  <c r="AQ12" i="137"/>
  <c r="AR21" i="137"/>
  <c r="AQ21" i="137"/>
  <c r="AQ19" i="137"/>
  <c r="AR19" i="137"/>
  <c r="AQ17" i="137"/>
  <c r="AR17" i="137" s="1"/>
  <c r="CQ22" i="136"/>
  <c r="AH14" i="136"/>
  <c r="AJ14" i="136" s="1"/>
  <c r="AS14" i="136" s="1"/>
  <c r="AQ13" i="137"/>
  <c r="AR13" i="137" s="1"/>
  <c r="AL12" i="136"/>
  <c r="AU12" i="136" s="1"/>
  <c r="H24" i="137"/>
  <c r="AR23" i="137"/>
  <c r="AO14" i="137"/>
  <c r="AH21" i="136"/>
  <c r="AJ21" i="136" s="1"/>
  <c r="AH15" i="136"/>
  <c r="AJ15" i="136" s="1"/>
  <c r="AS15" i="136" s="1"/>
  <c r="AQ20" i="137"/>
  <c r="AR20" i="137"/>
  <c r="AQ15" i="137"/>
  <c r="AR15" i="137" s="1"/>
  <c r="EY17" i="136"/>
  <c r="AQ18" i="137"/>
  <c r="AR18" i="137" s="1"/>
  <c r="AV16" i="136"/>
  <c r="AH19" i="136"/>
  <c r="AJ19" i="136" s="1"/>
  <c r="AS19" i="136" s="1"/>
  <c r="AQ16" i="137"/>
  <c r="AR16" i="137" s="1"/>
  <c r="AL13" i="136"/>
  <c r="AU13" i="136" s="1"/>
  <c r="AW13" i="136"/>
  <c r="AO13" i="136"/>
  <c r="AX13" i="136" s="1"/>
  <c r="AV22" i="136"/>
  <c r="AO12" i="136"/>
  <c r="AX12" i="136" s="1"/>
  <c r="AW22" i="136"/>
  <c r="AQ14" i="137"/>
  <c r="AR14" i="137" s="1"/>
  <c r="S16" i="154"/>
  <c r="T16" i="154"/>
  <c r="O16" i="154"/>
  <c r="U16" i="154"/>
  <c r="Q16" i="154"/>
  <c r="R16" i="154"/>
  <c r="AV14" i="136"/>
  <c r="EY15" i="136"/>
  <c r="AW17" i="136"/>
  <c r="EY21" i="136"/>
  <c r="FF22" i="136"/>
  <c r="V50" i="137"/>
  <c r="E82" i="137"/>
  <c r="AW14" i="136"/>
  <c r="FG22" i="136"/>
  <c r="C48" i="137"/>
  <c r="F82" i="137"/>
  <c r="EY13" i="136"/>
  <c r="EY14" i="136"/>
  <c r="AW16" i="136"/>
  <c r="BA22" i="136"/>
  <c r="BE22" i="136" s="1"/>
  <c r="G35" i="137"/>
  <c r="H35" i="137" s="1"/>
  <c r="L37" i="137"/>
  <c r="AC50" i="137" s="1"/>
  <c r="AV19" i="136"/>
  <c r="AV20" i="136"/>
  <c r="AV15" i="136"/>
  <c r="EY16" i="136"/>
  <c r="AV18" i="136"/>
  <c r="AV21" i="136"/>
  <c r="FH22" i="136"/>
  <c r="BB22" i="136"/>
  <c r="BF22" i="136" s="1"/>
  <c r="AV12" i="136"/>
  <c r="AH13" i="136"/>
  <c r="AW15" i="136"/>
  <c r="AW18" i="136"/>
  <c r="AW21" i="136"/>
  <c r="FI22" i="136"/>
  <c r="BC22" i="136"/>
  <c r="BG22" i="136" s="1"/>
  <c r="CW22" i="136"/>
  <c r="CY22" i="136" s="1"/>
  <c r="EX22" i="136"/>
  <c r="C82" i="137"/>
  <c r="G82" i="137"/>
  <c r="EY12" i="136"/>
  <c r="AW12" i="136"/>
  <c r="AV13" i="136"/>
  <c r="AV17" i="136"/>
  <c r="CZ22" i="136"/>
  <c r="I37" i="137"/>
  <c r="J37" i="137"/>
  <c r="G34" i="137"/>
  <c r="H34" i="137" s="1"/>
  <c r="G36" i="137"/>
  <c r="H36" i="137" s="1"/>
  <c r="K37" i="137"/>
  <c r="C47" i="137"/>
  <c r="C49" i="137"/>
  <c r="M37" i="137"/>
  <c r="C46" i="137"/>
  <c r="G33" i="137"/>
  <c r="O33" i="137" s="1"/>
  <c r="AH12" i="136"/>
  <c r="AI13" i="136"/>
  <c r="AH20" i="136"/>
  <c r="AI12" i="136"/>
  <c r="AJ13" i="136"/>
  <c r="AS13" i="136" s="1"/>
  <c r="AH22" i="136"/>
  <c r="AJ22" i="136" s="1"/>
  <c r="AS22" i="136" s="1"/>
  <c r="AJ12" i="136"/>
  <c r="AS12" i="136" s="1"/>
  <c r="AK13" i="136"/>
  <c r="AT13" i="136" s="1"/>
  <c r="AH18" i="136"/>
  <c r="AJ18" i="136" s="1"/>
  <c r="AJ20" i="136"/>
  <c r="AS20" i="136" s="1"/>
  <c r="BP22" i="136"/>
  <c r="AK12" i="136"/>
  <c r="AT12" i="136" s="1"/>
  <c r="AH17" i="136"/>
  <c r="AH16" i="136"/>
  <c r="AJ16" i="136" s="1"/>
  <c r="AS16" i="136" s="1"/>
  <c r="EY22" i="136"/>
  <c r="J16" i="154" a="1"/>
  <c r="AP21" i="137" l="1"/>
  <c r="H37" i="137"/>
  <c r="AO16" i="137"/>
  <c r="AO17" i="137"/>
  <c r="AO15" i="137"/>
  <c r="AO12" i="137"/>
  <c r="AP17" i="137"/>
  <c r="AN20" i="137"/>
  <c r="AR12" i="137"/>
  <c r="AR22" i="137" s="1"/>
  <c r="AR24" i="137" s="1"/>
  <c r="AQ22" i="137"/>
  <c r="AR25" i="137" s="1"/>
  <c r="AP18" i="137"/>
  <c r="AP13" i="137"/>
  <c r="AP15" i="137"/>
  <c r="AN19" i="137"/>
  <c r="AP12" i="137"/>
  <c r="AP16" i="137"/>
  <c r="AO20" i="137"/>
  <c r="AO18" i="137"/>
  <c r="AO19" i="137"/>
  <c r="AN21" i="137"/>
  <c r="AO13" i="137"/>
  <c r="AO21" i="137"/>
  <c r="AP14" i="137"/>
  <c r="J16" i="154"/>
  <c r="J50" i="137"/>
  <c r="AK15" i="136"/>
  <c r="AT15" i="136" s="1"/>
  <c r="AZ22" i="136"/>
  <c r="BD22" i="136" s="1"/>
  <c r="AK14" i="136"/>
  <c r="AT14" i="136" s="1"/>
  <c r="R37" i="137"/>
  <c r="AE37" i="137" s="1"/>
  <c r="AK19" i="136"/>
  <c r="AT19" i="136" s="1"/>
  <c r="K50" i="137"/>
  <c r="V37" i="137"/>
  <c r="U37" i="137"/>
  <c r="T37" i="137"/>
  <c r="Z50" i="137"/>
  <c r="G50" i="137"/>
  <c r="AB50" i="137"/>
  <c r="I50" i="137"/>
  <c r="H33" i="137"/>
  <c r="AA50" i="137"/>
  <c r="H50" i="137"/>
  <c r="P37" i="137"/>
  <c r="AS18" i="136"/>
  <c r="AS21" i="136"/>
  <c r="AK22" i="136"/>
  <c r="AT22" i="136" s="1"/>
  <c r="AK18" i="136"/>
  <c r="AT18" i="136" s="1"/>
  <c r="AK16" i="136"/>
  <c r="AL19" i="136"/>
  <c r="AR12" i="136"/>
  <c r="AP12" i="136"/>
  <c r="AY12" i="136" s="1"/>
  <c r="AP13" i="136"/>
  <c r="AY13" i="136" s="1"/>
  <c r="AR13" i="136"/>
  <c r="AK20" i="136"/>
  <c r="AT20" i="136" s="1"/>
  <c r="AJ17" i="136"/>
  <c r="AS17" i="136" s="1"/>
  <c r="BQ22" i="136"/>
  <c r="AK21" i="136"/>
  <c r="AT21" i="136" s="1"/>
  <c r="H16" i="158" a="1"/>
  <c r="K16" i="154" a="1"/>
  <c r="J16" i="165" a="1"/>
  <c r="I16" i="154" a="1"/>
  <c r="G16" i="158" a="1"/>
  <c r="M16" i="158" a="1"/>
  <c r="J16" i="158" a="1"/>
  <c r="H16" i="154" a="1"/>
  <c r="I16" i="158" a="1"/>
  <c r="G16" i="154" a="1"/>
  <c r="F50" i="137" l="1"/>
  <c r="Y50" i="137"/>
  <c r="AP22" i="137"/>
  <c r="Q37" i="137"/>
  <c r="AD37" i="137" s="1"/>
  <c r="AN22" i="137"/>
  <c r="AN24" i="137" s="1"/>
  <c r="AO22" i="137"/>
  <c r="J16" i="165"/>
  <c r="AL15" i="136"/>
  <c r="AU15" i="136" s="1"/>
  <c r="AO15" i="136"/>
  <c r="AX15" i="136" s="1"/>
  <c r="AL14" i="136"/>
  <c r="AU14" i="136" s="1"/>
  <c r="AL22" i="136"/>
  <c r="AU22" i="136" s="1"/>
  <c r="BR22" i="136"/>
  <c r="G16" i="158"/>
  <c r="G16" i="154"/>
  <c r="I16" i="154"/>
  <c r="H16" i="158"/>
  <c r="H16" i="154"/>
  <c r="J16" i="158"/>
  <c r="K16" i="154"/>
  <c r="M16" i="158"/>
  <c r="I16" i="158"/>
  <c r="AL18" i="136"/>
  <c r="AU18" i="136" s="1"/>
  <c r="AK17" i="136"/>
  <c r="AT17" i="136" s="1"/>
  <c r="X37" i="137"/>
  <c r="AF37" i="137"/>
  <c r="W37" i="137"/>
  <c r="AG37" i="137"/>
  <c r="Y37" i="137"/>
  <c r="AH37" i="137"/>
  <c r="Z37" i="137"/>
  <c r="X42" i="137"/>
  <c r="Y42" i="137"/>
  <c r="Z42" i="137"/>
  <c r="AC37" i="137"/>
  <c r="S37" i="137"/>
  <c r="F46" i="137"/>
  <c r="Y46" i="137"/>
  <c r="AT16" i="136"/>
  <c r="AU19" i="136"/>
  <c r="AO19" i="136"/>
  <c r="AX19" i="136" s="1"/>
  <c r="AL16" i="136"/>
  <c r="AU16" i="136" s="1"/>
  <c r="AL21" i="136"/>
  <c r="AU21" i="136" s="1"/>
  <c r="AL20" i="136"/>
  <c r="AU20" i="136" s="1"/>
  <c r="AO22" i="136"/>
  <c r="AX22" i="136" s="1"/>
  <c r="D16" i="158" a="1"/>
  <c r="K16" i="158" a="1"/>
  <c r="D16" i="154" a="1"/>
  <c r="L16" i="154" a="1"/>
  <c r="F16" i="158" a="1"/>
  <c r="C308" i="36" a="1"/>
  <c r="B308" i="36" a="1"/>
  <c r="M16" i="154" a="1"/>
  <c r="F16" i="154" a="1"/>
  <c r="L16" i="158" a="1"/>
  <c r="F16" i="154" l="1"/>
  <c r="F16" i="158"/>
  <c r="AO18" i="136"/>
  <c r="AX18" i="136" s="1"/>
  <c r="AO28" i="137"/>
  <c r="AO26" i="137"/>
  <c r="AP26" i="137"/>
  <c r="AP28" i="137"/>
  <c r="AL17" i="136"/>
  <c r="AU17" i="136" s="1"/>
  <c r="AI19" i="136"/>
  <c r="AR19" i="136" s="1"/>
  <c r="AI18" i="136"/>
  <c r="AR18" i="136" s="1"/>
  <c r="AI15" i="136"/>
  <c r="AO14" i="136"/>
  <c r="AX14" i="136" s="1"/>
  <c r="C308" i="36"/>
  <c r="L16" i="158"/>
  <c r="M16" i="154"/>
  <c r="B308" i="36"/>
  <c r="L16" i="154"/>
  <c r="K16" i="158"/>
  <c r="D16" i="154"/>
  <c r="D16" i="158"/>
  <c r="AO17" i="136"/>
  <c r="AX17" i="136" s="1"/>
  <c r="AA42" i="137"/>
  <c r="AA37" i="137"/>
  <c r="AO21" i="136"/>
  <c r="AX21" i="136" s="1"/>
  <c r="AI17" i="136"/>
  <c r="AO20" i="136"/>
  <c r="AO16" i="136"/>
  <c r="AX16" i="136" s="1"/>
  <c r="AI22" i="136"/>
  <c r="E16" i="165" a="1"/>
  <c r="G16" i="165" a="1"/>
  <c r="H16" i="165" a="1"/>
  <c r="D16" i="165" a="1"/>
  <c r="J320" i="36" a="1"/>
  <c r="D16" i="165" l="1"/>
  <c r="H16" i="165"/>
  <c r="G16" i="165"/>
  <c r="E16" i="165"/>
  <c r="AI14" i="136"/>
  <c r="AP19" i="136"/>
  <c r="AY19" i="136" s="1"/>
  <c r="AP15" i="136"/>
  <c r="AY15" i="136" s="1"/>
  <c r="AR15" i="136"/>
  <c r="AP18" i="136"/>
  <c r="AY18" i="136" s="1"/>
  <c r="J320" i="36"/>
  <c r="AI21" i="136"/>
  <c r="AI16" i="136"/>
  <c r="AR22" i="136"/>
  <c r="AP22" i="136"/>
  <c r="AY22" i="136" s="1"/>
  <c r="AX20" i="136"/>
  <c r="AI20" i="136"/>
  <c r="AR17" i="136"/>
  <c r="AP17" i="136"/>
  <c r="AY17" i="136" s="1"/>
  <c r="I320" i="36" a="1"/>
  <c r="AR14" i="136" l="1"/>
  <c r="AP14" i="136"/>
  <c r="AY14" i="136" s="1"/>
  <c r="I320" i="36"/>
  <c r="G320" i="36" s="1"/>
  <c r="K320" i="36" s="1"/>
  <c r="AR16" i="136"/>
  <c r="AP16" i="136"/>
  <c r="AY16" i="136" s="1"/>
  <c r="AR20" i="136"/>
  <c r="AP20" i="136"/>
  <c r="AY20" i="136" s="1"/>
  <c r="AR21" i="136"/>
  <c r="AP21" i="136"/>
  <c r="AY21" i="136" s="1"/>
  <c r="H320" i="36" l="1"/>
  <c r="W50" i="135"/>
  <c r="D50" i="135"/>
  <c r="W49" i="135"/>
  <c r="D49" i="135"/>
  <c r="W48" i="135"/>
  <c r="D48" i="135"/>
  <c r="W47" i="135"/>
  <c r="D47" i="135"/>
  <c r="W46" i="135"/>
  <c r="D46" i="135"/>
  <c r="E37" i="135"/>
  <c r="E36" i="135"/>
  <c r="E35" i="135"/>
  <c r="E34" i="135"/>
  <c r="E33" i="135"/>
  <c r="H26" i="135"/>
  <c r="H25" i="135"/>
  <c r="AK22" i="135"/>
  <c r="T22" i="135"/>
  <c r="S22" i="135"/>
  <c r="R22" i="135"/>
  <c r="Q22" i="135"/>
  <c r="P22" i="135"/>
  <c r="K22" i="135"/>
  <c r="J22" i="135"/>
  <c r="I22" i="135"/>
  <c r="H22" i="135"/>
  <c r="G22" i="135"/>
  <c r="C37" i="135" s="1"/>
  <c r="F22" i="135"/>
  <c r="E22" i="135"/>
  <c r="D22" i="135"/>
  <c r="C22" i="135"/>
  <c r="C33" i="135" s="1"/>
  <c r="AK21" i="135"/>
  <c r="T21" i="135"/>
  <c r="S21" i="135"/>
  <c r="R21" i="135"/>
  <c r="Q21" i="135"/>
  <c r="P21" i="135"/>
  <c r="K21" i="135"/>
  <c r="J21" i="135"/>
  <c r="I21" i="135"/>
  <c r="H21" i="135"/>
  <c r="G21" i="135"/>
  <c r="F21" i="135"/>
  <c r="E21" i="135"/>
  <c r="D21" i="135"/>
  <c r="C21" i="135"/>
  <c r="AK20" i="135"/>
  <c r="T20" i="135"/>
  <c r="S20" i="135"/>
  <c r="R20" i="135"/>
  <c r="Q20" i="135"/>
  <c r="P20" i="135"/>
  <c r="K20" i="135"/>
  <c r="J20" i="135"/>
  <c r="I20" i="135"/>
  <c r="H20" i="135"/>
  <c r="G20" i="135"/>
  <c r="F20" i="135"/>
  <c r="E20" i="135"/>
  <c r="D20" i="135"/>
  <c r="C20" i="135"/>
  <c r="AK19" i="135"/>
  <c r="T19" i="135"/>
  <c r="S19" i="135"/>
  <c r="R19" i="135"/>
  <c r="Q19" i="135"/>
  <c r="P19" i="135"/>
  <c r="K19" i="135"/>
  <c r="J19" i="135"/>
  <c r="I19" i="135"/>
  <c r="H19" i="135"/>
  <c r="G19" i="135"/>
  <c r="F19" i="135"/>
  <c r="E19" i="135"/>
  <c r="D19" i="135"/>
  <c r="C19" i="135"/>
  <c r="AK18" i="135"/>
  <c r="T18" i="135"/>
  <c r="S18" i="135"/>
  <c r="R18" i="135"/>
  <c r="Q18" i="135"/>
  <c r="P18" i="135"/>
  <c r="K18" i="135"/>
  <c r="J18" i="135"/>
  <c r="I18" i="135"/>
  <c r="H18" i="135"/>
  <c r="G18" i="135"/>
  <c r="F18" i="135"/>
  <c r="E18" i="135"/>
  <c r="D18" i="135"/>
  <c r="C18" i="135"/>
  <c r="AK17" i="135"/>
  <c r="T17" i="135"/>
  <c r="S17" i="135"/>
  <c r="R17" i="135"/>
  <c r="Q17" i="135"/>
  <c r="P17" i="135"/>
  <c r="K17" i="135"/>
  <c r="J17" i="135"/>
  <c r="I17" i="135"/>
  <c r="H17" i="135"/>
  <c r="G17" i="135"/>
  <c r="F17" i="135"/>
  <c r="E17" i="135"/>
  <c r="D17" i="135"/>
  <c r="C17" i="135"/>
  <c r="AK16" i="135"/>
  <c r="T16" i="135"/>
  <c r="S16" i="135"/>
  <c r="R16" i="135"/>
  <c r="Q16" i="135"/>
  <c r="P16" i="135"/>
  <c r="K16" i="135"/>
  <c r="J16" i="135"/>
  <c r="I16" i="135"/>
  <c r="H16" i="135"/>
  <c r="G16" i="135"/>
  <c r="F16" i="135"/>
  <c r="E16" i="135"/>
  <c r="D16" i="135"/>
  <c r="C16" i="135"/>
  <c r="AK15" i="135"/>
  <c r="T15" i="135"/>
  <c r="S15" i="135"/>
  <c r="R15" i="135"/>
  <c r="Q15" i="135"/>
  <c r="P15" i="135"/>
  <c r="K15" i="135"/>
  <c r="J15" i="135"/>
  <c r="I15" i="135"/>
  <c r="H15" i="135"/>
  <c r="G15" i="135"/>
  <c r="F15" i="135"/>
  <c r="E15" i="135"/>
  <c r="D15" i="135"/>
  <c r="C15" i="135"/>
  <c r="AK14" i="135"/>
  <c r="T14" i="135"/>
  <c r="S14" i="135"/>
  <c r="R14" i="135"/>
  <c r="Q14" i="135"/>
  <c r="P14" i="135"/>
  <c r="K14" i="135"/>
  <c r="J14" i="135"/>
  <c r="I14" i="135"/>
  <c r="H14" i="135"/>
  <c r="G14" i="135"/>
  <c r="F14" i="135"/>
  <c r="E14" i="135"/>
  <c r="D14" i="135"/>
  <c r="C14" i="135"/>
  <c r="AK13" i="135"/>
  <c r="T13" i="135"/>
  <c r="S13" i="135"/>
  <c r="R13" i="135"/>
  <c r="Q13" i="135"/>
  <c r="P13" i="135"/>
  <c r="K13" i="135"/>
  <c r="J13" i="135"/>
  <c r="I13" i="135"/>
  <c r="H13" i="135"/>
  <c r="G13" i="135"/>
  <c r="F13" i="135"/>
  <c r="E13" i="135"/>
  <c r="D13" i="135"/>
  <c r="C13" i="135"/>
  <c r="AK12" i="135"/>
  <c r="T12" i="135"/>
  <c r="S12" i="135"/>
  <c r="R12" i="135"/>
  <c r="Q12" i="135"/>
  <c r="P12" i="135"/>
  <c r="K12" i="135"/>
  <c r="J12" i="135"/>
  <c r="I12" i="135"/>
  <c r="H12" i="135"/>
  <c r="G12" i="135"/>
  <c r="F12" i="135"/>
  <c r="E12" i="135"/>
  <c r="D12" i="135"/>
  <c r="C12" i="135"/>
  <c r="AS15" i="135" l="1"/>
  <c r="AS18" i="135"/>
  <c r="C66" i="135"/>
  <c r="C79" i="135" s="1"/>
  <c r="D69" i="135"/>
  <c r="AS19" i="135"/>
  <c r="AS17" i="135"/>
  <c r="U18" i="135"/>
  <c r="AQ18" i="135" s="1"/>
  <c r="AR18" i="135" s="1"/>
  <c r="AS14" i="135"/>
  <c r="AS21" i="135"/>
  <c r="AS13" i="135"/>
  <c r="AS12" i="135"/>
  <c r="AS16" i="135"/>
  <c r="AS20" i="135"/>
  <c r="D82" i="135"/>
  <c r="C34" i="135"/>
  <c r="G34" i="135" s="1"/>
  <c r="H34" i="135" s="1"/>
  <c r="C67" i="135"/>
  <c r="C80" i="135" s="1"/>
  <c r="C69" i="135"/>
  <c r="C68" i="135"/>
  <c r="C81" i="135" s="1"/>
  <c r="G33" i="135"/>
  <c r="O33" i="135" s="1"/>
  <c r="C46" i="135"/>
  <c r="V46" i="135"/>
  <c r="V50" i="135"/>
  <c r="C50" i="135"/>
  <c r="G37" i="135"/>
  <c r="O37" i="135" s="1"/>
  <c r="U13" i="135"/>
  <c r="AQ13" i="135" s="1"/>
  <c r="AR13" i="135" s="1"/>
  <c r="C35" i="135"/>
  <c r="U14" i="135"/>
  <c r="AQ14" i="135" s="1"/>
  <c r="C65" i="135"/>
  <c r="U19" i="135"/>
  <c r="AQ19" i="135" s="1"/>
  <c r="C36" i="135"/>
  <c r="U20" i="135"/>
  <c r="E69" i="135"/>
  <c r="F69" i="135"/>
  <c r="G69" i="135"/>
  <c r="U21" i="135"/>
  <c r="U15" i="135"/>
  <c r="AQ15" i="135" s="1"/>
  <c r="AR15" i="135" s="1"/>
  <c r="U12" i="135"/>
  <c r="AQ12" i="135" s="1"/>
  <c r="AR12" i="135" s="1"/>
  <c r="U17" i="135"/>
  <c r="AQ17" i="135" s="1"/>
  <c r="AR17" i="135" s="1"/>
  <c r="U22" i="135"/>
  <c r="U16" i="135"/>
  <c r="AQ16" i="135" s="1"/>
  <c r="AR16" i="135" s="1"/>
  <c r="T12" i="154" a="1"/>
  <c r="U12" i="154" a="1"/>
  <c r="R12" i="154" a="1"/>
  <c r="O12" i="154" a="1"/>
  <c r="Q12" i="154" a="1"/>
  <c r="S12" i="154" a="1"/>
  <c r="R12" i="154" l="1"/>
  <c r="AR21" i="135"/>
  <c r="AQ21" i="135"/>
  <c r="AR14" i="135"/>
  <c r="AR19" i="135"/>
  <c r="H24" i="135"/>
  <c r="AR23" i="135"/>
  <c r="AQ20" i="135"/>
  <c r="AQ22" i="135" s="1"/>
  <c r="AR20" i="135"/>
  <c r="U12" i="154"/>
  <c r="T12" i="154"/>
  <c r="S12" i="154"/>
  <c r="O12" i="154"/>
  <c r="Q12" i="154"/>
  <c r="G82" i="135"/>
  <c r="C47" i="135"/>
  <c r="V47" i="135"/>
  <c r="F82" i="135"/>
  <c r="E82" i="135"/>
  <c r="C78" i="135"/>
  <c r="L37" i="135"/>
  <c r="J50" i="135" s="1"/>
  <c r="C82" i="135"/>
  <c r="H33" i="135"/>
  <c r="H37" i="135"/>
  <c r="K37" i="135"/>
  <c r="J37" i="135"/>
  <c r="I37" i="135"/>
  <c r="V48" i="135"/>
  <c r="C48" i="135"/>
  <c r="G35" i="135"/>
  <c r="H35" i="135" s="1"/>
  <c r="C49" i="135"/>
  <c r="G36" i="135"/>
  <c r="V49" i="135"/>
  <c r="H36" i="135"/>
  <c r="M37" i="135"/>
  <c r="J12" i="158" a="1"/>
  <c r="AC50" i="135" l="1"/>
  <c r="AR22" i="135"/>
  <c r="AR25" i="135" s="1"/>
  <c r="J12" i="158"/>
  <c r="K50" i="135"/>
  <c r="G50" i="135"/>
  <c r="V37" i="135"/>
  <c r="U37" i="135"/>
  <c r="T37" i="135"/>
  <c r="Z50" i="135"/>
  <c r="H50" i="135"/>
  <c r="AA50" i="135"/>
  <c r="F46" i="135"/>
  <c r="Y46" i="135"/>
  <c r="I50" i="135"/>
  <c r="AB50" i="135"/>
  <c r="P37" i="135"/>
  <c r="F50" i="135"/>
  <c r="Y50" i="135"/>
  <c r="R37" i="135"/>
  <c r="AE37" i="135" s="1"/>
  <c r="Q37" i="135"/>
  <c r="AD37" i="135" s="1"/>
  <c r="J12" i="154" a="1"/>
  <c r="I12" i="154" a="1"/>
  <c r="I12" i="158" a="1"/>
  <c r="H12" i="158" a="1"/>
  <c r="K12" i="154" a="1"/>
  <c r="H12" i="154" a="1"/>
  <c r="D12" i="158" a="1"/>
  <c r="F12" i="158" a="1"/>
  <c r="M12" i="158" a="1"/>
  <c r="J12" i="165" a="1"/>
  <c r="F12" i="154" a="1"/>
  <c r="G12" i="154" a="1"/>
  <c r="G12" i="158" a="1"/>
  <c r="D12" i="154" a="1"/>
  <c r="J12" i="154" l="1"/>
  <c r="J12" i="165"/>
  <c r="AR24" i="135"/>
  <c r="F12" i="158"/>
  <c r="G12" i="154"/>
  <c r="I12" i="158"/>
  <c r="D12" i="154"/>
  <c r="G12" i="158"/>
  <c r="I12" i="154"/>
  <c r="D12" i="158"/>
  <c r="K12" i="154"/>
  <c r="M12" i="158"/>
  <c r="H12" i="154"/>
  <c r="F12" i="154"/>
  <c r="H12" i="158"/>
  <c r="AG37" i="135"/>
  <c r="Y37" i="135"/>
  <c r="Y42" i="135"/>
  <c r="AC37" i="135"/>
  <c r="S37" i="135"/>
  <c r="AF37" i="135"/>
  <c r="X37" i="135"/>
  <c r="W37" i="135"/>
  <c r="AH37" i="135"/>
  <c r="Z37" i="135"/>
  <c r="X42" i="135"/>
  <c r="Z42" i="135"/>
  <c r="K12" i="158" a="1"/>
  <c r="L12" i="158" a="1"/>
  <c r="C320" i="36" a="1"/>
  <c r="M12" i="154" a="1"/>
  <c r="L12" i="154" a="1"/>
  <c r="B320" i="36" a="1"/>
  <c r="B320" i="36" l="1"/>
  <c r="L12" i="154"/>
  <c r="K12" i="158"/>
  <c r="C320" i="36"/>
  <c r="L12" i="158"/>
  <c r="M12" i="154"/>
  <c r="AA42" i="135"/>
  <c r="AA37" i="135"/>
  <c r="J317" i="36" a="1"/>
  <c r="J317" i="36" l="1"/>
  <c r="FA22" i="133"/>
  <c r="EZ22" i="133" s="1"/>
  <c r="ET22" i="133"/>
  <c r="ES22" i="133"/>
  <c r="ER22" i="133"/>
  <c r="EQ22" i="133"/>
  <c r="EO22" i="133"/>
  <c r="EN22" i="133"/>
  <c r="EL22" i="133"/>
  <c r="EK22" i="133"/>
  <c r="EJ22" i="133"/>
  <c r="EI22" i="133"/>
  <c r="EG22" i="133"/>
  <c r="EF22" i="133"/>
  <c r="EE22" i="133"/>
  <c r="ED22" i="133"/>
  <c r="EC22" i="133"/>
  <c r="EB22" i="133"/>
  <c r="EA22" i="133"/>
  <c r="DE22" i="133"/>
  <c r="DD22" i="133" s="1"/>
  <c r="DB22" i="133"/>
  <c r="DA22" i="133"/>
  <c r="CN22" i="133"/>
  <c r="CM22" i="133"/>
  <c r="CL22" i="133"/>
  <c r="CK22" i="133"/>
  <c r="CO22" i="133" s="1"/>
  <c r="BK22" i="133"/>
  <c r="BJ22" i="133"/>
  <c r="BI22" i="133"/>
  <c r="BH22" i="133"/>
  <c r="AN22" i="133"/>
  <c r="V22" i="133"/>
  <c r="U22" i="133"/>
  <c r="T22" i="133"/>
  <c r="S22" i="133"/>
  <c r="Q22" i="133"/>
  <c r="P22" i="133"/>
  <c r="N22" i="133"/>
  <c r="M22" i="133"/>
  <c r="L22" i="133"/>
  <c r="K22" i="133"/>
  <c r="I22" i="133"/>
  <c r="H22" i="133"/>
  <c r="G22" i="133"/>
  <c r="F22" i="133"/>
  <c r="E22" i="133"/>
  <c r="D22" i="133"/>
  <c r="C22" i="133"/>
  <c r="FA21" i="133"/>
  <c r="EZ21" i="133" s="1"/>
  <c r="EO21" i="133"/>
  <c r="EN21" i="133"/>
  <c r="EG21" i="133"/>
  <c r="EF21" i="133"/>
  <c r="EE21" i="133"/>
  <c r="ED21" i="133"/>
  <c r="EC21" i="133"/>
  <c r="EB21" i="133"/>
  <c r="EA21" i="133"/>
  <c r="DE21" i="133"/>
  <c r="DD21" i="133" s="1"/>
  <c r="BK21" i="133"/>
  <c r="BJ21" i="133"/>
  <c r="BI21" i="133"/>
  <c r="BH21" i="133"/>
  <c r="BL21" i="133" s="1"/>
  <c r="AN21" i="133"/>
  <c r="Q21" i="133"/>
  <c r="P21" i="133"/>
  <c r="I21" i="133"/>
  <c r="H21" i="133"/>
  <c r="G21" i="133"/>
  <c r="F21" i="133"/>
  <c r="E21" i="133"/>
  <c r="D21" i="133"/>
  <c r="C21" i="133"/>
  <c r="FA20" i="133"/>
  <c r="EZ20" i="133" s="1"/>
  <c r="EO20" i="133"/>
  <c r="EN20" i="133"/>
  <c r="EG20" i="133"/>
  <c r="EF20" i="133"/>
  <c r="EE20" i="133"/>
  <c r="ED20" i="133"/>
  <c r="EC20" i="133"/>
  <c r="EB20" i="133"/>
  <c r="EA20" i="133"/>
  <c r="DE20" i="133"/>
  <c r="DD20" i="133" s="1"/>
  <c r="BK20" i="133"/>
  <c r="BJ20" i="133"/>
  <c r="BI20" i="133"/>
  <c r="BH20" i="133"/>
  <c r="AN20" i="133"/>
  <c r="Q20" i="133"/>
  <c r="P20" i="133"/>
  <c r="I20" i="133"/>
  <c r="H20" i="133"/>
  <c r="G20" i="133"/>
  <c r="F20" i="133"/>
  <c r="E20" i="133"/>
  <c r="D20" i="133"/>
  <c r="C20" i="133"/>
  <c r="FA19" i="133"/>
  <c r="EZ19" i="133" s="1"/>
  <c r="EO19" i="133"/>
  <c r="EN19" i="133"/>
  <c r="EG19" i="133"/>
  <c r="EF19" i="133"/>
  <c r="EE19" i="133"/>
  <c r="ED19" i="133"/>
  <c r="EC19" i="133"/>
  <c r="EB19" i="133"/>
  <c r="EA19" i="133"/>
  <c r="DE19" i="133"/>
  <c r="DD19" i="133" s="1"/>
  <c r="BK19" i="133"/>
  <c r="BJ19" i="133"/>
  <c r="BI19" i="133"/>
  <c r="BH19" i="133"/>
  <c r="AN19" i="133"/>
  <c r="Q19" i="133"/>
  <c r="P19" i="133"/>
  <c r="I19" i="133"/>
  <c r="H19" i="133"/>
  <c r="G19" i="133"/>
  <c r="F19" i="133"/>
  <c r="E19" i="133"/>
  <c r="D19" i="133"/>
  <c r="C19" i="133"/>
  <c r="FA18" i="133"/>
  <c r="EZ18" i="133" s="1"/>
  <c r="EO18" i="133"/>
  <c r="EN18" i="133"/>
  <c r="EU18" i="133" s="1"/>
  <c r="EG18" i="133"/>
  <c r="EF18" i="133"/>
  <c r="EE18" i="133"/>
  <c r="ED18" i="133"/>
  <c r="EC18" i="133"/>
  <c r="EB18" i="133"/>
  <c r="EA18" i="133"/>
  <c r="DE18" i="133"/>
  <c r="DD18" i="133" s="1"/>
  <c r="BK18" i="133"/>
  <c r="BJ18" i="133"/>
  <c r="BI18" i="133"/>
  <c r="BH18" i="133"/>
  <c r="AN18" i="133"/>
  <c r="Q18" i="133"/>
  <c r="P18" i="133"/>
  <c r="I18" i="133"/>
  <c r="H18" i="133"/>
  <c r="G18" i="133"/>
  <c r="F18" i="133"/>
  <c r="E18" i="133"/>
  <c r="D18" i="133"/>
  <c r="C18" i="133"/>
  <c r="FA17" i="133"/>
  <c r="EZ17" i="133"/>
  <c r="EO17" i="133"/>
  <c r="EN17" i="133"/>
  <c r="EU17" i="133" s="1"/>
  <c r="EG17" i="133"/>
  <c r="EF17" i="133"/>
  <c r="EE17" i="133"/>
  <c r="ED17" i="133"/>
  <c r="EC17" i="133"/>
  <c r="EB17" i="133"/>
  <c r="EA17" i="133"/>
  <c r="DE17" i="133"/>
  <c r="DD17" i="133" s="1"/>
  <c r="BK17" i="133"/>
  <c r="BJ17" i="133"/>
  <c r="BI17" i="133"/>
  <c r="BH17" i="133"/>
  <c r="AN17" i="133"/>
  <c r="Q17" i="133"/>
  <c r="P17" i="133"/>
  <c r="I17" i="133"/>
  <c r="H17" i="133"/>
  <c r="G17" i="133"/>
  <c r="F17" i="133"/>
  <c r="E17" i="133"/>
  <c r="D17" i="133"/>
  <c r="C17" i="133"/>
  <c r="FA16" i="133"/>
  <c r="EZ16" i="133" s="1"/>
  <c r="EO16" i="133"/>
  <c r="EN16" i="133"/>
  <c r="EU16" i="133" s="1"/>
  <c r="EG16" i="133"/>
  <c r="EF16" i="133"/>
  <c r="EE16" i="133"/>
  <c r="ED16" i="133"/>
  <c r="EC16" i="133"/>
  <c r="EB16" i="133"/>
  <c r="EA16" i="133"/>
  <c r="DE16" i="133"/>
  <c r="DD16" i="133" s="1"/>
  <c r="BK16" i="133"/>
  <c r="BJ16" i="133"/>
  <c r="BI16" i="133"/>
  <c r="BH16" i="133"/>
  <c r="AN16" i="133"/>
  <c r="Q16" i="133"/>
  <c r="P16" i="133"/>
  <c r="I16" i="133"/>
  <c r="H16" i="133"/>
  <c r="G16" i="133"/>
  <c r="F16" i="133"/>
  <c r="E16" i="133"/>
  <c r="D16" i="133"/>
  <c r="C16" i="133"/>
  <c r="FA15" i="133"/>
  <c r="EZ15" i="133" s="1"/>
  <c r="EO15" i="133"/>
  <c r="EN15" i="133"/>
  <c r="EU15" i="133" s="1"/>
  <c r="EG15" i="133"/>
  <c r="EF15" i="133"/>
  <c r="EE15" i="133"/>
  <c r="ED15" i="133"/>
  <c r="EC15" i="133"/>
  <c r="EB15" i="133"/>
  <c r="EA15" i="133"/>
  <c r="DE15" i="133"/>
  <c r="DD15" i="133" s="1"/>
  <c r="BK15" i="133"/>
  <c r="BJ15" i="133"/>
  <c r="BI15" i="133"/>
  <c r="BH15" i="133"/>
  <c r="AN15" i="133"/>
  <c r="Q15" i="133"/>
  <c r="P15" i="133"/>
  <c r="I15" i="133"/>
  <c r="H15" i="133"/>
  <c r="G15" i="133"/>
  <c r="F15" i="133"/>
  <c r="E15" i="133"/>
  <c r="D15" i="133"/>
  <c r="C15" i="133"/>
  <c r="FA14" i="133"/>
  <c r="EZ14" i="133" s="1"/>
  <c r="EO14" i="133"/>
  <c r="EN14" i="133"/>
  <c r="EU14" i="133" s="1"/>
  <c r="EG14" i="133"/>
  <c r="EF14" i="133"/>
  <c r="EE14" i="133"/>
  <c r="ED14" i="133"/>
  <c r="EC14" i="133"/>
  <c r="EB14" i="133"/>
  <c r="EA14" i="133"/>
  <c r="DE14" i="133"/>
  <c r="DD14" i="133" s="1"/>
  <c r="BK14" i="133"/>
  <c r="BJ14" i="133"/>
  <c r="BI14" i="133"/>
  <c r="BH14" i="133"/>
  <c r="AN14" i="133"/>
  <c r="Q14" i="133"/>
  <c r="P14" i="133"/>
  <c r="I14" i="133"/>
  <c r="H14" i="133"/>
  <c r="G14" i="133"/>
  <c r="F14" i="133"/>
  <c r="E14" i="133"/>
  <c r="D14" i="133"/>
  <c r="C14" i="133"/>
  <c r="FA13" i="133"/>
  <c r="EZ13" i="133"/>
  <c r="EO13" i="133"/>
  <c r="EN13" i="133"/>
  <c r="EU13" i="133" s="1"/>
  <c r="EG13" i="133"/>
  <c r="EF13" i="133"/>
  <c r="EE13" i="133"/>
  <c r="ED13" i="133"/>
  <c r="EC13" i="133"/>
  <c r="EB13" i="133"/>
  <c r="EA13" i="133"/>
  <c r="DE13" i="133"/>
  <c r="DD13" i="133" s="1"/>
  <c r="BK13" i="133"/>
  <c r="BJ13" i="133"/>
  <c r="BI13" i="133"/>
  <c r="BH13" i="133"/>
  <c r="AN13" i="133"/>
  <c r="Q13" i="133"/>
  <c r="P13" i="133"/>
  <c r="I13" i="133"/>
  <c r="H13" i="133"/>
  <c r="G13" i="133"/>
  <c r="F13" i="133"/>
  <c r="E13" i="133"/>
  <c r="D13" i="133"/>
  <c r="C13" i="133"/>
  <c r="FA12" i="133"/>
  <c r="EZ12" i="133" s="1"/>
  <c r="EO12" i="133"/>
  <c r="EN12" i="133"/>
  <c r="EU12" i="133" s="1"/>
  <c r="EG12" i="133"/>
  <c r="EF12" i="133"/>
  <c r="EE12" i="133"/>
  <c r="ED12" i="133"/>
  <c r="EC12" i="133"/>
  <c r="EB12" i="133"/>
  <c r="EA12" i="133"/>
  <c r="DE12" i="133"/>
  <c r="DD12" i="133" s="1"/>
  <c r="BK12" i="133"/>
  <c r="BJ12" i="133"/>
  <c r="BI12" i="133"/>
  <c r="BH12" i="133"/>
  <c r="AN12" i="133"/>
  <c r="Q12" i="133"/>
  <c r="P12" i="133"/>
  <c r="I12" i="133"/>
  <c r="H12" i="133"/>
  <c r="G12" i="133"/>
  <c r="F12" i="133"/>
  <c r="E12" i="133"/>
  <c r="D12" i="133"/>
  <c r="C12" i="133"/>
  <c r="W12" i="133" s="1"/>
  <c r="I317" i="36" a="1"/>
  <c r="AM12" i="135" a="1"/>
  <c r="EU19" i="133" l="1"/>
  <c r="AF22" i="133"/>
  <c r="BF22" i="133" s="1"/>
  <c r="AG22" i="133"/>
  <c r="BG22" i="133" s="1"/>
  <c r="AD22" i="133"/>
  <c r="AB22" i="133"/>
  <c r="AC22" i="133" s="1"/>
  <c r="O13" i="133"/>
  <c r="O16" i="133"/>
  <c r="O19" i="133"/>
  <c r="EU20" i="133"/>
  <c r="AE22" i="133"/>
  <c r="O14" i="133"/>
  <c r="O20" i="133"/>
  <c r="O15" i="133"/>
  <c r="BN15" i="133"/>
  <c r="O21" i="133"/>
  <c r="R22" i="133"/>
  <c r="BM22" i="133"/>
  <c r="X19" i="133"/>
  <c r="EU21" i="133"/>
  <c r="EM19" i="133"/>
  <c r="EM20" i="133"/>
  <c r="X17" i="133"/>
  <c r="R12" i="133"/>
  <c r="AA17" i="133"/>
  <c r="BM13" i="133"/>
  <c r="BN13" i="133"/>
  <c r="EM12" i="133"/>
  <c r="AB18" i="133"/>
  <c r="AC18" i="133" s="1"/>
  <c r="BS16" i="133"/>
  <c r="BS18" i="133"/>
  <c r="AA19" i="133"/>
  <c r="Z17" i="133"/>
  <c r="R18" i="133"/>
  <c r="AB16" i="133"/>
  <c r="AC16" i="133" s="1"/>
  <c r="EM13" i="133"/>
  <c r="AM12" i="135"/>
  <c r="BN14" i="133"/>
  <c r="BN16" i="133"/>
  <c r="AA18" i="133"/>
  <c r="Y19" i="133"/>
  <c r="X18" i="133"/>
  <c r="EM21" i="133"/>
  <c r="EP13" i="133"/>
  <c r="X13" i="133"/>
  <c r="EP21" i="133"/>
  <c r="W18" i="133"/>
  <c r="AH18" i="133" s="1"/>
  <c r="EV13" i="133"/>
  <c r="Z18" i="133"/>
  <c r="EM15" i="133"/>
  <c r="EP15" i="133"/>
  <c r="EV17" i="133"/>
  <c r="BM18" i="133"/>
  <c r="R19" i="133"/>
  <c r="BO16" i="133"/>
  <c r="EW17" i="133"/>
  <c r="EV22" i="133"/>
  <c r="EV16" i="133"/>
  <c r="AB19" i="133"/>
  <c r="AC19" i="133" s="1"/>
  <c r="EM17" i="133"/>
  <c r="W16" i="133"/>
  <c r="AH16" i="133" s="1"/>
  <c r="W19" i="133"/>
  <c r="AW19" i="133" s="1"/>
  <c r="BS19" i="133"/>
  <c r="AA14" i="133"/>
  <c r="X16" i="133"/>
  <c r="EP16" i="133"/>
  <c r="EM14" i="133"/>
  <c r="EW21" i="133"/>
  <c r="EM16" i="133"/>
  <c r="Y12" i="133"/>
  <c r="AJ12" i="133" s="1"/>
  <c r="AS12" i="133" s="1"/>
  <c r="X15" i="133"/>
  <c r="BS13" i="133"/>
  <c r="R13" i="133"/>
  <c r="Y16" i="133"/>
  <c r="EM18" i="133"/>
  <c r="BO15" i="133"/>
  <c r="BS17" i="133"/>
  <c r="Z19" i="133"/>
  <c r="AB12" i="133"/>
  <c r="AC12" i="133" s="1"/>
  <c r="BS12" i="133"/>
  <c r="BM12" i="133"/>
  <c r="BS14" i="133"/>
  <c r="Z16" i="133"/>
  <c r="BN19" i="133"/>
  <c r="BL20" i="133"/>
  <c r="BS21" i="133"/>
  <c r="EW16" i="133"/>
  <c r="Z12" i="133"/>
  <c r="Y13" i="133"/>
  <c r="AA13" i="133"/>
  <c r="BS15" i="133"/>
  <c r="AA16" i="133"/>
  <c r="EP17" i="133"/>
  <c r="R21" i="133"/>
  <c r="AA22" i="133"/>
  <c r="I317" i="36"/>
  <c r="G317" i="36" s="1"/>
  <c r="K317" i="36" s="1"/>
  <c r="AB13" i="133"/>
  <c r="AC13" i="133" s="1"/>
  <c r="CT22" i="133"/>
  <c r="EW13" i="133"/>
  <c r="BO14" i="133"/>
  <c r="EV15" i="133"/>
  <c r="BL16" i="133"/>
  <c r="BO17" i="133"/>
  <c r="EV18" i="133"/>
  <c r="BO19" i="133"/>
  <c r="CV22" i="133"/>
  <c r="Z21" i="133"/>
  <c r="BM21" i="133"/>
  <c r="DC22" i="133"/>
  <c r="FB22" i="133"/>
  <c r="FF22" i="133" s="1"/>
  <c r="X12" i="133"/>
  <c r="BO12" i="133"/>
  <c r="BO13" i="133"/>
  <c r="Z15" i="133"/>
  <c r="BM15" i="133"/>
  <c r="EW15" i="133"/>
  <c r="R16" i="133"/>
  <c r="BL18" i="133"/>
  <c r="EV20" i="133"/>
  <c r="EW20" i="133"/>
  <c r="BN21" i="133"/>
  <c r="BN12" i="133"/>
  <c r="W13" i="133"/>
  <c r="AA15" i="133"/>
  <c r="BO21" i="133"/>
  <c r="Y14" i="133"/>
  <c r="EV14" i="133"/>
  <c r="AB17" i="133"/>
  <c r="AC17" i="133" s="1"/>
  <c r="R17" i="133"/>
  <c r="BN18" i="133"/>
  <c r="BM20" i="133"/>
  <c r="W22" i="133"/>
  <c r="FC22" i="133"/>
  <c r="FG22" i="133" s="1"/>
  <c r="AA12" i="133"/>
  <c r="EW14" i="133"/>
  <c r="W17" i="133"/>
  <c r="Y18" i="133"/>
  <c r="BO18" i="133"/>
  <c r="X22" i="133"/>
  <c r="BN22" i="133"/>
  <c r="FD22" i="133"/>
  <c r="FH22" i="133" s="1"/>
  <c r="AW12" i="133"/>
  <c r="Z13" i="133"/>
  <c r="BM16" i="133"/>
  <c r="BL19" i="133"/>
  <c r="EV19" i="133"/>
  <c r="BO20" i="133"/>
  <c r="Y22" i="133"/>
  <c r="BO22" i="133"/>
  <c r="EW22" i="133"/>
  <c r="FE22" i="133"/>
  <c r="FI22" i="133" s="1"/>
  <c r="BL12" i="133"/>
  <c r="EW12" i="133"/>
  <c r="BM14" i="133"/>
  <c r="R15" i="133"/>
  <c r="Y17" i="133"/>
  <c r="BM19" i="133"/>
  <c r="EV21" i="133"/>
  <c r="Z22" i="133"/>
  <c r="CR22" i="133"/>
  <c r="AH17" i="133"/>
  <c r="AH12" i="133"/>
  <c r="AW17" i="133"/>
  <c r="Z14" i="133"/>
  <c r="W15" i="133"/>
  <c r="EW19" i="133"/>
  <c r="AB20" i="133"/>
  <c r="AC20" i="133" s="1"/>
  <c r="EP20" i="133"/>
  <c r="Y21" i="133"/>
  <c r="EP18" i="133"/>
  <c r="EV12" i="133"/>
  <c r="EY12" i="133" s="1"/>
  <c r="AA20" i="133"/>
  <c r="BL13" i="133"/>
  <c r="AB14" i="133"/>
  <c r="AC14" i="133" s="1"/>
  <c r="EP14" i="133"/>
  <c r="Y15" i="133"/>
  <c r="O17" i="133"/>
  <c r="AA21" i="133"/>
  <c r="BE22" i="133"/>
  <c r="X21" i="133"/>
  <c r="BL17" i="133"/>
  <c r="EP22" i="133"/>
  <c r="EP12" i="133"/>
  <c r="EP19" i="133"/>
  <c r="Z20" i="133"/>
  <c r="BL22" i="133"/>
  <c r="R14" i="133"/>
  <c r="BN17" i="133"/>
  <c r="W14" i="133"/>
  <c r="Y20" i="133"/>
  <c r="AB21" i="133"/>
  <c r="AC21" i="133" s="1"/>
  <c r="AB15" i="133"/>
  <c r="AC15" i="133" s="1"/>
  <c r="O18" i="133"/>
  <c r="BN20" i="133"/>
  <c r="W21" i="133"/>
  <c r="BL14" i="133"/>
  <c r="CP22" i="133"/>
  <c r="CQ22" i="133" s="1"/>
  <c r="O12" i="133"/>
  <c r="BS20" i="133"/>
  <c r="BL15" i="133"/>
  <c r="CS22" i="133"/>
  <c r="W20" i="133"/>
  <c r="EW18" i="133"/>
  <c r="X14" i="133"/>
  <c r="CU22" i="133"/>
  <c r="X20" i="133"/>
  <c r="R20" i="133"/>
  <c r="BM17" i="133"/>
  <c r="J202" i="28" a="1"/>
  <c r="AM13" i="135" a="1"/>
  <c r="AM19" i="135" a="1"/>
  <c r="AM20" i="135" a="1"/>
  <c r="AM15" i="135" a="1"/>
  <c r="AM18" i="135" a="1"/>
  <c r="AM14" i="135" a="1"/>
  <c r="AM17" i="135" a="1"/>
  <c r="AM22" i="135" a="1"/>
  <c r="G276" i="28" a="1"/>
  <c r="AM16" i="135" a="1"/>
  <c r="AM21" i="135" a="1"/>
  <c r="H276" i="28" a="1"/>
  <c r="EY16" i="133" l="1"/>
  <c r="EY17" i="133"/>
  <c r="AW16" i="133"/>
  <c r="CZ22" i="133"/>
  <c r="AH19" i="133"/>
  <c r="AJ19" i="133" s="1"/>
  <c r="AS19" i="133" s="1"/>
  <c r="EX22" i="133"/>
  <c r="EY19" i="133"/>
  <c r="CW22" i="133"/>
  <c r="J202" i="28"/>
  <c r="AM20" i="135"/>
  <c r="AM18" i="135"/>
  <c r="AM21" i="135"/>
  <c r="AM22" i="135"/>
  <c r="G276" i="28"/>
  <c r="AM14" i="135"/>
  <c r="AM19" i="135"/>
  <c r="AM16" i="135"/>
  <c r="AM15" i="135"/>
  <c r="AM13" i="135"/>
  <c r="AM17" i="135"/>
  <c r="H276" i="28"/>
  <c r="EY20" i="133"/>
  <c r="AK12" i="133"/>
  <c r="AT12" i="133" s="1"/>
  <c r="EY21" i="133"/>
  <c r="AJ17" i="133"/>
  <c r="AS17" i="133" s="1"/>
  <c r="AH22" i="133"/>
  <c r="AJ22" i="133" s="1"/>
  <c r="AS22" i="133" s="1"/>
  <c r="BD22" i="133"/>
  <c r="AP12" i="135"/>
  <c r="AO12" i="135"/>
  <c r="AN12" i="135"/>
  <c r="BP22" i="133"/>
  <c r="EY18" i="133"/>
  <c r="EY13" i="133"/>
  <c r="AW13" i="133"/>
  <c r="AW22" i="133"/>
  <c r="CX22" i="133"/>
  <c r="CY22" i="133" s="1"/>
  <c r="AW15" i="133"/>
  <c r="AW18" i="133"/>
  <c r="AH13" i="133"/>
  <c r="AJ13" i="133" s="1"/>
  <c r="EY22" i="133"/>
  <c r="H317" i="36"/>
  <c r="BR22" i="133"/>
  <c r="BQ22" i="133"/>
  <c r="AW14" i="133"/>
  <c r="AH14" i="133"/>
  <c r="AW21" i="133"/>
  <c r="AH21" i="133"/>
  <c r="AJ21" i="133" s="1"/>
  <c r="AS21" i="133" s="1"/>
  <c r="AJ16" i="133"/>
  <c r="EY14" i="133"/>
  <c r="AH15" i="133"/>
  <c r="AJ15" i="133" s="1"/>
  <c r="AW20" i="133"/>
  <c r="AH20" i="133"/>
  <c r="AJ18" i="133"/>
  <c r="AK19" i="133"/>
  <c r="EY15" i="133"/>
  <c r="AL12" i="133" l="1"/>
  <c r="AU12" i="133" s="1"/>
  <c r="AP15" i="135"/>
  <c r="AN15" i="135"/>
  <c r="AO15" i="135"/>
  <c r="AP19" i="135"/>
  <c r="AO19" i="135"/>
  <c r="AN19" i="135"/>
  <c r="AN21" i="135"/>
  <c r="AO21" i="135"/>
  <c r="AP21" i="135"/>
  <c r="AP17" i="135"/>
  <c r="AO17" i="135"/>
  <c r="AN17" i="135"/>
  <c r="AP16" i="135"/>
  <c r="AN16" i="135"/>
  <c r="AO16" i="135"/>
  <c r="AK22" i="133"/>
  <c r="AT22" i="133" s="1"/>
  <c r="AP13" i="135"/>
  <c r="AO13" i="135"/>
  <c r="AN13" i="135"/>
  <c r="AK17" i="133"/>
  <c r="AO14" i="135"/>
  <c r="AN14" i="135"/>
  <c r="AP14" i="135"/>
  <c r="AP18" i="135"/>
  <c r="AO18" i="135"/>
  <c r="AN18" i="135"/>
  <c r="AO20" i="135"/>
  <c r="AN20" i="135"/>
  <c r="AP20" i="135"/>
  <c r="AS15" i="133"/>
  <c r="AK21" i="133"/>
  <c r="AT21" i="133" s="1"/>
  <c r="AJ14" i="133"/>
  <c r="AK14" i="133" s="1"/>
  <c r="AS18" i="133"/>
  <c r="AS16" i="133"/>
  <c r="AK16" i="133"/>
  <c r="AT16" i="133" s="1"/>
  <c r="AS13" i="133"/>
  <c r="AK13" i="133"/>
  <c r="AL13" i="133" s="1"/>
  <c r="AU13" i="133" s="1"/>
  <c r="AK15" i="133"/>
  <c r="AT15" i="133" s="1"/>
  <c r="AM12" i="133"/>
  <c r="AV12" i="133" s="1"/>
  <c r="AL21" i="133"/>
  <c r="AU21" i="133" s="1"/>
  <c r="AT19" i="133"/>
  <c r="AJ20" i="133"/>
  <c r="AK18" i="133"/>
  <c r="AT18" i="133" s="1"/>
  <c r="AL19" i="133"/>
  <c r="AU19" i="133" s="1"/>
  <c r="AK20" i="133"/>
  <c r="AT20" i="133" s="1"/>
  <c r="AL18" i="133" l="1"/>
  <c r="AU18" i="133" s="1"/>
  <c r="AN22" i="135"/>
  <c r="AN24" i="135" s="1"/>
  <c r="AP22" i="135"/>
  <c r="AO22" i="135"/>
  <c r="AL17" i="133"/>
  <c r="AU17" i="133" s="1"/>
  <c r="AT17" i="133"/>
  <c r="AL22" i="133"/>
  <c r="AU22" i="133" s="1"/>
  <c r="AL15" i="133"/>
  <c r="AU15" i="133" s="1"/>
  <c r="AO12" i="133"/>
  <c r="AX12" i="133" s="1"/>
  <c r="AT14" i="133"/>
  <c r="AL20" i="133"/>
  <c r="AU20" i="133" s="1"/>
  <c r="AM19" i="133"/>
  <c r="AI12" i="133"/>
  <c r="AM21" i="133"/>
  <c r="AV21" i="133" s="1"/>
  <c r="AT13" i="133"/>
  <c r="AM13" i="133"/>
  <c r="AV13" i="133" s="1"/>
  <c r="AS20" i="133"/>
  <c r="AO19" i="133"/>
  <c r="AX19" i="133" s="1"/>
  <c r="AM18" i="133"/>
  <c r="AV18" i="133" s="1"/>
  <c r="AS14" i="133"/>
  <c r="AL14" i="133"/>
  <c r="AU14" i="133" s="1"/>
  <c r="AL16" i="133"/>
  <c r="AM16" i="133" s="1"/>
  <c r="AV16" i="133" s="1"/>
  <c r="AP26" i="135" l="1"/>
  <c r="AP28" i="135"/>
  <c r="AO28" i="135"/>
  <c r="AO26" i="135"/>
  <c r="AM22" i="133"/>
  <c r="AV22" i="133" s="1"/>
  <c r="AO22" i="133"/>
  <c r="AM15" i="133"/>
  <c r="AV15" i="133" s="1"/>
  <c r="AM17" i="133"/>
  <c r="AO18" i="133"/>
  <c r="AX18" i="133" s="1"/>
  <c r="AM20" i="133"/>
  <c r="AO13" i="133"/>
  <c r="AX13" i="133" s="1"/>
  <c r="AR12" i="133"/>
  <c r="AP12" i="133"/>
  <c r="AY12" i="133" s="1"/>
  <c r="AU16" i="133"/>
  <c r="AV19" i="133"/>
  <c r="AI19" i="133"/>
  <c r="AM14" i="133"/>
  <c r="AV14" i="133" s="1"/>
  <c r="AX22" i="133"/>
  <c r="AI22" i="133"/>
  <c r="AO16" i="133"/>
  <c r="AX16" i="133" s="1"/>
  <c r="AO21" i="133"/>
  <c r="G12" i="165" a="1"/>
  <c r="H12" i="165" a="1"/>
  <c r="E12" i="165" a="1"/>
  <c r="D12" i="165" a="1"/>
  <c r="D12" i="165" l="1"/>
  <c r="E12" i="165"/>
  <c r="H12" i="165"/>
  <c r="G12" i="165"/>
  <c r="AI13" i="133"/>
  <c r="AI18" i="133"/>
  <c r="AV17" i="133"/>
  <c r="AO17" i="133"/>
  <c r="AO15" i="133"/>
  <c r="AX15" i="133" s="1"/>
  <c r="AV20" i="133"/>
  <c r="AO20" i="133"/>
  <c r="AO14" i="133"/>
  <c r="AX14" i="133" s="1"/>
  <c r="AX21" i="133"/>
  <c r="AI21" i="133"/>
  <c r="AR22" i="133"/>
  <c r="AP22" i="133"/>
  <c r="AY22" i="133" s="1"/>
  <c r="AI15" i="133"/>
  <c r="AR19" i="133"/>
  <c r="AP19" i="133"/>
  <c r="AY19" i="133" s="1"/>
  <c r="AI14" i="133"/>
  <c r="AI16" i="133"/>
  <c r="AR13" i="133"/>
  <c r="AP13" i="133"/>
  <c r="AY13" i="133" s="1"/>
  <c r="AR18" i="133" l="1"/>
  <c r="AP18" i="133"/>
  <c r="AY18" i="133" s="1"/>
  <c r="AX17" i="133"/>
  <c r="AI17" i="133"/>
  <c r="AX20" i="133"/>
  <c r="AI20" i="133"/>
  <c r="AR16" i="133"/>
  <c r="AP16" i="133"/>
  <c r="AY16" i="133" s="1"/>
  <c r="AP14" i="133"/>
  <c r="AY14" i="133" s="1"/>
  <c r="AR14" i="133"/>
  <c r="AP15" i="133"/>
  <c r="AY15" i="133" s="1"/>
  <c r="AR15" i="133"/>
  <c r="AP21" i="133"/>
  <c r="AY21" i="133" s="1"/>
  <c r="AR21" i="133"/>
  <c r="AR17" i="133" l="1"/>
  <c r="AP17" i="133"/>
  <c r="AY17" i="133" s="1"/>
  <c r="AP20" i="133"/>
  <c r="AY20" i="133" s="1"/>
  <c r="AR20" i="133"/>
  <c r="FA22" i="132"/>
  <c r="EZ22" i="132" s="1"/>
  <c r="ET22" i="132"/>
  <c r="ES22" i="132"/>
  <c r="ER22" i="132"/>
  <c r="EQ22" i="132"/>
  <c r="EO22" i="132"/>
  <c r="EN22" i="132"/>
  <c r="EL22" i="132"/>
  <c r="EK22" i="132"/>
  <c r="EJ22" i="132"/>
  <c r="EI22" i="132"/>
  <c r="EF22" i="132"/>
  <c r="EE22" i="132"/>
  <c r="ED22" i="132"/>
  <c r="EC22" i="132"/>
  <c r="EB22" i="132"/>
  <c r="EA22" i="132"/>
  <c r="DE22" i="132"/>
  <c r="DD22" i="132" s="1"/>
  <c r="DB22" i="132"/>
  <c r="DA22" i="132"/>
  <c r="CN22" i="132"/>
  <c r="CM22" i="132"/>
  <c r="CP22" i="132" s="1"/>
  <c r="CL22" i="132"/>
  <c r="CK22" i="132"/>
  <c r="BK22" i="132"/>
  <c r="BJ22" i="132"/>
  <c r="BI22" i="132"/>
  <c r="BH22" i="132"/>
  <c r="BL22" i="132" s="1"/>
  <c r="AN22" i="132"/>
  <c r="V22" i="132"/>
  <c r="U22" i="132"/>
  <c r="T22" i="132"/>
  <c r="S22" i="132"/>
  <c r="Q22" i="132"/>
  <c r="P22" i="132"/>
  <c r="N22" i="132"/>
  <c r="M22" i="132"/>
  <c r="L22" i="132"/>
  <c r="AE22" i="132" s="1"/>
  <c r="K22" i="132"/>
  <c r="AD22" i="132" s="1"/>
  <c r="I22" i="132"/>
  <c r="H22" i="132"/>
  <c r="G22" i="132"/>
  <c r="F22" i="132"/>
  <c r="E22" i="132"/>
  <c r="D22" i="132"/>
  <c r="C22" i="132"/>
  <c r="FA21" i="132"/>
  <c r="EZ21" i="132" s="1"/>
  <c r="EO21" i="132"/>
  <c r="EN21" i="132"/>
  <c r="EF21" i="132"/>
  <c r="EE21" i="132"/>
  <c r="ED21" i="132"/>
  <c r="EC21" i="132"/>
  <c r="EB21" i="132"/>
  <c r="EA21" i="132"/>
  <c r="DE21" i="132"/>
  <c r="DD21" i="132" s="1"/>
  <c r="BK21" i="132"/>
  <c r="BJ21" i="132"/>
  <c r="BI21" i="132"/>
  <c r="BH21" i="132"/>
  <c r="AN21" i="132"/>
  <c r="Q21" i="132"/>
  <c r="P21" i="132"/>
  <c r="I21" i="132"/>
  <c r="H21" i="132"/>
  <c r="G21" i="132"/>
  <c r="F21" i="132"/>
  <c r="E21" i="132"/>
  <c r="D21" i="132"/>
  <c r="C21" i="132"/>
  <c r="O21" i="132" s="1"/>
  <c r="FA20" i="132"/>
  <c r="EZ20" i="132" s="1"/>
  <c r="EO20" i="132"/>
  <c r="EN20" i="132"/>
  <c r="EF20" i="132"/>
  <c r="EE20" i="132"/>
  <c r="ED20" i="132"/>
  <c r="EC20" i="132"/>
  <c r="EB20" i="132"/>
  <c r="EA20" i="132"/>
  <c r="DE20" i="132"/>
  <c r="DD20" i="132" s="1"/>
  <c r="BK20" i="132"/>
  <c r="BJ20" i="132"/>
  <c r="BI20" i="132"/>
  <c r="BH20" i="132"/>
  <c r="BO20" i="132" s="1"/>
  <c r="AN20" i="132"/>
  <c r="Q20" i="132"/>
  <c r="P20" i="132"/>
  <c r="I20" i="132"/>
  <c r="H20" i="132"/>
  <c r="G20" i="132"/>
  <c r="F20" i="132"/>
  <c r="E20" i="132"/>
  <c r="D20" i="132"/>
  <c r="C20" i="132"/>
  <c r="O20" i="132" s="1"/>
  <c r="FA19" i="132"/>
  <c r="EZ19" i="132" s="1"/>
  <c r="EO19" i="132"/>
  <c r="EN19" i="132"/>
  <c r="EF19" i="132"/>
  <c r="EE19" i="132"/>
  <c r="ED19" i="132"/>
  <c r="EC19" i="132"/>
  <c r="EB19" i="132"/>
  <c r="EA19" i="132"/>
  <c r="DE19" i="132"/>
  <c r="DD19" i="132" s="1"/>
  <c r="BK19" i="132"/>
  <c r="BJ19" i="132"/>
  <c r="BI19" i="132"/>
  <c r="BH19" i="132"/>
  <c r="BL19" i="132" s="1"/>
  <c r="AN19" i="132"/>
  <c r="Q19" i="132"/>
  <c r="P19" i="132"/>
  <c r="I19" i="132"/>
  <c r="H19" i="132"/>
  <c r="G19" i="132"/>
  <c r="F19" i="132"/>
  <c r="E19" i="132"/>
  <c r="D19" i="132"/>
  <c r="C19" i="132"/>
  <c r="FA18" i="132"/>
  <c r="EZ18" i="132"/>
  <c r="EO18" i="132"/>
  <c r="EN18" i="132"/>
  <c r="EF18" i="132"/>
  <c r="EE18" i="132"/>
  <c r="ED18" i="132"/>
  <c r="EC18" i="132"/>
  <c r="EB18" i="132"/>
  <c r="EA18" i="132"/>
  <c r="DE18" i="132"/>
  <c r="DD18" i="132" s="1"/>
  <c r="BK18" i="132"/>
  <c r="BJ18" i="132"/>
  <c r="BI18" i="132"/>
  <c r="BH18" i="132"/>
  <c r="AN18" i="132"/>
  <c r="Q18" i="132"/>
  <c r="P18" i="132"/>
  <c r="I18" i="132"/>
  <c r="H18" i="132"/>
  <c r="G18" i="132"/>
  <c r="F18" i="132"/>
  <c r="E18" i="132"/>
  <c r="D18" i="132"/>
  <c r="C18" i="132"/>
  <c r="FA17" i="132"/>
  <c r="EZ17" i="132"/>
  <c r="EO17" i="132"/>
  <c r="EN17" i="132"/>
  <c r="EF17" i="132"/>
  <c r="EE17" i="132"/>
  <c r="ED17" i="132"/>
  <c r="EC17" i="132"/>
  <c r="EB17" i="132"/>
  <c r="EA17" i="132"/>
  <c r="DE17" i="132"/>
  <c r="DD17" i="132" s="1"/>
  <c r="BK17" i="132"/>
  <c r="BJ17" i="132"/>
  <c r="BI17" i="132"/>
  <c r="BH17" i="132"/>
  <c r="AN17" i="132"/>
  <c r="Q17" i="132"/>
  <c r="P17" i="132"/>
  <c r="I17" i="132"/>
  <c r="H17" i="132"/>
  <c r="G17" i="132"/>
  <c r="F17" i="132"/>
  <c r="E17" i="132"/>
  <c r="D17" i="132"/>
  <c r="C17" i="132"/>
  <c r="O17" i="132" s="1"/>
  <c r="FA16" i="132"/>
  <c r="EZ16" i="132" s="1"/>
  <c r="EO16" i="132"/>
  <c r="EN16" i="132"/>
  <c r="EF16" i="132"/>
  <c r="EE16" i="132"/>
  <c r="ED16" i="132"/>
  <c r="EC16" i="132"/>
  <c r="EB16" i="132"/>
  <c r="EA16" i="132"/>
  <c r="DE16" i="132"/>
  <c r="DD16" i="132"/>
  <c r="BK16" i="132"/>
  <c r="BJ16" i="132"/>
  <c r="BI16" i="132"/>
  <c r="BH16" i="132"/>
  <c r="AN16" i="132"/>
  <c r="Q16" i="132"/>
  <c r="P16" i="132"/>
  <c r="I16" i="132"/>
  <c r="H16" i="132"/>
  <c r="G16" i="132"/>
  <c r="F16" i="132"/>
  <c r="E16" i="132"/>
  <c r="D16" i="132"/>
  <c r="C16" i="132"/>
  <c r="O16" i="132" s="1"/>
  <c r="FA15" i="132"/>
  <c r="EZ15" i="132" s="1"/>
  <c r="EO15" i="132"/>
  <c r="EN15" i="132"/>
  <c r="EF15" i="132"/>
  <c r="EE15" i="132"/>
  <c r="ED15" i="132"/>
  <c r="EC15" i="132"/>
  <c r="EB15" i="132"/>
  <c r="EA15" i="132"/>
  <c r="DE15" i="132"/>
  <c r="DD15" i="132" s="1"/>
  <c r="BK15" i="132"/>
  <c r="BJ15" i="132"/>
  <c r="BI15" i="132"/>
  <c r="BH15" i="132"/>
  <c r="AN15" i="132"/>
  <c r="Q15" i="132"/>
  <c r="P15" i="132"/>
  <c r="I15" i="132"/>
  <c r="H15" i="132"/>
  <c r="G15" i="132"/>
  <c r="F15" i="132"/>
  <c r="E15" i="132"/>
  <c r="D15" i="132"/>
  <c r="C15" i="132"/>
  <c r="FA14" i="132"/>
  <c r="EZ14" i="132" s="1"/>
  <c r="EO14" i="132"/>
  <c r="EN14" i="132"/>
  <c r="EF14" i="132"/>
  <c r="EE14" i="132"/>
  <c r="ED14" i="132"/>
  <c r="EC14" i="132"/>
  <c r="EB14" i="132"/>
  <c r="EA14" i="132"/>
  <c r="DE14" i="132"/>
  <c r="DD14" i="132"/>
  <c r="BK14" i="132"/>
  <c r="BJ14" i="132"/>
  <c r="BI14" i="132"/>
  <c r="BH14" i="132"/>
  <c r="AN14" i="132"/>
  <c r="Q14" i="132"/>
  <c r="P14" i="132"/>
  <c r="I14" i="132"/>
  <c r="H14" i="132"/>
  <c r="G14" i="132"/>
  <c r="F14" i="132"/>
  <c r="E14" i="132"/>
  <c r="D14" i="132"/>
  <c r="C14" i="132"/>
  <c r="FA13" i="132"/>
  <c r="EZ13" i="132" s="1"/>
  <c r="EO13" i="132"/>
  <c r="EN13" i="132"/>
  <c r="EF13" i="132"/>
  <c r="EE13" i="132"/>
  <c r="ED13" i="132"/>
  <c r="EC13" i="132"/>
  <c r="EB13" i="132"/>
  <c r="EA13" i="132"/>
  <c r="DE13" i="132"/>
  <c r="DD13" i="132"/>
  <c r="BK13" i="132"/>
  <c r="BJ13" i="132"/>
  <c r="BI13" i="132"/>
  <c r="BH13" i="132"/>
  <c r="BM13" i="132" s="1"/>
  <c r="AN13" i="132"/>
  <c r="Q13" i="132"/>
  <c r="P13" i="132"/>
  <c r="I13" i="132"/>
  <c r="H13" i="132"/>
  <c r="G13" i="132"/>
  <c r="F13" i="132"/>
  <c r="E13" i="132"/>
  <c r="D13" i="132"/>
  <c r="C13" i="132"/>
  <c r="FA12" i="132"/>
  <c r="EZ12" i="132"/>
  <c r="EO12" i="132"/>
  <c r="EN12" i="132"/>
  <c r="EF12" i="132"/>
  <c r="EE12" i="132"/>
  <c r="ED12" i="132"/>
  <c r="EC12" i="132"/>
  <c r="EB12" i="132"/>
  <c r="EA12" i="132"/>
  <c r="DE12" i="132"/>
  <c r="DD12" i="132" s="1"/>
  <c r="BK12" i="132"/>
  <c r="BJ12" i="132"/>
  <c r="BI12" i="132"/>
  <c r="BH12" i="132"/>
  <c r="AN12" i="132"/>
  <c r="Q12" i="132"/>
  <c r="P12" i="132"/>
  <c r="I12" i="132"/>
  <c r="H12" i="132"/>
  <c r="G12" i="132"/>
  <c r="F12" i="132"/>
  <c r="E12" i="132"/>
  <c r="D12" i="132"/>
  <c r="C12" i="132"/>
  <c r="EU15" i="132" l="1"/>
  <c r="EU16" i="132"/>
  <c r="EU14" i="132"/>
  <c r="EU17" i="132"/>
  <c r="EU18" i="132"/>
  <c r="EU19" i="132"/>
  <c r="BL12" i="132"/>
  <c r="EU20" i="132"/>
  <c r="EP12" i="132"/>
  <c r="EM17" i="132"/>
  <c r="EM19" i="132"/>
  <c r="Z12" i="132"/>
  <c r="EU21" i="132"/>
  <c r="AA13" i="132"/>
  <c r="Y18" i="132"/>
  <c r="EP14" i="132"/>
  <c r="BS13" i="132"/>
  <c r="BS14" i="132"/>
  <c r="Z17" i="132"/>
  <c r="BL16" i="132"/>
  <c r="R18" i="132"/>
  <c r="EP15" i="132"/>
  <c r="R22" i="132"/>
  <c r="BS12" i="132"/>
  <c r="R13" i="132"/>
  <c r="BO21" i="132"/>
  <c r="FC22" i="132"/>
  <c r="FG22" i="132" s="1"/>
  <c r="Y14" i="132"/>
  <c r="AA14" i="132"/>
  <c r="Z16" i="132"/>
  <c r="EM18" i="132"/>
  <c r="X16" i="132"/>
  <c r="BM22" i="132"/>
  <c r="EP18" i="132"/>
  <c r="R15" i="132"/>
  <c r="EP20" i="132"/>
  <c r="BN22" i="132"/>
  <c r="X14" i="132"/>
  <c r="W18" i="132"/>
  <c r="AA17" i="132"/>
  <c r="BO22" i="132"/>
  <c r="EP16" i="132"/>
  <c r="W17" i="132"/>
  <c r="W14" i="132"/>
  <c r="AH14" i="132" s="1"/>
  <c r="EM20" i="132"/>
  <c r="AB22" i="132"/>
  <c r="AC22" i="132" s="1"/>
  <c r="EM12" i="132"/>
  <c r="EV13" i="132"/>
  <c r="R17" i="132"/>
  <c r="W22" i="132"/>
  <c r="BD22" i="132" s="1"/>
  <c r="BL13" i="132"/>
  <c r="AB15" i="132"/>
  <c r="AC15" i="132" s="1"/>
  <c r="AB17" i="132"/>
  <c r="AC17" i="132" s="1"/>
  <c r="EU12" i="132"/>
  <c r="EM14" i="132"/>
  <c r="BO15" i="132"/>
  <c r="X22" i="132"/>
  <c r="EM21" i="132"/>
  <c r="X17" i="132"/>
  <c r="Z18" i="132"/>
  <c r="EV14" i="132"/>
  <c r="X18" i="132"/>
  <c r="EM15" i="132"/>
  <c r="BN13" i="132"/>
  <c r="AA16" i="132"/>
  <c r="O12" i="132"/>
  <c r="EV15" i="132"/>
  <c r="BS19" i="132"/>
  <c r="AA22" i="132"/>
  <c r="BN18" i="132"/>
  <c r="BN21" i="132"/>
  <c r="BO12" i="132"/>
  <c r="AB16" i="132"/>
  <c r="AC16" i="132" s="1"/>
  <c r="EM13" i="132"/>
  <c r="EW14" i="132"/>
  <c r="O13" i="132"/>
  <c r="EW15" i="132"/>
  <c r="EM16" i="132"/>
  <c r="BN17" i="132"/>
  <c r="BS21" i="132"/>
  <c r="CT22" i="132"/>
  <c r="AA12" i="132"/>
  <c r="AB13" i="132"/>
  <c r="AC13" i="132" s="1"/>
  <c r="AA15" i="132"/>
  <c r="BS15" i="132"/>
  <c r="R16" i="132"/>
  <c r="BM16" i="132"/>
  <c r="BO17" i="132"/>
  <c r="BO18" i="132"/>
  <c r="BM19" i="132"/>
  <c r="CV22" i="132"/>
  <c r="CZ22" i="132" s="1"/>
  <c r="Y22" i="132"/>
  <c r="BS17" i="132"/>
  <c r="DC22" i="132"/>
  <c r="AB12" i="132"/>
  <c r="AC12" i="132" s="1"/>
  <c r="EV12" i="132"/>
  <c r="AB14" i="132"/>
  <c r="AC14" i="132" s="1"/>
  <c r="R14" i="132"/>
  <c r="W15" i="132"/>
  <c r="W16" i="132"/>
  <c r="BN16" i="132"/>
  <c r="BN19" i="132"/>
  <c r="EV20" i="132"/>
  <c r="Z22" i="132"/>
  <c r="FB22" i="132"/>
  <c r="FF22" i="132" s="1"/>
  <c r="X15" i="132"/>
  <c r="Y16" i="132"/>
  <c r="BO16" i="132"/>
  <c r="BO19" i="132"/>
  <c r="EW20" i="132"/>
  <c r="W21" i="132"/>
  <c r="EW12" i="132"/>
  <c r="BO13" i="132"/>
  <c r="R12" i="132"/>
  <c r="BN12" i="132"/>
  <c r="W13" i="132"/>
  <c r="AW13" i="132" s="1"/>
  <c r="Y15" i="132"/>
  <c r="BS16" i="132"/>
  <c r="EW17" i="132"/>
  <c r="Z20" i="132"/>
  <c r="BM20" i="132"/>
  <c r="X21" i="132"/>
  <c r="EP21" i="132"/>
  <c r="CO22" i="132"/>
  <c r="FD22" i="132"/>
  <c r="W12" i="132"/>
  <c r="AH12" i="132" s="1"/>
  <c r="AJ12" i="132" s="1"/>
  <c r="EW18" i="132"/>
  <c r="EP19" i="132"/>
  <c r="AA20" i="132"/>
  <c r="BN20" i="132"/>
  <c r="Y21" i="132"/>
  <c r="BM21" i="132"/>
  <c r="FE22" i="132"/>
  <c r="BM12" i="132"/>
  <c r="X13" i="132"/>
  <c r="X12" i="132"/>
  <c r="Y13" i="132"/>
  <c r="EP13" i="132"/>
  <c r="Z14" i="132"/>
  <c r="BM15" i="132"/>
  <c r="BL17" i="132"/>
  <c r="AA18" i="132"/>
  <c r="BL18" i="132"/>
  <c r="W19" i="132"/>
  <c r="AH19" i="132" s="1"/>
  <c r="EV19" i="132"/>
  <c r="Z21" i="132"/>
  <c r="EV21" i="132"/>
  <c r="O19" i="132"/>
  <c r="EU13" i="132"/>
  <c r="Y12" i="132"/>
  <c r="Z13" i="132"/>
  <c r="EW13" i="132"/>
  <c r="BM14" i="132"/>
  <c r="BN15" i="132"/>
  <c r="Y17" i="132"/>
  <c r="BM17" i="132"/>
  <c r="AB18" i="132"/>
  <c r="AC18" i="132" s="1"/>
  <c r="BM18" i="132"/>
  <c r="EW19" i="132"/>
  <c r="AA21" i="132"/>
  <c r="EW21" i="132"/>
  <c r="CR22" i="132"/>
  <c r="EW22" i="132"/>
  <c r="CQ22" i="132"/>
  <c r="BL15" i="132"/>
  <c r="W20" i="132"/>
  <c r="AB19" i="132"/>
  <c r="AC19" i="132" s="1"/>
  <c r="O14" i="132"/>
  <c r="O15" i="132"/>
  <c r="AB21" i="132"/>
  <c r="AC21" i="132" s="1"/>
  <c r="EV22" i="132"/>
  <c r="EV18" i="132"/>
  <c r="AB20" i="132"/>
  <c r="AC20" i="132" s="1"/>
  <c r="BS18" i="132"/>
  <c r="BL20" i="132"/>
  <c r="Y19" i="132"/>
  <c r="Z19" i="132"/>
  <c r="AA19" i="132"/>
  <c r="EP17" i="132"/>
  <c r="X19" i="132"/>
  <c r="R20" i="132"/>
  <c r="EV17" i="132"/>
  <c r="AF22" i="132"/>
  <c r="BF22" i="132" s="1"/>
  <c r="BE22" i="132"/>
  <c r="X20" i="132"/>
  <c r="R21" i="132"/>
  <c r="BL21" i="132"/>
  <c r="R19" i="132"/>
  <c r="BO14" i="132"/>
  <c r="EW16" i="132"/>
  <c r="Y20" i="132"/>
  <c r="CS22" i="132"/>
  <c r="EP22" i="132"/>
  <c r="BN14" i="132"/>
  <c r="EV16" i="132"/>
  <c r="AG22" i="132"/>
  <c r="BG22" i="132" s="1"/>
  <c r="O18" i="132"/>
  <c r="BS20" i="132"/>
  <c r="Z15" i="132"/>
  <c r="CU22" i="132"/>
  <c r="BL14" i="132"/>
  <c r="AM14" i="129" a="1"/>
  <c r="AM19" i="129" a="1"/>
  <c r="AM13" i="129" a="1"/>
  <c r="AM12" i="129" a="1"/>
  <c r="AM17" i="129" a="1"/>
  <c r="J193" i="28" a="1"/>
  <c r="AM20" i="129" a="1"/>
  <c r="H270" i="28" a="1"/>
  <c r="G270" i="28" a="1"/>
  <c r="AM15" i="129" a="1"/>
  <c r="AM21" i="129" a="1"/>
  <c r="AM22" i="129" a="1"/>
  <c r="AM18" i="129" a="1"/>
  <c r="AM16" i="129" a="1"/>
  <c r="AH13" i="132" l="1"/>
  <c r="AW14" i="132"/>
  <c r="EY19" i="132"/>
  <c r="CX22" i="132"/>
  <c r="AW22" i="132"/>
  <c r="AH22" i="132"/>
  <c r="AJ22" i="132" s="1"/>
  <c r="AS22" i="132" s="1"/>
  <c r="EY14" i="132"/>
  <c r="AJ14" i="132"/>
  <c r="AS14" i="132" s="1"/>
  <c r="AM21" i="129"/>
  <c r="AM18" i="129"/>
  <c r="AM16" i="129"/>
  <c r="AM15" i="129"/>
  <c r="AM22" i="129"/>
  <c r="G270" i="28"/>
  <c r="J193" i="28"/>
  <c r="H270" i="28"/>
  <c r="AM12" i="129"/>
  <c r="AM19" i="129"/>
  <c r="AM17" i="129"/>
  <c r="AM13" i="129"/>
  <c r="AM20" i="129"/>
  <c r="AM14" i="129"/>
  <c r="AW18" i="132"/>
  <c r="AJ19" i="132"/>
  <c r="AK19" i="132" s="1"/>
  <c r="AT19" i="132" s="1"/>
  <c r="EY18" i="132"/>
  <c r="AW15" i="132"/>
  <c r="EY16" i="132"/>
  <c r="EY22" i="132"/>
  <c r="AH21" i="132"/>
  <c r="AW21" i="132"/>
  <c r="CW22" i="132"/>
  <c r="CY22" i="132" s="1"/>
  <c r="EX22" i="132"/>
  <c r="EY21" i="132"/>
  <c r="AW19" i="132"/>
  <c r="AH17" i="132"/>
  <c r="AJ17" i="132" s="1"/>
  <c r="AS17" i="132" s="1"/>
  <c r="AW17" i="132"/>
  <c r="AH16" i="132"/>
  <c r="AJ16" i="132" s="1"/>
  <c r="AH18" i="132"/>
  <c r="AJ18" i="132" s="1"/>
  <c r="AS18" i="132" s="1"/>
  <c r="EY17" i="132"/>
  <c r="AW16" i="132"/>
  <c r="EY13" i="132"/>
  <c r="AW12" i="132"/>
  <c r="EY15" i="132"/>
  <c r="FH22" i="132"/>
  <c r="AH15" i="132"/>
  <c r="AJ15" i="132" s="1"/>
  <c r="AS15" i="132" s="1"/>
  <c r="BP22" i="132"/>
  <c r="EY12" i="132"/>
  <c r="AS12" i="132"/>
  <c r="AH20" i="132"/>
  <c r="AK12" i="132"/>
  <c r="AT12" i="132" s="1"/>
  <c r="FI22" i="132"/>
  <c r="EY20" i="132"/>
  <c r="AW20" i="132"/>
  <c r="AJ13" i="132"/>
  <c r="AK13" i="132" s="1"/>
  <c r="AT13" i="132" s="1"/>
  <c r="AK14" i="132" l="1"/>
  <c r="AT14" i="132" s="1"/>
  <c r="AK18" i="132"/>
  <c r="AL18" i="132" s="1"/>
  <c r="AU18" i="132" s="1"/>
  <c r="AJ21" i="132"/>
  <c r="AK21" i="132" s="1"/>
  <c r="AS16" i="132"/>
  <c r="AK16" i="132"/>
  <c r="AT16" i="132" s="1"/>
  <c r="AS19" i="132"/>
  <c r="AK17" i="132"/>
  <c r="AT17" i="132" s="1"/>
  <c r="AL19" i="132"/>
  <c r="AU19" i="132" s="1"/>
  <c r="AL12" i="132"/>
  <c r="AU12" i="132" s="1"/>
  <c r="BR22" i="132"/>
  <c r="BQ22" i="132"/>
  <c r="AK15" i="132"/>
  <c r="AT15" i="132" s="1"/>
  <c r="AL16" i="132"/>
  <c r="AU16" i="132" s="1"/>
  <c r="AL14" i="132"/>
  <c r="AU14" i="132" s="1"/>
  <c r="AS13" i="132"/>
  <c r="AJ20" i="132"/>
  <c r="AL13" i="132"/>
  <c r="AU13" i="132" s="1"/>
  <c r="AT18" i="132"/>
  <c r="AM18" i="132"/>
  <c r="AV18" i="132" s="1"/>
  <c r="AS21" i="132"/>
  <c r="AK22" i="132"/>
  <c r="AT22" i="132" s="1"/>
  <c r="AT21" i="132" l="1"/>
  <c r="AL21" i="132"/>
  <c r="AU21" i="132" s="1"/>
  <c r="AM14" i="132"/>
  <c r="AV14" i="132" s="1"/>
  <c r="AM12" i="132"/>
  <c r="AV12" i="132" s="1"/>
  <c r="AM13" i="132"/>
  <c r="AV13" i="132" s="1"/>
  <c r="AL15" i="132"/>
  <c r="AU15" i="132" s="1"/>
  <c r="AL17" i="132"/>
  <c r="AU17" i="132" s="1"/>
  <c r="AM19" i="132"/>
  <c r="AV19" i="132" s="1"/>
  <c r="AM15" i="132"/>
  <c r="AV15" i="132" s="1"/>
  <c r="AM16" i="132"/>
  <c r="AV16" i="132" s="1"/>
  <c r="AO18" i="132"/>
  <c r="AX18" i="132" s="1"/>
  <c r="AO19" i="132"/>
  <c r="AX19" i="132" s="1"/>
  <c r="AL22" i="132"/>
  <c r="AS20" i="132"/>
  <c r="AO13" i="132"/>
  <c r="AX13" i="132" s="1"/>
  <c r="AK20" i="132"/>
  <c r="AT20" i="132" s="1"/>
  <c r="AI19" i="132"/>
  <c r="AO14" i="132"/>
  <c r="AX14" i="132" s="1"/>
  <c r="AM21" i="132" l="1"/>
  <c r="AO12" i="132"/>
  <c r="AX12" i="132" s="1"/>
  <c r="AM17" i="132"/>
  <c r="AV17" i="132" s="1"/>
  <c r="AO16" i="132"/>
  <c r="AX16" i="132" s="1"/>
  <c r="AI12" i="132"/>
  <c r="AO15" i="132"/>
  <c r="AX15" i="132" s="1"/>
  <c r="AI18" i="132"/>
  <c r="AL20" i="132"/>
  <c r="AU20" i="132" s="1"/>
  <c r="AR19" i="132"/>
  <c r="AP19" i="132"/>
  <c r="AY19" i="132" s="1"/>
  <c r="AI13" i="132"/>
  <c r="AU22" i="132"/>
  <c r="AM22" i="132"/>
  <c r="AO22" i="132" s="1"/>
  <c r="AX22" i="132" s="1"/>
  <c r="AI14" i="132"/>
  <c r="AP12" i="132"/>
  <c r="AY12" i="132" s="1"/>
  <c r="AR12" i="132"/>
  <c r="AI15" i="132" l="1"/>
  <c r="AI16" i="132"/>
  <c r="AV21" i="132"/>
  <c r="AO21" i="132"/>
  <c r="AO17" i="132"/>
  <c r="AP15" i="132"/>
  <c r="AY15" i="132" s="1"/>
  <c r="AR15" i="132"/>
  <c r="AP18" i="132"/>
  <c r="AY18" i="132" s="1"/>
  <c r="AR18" i="132"/>
  <c r="AM20" i="132"/>
  <c r="AV20" i="132" s="1"/>
  <c r="AR14" i="132"/>
  <c r="AP14" i="132"/>
  <c r="AY14" i="132" s="1"/>
  <c r="AV22" i="132"/>
  <c r="AI22" i="132"/>
  <c r="AP13" i="132"/>
  <c r="AY13" i="132" s="1"/>
  <c r="AR13" i="132"/>
  <c r="AX21" i="132" l="1"/>
  <c r="AI21" i="132"/>
  <c r="AP16" i="132"/>
  <c r="AY16" i="132" s="1"/>
  <c r="AR16" i="132"/>
  <c r="AX17" i="132"/>
  <c r="AI17" i="132"/>
  <c r="AO20" i="132"/>
  <c r="AX20" i="132" s="1"/>
  <c r="AR22" i="132"/>
  <c r="AP22" i="132"/>
  <c r="AY22" i="132" s="1"/>
  <c r="AP21" i="132" l="1"/>
  <c r="AY21" i="132" s="1"/>
  <c r="AR21" i="132"/>
  <c r="AR17" i="132"/>
  <c r="AP17" i="132"/>
  <c r="AY17" i="132" s="1"/>
  <c r="AI20" i="132"/>
  <c r="FA22" i="131"/>
  <c r="EZ22" i="131" s="1"/>
  <c r="ET22" i="131"/>
  <c r="ES22" i="131"/>
  <c r="ER22" i="131"/>
  <c r="EQ22" i="131"/>
  <c r="EO22" i="131"/>
  <c r="EN22" i="131"/>
  <c r="EL22" i="131"/>
  <c r="EK22" i="131"/>
  <c r="EJ22" i="131"/>
  <c r="EI22" i="131"/>
  <c r="EG22" i="131"/>
  <c r="EF22" i="131"/>
  <c r="EE22" i="131"/>
  <c r="ED22" i="131"/>
  <c r="EC22" i="131"/>
  <c r="EB22" i="131"/>
  <c r="EA22" i="131"/>
  <c r="FD22" i="131" s="1"/>
  <c r="DE22" i="131"/>
  <c r="DD22" i="131" s="1"/>
  <c r="DB22" i="131"/>
  <c r="DA22" i="131"/>
  <c r="CN22" i="131"/>
  <c r="CM22" i="131"/>
  <c r="CP22" i="131" s="1"/>
  <c r="CL22" i="131"/>
  <c r="CR22" i="131" s="1"/>
  <c r="CK22" i="131"/>
  <c r="CO22" i="131" s="1"/>
  <c r="BK22" i="131"/>
  <c r="BJ22" i="131"/>
  <c r="BI22" i="131"/>
  <c r="BH22" i="131"/>
  <c r="BO22" i="131" s="1"/>
  <c r="AN22" i="131"/>
  <c r="V22" i="131"/>
  <c r="U22" i="131"/>
  <c r="T22" i="131"/>
  <c r="S22" i="131"/>
  <c r="Q22" i="131"/>
  <c r="P22" i="131"/>
  <c r="N22" i="131"/>
  <c r="M22" i="131"/>
  <c r="L22" i="131"/>
  <c r="K22" i="131"/>
  <c r="I22" i="131"/>
  <c r="H22" i="131"/>
  <c r="G22" i="131"/>
  <c r="F22" i="131"/>
  <c r="E22" i="131"/>
  <c r="D22" i="131"/>
  <c r="C22" i="131"/>
  <c r="FA21" i="131"/>
  <c r="EZ21" i="131" s="1"/>
  <c r="EO21" i="131"/>
  <c r="EN21" i="131"/>
  <c r="EG21" i="131"/>
  <c r="EF21" i="131"/>
  <c r="EE21" i="131"/>
  <c r="ED21" i="131"/>
  <c r="EC21" i="131"/>
  <c r="EB21" i="131"/>
  <c r="EA21" i="131"/>
  <c r="DE21" i="131"/>
  <c r="DD21" i="131" s="1"/>
  <c r="BK21" i="131"/>
  <c r="BJ21" i="131"/>
  <c r="BI21" i="131"/>
  <c r="BH21" i="131"/>
  <c r="AN21" i="131"/>
  <c r="Q21" i="131"/>
  <c r="P21" i="131"/>
  <c r="I21" i="131"/>
  <c r="H21" i="131"/>
  <c r="G21" i="131"/>
  <c r="F21" i="131"/>
  <c r="E21" i="131"/>
  <c r="D21" i="131"/>
  <c r="C21" i="131"/>
  <c r="O21" i="131" s="1"/>
  <c r="FA20" i="131"/>
  <c r="EZ20" i="131"/>
  <c r="EO20" i="131"/>
  <c r="EN20" i="131"/>
  <c r="EG20" i="131"/>
  <c r="EF20" i="131"/>
  <c r="EE20" i="131"/>
  <c r="ED20" i="131"/>
  <c r="EC20" i="131"/>
  <c r="EB20" i="131"/>
  <c r="EA20" i="131"/>
  <c r="DE20" i="131"/>
  <c r="DD20" i="131" s="1"/>
  <c r="BK20" i="131"/>
  <c r="BJ20" i="131"/>
  <c r="BI20" i="131"/>
  <c r="BH20" i="131"/>
  <c r="AN20" i="131"/>
  <c r="Q20" i="131"/>
  <c r="P20" i="131"/>
  <c r="I20" i="131"/>
  <c r="H20" i="131"/>
  <c r="G20" i="131"/>
  <c r="F20" i="131"/>
  <c r="E20" i="131"/>
  <c r="D20" i="131"/>
  <c r="C20" i="131"/>
  <c r="O20" i="131" s="1"/>
  <c r="FA19" i="131"/>
  <c r="EZ19" i="131"/>
  <c r="EO19" i="131"/>
  <c r="EN19" i="131"/>
  <c r="EG19" i="131"/>
  <c r="EF19" i="131"/>
  <c r="EE19" i="131"/>
  <c r="ED19" i="131"/>
  <c r="EC19" i="131"/>
  <c r="EB19" i="131"/>
  <c r="EA19" i="131"/>
  <c r="DE19" i="131"/>
  <c r="DD19" i="131" s="1"/>
  <c r="BK19" i="131"/>
  <c r="BJ19" i="131"/>
  <c r="BI19" i="131"/>
  <c r="BH19" i="131"/>
  <c r="AN19" i="131"/>
  <c r="Q19" i="131"/>
  <c r="P19" i="131"/>
  <c r="R19" i="131" s="1"/>
  <c r="I19" i="131"/>
  <c r="H19" i="131"/>
  <c r="G19" i="131"/>
  <c r="F19" i="131"/>
  <c r="E19" i="131"/>
  <c r="D19" i="131"/>
  <c r="C19" i="131"/>
  <c r="O19" i="131" s="1"/>
  <c r="FA18" i="131"/>
  <c r="EZ18" i="131" s="1"/>
  <c r="EO18" i="131"/>
  <c r="EN18" i="131"/>
  <c r="EU18" i="131" s="1"/>
  <c r="EG18" i="131"/>
  <c r="EF18" i="131"/>
  <c r="EE18" i="131"/>
  <c r="ED18" i="131"/>
  <c r="EC18" i="131"/>
  <c r="EB18" i="131"/>
  <c r="EA18" i="131"/>
  <c r="DE18" i="131"/>
  <c r="DD18" i="131" s="1"/>
  <c r="BK18" i="131"/>
  <c r="BJ18" i="131"/>
  <c r="BI18" i="131"/>
  <c r="BH18" i="131"/>
  <c r="AN18" i="131"/>
  <c r="Q18" i="131"/>
  <c r="P18" i="131"/>
  <c r="I18" i="131"/>
  <c r="H18" i="131"/>
  <c r="G18" i="131"/>
  <c r="F18" i="131"/>
  <c r="E18" i="131"/>
  <c r="D18" i="131"/>
  <c r="C18" i="131"/>
  <c r="O18" i="131" s="1"/>
  <c r="FA17" i="131"/>
  <c r="EZ17" i="131" s="1"/>
  <c r="EO17" i="131"/>
  <c r="EN17" i="131"/>
  <c r="EU17" i="131" s="1"/>
  <c r="EG17" i="131"/>
  <c r="EF17" i="131"/>
  <c r="EE17" i="131"/>
  <c r="ED17" i="131"/>
  <c r="EC17" i="131"/>
  <c r="EB17" i="131"/>
  <c r="EA17" i="131"/>
  <c r="DE17" i="131"/>
  <c r="DD17" i="131" s="1"/>
  <c r="BK17" i="131"/>
  <c r="BJ17" i="131"/>
  <c r="BI17" i="131"/>
  <c r="BH17" i="131"/>
  <c r="AN17" i="131"/>
  <c r="Q17" i="131"/>
  <c r="P17" i="131"/>
  <c r="I17" i="131"/>
  <c r="H17" i="131"/>
  <c r="G17" i="131"/>
  <c r="F17" i="131"/>
  <c r="E17" i="131"/>
  <c r="D17" i="131"/>
  <c r="C17" i="131"/>
  <c r="O17" i="131" s="1"/>
  <c r="FA16" i="131"/>
  <c r="EZ16" i="131" s="1"/>
  <c r="EO16" i="131"/>
  <c r="EN16" i="131"/>
  <c r="EG16" i="131"/>
  <c r="EF16" i="131"/>
  <c r="EE16" i="131"/>
  <c r="ED16" i="131"/>
  <c r="EC16" i="131"/>
  <c r="EB16" i="131"/>
  <c r="EA16" i="131"/>
  <c r="DE16" i="131"/>
  <c r="DD16" i="131" s="1"/>
  <c r="BK16" i="131"/>
  <c r="BJ16" i="131"/>
  <c r="BI16" i="131"/>
  <c r="BH16" i="131"/>
  <c r="AN16" i="131"/>
  <c r="Q16" i="131"/>
  <c r="P16" i="131"/>
  <c r="I16" i="131"/>
  <c r="H16" i="131"/>
  <c r="G16" i="131"/>
  <c r="F16" i="131"/>
  <c r="E16" i="131"/>
  <c r="D16" i="131"/>
  <c r="C16" i="131"/>
  <c r="O16" i="131" s="1"/>
  <c r="FA15" i="131"/>
  <c r="EZ15" i="131" s="1"/>
  <c r="EO15" i="131"/>
  <c r="EN15" i="131"/>
  <c r="EG15" i="131"/>
  <c r="EF15" i="131"/>
  <c r="EE15" i="131"/>
  <c r="ED15" i="131"/>
  <c r="EC15" i="131"/>
  <c r="EB15" i="131"/>
  <c r="EA15" i="131"/>
  <c r="DE15" i="131"/>
  <c r="DD15" i="131" s="1"/>
  <c r="BK15" i="131"/>
  <c r="BJ15" i="131"/>
  <c r="BI15" i="131"/>
  <c r="BH15" i="131"/>
  <c r="AN15" i="131"/>
  <c r="Q15" i="131"/>
  <c r="P15" i="131"/>
  <c r="I15" i="131"/>
  <c r="H15" i="131"/>
  <c r="G15" i="131"/>
  <c r="F15" i="131"/>
  <c r="E15" i="131"/>
  <c r="D15" i="131"/>
  <c r="C15" i="131"/>
  <c r="O15" i="131" s="1"/>
  <c r="FA14" i="131"/>
  <c r="EZ14" i="131" s="1"/>
  <c r="EO14" i="131"/>
  <c r="EN14" i="131"/>
  <c r="EG14" i="131"/>
  <c r="EF14" i="131"/>
  <c r="EE14" i="131"/>
  <c r="ED14" i="131"/>
  <c r="EC14" i="131"/>
  <c r="EB14" i="131"/>
  <c r="EA14" i="131"/>
  <c r="DE14" i="131"/>
  <c r="DD14" i="131" s="1"/>
  <c r="BK14" i="131"/>
  <c r="BJ14" i="131"/>
  <c r="BI14" i="131"/>
  <c r="BH14" i="131"/>
  <c r="AN14" i="131"/>
  <c r="Q14" i="131"/>
  <c r="P14" i="131"/>
  <c r="I14" i="131"/>
  <c r="H14" i="131"/>
  <c r="G14" i="131"/>
  <c r="F14" i="131"/>
  <c r="E14" i="131"/>
  <c r="D14" i="131"/>
  <c r="C14" i="131"/>
  <c r="FA13" i="131"/>
  <c r="EZ13" i="131" s="1"/>
  <c r="EO13" i="131"/>
  <c r="EN13" i="131"/>
  <c r="EU13" i="131" s="1"/>
  <c r="EG13" i="131"/>
  <c r="EF13" i="131"/>
  <c r="EE13" i="131"/>
  <c r="ED13" i="131"/>
  <c r="EC13" i="131"/>
  <c r="EB13" i="131"/>
  <c r="EA13" i="131"/>
  <c r="DE13" i="131"/>
  <c r="DD13" i="131" s="1"/>
  <c r="BK13" i="131"/>
  <c r="BJ13" i="131"/>
  <c r="BI13" i="131"/>
  <c r="BH13" i="131"/>
  <c r="AN13" i="131"/>
  <c r="Q13" i="131"/>
  <c r="P13" i="131"/>
  <c r="I13" i="131"/>
  <c r="H13" i="131"/>
  <c r="G13" i="131"/>
  <c r="F13" i="131"/>
  <c r="E13" i="131"/>
  <c r="D13" i="131"/>
  <c r="C13" i="131"/>
  <c r="O13" i="131" s="1"/>
  <c r="FA12" i="131"/>
  <c r="EZ12" i="131" s="1"/>
  <c r="EO12" i="131"/>
  <c r="EN12" i="131"/>
  <c r="EU12" i="131" s="1"/>
  <c r="EG12" i="131"/>
  <c r="EF12" i="131"/>
  <c r="EE12" i="131"/>
  <c r="ED12" i="131"/>
  <c r="EC12" i="131"/>
  <c r="EB12" i="131"/>
  <c r="EA12" i="131"/>
  <c r="DE12" i="131"/>
  <c r="DD12" i="131" s="1"/>
  <c r="BK12" i="131"/>
  <c r="BJ12" i="131"/>
  <c r="BI12" i="131"/>
  <c r="BH12" i="131"/>
  <c r="AN12" i="131"/>
  <c r="Q12" i="131"/>
  <c r="P12" i="131"/>
  <c r="I12" i="131"/>
  <c r="H12" i="131"/>
  <c r="G12" i="131"/>
  <c r="F12" i="131"/>
  <c r="E12" i="131"/>
  <c r="D12" i="131"/>
  <c r="C12" i="131"/>
  <c r="O12" i="131" s="1"/>
  <c r="W50" i="130"/>
  <c r="D50" i="130"/>
  <c r="W49" i="130"/>
  <c r="D49" i="130"/>
  <c r="W48" i="130"/>
  <c r="D48" i="130"/>
  <c r="W47" i="130"/>
  <c r="D47" i="130"/>
  <c r="W46" i="130"/>
  <c r="D46" i="130"/>
  <c r="E37" i="130"/>
  <c r="E36" i="130"/>
  <c r="E35" i="130"/>
  <c r="E34" i="130"/>
  <c r="E33" i="130"/>
  <c r="AK22" i="130"/>
  <c r="T22" i="130"/>
  <c r="S22" i="130"/>
  <c r="R22" i="130"/>
  <c r="Q22" i="130"/>
  <c r="P22" i="130"/>
  <c r="K22" i="130"/>
  <c r="J22" i="130"/>
  <c r="I22" i="130"/>
  <c r="H22" i="130"/>
  <c r="G22" i="130"/>
  <c r="F22" i="130"/>
  <c r="C36" i="130" s="1"/>
  <c r="V49" i="130" s="1"/>
  <c r="E22" i="130"/>
  <c r="C35" i="130" s="1"/>
  <c r="D22" i="130"/>
  <c r="C34" i="130" s="1"/>
  <c r="V47" i="130" s="1"/>
  <c r="C22" i="130"/>
  <c r="AK21" i="130"/>
  <c r="T21" i="130"/>
  <c r="S21" i="130"/>
  <c r="R21" i="130"/>
  <c r="Q21" i="130"/>
  <c r="P21" i="130"/>
  <c r="K21" i="130"/>
  <c r="J21" i="130"/>
  <c r="I21" i="130"/>
  <c r="H21" i="130"/>
  <c r="G21" i="130"/>
  <c r="F21" i="130"/>
  <c r="E21" i="130"/>
  <c r="D21" i="130"/>
  <c r="C21" i="130"/>
  <c r="AK20" i="130"/>
  <c r="T20" i="130"/>
  <c r="S20" i="130"/>
  <c r="R20" i="130"/>
  <c r="Q20" i="130"/>
  <c r="P20" i="130"/>
  <c r="K20" i="130"/>
  <c r="J20" i="130"/>
  <c r="I20" i="130"/>
  <c r="H20" i="130"/>
  <c r="G20" i="130"/>
  <c r="F20" i="130"/>
  <c r="E20" i="130"/>
  <c r="D20" i="130"/>
  <c r="C20" i="130"/>
  <c r="AK19" i="130"/>
  <c r="T19" i="130"/>
  <c r="S19" i="130"/>
  <c r="R19" i="130"/>
  <c r="Q19" i="130"/>
  <c r="P19" i="130"/>
  <c r="K19" i="130"/>
  <c r="J19" i="130"/>
  <c r="I19" i="130"/>
  <c r="H19" i="130"/>
  <c r="G19" i="130"/>
  <c r="F19" i="130"/>
  <c r="E19" i="130"/>
  <c r="D19" i="130"/>
  <c r="C19" i="130"/>
  <c r="AK18" i="130"/>
  <c r="T18" i="130"/>
  <c r="S18" i="130"/>
  <c r="R18" i="130"/>
  <c r="Q18" i="130"/>
  <c r="P18" i="130"/>
  <c r="K18" i="130"/>
  <c r="J18" i="130"/>
  <c r="I18" i="130"/>
  <c r="H18" i="130"/>
  <c r="G18" i="130"/>
  <c r="F18" i="130"/>
  <c r="E18" i="130"/>
  <c r="D18" i="130"/>
  <c r="C18" i="130"/>
  <c r="AK17" i="130"/>
  <c r="T17" i="130"/>
  <c r="S17" i="130"/>
  <c r="R17" i="130"/>
  <c r="Q17" i="130"/>
  <c r="P17" i="130"/>
  <c r="U17" i="130" s="1"/>
  <c r="AQ17" i="130" s="1"/>
  <c r="AR17" i="130" s="1"/>
  <c r="K17" i="130"/>
  <c r="J17" i="130"/>
  <c r="I17" i="130"/>
  <c r="H17" i="130"/>
  <c r="G17" i="130"/>
  <c r="F17" i="130"/>
  <c r="E17" i="130"/>
  <c r="D17" i="130"/>
  <c r="C17" i="130"/>
  <c r="AK16" i="130"/>
  <c r="T16" i="130"/>
  <c r="S16" i="130"/>
  <c r="R16" i="130"/>
  <c r="Q16" i="130"/>
  <c r="P16" i="130"/>
  <c r="K16" i="130"/>
  <c r="J16" i="130"/>
  <c r="I16" i="130"/>
  <c r="H16" i="130"/>
  <c r="G16" i="130"/>
  <c r="F16" i="130"/>
  <c r="E16" i="130"/>
  <c r="D16" i="130"/>
  <c r="C16" i="130"/>
  <c r="AK15" i="130"/>
  <c r="T15" i="130"/>
  <c r="S15" i="130"/>
  <c r="R15" i="130"/>
  <c r="Q15" i="130"/>
  <c r="P15" i="130"/>
  <c r="AS15" i="130" s="1"/>
  <c r="K15" i="130"/>
  <c r="J15" i="130"/>
  <c r="I15" i="130"/>
  <c r="H15" i="130"/>
  <c r="G15" i="130"/>
  <c r="F15" i="130"/>
  <c r="E15" i="130"/>
  <c r="D15" i="130"/>
  <c r="C15" i="130"/>
  <c r="AK14" i="130"/>
  <c r="T14" i="130"/>
  <c r="S14" i="130"/>
  <c r="R14" i="130"/>
  <c r="Q14" i="130"/>
  <c r="P14" i="130"/>
  <c r="K14" i="130"/>
  <c r="J14" i="130"/>
  <c r="I14" i="130"/>
  <c r="H14" i="130"/>
  <c r="G14" i="130"/>
  <c r="F14" i="130"/>
  <c r="E14" i="130"/>
  <c r="D14" i="130"/>
  <c r="C14" i="130"/>
  <c r="AK13" i="130"/>
  <c r="T13" i="130"/>
  <c r="S13" i="130"/>
  <c r="R13" i="130"/>
  <c r="Q13" i="130"/>
  <c r="P13" i="130"/>
  <c r="K13" i="130"/>
  <c r="J13" i="130"/>
  <c r="I13" i="130"/>
  <c r="H13" i="130"/>
  <c r="G13" i="130"/>
  <c r="F13" i="130"/>
  <c r="E13" i="130"/>
  <c r="D13" i="130"/>
  <c r="C13" i="130"/>
  <c r="AK12" i="130"/>
  <c r="T12" i="130"/>
  <c r="S12" i="130"/>
  <c r="R12" i="130"/>
  <c r="Q12" i="130"/>
  <c r="P12" i="130"/>
  <c r="K12" i="130"/>
  <c r="J12" i="130"/>
  <c r="I12" i="130"/>
  <c r="H12" i="130"/>
  <c r="G12" i="130"/>
  <c r="F12" i="130"/>
  <c r="E12" i="130"/>
  <c r="D12" i="130"/>
  <c r="C12" i="130"/>
  <c r="L50" i="129"/>
  <c r="F37" i="129"/>
  <c r="F36" i="129"/>
  <c r="D49" i="129" s="1"/>
  <c r="F35" i="129"/>
  <c r="D48" i="129" s="1"/>
  <c r="F34" i="129"/>
  <c r="F33" i="129"/>
  <c r="D33" i="129" a="1"/>
  <c r="D36" i="129" s="1"/>
  <c r="H26" i="129"/>
  <c r="H25" i="129"/>
  <c r="AL22" i="129"/>
  <c r="AK22" i="129"/>
  <c r="T22" i="129"/>
  <c r="S22" i="129"/>
  <c r="R22" i="129"/>
  <c r="Q22" i="129"/>
  <c r="P22" i="129"/>
  <c r="K22" i="129"/>
  <c r="J22" i="129"/>
  <c r="I22" i="129"/>
  <c r="H22" i="129"/>
  <c r="G22" i="129"/>
  <c r="L22" i="129" s="1"/>
  <c r="F22" i="129"/>
  <c r="E22" i="129"/>
  <c r="D22" i="129"/>
  <c r="C22" i="129"/>
  <c r="C33" i="129" s="1"/>
  <c r="AL21" i="129"/>
  <c r="AK21" i="129"/>
  <c r="T21" i="129"/>
  <c r="S21" i="129"/>
  <c r="R21" i="129"/>
  <c r="Q21" i="129"/>
  <c r="P21" i="129"/>
  <c r="K21" i="129"/>
  <c r="J21" i="129"/>
  <c r="I21" i="129"/>
  <c r="H21" i="129"/>
  <c r="G21" i="129"/>
  <c r="N21" i="129" s="1"/>
  <c r="F21" i="129"/>
  <c r="E21" i="129"/>
  <c r="D21" i="129"/>
  <c r="C21" i="129"/>
  <c r="AL20" i="129"/>
  <c r="AK20" i="129"/>
  <c r="T20" i="129"/>
  <c r="S20" i="129"/>
  <c r="R20" i="129"/>
  <c r="Q20" i="129"/>
  <c r="P20" i="129"/>
  <c r="K20" i="129"/>
  <c r="J20" i="129"/>
  <c r="I20" i="129"/>
  <c r="H20" i="129"/>
  <c r="G20" i="129"/>
  <c r="M20" i="129" s="1"/>
  <c r="F20" i="129"/>
  <c r="E20" i="129"/>
  <c r="D20" i="129"/>
  <c r="C20" i="129"/>
  <c r="AL19" i="129"/>
  <c r="AK19" i="129"/>
  <c r="T19" i="129"/>
  <c r="S19" i="129"/>
  <c r="R19" i="129"/>
  <c r="Q19" i="129"/>
  <c r="P19" i="129"/>
  <c r="K19" i="129"/>
  <c r="J19" i="129"/>
  <c r="I19" i="129"/>
  <c r="H19" i="129"/>
  <c r="G19" i="129"/>
  <c r="M19" i="129" s="1"/>
  <c r="F19" i="129"/>
  <c r="E19" i="129"/>
  <c r="D19" i="129"/>
  <c r="C19" i="129"/>
  <c r="AL18" i="129"/>
  <c r="AK18" i="129"/>
  <c r="T18" i="129"/>
  <c r="S18" i="129"/>
  <c r="R18" i="129"/>
  <c r="Q18" i="129"/>
  <c r="P18" i="129"/>
  <c r="K18" i="129"/>
  <c r="J18" i="129"/>
  <c r="I18" i="129"/>
  <c r="H18" i="129"/>
  <c r="G18" i="129"/>
  <c r="L18" i="129" s="1"/>
  <c r="F18" i="129"/>
  <c r="E18" i="129"/>
  <c r="D18" i="129"/>
  <c r="C18" i="129"/>
  <c r="AL17" i="129"/>
  <c r="AK17" i="129"/>
  <c r="T17" i="129"/>
  <c r="S17" i="129"/>
  <c r="R17" i="129"/>
  <c r="Q17" i="129"/>
  <c r="P17" i="129"/>
  <c r="K17" i="129"/>
  <c r="J17" i="129"/>
  <c r="I17" i="129"/>
  <c r="H17" i="129"/>
  <c r="G17" i="129"/>
  <c r="N17" i="129" s="1"/>
  <c r="F17" i="129"/>
  <c r="E17" i="129"/>
  <c r="D17" i="129"/>
  <c r="C17" i="129"/>
  <c r="AL16" i="129"/>
  <c r="AK16" i="129"/>
  <c r="T16" i="129"/>
  <c r="S16" i="129"/>
  <c r="R16" i="129"/>
  <c r="Q16" i="129"/>
  <c r="P16" i="129"/>
  <c r="N16" i="129"/>
  <c r="K16" i="129"/>
  <c r="J16" i="129"/>
  <c r="I16" i="129"/>
  <c r="H16" i="129"/>
  <c r="G16" i="129"/>
  <c r="F16" i="129"/>
  <c r="E16" i="129"/>
  <c r="D16" i="129"/>
  <c r="C16" i="129"/>
  <c r="AL15" i="129"/>
  <c r="AK15" i="129"/>
  <c r="T15" i="129"/>
  <c r="S15" i="129"/>
  <c r="R15" i="129"/>
  <c r="Q15" i="129"/>
  <c r="P15" i="129"/>
  <c r="K15" i="129"/>
  <c r="J15" i="129"/>
  <c r="I15" i="129"/>
  <c r="H15" i="129"/>
  <c r="G15" i="129"/>
  <c r="F15" i="129"/>
  <c r="E15" i="129"/>
  <c r="D15" i="129"/>
  <c r="C15" i="129"/>
  <c r="AL14" i="129"/>
  <c r="AK14" i="129"/>
  <c r="T14" i="129"/>
  <c r="S14" i="129"/>
  <c r="R14" i="129"/>
  <c r="Q14" i="129"/>
  <c r="P14" i="129"/>
  <c r="K14" i="129"/>
  <c r="J14" i="129"/>
  <c r="I14" i="129"/>
  <c r="H14" i="129"/>
  <c r="G14" i="129"/>
  <c r="L14" i="129" s="1"/>
  <c r="F14" i="129"/>
  <c r="E14" i="129"/>
  <c r="D14" i="129"/>
  <c r="C14" i="129"/>
  <c r="AL13" i="129"/>
  <c r="AK13" i="129"/>
  <c r="T13" i="129"/>
  <c r="S13" i="129"/>
  <c r="R13" i="129"/>
  <c r="Q13" i="129"/>
  <c r="P13" i="129"/>
  <c r="K13" i="129"/>
  <c r="J13" i="129"/>
  <c r="I13" i="129"/>
  <c r="H13" i="129"/>
  <c r="G13" i="129"/>
  <c r="N13" i="129" s="1"/>
  <c r="F13" i="129"/>
  <c r="E13" i="129"/>
  <c r="D13" i="129"/>
  <c r="C13" i="129"/>
  <c r="AL12" i="129"/>
  <c r="AK12" i="129"/>
  <c r="T12" i="129"/>
  <c r="S12" i="129"/>
  <c r="R12" i="129"/>
  <c r="Q12" i="129"/>
  <c r="P12" i="129"/>
  <c r="K12" i="129"/>
  <c r="J12" i="129"/>
  <c r="I12" i="129"/>
  <c r="H12" i="129"/>
  <c r="G12" i="129"/>
  <c r="N12" i="129" s="1"/>
  <c r="F12" i="129"/>
  <c r="E12" i="129"/>
  <c r="D12" i="129"/>
  <c r="C12" i="129"/>
  <c r="BL18" i="131" l="1"/>
  <c r="EU19" i="131"/>
  <c r="AS14" i="130"/>
  <c r="AS19" i="130"/>
  <c r="EU20" i="131"/>
  <c r="EU21" i="131"/>
  <c r="BO17" i="131"/>
  <c r="AS16" i="129"/>
  <c r="AS19" i="129"/>
  <c r="D69" i="130"/>
  <c r="D82" i="130" s="1"/>
  <c r="M18" i="129"/>
  <c r="AS18" i="129"/>
  <c r="AS21" i="129"/>
  <c r="AS14" i="129"/>
  <c r="AS20" i="129"/>
  <c r="AS13" i="129"/>
  <c r="AS17" i="129"/>
  <c r="AS18" i="130"/>
  <c r="Y18" i="131"/>
  <c r="R18" i="131"/>
  <c r="BM18" i="131"/>
  <c r="DC22" i="131"/>
  <c r="AG22" i="131"/>
  <c r="EM20" i="131"/>
  <c r="BO21" i="131"/>
  <c r="EP15" i="131"/>
  <c r="EP16" i="131"/>
  <c r="EM21" i="131"/>
  <c r="X14" i="131"/>
  <c r="Z13" i="131"/>
  <c r="Y14" i="131"/>
  <c r="Z14" i="131"/>
  <c r="AA14" i="131"/>
  <c r="EP19" i="131"/>
  <c r="AB14" i="131"/>
  <c r="AC14" i="131" s="1"/>
  <c r="W19" i="131"/>
  <c r="AW19" i="131" s="1"/>
  <c r="W21" i="131"/>
  <c r="BS18" i="131"/>
  <c r="EV12" i="131"/>
  <c r="EW12" i="131"/>
  <c r="AA21" i="131"/>
  <c r="BN18" i="131"/>
  <c r="BL20" i="131"/>
  <c r="EP17" i="131"/>
  <c r="BS12" i="131"/>
  <c r="R13" i="131"/>
  <c r="X18" i="131"/>
  <c r="N20" i="129"/>
  <c r="AS13" i="130"/>
  <c r="U14" i="130"/>
  <c r="AQ14" i="130" s="1"/>
  <c r="AR14" i="130" s="1"/>
  <c r="EM12" i="131"/>
  <c r="X19" i="131"/>
  <c r="BS17" i="131"/>
  <c r="Y19" i="131"/>
  <c r="EM13" i="131"/>
  <c r="BN14" i="131"/>
  <c r="BM15" i="131"/>
  <c r="R17" i="131"/>
  <c r="BM22" i="131"/>
  <c r="AS17" i="130"/>
  <c r="U13" i="130"/>
  <c r="AQ13" i="130" s="1"/>
  <c r="AR13" i="130" s="1"/>
  <c r="Y20" i="131"/>
  <c r="AS21" i="130"/>
  <c r="EM14" i="131"/>
  <c r="BM16" i="131"/>
  <c r="Z20" i="131"/>
  <c r="X21" i="131"/>
  <c r="U16" i="129"/>
  <c r="AQ16" i="129" s="1"/>
  <c r="AR16" i="129" s="1"/>
  <c r="AP16" i="129" s="1"/>
  <c r="AS12" i="130"/>
  <c r="EM15" i="131"/>
  <c r="AA20" i="131"/>
  <c r="N15" i="129"/>
  <c r="C68" i="130"/>
  <c r="C81" i="130" s="1"/>
  <c r="EM16" i="131"/>
  <c r="AB20" i="131"/>
  <c r="AC20" i="131" s="1"/>
  <c r="Z21" i="131"/>
  <c r="BO18" i="131"/>
  <c r="AB21" i="131"/>
  <c r="AC21" i="131" s="1"/>
  <c r="AS16" i="130"/>
  <c r="EM17" i="131"/>
  <c r="Y21" i="131"/>
  <c r="Y22" i="131"/>
  <c r="AS12" i="129"/>
  <c r="AS20" i="130"/>
  <c r="R21" i="131"/>
  <c r="U15" i="129"/>
  <c r="AQ15" i="129" s="1"/>
  <c r="AR15" i="129" s="1"/>
  <c r="AS15" i="129"/>
  <c r="EU14" i="131"/>
  <c r="EM18" i="131"/>
  <c r="U22" i="129"/>
  <c r="AO14" i="129" s="1"/>
  <c r="M14" i="129"/>
  <c r="AN15" i="129"/>
  <c r="AP15" i="129"/>
  <c r="O14" i="131"/>
  <c r="EU15" i="131"/>
  <c r="W14" i="131"/>
  <c r="AH14" i="131" s="1"/>
  <c r="EU16" i="131"/>
  <c r="EM19" i="131"/>
  <c r="C48" i="130"/>
  <c r="V48" i="130"/>
  <c r="U14" i="129"/>
  <c r="AQ14" i="129" s="1"/>
  <c r="AR14" i="129" s="1"/>
  <c r="AP14" i="129" s="1"/>
  <c r="U18" i="129"/>
  <c r="AQ18" i="129" s="1"/>
  <c r="AR18" i="129" s="1"/>
  <c r="AP18" i="129" s="1"/>
  <c r="C68" i="129"/>
  <c r="C81" i="129" s="1"/>
  <c r="E36" i="129"/>
  <c r="C65" i="130"/>
  <c r="G69" i="130"/>
  <c r="C66" i="130"/>
  <c r="C79" i="130" s="1"/>
  <c r="BN12" i="131"/>
  <c r="BL14" i="131"/>
  <c r="BS15" i="131"/>
  <c r="EV19" i="131"/>
  <c r="W22" i="131"/>
  <c r="AF22" i="131"/>
  <c r="BB22" i="131" s="1"/>
  <c r="BF22" i="131" s="1"/>
  <c r="U19" i="129"/>
  <c r="AN19" i="129" s="1"/>
  <c r="W50" i="129"/>
  <c r="C67" i="130"/>
  <c r="C80" i="130" s="1"/>
  <c r="BS13" i="131"/>
  <c r="BM14" i="131"/>
  <c r="AA16" i="131"/>
  <c r="EW19" i="131"/>
  <c r="X22" i="131"/>
  <c r="U20" i="129"/>
  <c r="AQ20" i="129" s="1"/>
  <c r="L21" i="129"/>
  <c r="D37" i="129"/>
  <c r="E37" i="129" s="1"/>
  <c r="C37" i="130"/>
  <c r="V50" i="130" s="1"/>
  <c r="R12" i="131"/>
  <c r="EP12" i="131"/>
  <c r="W13" i="131"/>
  <c r="AH13" i="131" s="1"/>
  <c r="BO14" i="131"/>
  <c r="BO15" i="131"/>
  <c r="EW15" i="131"/>
  <c r="BL16" i="131"/>
  <c r="X17" i="131"/>
  <c r="AB19" i="131"/>
  <c r="AC19" i="131" s="1"/>
  <c r="AB22" i="131"/>
  <c r="AC22" i="131" s="1"/>
  <c r="FB22" i="131"/>
  <c r="C65" i="129"/>
  <c r="X13" i="131"/>
  <c r="AA13" i="131"/>
  <c r="BS16" i="131"/>
  <c r="Y17" i="131"/>
  <c r="CV22" i="131"/>
  <c r="EP21" i="131"/>
  <c r="FC22" i="131"/>
  <c r="G69" i="129"/>
  <c r="Y13" i="131"/>
  <c r="AB13" i="131"/>
  <c r="AC13" i="131" s="1"/>
  <c r="BN15" i="131"/>
  <c r="X16" i="131"/>
  <c r="Z17" i="131"/>
  <c r="BM17" i="131"/>
  <c r="EV17" i="131"/>
  <c r="EP18" i="131"/>
  <c r="Z19" i="131"/>
  <c r="W20" i="131"/>
  <c r="AW20" i="131" s="1"/>
  <c r="BL21" i="131"/>
  <c r="BN22" i="131"/>
  <c r="U12" i="129"/>
  <c r="AQ12" i="129" s="1"/>
  <c r="AR12" i="129" s="1"/>
  <c r="L13" i="129"/>
  <c r="C66" i="129"/>
  <c r="C79" i="129" s="1"/>
  <c r="M22" i="129"/>
  <c r="U15" i="130"/>
  <c r="AQ15" i="130" s="1"/>
  <c r="AR15" i="130" s="1"/>
  <c r="U18" i="130"/>
  <c r="AQ18" i="130" s="1"/>
  <c r="AR18" i="130" s="1"/>
  <c r="U22" i="130"/>
  <c r="EP14" i="131"/>
  <c r="AA17" i="131"/>
  <c r="BN17" i="131"/>
  <c r="EW17" i="131"/>
  <c r="EV18" i="131"/>
  <c r="EW18" i="131"/>
  <c r="AA19" i="131"/>
  <c r="X20" i="131"/>
  <c r="BM21" i="131"/>
  <c r="AD22" i="131"/>
  <c r="BA22" i="131" s="1"/>
  <c r="BE22" i="131" s="1"/>
  <c r="CQ22" i="131"/>
  <c r="L17" i="129"/>
  <c r="C67" i="129"/>
  <c r="C80" i="129" s="1"/>
  <c r="H69" i="129"/>
  <c r="C36" i="129"/>
  <c r="V49" i="129" s="1"/>
  <c r="BL13" i="131"/>
  <c r="R14" i="131"/>
  <c r="BO16" i="131"/>
  <c r="AB17" i="131"/>
  <c r="AC17" i="131" s="1"/>
  <c r="BN21" i="131"/>
  <c r="AE22" i="131"/>
  <c r="AR20" i="132"/>
  <c r="AP20" i="132"/>
  <c r="AY20" i="132" s="1"/>
  <c r="BO13" i="131"/>
  <c r="BM12" i="131"/>
  <c r="EV16" i="131"/>
  <c r="FH22" i="131"/>
  <c r="BM20" i="131"/>
  <c r="BN13" i="131"/>
  <c r="BM19" i="131"/>
  <c r="BL19" i="131"/>
  <c r="BN20" i="131"/>
  <c r="Y15" i="131"/>
  <c r="X15" i="131"/>
  <c r="W15" i="131"/>
  <c r="AB15" i="131"/>
  <c r="AC15" i="131" s="1"/>
  <c r="AA15" i="131"/>
  <c r="Z15" i="131"/>
  <c r="R15" i="131"/>
  <c r="BO12" i="131"/>
  <c r="EW16" i="131"/>
  <c r="W12" i="131"/>
  <c r="CT22" i="131"/>
  <c r="CZ22" i="131" s="1"/>
  <c r="X12" i="131"/>
  <c r="EW22" i="131"/>
  <c r="EV22" i="131"/>
  <c r="Y12" i="131"/>
  <c r="AB16" i="131"/>
  <c r="AC16" i="131" s="1"/>
  <c r="W18" i="131"/>
  <c r="EP22" i="131"/>
  <c r="BO20" i="131"/>
  <c r="EW20" i="131"/>
  <c r="EV20" i="131"/>
  <c r="EP20" i="131"/>
  <c r="BM13" i="131"/>
  <c r="BO19" i="131"/>
  <c r="Z12" i="131"/>
  <c r="AA12" i="131"/>
  <c r="EW13" i="131"/>
  <c r="EV13" i="131"/>
  <c r="EP13" i="131"/>
  <c r="AB18" i="131"/>
  <c r="AC18" i="131" s="1"/>
  <c r="BN19" i="131"/>
  <c r="BL12" i="131"/>
  <c r="AB12" i="131"/>
  <c r="AC12" i="131" s="1"/>
  <c r="Z18" i="131"/>
  <c r="AW14" i="131"/>
  <c r="AA18" i="131"/>
  <c r="BC22" i="131"/>
  <c r="BG22" i="131" s="1"/>
  <c r="EW14" i="131"/>
  <c r="Y16" i="131"/>
  <c r="Z16" i="131"/>
  <c r="W17" i="131"/>
  <c r="EW21" i="131"/>
  <c r="EV15" i="131"/>
  <c r="BL22" i="131"/>
  <c r="BS14" i="131"/>
  <c r="EV14" i="131"/>
  <c r="BS19" i="131"/>
  <c r="EV21" i="131"/>
  <c r="BS20" i="131"/>
  <c r="BL15" i="131"/>
  <c r="BS21" i="131"/>
  <c r="AA22" i="131"/>
  <c r="CS22" i="131"/>
  <c r="FE22" i="131"/>
  <c r="FI22" i="131" s="1"/>
  <c r="R22" i="131"/>
  <c r="CU22" i="131"/>
  <c r="R16" i="131"/>
  <c r="W16" i="131"/>
  <c r="Z22" i="131"/>
  <c r="BL17" i="131"/>
  <c r="R20" i="131"/>
  <c r="BN16" i="131"/>
  <c r="U19" i="130"/>
  <c r="U16" i="130"/>
  <c r="AQ16" i="130" s="1"/>
  <c r="AR16" i="130" s="1"/>
  <c r="C69" i="130"/>
  <c r="U21" i="130"/>
  <c r="G34" i="130"/>
  <c r="H34" i="130" s="1"/>
  <c r="G36" i="130"/>
  <c r="H36" i="130" s="1"/>
  <c r="C47" i="130"/>
  <c r="C49" i="130"/>
  <c r="C33" i="130"/>
  <c r="E69" i="130"/>
  <c r="F69" i="130"/>
  <c r="U12" i="130"/>
  <c r="AQ12" i="130" s="1"/>
  <c r="U20" i="130"/>
  <c r="G35" i="130"/>
  <c r="H35" i="130" s="1"/>
  <c r="G37" i="130"/>
  <c r="J37" i="130" s="1"/>
  <c r="C50" i="130"/>
  <c r="C46" i="129"/>
  <c r="G33" i="129"/>
  <c r="O33" i="129" s="1"/>
  <c r="O13" i="129"/>
  <c r="O17" i="129"/>
  <c r="O21" i="129"/>
  <c r="C35" i="129"/>
  <c r="G35" i="129" s="1"/>
  <c r="N14" i="129"/>
  <c r="L15" i="129"/>
  <c r="N18" i="129"/>
  <c r="L19" i="129"/>
  <c r="N22" i="129"/>
  <c r="D33" i="129"/>
  <c r="V46" i="129" s="1"/>
  <c r="C69" i="129"/>
  <c r="O14" i="129"/>
  <c r="M15" i="129"/>
  <c r="O18" i="129"/>
  <c r="O22" i="129"/>
  <c r="D34" i="129"/>
  <c r="W47" i="129" s="1"/>
  <c r="C37" i="129"/>
  <c r="D47" i="129"/>
  <c r="D69" i="129"/>
  <c r="L12" i="129"/>
  <c r="L16" i="129"/>
  <c r="N19" i="129"/>
  <c r="L20" i="129"/>
  <c r="D35" i="129"/>
  <c r="E35" i="129" s="1"/>
  <c r="C34" i="129"/>
  <c r="G34" i="129" s="1"/>
  <c r="E69" i="129"/>
  <c r="M12" i="129"/>
  <c r="O15" i="129"/>
  <c r="M16" i="129"/>
  <c r="O19" i="129"/>
  <c r="D46" i="129"/>
  <c r="W49" i="129"/>
  <c r="F69" i="129"/>
  <c r="O12" i="129"/>
  <c r="M13" i="129"/>
  <c r="U13" i="129"/>
  <c r="AQ13" i="129" s="1"/>
  <c r="AR13" i="129" s="1"/>
  <c r="AP13" i="129" s="1"/>
  <c r="O16" i="129"/>
  <c r="M17" i="129"/>
  <c r="U17" i="129"/>
  <c r="AQ17" i="129" s="1"/>
  <c r="AR17" i="129" s="1"/>
  <c r="AP17" i="129" s="1"/>
  <c r="O20" i="129"/>
  <c r="M21" i="129"/>
  <c r="U21" i="129"/>
  <c r="AN21" i="129" s="1"/>
  <c r="D50" i="129"/>
  <c r="O8" i="154" a="1"/>
  <c r="S11" i="154" a="1"/>
  <c r="J199" i="28" a="1"/>
  <c r="O11" i="154" a="1"/>
  <c r="AM17" i="138" a="1"/>
  <c r="T11" i="154" a="1"/>
  <c r="U11" i="154" a="1"/>
  <c r="AM18" i="138" a="1"/>
  <c r="AM15" i="138" a="1"/>
  <c r="R8" i="154" a="1"/>
  <c r="AM16" i="138" a="1"/>
  <c r="H277" i="28" a="1"/>
  <c r="R11" i="154" a="1"/>
  <c r="AM12" i="138" a="1"/>
  <c r="AM13" i="138" a="1"/>
  <c r="Q11" i="154" a="1"/>
  <c r="AM20" i="138" a="1"/>
  <c r="G277" i="28" a="1"/>
  <c r="U8" i="154" a="1"/>
  <c r="S8" i="154" a="1"/>
  <c r="AM22" i="138" a="1"/>
  <c r="T8" i="154" a="1"/>
  <c r="Q8" i="154" a="1"/>
  <c r="AM14" i="138" a="1"/>
  <c r="AM19" i="138" a="1"/>
  <c r="AM21" i="138" a="1"/>
  <c r="AH19" i="131" l="1"/>
  <c r="EY19" i="131"/>
  <c r="AJ19" i="131"/>
  <c r="AS19" i="131" s="1"/>
  <c r="AK19" i="131"/>
  <c r="AT19" i="131" s="1"/>
  <c r="AJ13" i="131"/>
  <c r="AS13" i="131" s="1"/>
  <c r="R11" i="154"/>
  <c r="AO15" i="129"/>
  <c r="AO12" i="129"/>
  <c r="AO19" i="129"/>
  <c r="AO21" i="129"/>
  <c r="AN16" i="129"/>
  <c r="AO17" i="129"/>
  <c r="AO16" i="129"/>
  <c r="C49" i="129"/>
  <c r="G36" i="129"/>
  <c r="H36" i="129" s="1"/>
  <c r="EY21" i="131"/>
  <c r="CW22" i="131"/>
  <c r="FF22" i="131"/>
  <c r="EY14" i="131"/>
  <c r="EY15" i="131"/>
  <c r="AM21" i="138"/>
  <c r="AP21" i="138" s="1"/>
  <c r="AM19" i="138"/>
  <c r="AN19" i="138" s="1"/>
  <c r="EY13" i="131"/>
  <c r="FG22" i="131"/>
  <c r="AH21" i="131"/>
  <c r="AJ21" i="131" s="1"/>
  <c r="AH20" i="131"/>
  <c r="EY20" i="131"/>
  <c r="AW21" i="131"/>
  <c r="H277" i="28"/>
  <c r="AM16" i="138"/>
  <c r="AM22" i="138"/>
  <c r="G277" i="28"/>
  <c r="J199" i="28"/>
  <c r="AM12" i="138"/>
  <c r="AM13" i="138"/>
  <c r="AM20" i="138"/>
  <c r="AM14" i="138"/>
  <c r="AM17" i="138"/>
  <c r="AM15" i="138"/>
  <c r="AM18" i="138"/>
  <c r="AN13" i="129"/>
  <c r="AR12" i="130"/>
  <c r="AN17" i="129"/>
  <c r="AR21" i="130"/>
  <c r="AQ21" i="130"/>
  <c r="AQ21" i="129"/>
  <c r="AR21" i="129"/>
  <c r="AP21" i="129" s="1"/>
  <c r="CX22" i="131"/>
  <c r="CY22" i="131" s="1"/>
  <c r="AQ19" i="129"/>
  <c r="AR19" i="129"/>
  <c r="AP19" i="129" s="1"/>
  <c r="AR20" i="130"/>
  <c r="AQ20" i="130"/>
  <c r="AN14" i="129"/>
  <c r="AH22" i="131"/>
  <c r="AJ22" i="131" s="1"/>
  <c r="EY12" i="131"/>
  <c r="AP12" i="129"/>
  <c r="AW13" i="131"/>
  <c r="AN12" i="129"/>
  <c r="AR20" i="129"/>
  <c r="AP20" i="129" s="1"/>
  <c r="BP22" i="131"/>
  <c r="BQ22" i="131" s="1"/>
  <c r="H24" i="129"/>
  <c r="AR23" i="129"/>
  <c r="AO18" i="129"/>
  <c r="AN18" i="129"/>
  <c r="AR19" i="130"/>
  <c r="AQ19" i="130"/>
  <c r="EY17" i="131"/>
  <c r="AJ20" i="131"/>
  <c r="AS20" i="131" s="1"/>
  <c r="H24" i="130"/>
  <c r="AR23" i="130"/>
  <c r="AN20" i="129"/>
  <c r="AO20" i="129"/>
  <c r="AO13" i="129"/>
  <c r="T11" i="154"/>
  <c r="U8" i="154"/>
  <c r="U11" i="154"/>
  <c r="R8" i="154"/>
  <c r="S11" i="154"/>
  <c r="S8" i="154"/>
  <c r="Q11" i="154"/>
  <c r="T8" i="154"/>
  <c r="O8" i="154"/>
  <c r="O11" i="154"/>
  <c r="Q8" i="154"/>
  <c r="F82" i="130"/>
  <c r="AW22" i="131"/>
  <c r="AZ22" i="131"/>
  <c r="BD22" i="131" s="1"/>
  <c r="G82" i="129"/>
  <c r="G82" i="130"/>
  <c r="D82" i="129"/>
  <c r="EY16" i="131"/>
  <c r="E34" i="129"/>
  <c r="E82" i="130"/>
  <c r="E82" i="129"/>
  <c r="K37" i="130"/>
  <c r="AB50" i="130" s="1"/>
  <c r="C82" i="130"/>
  <c r="AW12" i="131"/>
  <c r="F82" i="129"/>
  <c r="C78" i="129"/>
  <c r="C78" i="130"/>
  <c r="EY22" i="131"/>
  <c r="C82" i="129"/>
  <c r="EX22" i="131"/>
  <c r="AJ14" i="131"/>
  <c r="AS14" i="131" s="1"/>
  <c r="AH18" i="131"/>
  <c r="AJ18" i="131" s="1"/>
  <c r="EY18" i="131"/>
  <c r="AL19" i="131"/>
  <c r="AK13" i="131"/>
  <c r="AT13" i="131" s="1"/>
  <c r="AH17" i="131"/>
  <c r="AW17" i="131"/>
  <c r="AW18" i="131"/>
  <c r="AH12" i="131"/>
  <c r="AJ12" i="131" s="1"/>
  <c r="AS12" i="131" s="1"/>
  <c r="AH16" i="131"/>
  <c r="AW16" i="131"/>
  <c r="AH15" i="131"/>
  <c r="AW15" i="131"/>
  <c r="G33" i="130"/>
  <c r="O33" i="130" s="1"/>
  <c r="C46" i="130"/>
  <c r="V46" i="130"/>
  <c r="O37" i="130"/>
  <c r="M37" i="130"/>
  <c r="H37" i="130"/>
  <c r="I37" i="130"/>
  <c r="L37" i="130"/>
  <c r="AA50" i="130"/>
  <c r="H50" i="130"/>
  <c r="E33" i="129"/>
  <c r="W48" i="129"/>
  <c r="H33" i="129"/>
  <c r="W46" i="129"/>
  <c r="H34" i="129"/>
  <c r="V47" i="129"/>
  <c r="C47" i="129"/>
  <c r="V50" i="129"/>
  <c r="C50" i="129"/>
  <c r="G37" i="129"/>
  <c r="V48" i="129"/>
  <c r="H35" i="129"/>
  <c r="C48" i="129"/>
  <c r="J8" i="165" a="1"/>
  <c r="H11" i="154" a="1"/>
  <c r="I11" i="154" a="1"/>
  <c r="H11" i="158" a="1"/>
  <c r="AQ22" i="129" l="1"/>
  <c r="AQ22" i="130"/>
  <c r="AR22" i="129"/>
  <c r="AR25" i="129" s="1"/>
  <c r="AN21" i="138"/>
  <c r="AO21" i="138"/>
  <c r="AO19" i="138"/>
  <c r="AP19" i="138"/>
  <c r="AS22" i="131"/>
  <c r="AK22" i="131"/>
  <c r="AT22" i="131" s="1"/>
  <c r="BR22" i="131"/>
  <c r="AP22" i="129"/>
  <c r="AO22" i="129"/>
  <c r="J8" i="165"/>
  <c r="AR22" i="130"/>
  <c r="AR25" i="130" s="1"/>
  <c r="AN22" i="129"/>
  <c r="AN24" i="129" s="1"/>
  <c r="AP18" i="138"/>
  <c r="AN18" i="138"/>
  <c r="AO18" i="138"/>
  <c r="AN15" i="138"/>
  <c r="AO15" i="138"/>
  <c r="AP15" i="138"/>
  <c r="AP17" i="138"/>
  <c r="AN17" i="138"/>
  <c r="AO17" i="138"/>
  <c r="AN14" i="138"/>
  <c r="AO14" i="138"/>
  <c r="AP14" i="138"/>
  <c r="AN20" i="138"/>
  <c r="AO20" i="138"/>
  <c r="AP20" i="138"/>
  <c r="AP13" i="138"/>
  <c r="AO13" i="138"/>
  <c r="AN13" i="138"/>
  <c r="AN12" i="138"/>
  <c r="AO12" i="138"/>
  <c r="AP12" i="138"/>
  <c r="AK20" i="131"/>
  <c r="AT20" i="131" s="1"/>
  <c r="AK14" i="131"/>
  <c r="AT14" i="131" s="1"/>
  <c r="AP16" i="138"/>
  <c r="AN16" i="138"/>
  <c r="AO16" i="138"/>
  <c r="AR24" i="129"/>
  <c r="I11" i="154"/>
  <c r="H11" i="158"/>
  <c r="H11" i="154"/>
  <c r="H33" i="130"/>
  <c r="F46" i="130" s="1"/>
  <c r="I50" i="130"/>
  <c r="AL20" i="131"/>
  <c r="AU20" i="131" s="1"/>
  <c r="AL13" i="131"/>
  <c r="AS18" i="131"/>
  <c r="AK18" i="131"/>
  <c r="AT18" i="131" s="1"/>
  <c r="AJ16" i="131"/>
  <c r="AS16" i="131" s="1"/>
  <c r="AU19" i="131"/>
  <c r="AK12" i="131"/>
  <c r="AL12" i="131" s="1"/>
  <c r="AU12" i="131" s="1"/>
  <c r="AM19" i="131"/>
  <c r="AV19" i="131" s="1"/>
  <c r="AJ17" i="131"/>
  <c r="AS21" i="131"/>
  <c r="AK21" i="131"/>
  <c r="AJ15" i="131"/>
  <c r="AS15" i="131" s="1"/>
  <c r="AL22" i="131"/>
  <c r="AU22" i="131" s="1"/>
  <c r="P37" i="130"/>
  <c r="Q37" i="130"/>
  <c r="AD37" i="130" s="1"/>
  <c r="Y50" i="130"/>
  <c r="F50" i="130"/>
  <c r="R37" i="130"/>
  <c r="AE37" i="130" s="1"/>
  <c r="K50" i="130"/>
  <c r="AC50" i="130"/>
  <c r="J50" i="130"/>
  <c r="V37" i="130"/>
  <c r="Z42" i="130" s="1"/>
  <c r="U37" i="130"/>
  <c r="T37" i="130"/>
  <c r="Z50" i="130"/>
  <c r="G50" i="130"/>
  <c r="F46" i="129"/>
  <c r="Y46" i="129"/>
  <c r="O37" i="129"/>
  <c r="L37" i="129"/>
  <c r="I37" i="129"/>
  <c r="K37" i="129"/>
  <c r="J37" i="129"/>
  <c r="M37" i="129"/>
  <c r="H37" i="129"/>
  <c r="G11" i="154" a="1"/>
  <c r="J11" i="154" a="1"/>
  <c r="J11" i="165" a="1"/>
  <c r="D8" i="158" a="1"/>
  <c r="D8" i="154" a="1"/>
  <c r="I11" i="158" a="1"/>
  <c r="K11" i="154" a="1"/>
  <c r="M11" i="158" a="1"/>
  <c r="D11" i="158" a="1"/>
  <c r="J11" i="158" a="1"/>
  <c r="G11" i="158" a="1"/>
  <c r="F11" i="154" a="1"/>
  <c r="F11" i="158" a="1"/>
  <c r="AK15" i="131" l="1"/>
  <c r="AT15" i="131" s="1"/>
  <c r="Y46" i="130"/>
  <c r="AR24" i="130"/>
  <c r="AK16" i="131"/>
  <c r="AT16" i="131" s="1"/>
  <c r="AP26" i="129"/>
  <c r="J11" i="165"/>
  <c r="AO22" i="138"/>
  <c r="AL14" i="131"/>
  <c r="AU14" i="131" s="1"/>
  <c r="AO26" i="129"/>
  <c r="AP22" i="138"/>
  <c r="AN22" i="138"/>
  <c r="AN24" i="138" s="1"/>
  <c r="G11" i="154"/>
  <c r="J11" i="154"/>
  <c r="D8" i="158"/>
  <c r="D11" i="158"/>
  <c r="G11" i="158"/>
  <c r="K11" i="154"/>
  <c r="M11" i="158"/>
  <c r="I11" i="158"/>
  <c r="F11" i="154"/>
  <c r="J11" i="158"/>
  <c r="F11" i="158"/>
  <c r="D8" i="154"/>
  <c r="AU13" i="131"/>
  <c r="AM13" i="131"/>
  <c r="AM20" i="131"/>
  <c r="AO19" i="131"/>
  <c r="AX19" i="131" s="1"/>
  <c r="AL15" i="131"/>
  <c r="AU15" i="131" s="1"/>
  <c r="AT12" i="131"/>
  <c r="AM22" i="131"/>
  <c r="AV22" i="131" s="1"/>
  <c r="AL18" i="131"/>
  <c r="AM12" i="131"/>
  <c r="AV12" i="131" s="1"/>
  <c r="AT21" i="131"/>
  <c r="AL21" i="131"/>
  <c r="AU21" i="131" s="1"/>
  <c r="AS17" i="131"/>
  <c r="AL16" i="131"/>
  <c r="AK17" i="131"/>
  <c r="AT17" i="131" s="1"/>
  <c r="X37" i="130"/>
  <c r="AF37" i="130"/>
  <c r="W37" i="130"/>
  <c r="AH37" i="130"/>
  <c r="Z37" i="130"/>
  <c r="AG37" i="130"/>
  <c r="Y37" i="130"/>
  <c r="Y42" i="130"/>
  <c r="AC37" i="130"/>
  <c r="S37" i="130"/>
  <c r="X42" i="130"/>
  <c r="F50" i="129"/>
  <c r="R37" i="129"/>
  <c r="AE37" i="129" s="1"/>
  <c r="Q37" i="129"/>
  <c r="AD37" i="129" s="1"/>
  <c r="Y50" i="129"/>
  <c r="P37" i="129"/>
  <c r="K50" i="129"/>
  <c r="AA50" i="129"/>
  <c r="H50" i="129"/>
  <c r="AB50" i="129"/>
  <c r="I50" i="129"/>
  <c r="V37" i="129"/>
  <c r="Z42" i="129" s="1"/>
  <c r="U37" i="129"/>
  <c r="Y42" i="129" s="1"/>
  <c r="Z50" i="129"/>
  <c r="T37" i="129"/>
  <c r="X42" i="129" s="1"/>
  <c r="G50" i="129"/>
  <c r="AC50" i="129"/>
  <c r="J50" i="129"/>
  <c r="G8" i="165" a="1"/>
  <c r="D8" i="165" a="1"/>
  <c r="K11" i="158" a="1"/>
  <c r="F8" i="158" a="1"/>
  <c r="B307" i="36" a="1"/>
  <c r="C307" i="36" a="1"/>
  <c r="F8" i="154" a="1"/>
  <c r="L11" i="154" a="1"/>
  <c r="M8" i="158" a="1"/>
  <c r="J8" i="158" a="1"/>
  <c r="D11" i="154" a="1"/>
  <c r="G8" i="154" a="1"/>
  <c r="I8" i="158" a="1"/>
  <c r="L11" i="158" a="1"/>
  <c r="M11" i="154" a="1"/>
  <c r="H8" i="154" a="1"/>
  <c r="I8" i="154" a="1"/>
  <c r="K8" i="154" a="1"/>
  <c r="G8" i="158" a="1"/>
  <c r="J8" i="154" a="1"/>
  <c r="H8" i="158" a="1"/>
  <c r="D8" i="165" l="1"/>
  <c r="G8" i="165"/>
  <c r="D11" i="154"/>
  <c r="AI19" i="131"/>
  <c r="AO26" i="138"/>
  <c r="AO28" i="138"/>
  <c r="AM14" i="131"/>
  <c r="AV14" i="131" s="1"/>
  <c r="AP28" i="138"/>
  <c r="AP26" i="138"/>
  <c r="AA42" i="130"/>
  <c r="AO14" i="131"/>
  <c r="AX14" i="131" s="1"/>
  <c r="J8" i="158"/>
  <c r="J8" i="154"/>
  <c r="H8" i="158"/>
  <c r="F8" i="158"/>
  <c r="B307" i="36"/>
  <c r="L11" i="154"/>
  <c r="K11" i="158"/>
  <c r="C307" i="36"/>
  <c r="L11" i="158"/>
  <c r="M11" i="154"/>
  <c r="I8" i="154"/>
  <c r="K8" i="154"/>
  <c r="M8" i="158"/>
  <c r="H8" i="154"/>
  <c r="G8" i="158"/>
  <c r="F8" i="154"/>
  <c r="G8" i="154"/>
  <c r="I8" i="158"/>
  <c r="AV13" i="131"/>
  <c r="AO13" i="131"/>
  <c r="AX13" i="131" s="1"/>
  <c r="AA42" i="129"/>
  <c r="AA37" i="130"/>
  <c r="AO12" i="131"/>
  <c r="AX12" i="131" s="1"/>
  <c r="AV20" i="131"/>
  <c r="AO20" i="131"/>
  <c r="AM21" i="131"/>
  <c r="AV21" i="131" s="1"/>
  <c r="AU18" i="131"/>
  <c r="AM18" i="131"/>
  <c r="AV18" i="131" s="1"/>
  <c r="AO22" i="131"/>
  <c r="AP19" i="131"/>
  <c r="AY19" i="131" s="1"/>
  <c r="AR19" i="131"/>
  <c r="AO18" i="131"/>
  <c r="AX18" i="131" s="1"/>
  <c r="AU16" i="131"/>
  <c r="AM15" i="131"/>
  <c r="AM16" i="131"/>
  <c r="AL17" i="131"/>
  <c r="AU17" i="131" s="1"/>
  <c r="Y37" i="129"/>
  <c r="AG37" i="129"/>
  <c r="AC37" i="129"/>
  <c r="S37" i="129"/>
  <c r="Z37" i="129"/>
  <c r="AH37" i="129"/>
  <c r="AF37" i="129"/>
  <c r="W37" i="129"/>
  <c r="X37" i="129"/>
  <c r="D23" i="165" a="1"/>
  <c r="E23" i="165" a="1"/>
  <c r="H23" i="165" a="1"/>
  <c r="G23" i="165" a="1"/>
  <c r="C301" i="36" a="1"/>
  <c r="M8" i="154" a="1"/>
  <c r="L8" i="154" a="1"/>
  <c r="J303" i="36" a="1"/>
  <c r="L8" i="158" a="1"/>
  <c r="K8" i="158" a="1"/>
  <c r="J308" i="36" a="1"/>
  <c r="B301" i="36" a="1"/>
  <c r="AA37" i="129" l="1"/>
  <c r="G23" i="165"/>
  <c r="H23" i="165"/>
  <c r="E23" i="165"/>
  <c r="D23" i="165"/>
  <c r="J308" i="36"/>
  <c r="AP28" i="129"/>
  <c r="AO28" i="129"/>
  <c r="AI14" i="131"/>
  <c r="AR14" i="131" s="1"/>
  <c r="C301" i="36"/>
  <c r="M8" i="154"/>
  <c r="L8" i="158"/>
  <c r="B301" i="36"/>
  <c r="L8" i="154"/>
  <c r="K8" i="158"/>
  <c r="J303" i="36"/>
  <c r="AI13" i="131"/>
  <c r="AX20" i="131"/>
  <c r="AI20" i="131"/>
  <c r="AO21" i="131"/>
  <c r="AX21" i="131" s="1"/>
  <c r="AI12" i="131"/>
  <c r="AP12" i="131" s="1"/>
  <c r="AY12" i="131" s="1"/>
  <c r="AP14" i="131"/>
  <c r="AY14" i="131" s="1"/>
  <c r="AX22" i="131"/>
  <c r="AI22" i="131"/>
  <c r="AV16" i="131"/>
  <c r="AO16" i="131"/>
  <c r="AV15" i="131"/>
  <c r="AO15" i="131"/>
  <c r="AX15" i="131" s="1"/>
  <c r="AM17" i="131"/>
  <c r="AI18" i="131"/>
  <c r="G69" i="126"/>
  <c r="F69" i="126"/>
  <c r="F82" i="126" s="1"/>
  <c r="E69" i="126"/>
  <c r="D69" i="126"/>
  <c r="C69" i="126"/>
  <c r="C68" i="126"/>
  <c r="C81" i="126" s="1"/>
  <c r="C67" i="126"/>
  <c r="C80" i="126" s="1"/>
  <c r="C66" i="126"/>
  <c r="C79" i="126" s="1"/>
  <c r="C65" i="126"/>
  <c r="W50" i="126"/>
  <c r="D50" i="126"/>
  <c r="W49" i="126"/>
  <c r="D49" i="126"/>
  <c r="W48" i="126"/>
  <c r="D48" i="126"/>
  <c r="W47" i="126"/>
  <c r="D47" i="126"/>
  <c r="W46" i="126"/>
  <c r="D46" i="126"/>
  <c r="E37" i="126"/>
  <c r="C37" i="126"/>
  <c r="V50" i="126" s="1"/>
  <c r="E36" i="126"/>
  <c r="C36" i="126"/>
  <c r="V49" i="126" s="1"/>
  <c r="E35" i="126"/>
  <c r="C35" i="126"/>
  <c r="V48" i="126" s="1"/>
  <c r="E34" i="126"/>
  <c r="C34" i="126"/>
  <c r="V47" i="126" s="1"/>
  <c r="E33" i="126"/>
  <c r="C33" i="126"/>
  <c r="U22" i="126"/>
  <c r="U21" i="126"/>
  <c r="U20" i="126"/>
  <c r="U19" i="126"/>
  <c r="U18" i="126"/>
  <c r="U17" i="126"/>
  <c r="U16" i="126"/>
  <c r="U15" i="126"/>
  <c r="U14" i="126"/>
  <c r="U13" i="126"/>
  <c r="U12" i="126"/>
  <c r="H8" i="165" a="1"/>
  <c r="E8" i="165" a="1"/>
  <c r="O17" i="154" a="1"/>
  <c r="I308" i="36" a="1"/>
  <c r="U17" i="154" a="1"/>
  <c r="R17" i="154" a="1"/>
  <c r="T17" i="154" a="1"/>
  <c r="S17" i="154" a="1"/>
  <c r="Q17" i="154" a="1"/>
  <c r="I303" i="36" a="1"/>
  <c r="AI15" i="131" l="1"/>
  <c r="E8" i="165"/>
  <c r="H8" i="165"/>
  <c r="I308" i="36"/>
  <c r="G308" i="36" s="1"/>
  <c r="K308" i="36" s="1"/>
  <c r="AQ18" i="126"/>
  <c r="AR18" i="126" s="1"/>
  <c r="H24" i="126"/>
  <c r="AR23" i="126"/>
  <c r="AQ15" i="126"/>
  <c r="AR15" i="126" s="1"/>
  <c r="AQ14" i="126"/>
  <c r="AR14" i="126" s="1"/>
  <c r="AQ12" i="126"/>
  <c r="AI21" i="131"/>
  <c r="AR21" i="131" s="1"/>
  <c r="AQ16" i="126"/>
  <c r="AR16" i="126" s="1"/>
  <c r="AR21" i="126"/>
  <c r="AQ21" i="126"/>
  <c r="AQ13" i="126"/>
  <c r="AR13" i="126" s="1"/>
  <c r="AR12" i="131"/>
  <c r="AQ20" i="126"/>
  <c r="AR20" i="126"/>
  <c r="AQ17" i="126"/>
  <c r="AR17" i="126" s="1"/>
  <c r="AQ19" i="126"/>
  <c r="AR19" i="126"/>
  <c r="C50" i="126"/>
  <c r="Q17" i="154"/>
  <c r="R17" i="154"/>
  <c r="S17" i="154"/>
  <c r="T17" i="154"/>
  <c r="O17" i="154"/>
  <c r="U17" i="154"/>
  <c r="I303" i="36"/>
  <c r="G303" i="36" s="1"/>
  <c r="H303" i="36" s="1"/>
  <c r="V46" i="126"/>
  <c r="C82" i="126"/>
  <c r="G33" i="126"/>
  <c r="O33" i="126" s="1"/>
  <c r="G35" i="126"/>
  <c r="H35" i="126" s="1"/>
  <c r="G37" i="126"/>
  <c r="I37" i="126" s="1"/>
  <c r="D82" i="126"/>
  <c r="E82" i="126"/>
  <c r="AR20" i="131"/>
  <c r="AP20" i="131"/>
  <c r="AY20" i="131" s="1"/>
  <c r="C48" i="126"/>
  <c r="C78" i="126"/>
  <c r="G82" i="126"/>
  <c r="AP13" i="131"/>
  <c r="AY13" i="131" s="1"/>
  <c r="AR13" i="131"/>
  <c r="G34" i="126"/>
  <c r="H34" i="126" s="1"/>
  <c r="G36" i="126"/>
  <c r="H36" i="126" s="1"/>
  <c r="AR18" i="131"/>
  <c r="AP18" i="131"/>
  <c r="AY18" i="131" s="1"/>
  <c r="AR15" i="131"/>
  <c r="AP15" i="131"/>
  <c r="AY15" i="131" s="1"/>
  <c r="AX16" i="131"/>
  <c r="AI16" i="131"/>
  <c r="AV17" i="131"/>
  <c r="AO17" i="131"/>
  <c r="AR22" i="131"/>
  <c r="AP22" i="131"/>
  <c r="AY22" i="131" s="1"/>
  <c r="C47" i="126"/>
  <c r="C49" i="126"/>
  <c r="C46" i="126"/>
  <c r="H308" i="36" l="1"/>
  <c r="AP21" i="131"/>
  <c r="AY21" i="131" s="1"/>
  <c r="AR12" i="126"/>
  <c r="AQ22" i="126"/>
  <c r="K303" i="36"/>
  <c r="M37" i="126"/>
  <c r="K50" i="126" s="1"/>
  <c r="O37" i="126"/>
  <c r="L37" i="126"/>
  <c r="J37" i="126"/>
  <c r="T37" i="126" s="1"/>
  <c r="H37" i="126"/>
  <c r="K37" i="126"/>
  <c r="H33" i="126"/>
  <c r="AP16" i="131"/>
  <c r="AY16" i="131" s="1"/>
  <c r="AR16" i="131"/>
  <c r="AX17" i="131"/>
  <c r="AI17" i="131"/>
  <c r="AB50" i="126"/>
  <c r="I50" i="126"/>
  <c r="V37" i="126"/>
  <c r="U37" i="126"/>
  <c r="Z50" i="126"/>
  <c r="G50" i="126"/>
  <c r="K17" i="154" a="1"/>
  <c r="G17" i="154" a="1"/>
  <c r="M17" i="158" a="1"/>
  <c r="I17" i="154" a="1"/>
  <c r="G17" i="158" a="1"/>
  <c r="I17" i="158" a="1"/>
  <c r="AR22" i="126" l="1"/>
  <c r="AR24" i="126" s="1"/>
  <c r="I17" i="158"/>
  <c r="I17" i="154"/>
  <c r="G17" i="158"/>
  <c r="G17" i="154"/>
  <c r="K17" i="154"/>
  <c r="M17" i="158"/>
  <c r="F46" i="126"/>
  <c r="Y46" i="126"/>
  <c r="P37" i="126"/>
  <c r="R37" i="126"/>
  <c r="AE37" i="126" s="1"/>
  <c r="F50" i="126"/>
  <c r="Y50" i="126"/>
  <c r="Q37" i="126"/>
  <c r="AD37" i="126" s="1"/>
  <c r="AA50" i="126"/>
  <c r="H50" i="126"/>
  <c r="AC50" i="126"/>
  <c r="J50" i="126"/>
  <c r="AP17" i="131"/>
  <c r="AY17" i="131" s="1"/>
  <c r="AR17" i="131"/>
  <c r="X37" i="126"/>
  <c r="AF37" i="126"/>
  <c r="W37" i="126"/>
  <c r="X42" i="126"/>
  <c r="AG37" i="126"/>
  <c r="Y42" i="126"/>
  <c r="AH37" i="126"/>
  <c r="Z42" i="126"/>
  <c r="J17" i="158" a="1"/>
  <c r="H17" i="158" a="1"/>
  <c r="D17" i="158" a="1"/>
  <c r="L17" i="154" a="1"/>
  <c r="F17" i="154" a="1"/>
  <c r="B313" i="36" a="1"/>
  <c r="D17" i="154" a="1"/>
  <c r="H17" i="154" a="1"/>
  <c r="F17" i="158" a="1"/>
  <c r="K17" i="158" a="1"/>
  <c r="J17" i="154" a="1"/>
  <c r="Z37" i="126" l="1"/>
  <c r="AR25" i="126"/>
  <c r="J17" i="154"/>
  <c r="D17" i="154"/>
  <c r="B313" i="36"/>
  <c r="K17" i="158"/>
  <c r="L17" i="154"/>
  <c r="H17" i="158"/>
  <c r="D17" i="158"/>
  <c r="F17" i="154"/>
  <c r="F17" i="158"/>
  <c r="H17" i="154"/>
  <c r="J17" i="158"/>
  <c r="Y37" i="126"/>
  <c r="AA37" i="126" s="1"/>
  <c r="AC37" i="126"/>
  <c r="S37" i="126"/>
  <c r="AA42" i="126"/>
  <c r="M17" i="154" a="1"/>
  <c r="L17" i="158" a="1"/>
  <c r="C313" i="36" a="1"/>
  <c r="J318" i="36" a="1"/>
  <c r="J17" i="165" a="1"/>
  <c r="J17" i="165" l="1"/>
  <c r="J318" i="36"/>
  <c r="C313" i="36"/>
  <c r="M17" i="154"/>
  <c r="L17" i="158"/>
  <c r="G69" i="125"/>
  <c r="F69" i="125"/>
  <c r="E69" i="125"/>
  <c r="D69" i="125"/>
  <c r="C69" i="125"/>
  <c r="C68" i="125"/>
  <c r="C81" i="125" s="1"/>
  <c r="C67" i="125"/>
  <c r="C80" i="125" s="1"/>
  <c r="C66" i="125"/>
  <c r="C79" i="125" s="1"/>
  <c r="C65" i="125"/>
  <c r="W50" i="125"/>
  <c r="D50" i="125"/>
  <c r="W49" i="125"/>
  <c r="D49" i="125"/>
  <c r="W48" i="125"/>
  <c r="D48" i="125"/>
  <c r="W47" i="125"/>
  <c r="D47" i="125"/>
  <c r="W46" i="125"/>
  <c r="D46" i="125"/>
  <c r="E37" i="125"/>
  <c r="C37" i="125"/>
  <c r="V50" i="125" s="1"/>
  <c r="E36" i="125"/>
  <c r="C36" i="125"/>
  <c r="V49" i="125" s="1"/>
  <c r="E35" i="125"/>
  <c r="C35" i="125"/>
  <c r="C48" i="125" s="1"/>
  <c r="E34" i="125"/>
  <c r="C34" i="125"/>
  <c r="V47" i="125" s="1"/>
  <c r="E33" i="125"/>
  <c r="C33" i="125"/>
  <c r="V46" i="125" s="1"/>
  <c r="U22" i="125"/>
  <c r="U21" i="125"/>
  <c r="U20" i="125"/>
  <c r="U19" i="125"/>
  <c r="U18" i="125"/>
  <c r="U17" i="125"/>
  <c r="U16" i="125"/>
  <c r="U15" i="125"/>
  <c r="U14" i="125"/>
  <c r="U13" i="125"/>
  <c r="U12" i="125"/>
  <c r="G239" i="36" a="1"/>
  <c r="G246" i="36" a="1"/>
  <c r="G265" i="36" a="1"/>
  <c r="C228" i="36" a="1"/>
  <c r="B264" i="36" a="1"/>
  <c r="J226" i="36" a="1"/>
  <c r="J247" i="36" a="1"/>
  <c r="G233" i="36" a="1"/>
  <c r="C272" i="36" a="1"/>
  <c r="G275" i="36" a="1"/>
  <c r="J279" i="36" a="1"/>
  <c r="J267" i="36" a="1"/>
  <c r="C222" i="36" a="1"/>
  <c r="C271" i="36" a="1"/>
  <c r="C263" i="36" a="1"/>
  <c r="G230" i="36" a="1"/>
  <c r="C258" i="36" a="1"/>
  <c r="G231" i="36" a="1"/>
  <c r="B221" i="36" a="1"/>
  <c r="B268" i="36" a="1"/>
  <c r="B259" i="36" a="1"/>
  <c r="G232" i="36" a="1"/>
  <c r="G221" i="36" a="1"/>
  <c r="C243" i="36" a="1"/>
  <c r="G262" i="36" a="1"/>
  <c r="C248" i="36" a="1"/>
  <c r="B226" i="36" a="1"/>
  <c r="C249" i="36" a="1"/>
  <c r="B222" i="36" a="1"/>
  <c r="Q22" i="154" a="1"/>
  <c r="J281" i="36" a="1"/>
  <c r="B224" i="36" a="1"/>
  <c r="B271" i="36" a="1"/>
  <c r="J275" i="36" a="1"/>
  <c r="G227" i="36" a="1"/>
  <c r="B229" i="36" a="1"/>
  <c r="C274" i="36" a="1"/>
  <c r="C281" i="36" a="1"/>
  <c r="C268" i="36" a="1"/>
  <c r="B248" i="36" a="1"/>
  <c r="G228" i="36" a="1"/>
  <c r="B260" i="36" a="1"/>
  <c r="B277" i="36" a="1"/>
  <c r="J242" i="36" a="1"/>
  <c r="B262" i="36" a="1"/>
  <c r="C238" i="36" a="1"/>
  <c r="C227" i="36" a="1"/>
  <c r="J262" i="36" a="1"/>
  <c r="S22" i="154" a="1"/>
  <c r="B228" i="36" a="1"/>
  <c r="J285" i="36" a="1"/>
  <c r="C245" i="36" a="1"/>
  <c r="C261" i="36" a="1"/>
  <c r="C225" i="36" a="1"/>
  <c r="C279" i="36" a="1"/>
  <c r="T22" i="154" a="1"/>
  <c r="C232" i="36" a="1"/>
  <c r="B281" i="36" a="1"/>
  <c r="C230" i="36" a="1"/>
  <c r="J238" i="36" a="1"/>
  <c r="B280" i="36" a="1"/>
  <c r="G226" i="36" a="1"/>
  <c r="C223" i="36" a="1"/>
  <c r="B249" i="36" a="1"/>
  <c r="J229" i="36" a="1"/>
  <c r="G244" i="36" a="1"/>
  <c r="I318" i="36" a="1"/>
  <c r="G263" i="36" a="1"/>
  <c r="B258" i="36" a="1"/>
  <c r="B241" i="36" a="1"/>
  <c r="G284" i="36" a="1"/>
  <c r="C265" i="36" a="1"/>
  <c r="G225" i="36" a="1"/>
  <c r="J224" i="36" a="1"/>
  <c r="J225" i="36" a="1"/>
  <c r="J233" i="36" a="1"/>
  <c r="J266" i="36" a="1"/>
  <c r="J274" i="36" a="1"/>
  <c r="B266" i="36" a="1"/>
  <c r="G279" i="36" a="1"/>
  <c r="J227" i="36" a="1"/>
  <c r="C259" i="36" a="1"/>
  <c r="B227" i="36" a="1"/>
  <c r="G249" i="36" a="1"/>
  <c r="G260" i="36" a="1"/>
  <c r="B257" i="36" a="1"/>
  <c r="J245" i="36" a="1"/>
  <c r="B236" i="36" a="1"/>
  <c r="J278" i="36" a="1"/>
  <c r="G283" i="36" a="1"/>
  <c r="C221" i="36" a="1"/>
  <c r="C283" i="36" a="1"/>
  <c r="G281" i="36" a="1"/>
  <c r="B285" i="36" a="1"/>
  <c r="B223" i="36" a="1"/>
  <c r="J230" i="36" a="1"/>
  <c r="G280" i="36" a="1"/>
  <c r="B238" i="36" a="1"/>
  <c r="J260" i="36" a="1"/>
  <c r="G264" i="36" a="1"/>
  <c r="B230" i="36" a="1"/>
  <c r="C276" i="36" a="1"/>
  <c r="C264" i="36" a="1"/>
  <c r="B239" i="36" a="1"/>
  <c r="B225" i="36" a="1"/>
  <c r="C224" i="36" a="1"/>
  <c r="J284" i="36" a="1"/>
  <c r="J221" i="36" a="1"/>
  <c r="C229" i="36" a="1"/>
  <c r="G224" i="36" a="1"/>
  <c r="C257" i="36" a="1"/>
  <c r="C262" i="36" a="1"/>
  <c r="J280" i="36" a="1"/>
  <c r="B265" i="36" a="1"/>
  <c r="C239" i="36" a="1"/>
  <c r="G229" i="36" a="1"/>
  <c r="G248" i="36" a="1"/>
  <c r="J283" i="36" a="1"/>
  <c r="B274" i="36" a="1"/>
  <c r="G266" i="36" a="1"/>
  <c r="U22" i="154" a="1"/>
  <c r="B232" i="36" a="1"/>
  <c r="C246" i="36" a="1"/>
  <c r="G261" i="36" a="1"/>
  <c r="J261" i="36" a="1"/>
  <c r="G282" i="36" a="1"/>
  <c r="J243" i="36" a="1"/>
  <c r="C266" i="36" a="1"/>
  <c r="J264" i="36" a="1"/>
  <c r="B272" i="36" a="1"/>
  <c r="G278" i="36" a="1"/>
  <c r="B246" i="36" a="1"/>
  <c r="G247" i="36" a="1"/>
  <c r="B245" i="36" a="1"/>
  <c r="G243" i="36" a="1"/>
  <c r="B263" i="36" a="1"/>
  <c r="J231" i="36" a="1"/>
  <c r="C226" i="36" a="1"/>
  <c r="B283" i="36" a="1"/>
  <c r="B279" i="36" a="1"/>
  <c r="J232" i="36" a="1"/>
  <c r="B261" i="36" a="1"/>
  <c r="J228" i="36" a="1"/>
  <c r="G268" i="36" a="1"/>
  <c r="B233" i="36" a="1"/>
  <c r="G242" i="36" a="1"/>
  <c r="C260" i="36" a="1"/>
  <c r="C285" i="36" a="1"/>
  <c r="C241" i="36" a="1"/>
  <c r="J248" i="36" a="1"/>
  <c r="R22" i="154" a="1"/>
  <c r="J282" i="36" a="1"/>
  <c r="J244" i="36" a="1"/>
  <c r="O22" i="154" a="1"/>
  <c r="G245" i="36" a="1"/>
  <c r="B276" i="36" a="1"/>
  <c r="C280" i="36" a="1"/>
  <c r="J246" i="36" a="1"/>
  <c r="G238" i="36" a="1"/>
  <c r="C277" i="36" a="1"/>
  <c r="G285" i="36" a="1"/>
  <c r="J273" i="36" a="1"/>
  <c r="G274" i="36" a="1"/>
  <c r="J249" i="36" a="1"/>
  <c r="J239" i="36" a="1"/>
  <c r="J257" i="36" a="1"/>
  <c r="G267" i="36" a="1"/>
  <c r="B243" i="36" a="1"/>
  <c r="J263" i="36" a="1"/>
  <c r="G273" i="36" a="1"/>
  <c r="J268" i="36" a="1"/>
  <c r="C236" i="36" a="1"/>
  <c r="C233" i="36" a="1"/>
  <c r="J265" i="36" a="1"/>
  <c r="G257" i="36" a="1"/>
  <c r="AQ16" i="125" l="1"/>
  <c r="AR16" i="125" s="1"/>
  <c r="AQ20" i="125"/>
  <c r="AR20" i="125"/>
  <c r="AQ18" i="125"/>
  <c r="AR18" i="125" s="1"/>
  <c r="AQ14" i="125"/>
  <c r="AR14" i="125" s="1"/>
  <c r="AQ15" i="125"/>
  <c r="AR15" i="125" s="1"/>
  <c r="AQ12" i="125"/>
  <c r="G33" i="125"/>
  <c r="O33" i="125" s="1"/>
  <c r="H24" i="125"/>
  <c r="AR23" i="125"/>
  <c r="AQ19" i="125"/>
  <c r="AR19" i="125"/>
  <c r="AQ17" i="125"/>
  <c r="AR17" i="125" s="1"/>
  <c r="AQ13" i="125"/>
  <c r="AR13" i="125" s="1"/>
  <c r="AR21" i="125"/>
  <c r="AQ21" i="125"/>
  <c r="O22" i="154"/>
  <c r="U22" i="154"/>
  <c r="Q22" i="154"/>
  <c r="R22" i="154"/>
  <c r="S22" i="154"/>
  <c r="T22" i="154"/>
  <c r="I318" i="36"/>
  <c r="G318" i="36" s="1"/>
  <c r="K318" i="36" s="1"/>
  <c r="C78" i="125"/>
  <c r="G82" i="125"/>
  <c r="C82" i="125"/>
  <c r="D82" i="125"/>
  <c r="E82" i="125"/>
  <c r="F82" i="125"/>
  <c r="J249" i="36"/>
  <c r="J230" i="36"/>
  <c r="J243" i="36"/>
  <c r="J245" i="36"/>
  <c r="J231" i="36"/>
  <c r="J238" i="36"/>
  <c r="J244" i="36"/>
  <c r="J233" i="36"/>
  <c r="J224" i="36"/>
  <c r="J226" i="36"/>
  <c r="J248" i="36"/>
  <c r="J239" i="36"/>
  <c r="J228" i="36"/>
  <c r="J247" i="36"/>
  <c r="J232" i="36"/>
  <c r="J227" i="36"/>
  <c r="J246" i="36"/>
  <c r="J242" i="36"/>
  <c r="J229" i="36"/>
  <c r="J225" i="36"/>
  <c r="J221" i="36"/>
  <c r="J267" i="36"/>
  <c r="J284" i="36"/>
  <c r="J266" i="36"/>
  <c r="J283" i="36"/>
  <c r="J265" i="36"/>
  <c r="J274" i="36"/>
  <c r="J275" i="36"/>
  <c r="J280" i="36"/>
  <c r="J260" i="36"/>
  <c r="J263" i="36"/>
  <c r="J264" i="36"/>
  <c r="J262" i="36"/>
  <c r="J285" i="36"/>
  <c r="J268" i="36"/>
  <c r="J282" i="36"/>
  <c r="J261" i="36"/>
  <c r="J281" i="36"/>
  <c r="J273" i="36"/>
  <c r="J279" i="36"/>
  <c r="J278" i="36"/>
  <c r="J257" i="36"/>
  <c r="G267" i="36"/>
  <c r="G263" i="36"/>
  <c r="G264" i="36"/>
  <c r="G262" i="36"/>
  <c r="G285" i="36"/>
  <c r="G284" i="36"/>
  <c r="G266" i="36"/>
  <c r="G283" i="36"/>
  <c r="G268" i="36"/>
  <c r="G265" i="36"/>
  <c r="G282" i="36"/>
  <c r="G274" i="36"/>
  <c r="G261" i="36"/>
  <c r="G281" i="36"/>
  <c r="G275" i="36"/>
  <c r="G280" i="36"/>
  <c r="G273" i="36"/>
  <c r="G279" i="36"/>
  <c r="G260" i="36"/>
  <c r="G278" i="36"/>
  <c r="G257" i="36"/>
  <c r="C283" i="36"/>
  <c r="C257" i="36"/>
  <c r="C260" i="36"/>
  <c r="C271" i="36"/>
  <c r="C266" i="36"/>
  <c r="C280" i="36"/>
  <c r="C277" i="36"/>
  <c r="C279" i="36"/>
  <c r="C264" i="36"/>
  <c r="C281" i="36"/>
  <c r="C276" i="36"/>
  <c r="C263" i="36"/>
  <c r="C285" i="36"/>
  <c r="C274" i="36"/>
  <c r="C262" i="36"/>
  <c r="C268" i="36"/>
  <c r="C261" i="36"/>
  <c r="C272" i="36"/>
  <c r="C259" i="36"/>
  <c r="C265" i="36"/>
  <c r="C258" i="36"/>
  <c r="B266" i="36"/>
  <c r="B280" i="36"/>
  <c r="B277" i="36"/>
  <c r="B279" i="36"/>
  <c r="B264" i="36"/>
  <c r="B281" i="36"/>
  <c r="B276" i="36"/>
  <c r="B263" i="36"/>
  <c r="B285" i="36"/>
  <c r="B274" i="36"/>
  <c r="B262" i="36"/>
  <c r="B268" i="36"/>
  <c r="B261" i="36"/>
  <c r="B283" i="36"/>
  <c r="B272" i="36"/>
  <c r="B260" i="36"/>
  <c r="B259" i="36"/>
  <c r="B265" i="36"/>
  <c r="B258" i="36"/>
  <c r="B271" i="36"/>
  <c r="B257" i="36"/>
  <c r="G229" i="36"/>
  <c r="G228" i="36"/>
  <c r="G247" i="36"/>
  <c r="G246" i="36"/>
  <c r="G239" i="36"/>
  <c r="G225" i="36"/>
  <c r="G230" i="36"/>
  <c r="G238" i="36"/>
  <c r="G245" i="36"/>
  <c r="G224" i="36"/>
  <c r="G231" i="36"/>
  <c r="G227" i="36"/>
  <c r="G249" i="36"/>
  <c r="G248" i="36"/>
  <c r="G232" i="36"/>
  <c r="G226" i="36"/>
  <c r="G244" i="36"/>
  <c r="G233" i="36"/>
  <c r="G243" i="36"/>
  <c r="G242" i="36"/>
  <c r="G221" i="36"/>
  <c r="C249" i="36"/>
  <c r="C230" i="36"/>
  <c r="C245" i="36"/>
  <c r="C238" i="36"/>
  <c r="C241" i="36"/>
  <c r="C228" i="36"/>
  <c r="C246" i="36"/>
  <c r="C243" i="36"/>
  <c r="C227" i="36"/>
  <c r="C239" i="36"/>
  <c r="C226" i="36"/>
  <c r="C233" i="36"/>
  <c r="C225" i="36"/>
  <c r="C248" i="36"/>
  <c r="C236" i="36"/>
  <c r="C224" i="36"/>
  <c r="C223" i="36"/>
  <c r="C229" i="36"/>
  <c r="C222" i="36"/>
  <c r="C232" i="36"/>
  <c r="C221" i="36"/>
  <c r="B238" i="36"/>
  <c r="B228" i="36"/>
  <c r="B246" i="36"/>
  <c r="B233" i="36"/>
  <c r="B230" i="36"/>
  <c r="B226" i="36"/>
  <c r="B224" i="36"/>
  <c r="B225" i="36"/>
  <c r="B236" i="36"/>
  <c r="B223" i="36"/>
  <c r="B245" i="36"/>
  <c r="B241" i="36"/>
  <c r="B243" i="36"/>
  <c r="B239" i="36"/>
  <c r="B229" i="36"/>
  <c r="B227" i="36"/>
  <c r="B249" i="36"/>
  <c r="B248" i="36"/>
  <c r="B222" i="36"/>
  <c r="B232" i="36"/>
  <c r="B221" i="36"/>
  <c r="V48" i="125"/>
  <c r="G34" i="125"/>
  <c r="H34" i="125" s="1"/>
  <c r="G36" i="125"/>
  <c r="H36" i="125" s="1"/>
  <c r="C47" i="125"/>
  <c r="C49" i="125"/>
  <c r="C46" i="125"/>
  <c r="G35" i="125"/>
  <c r="H35" i="125" s="1"/>
  <c r="G37" i="125"/>
  <c r="C50" i="125"/>
  <c r="AR12" i="125" l="1"/>
  <c r="AR22" i="125" s="1"/>
  <c r="AR24" i="125" s="1"/>
  <c r="AQ22" i="125"/>
  <c r="AR25" i="125" s="1"/>
  <c r="H33" i="125"/>
  <c r="H318" i="36"/>
  <c r="I262" i="36"/>
  <c r="H262" i="36"/>
  <c r="I260" i="36"/>
  <c r="H260" i="36"/>
  <c r="I275" i="36"/>
  <c r="H275" i="36"/>
  <c r="I265" i="36"/>
  <c r="H265" i="36"/>
  <c r="I264" i="36"/>
  <c r="H264" i="36"/>
  <c r="H284" i="36"/>
  <c r="I284" i="36"/>
  <c r="I266" i="36"/>
  <c r="H266" i="36"/>
  <c r="H282" i="36"/>
  <c r="I282" i="36"/>
  <c r="I268" i="36"/>
  <c r="H268" i="36"/>
  <c r="I280" i="36"/>
  <c r="H280" i="36"/>
  <c r="I267" i="36"/>
  <c r="H267" i="36"/>
  <c r="I283" i="36"/>
  <c r="H283" i="36"/>
  <c r="I278" i="36"/>
  <c r="H278" i="36"/>
  <c r="H281" i="36"/>
  <c r="I281" i="36"/>
  <c r="I257" i="36"/>
  <c r="H257" i="36"/>
  <c r="H263" i="36"/>
  <c r="I263" i="36"/>
  <c r="I274" i="36"/>
  <c r="H274" i="36"/>
  <c r="I285" i="36"/>
  <c r="H285" i="36"/>
  <c r="I279" i="36"/>
  <c r="H279" i="36"/>
  <c r="I261" i="36"/>
  <c r="H261" i="36"/>
  <c r="I273" i="36"/>
  <c r="H273" i="36"/>
  <c r="I245" i="36"/>
  <c r="H245" i="36"/>
  <c r="I239" i="36"/>
  <c r="H239" i="36"/>
  <c r="H247" i="36"/>
  <c r="I247" i="36"/>
  <c r="I238" i="36"/>
  <c r="H238" i="36"/>
  <c r="I224" i="36"/>
  <c r="H224" i="36"/>
  <c r="I227" i="36"/>
  <c r="H227" i="36"/>
  <c r="I226" i="36"/>
  <c r="H226" i="36"/>
  <c r="H248" i="36"/>
  <c r="I248" i="36"/>
  <c r="H249" i="36"/>
  <c r="I249" i="36"/>
  <c r="I229" i="36"/>
  <c r="H229" i="36"/>
  <c r="H246" i="36"/>
  <c r="I246" i="36"/>
  <c r="I242" i="36"/>
  <c r="H242" i="36"/>
  <c r="I244" i="36"/>
  <c r="H244" i="36"/>
  <c r="I231" i="36"/>
  <c r="H231" i="36"/>
  <c r="H232" i="36"/>
  <c r="I232" i="36"/>
  <c r="I233" i="36"/>
  <c r="H233" i="36"/>
  <c r="I230" i="36"/>
  <c r="H230" i="36"/>
  <c r="I228" i="36"/>
  <c r="H228" i="36"/>
  <c r="H225" i="36"/>
  <c r="I225" i="36"/>
  <c r="I221" i="36"/>
  <c r="H221" i="36"/>
  <c r="I243" i="36"/>
  <c r="H243" i="36"/>
  <c r="O37" i="125"/>
  <c r="M37" i="125"/>
  <c r="L37" i="125"/>
  <c r="K37" i="125"/>
  <c r="J37" i="125"/>
  <c r="I37" i="125"/>
  <c r="H37" i="125"/>
  <c r="J22" i="165" a="1"/>
  <c r="J22" i="165" l="1"/>
  <c r="F46" i="125"/>
  <c r="Y46" i="125"/>
  <c r="P37" i="125"/>
  <c r="Y50" i="125"/>
  <c r="F50" i="125"/>
  <c r="R37" i="125"/>
  <c r="Q37" i="125"/>
  <c r="AA50" i="125"/>
  <c r="H50" i="125"/>
  <c r="G50" i="125"/>
  <c r="V37" i="125"/>
  <c r="Z50" i="125"/>
  <c r="U37" i="125"/>
  <c r="T37" i="125"/>
  <c r="X42" i="125" s="1"/>
  <c r="AB50" i="125"/>
  <c r="I50" i="125"/>
  <c r="AC50" i="125"/>
  <c r="J50" i="125"/>
  <c r="K50" i="125"/>
  <c r="Y42" i="125"/>
  <c r="I22" i="154" a="1"/>
  <c r="I22" i="158" a="1"/>
  <c r="H22" i="154" a="1"/>
  <c r="D22" i="154" a="1"/>
  <c r="J241" i="36" a="1"/>
  <c r="K22" i="154" a="1"/>
  <c r="M22" i="158" a="1"/>
  <c r="J22" i="158" a="1"/>
  <c r="F22" i="154" a="1"/>
  <c r="F22" i="158" a="1"/>
  <c r="C242" i="36" a="1"/>
  <c r="B282" i="36" a="1"/>
  <c r="G22" i="154" a="1"/>
  <c r="C282" i="36" a="1"/>
  <c r="H22" i="158" a="1"/>
  <c r="G22" i="158" a="1"/>
  <c r="J22" i="154" a="1"/>
  <c r="B242" i="36" a="1"/>
  <c r="D22" i="158" a="1"/>
  <c r="D22" i="158" l="1"/>
  <c r="D22" i="154"/>
  <c r="G22" i="158"/>
  <c r="G22" i="154"/>
  <c r="J22" i="154"/>
  <c r="H22" i="158"/>
  <c r="H22" i="154"/>
  <c r="C242" i="36"/>
  <c r="J241" i="36"/>
  <c r="J22" i="158"/>
  <c r="C282" i="36"/>
  <c r="B282" i="36"/>
  <c r="I22" i="158"/>
  <c r="I22" i="154"/>
  <c r="B242" i="36"/>
  <c r="F22" i="158"/>
  <c r="F22" i="154"/>
  <c r="K22" i="154"/>
  <c r="M22" i="158"/>
  <c r="AD37" i="125"/>
  <c r="AE37" i="125"/>
  <c r="S37" i="125"/>
  <c r="AC37" i="125"/>
  <c r="Z37" i="125"/>
  <c r="AH37" i="125"/>
  <c r="X37" i="125"/>
  <c r="AF37" i="125"/>
  <c r="W37" i="125"/>
  <c r="Z42" i="125"/>
  <c r="AG37" i="125"/>
  <c r="Y37" i="125"/>
  <c r="B314" i="36" a="1"/>
  <c r="L22" i="154" a="1"/>
  <c r="G241" i="36" a="1"/>
  <c r="L22" i="158" a="1"/>
  <c r="J277" i="36" a="1"/>
  <c r="M22" i="154" a="1"/>
  <c r="C314" i="36" a="1"/>
  <c r="K22" i="158" a="1"/>
  <c r="G277" i="36" a="1"/>
  <c r="AA37" i="125" l="1"/>
  <c r="G241" i="36"/>
  <c r="G277" i="36"/>
  <c r="C314" i="36"/>
  <c r="L22" i="158"/>
  <c r="M22" i="154"/>
  <c r="B314" i="36"/>
  <c r="K22" i="158"/>
  <c r="L22" i="154"/>
  <c r="J277" i="36"/>
  <c r="AA42" i="125"/>
  <c r="F37" i="124"/>
  <c r="D37" i="124"/>
  <c r="F36" i="124"/>
  <c r="D49" i="124" s="1"/>
  <c r="D36" i="124"/>
  <c r="E36" i="124" s="1"/>
  <c r="F35" i="124"/>
  <c r="D35" i="124"/>
  <c r="E35" i="124" s="1"/>
  <c r="F34" i="124"/>
  <c r="D34" i="124"/>
  <c r="F33" i="124"/>
  <c r="D46" i="124" s="1"/>
  <c r="D33" i="124"/>
  <c r="AK22" i="124"/>
  <c r="T22" i="124"/>
  <c r="S22" i="124"/>
  <c r="R22" i="124"/>
  <c r="Q22" i="124"/>
  <c r="P22" i="124"/>
  <c r="K22" i="124"/>
  <c r="J22" i="124"/>
  <c r="I22" i="124"/>
  <c r="H22" i="124"/>
  <c r="G22" i="124"/>
  <c r="C37" i="124" s="1"/>
  <c r="F22" i="124"/>
  <c r="E22" i="124"/>
  <c r="D22" i="124"/>
  <c r="C34" i="124" s="1"/>
  <c r="C22" i="124"/>
  <c r="AK21" i="124"/>
  <c r="T21" i="124"/>
  <c r="S21" i="124"/>
  <c r="R21" i="124"/>
  <c r="Q21" i="124"/>
  <c r="P21" i="124"/>
  <c r="K21" i="124"/>
  <c r="J21" i="124"/>
  <c r="I21" i="124"/>
  <c r="H21" i="124"/>
  <c r="G21" i="124"/>
  <c r="F21" i="124"/>
  <c r="E21" i="124"/>
  <c r="D21" i="124"/>
  <c r="C21" i="124"/>
  <c r="AK20" i="124"/>
  <c r="T20" i="124"/>
  <c r="S20" i="124"/>
  <c r="R20" i="124"/>
  <c r="Q20" i="124"/>
  <c r="P20" i="124"/>
  <c r="K20" i="124"/>
  <c r="J20" i="124"/>
  <c r="I20" i="124"/>
  <c r="H20" i="124"/>
  <c r="G20" i="124"/>
  <c r="F20" i="124"/>
  <c r="E20" i="124"/>
  <c r="D20" i="124"/>
  <c r="C20" i="124"/>
  <c r="AK19" i="124"/>
  <c r="T19" i="124"/>
  <c r="S19" i="124"/>
  <c r="R19" i="124"/>
  <c r="Q19" i="124"/>
  <c r="P19" i="124"/>
  <c r="K19" i="124"/>
  <c r="J19" i="124"/>
  <c r="I19" i="124"/>
  <c r="H19" i="124"/>
  <c r="G19" i="124"/>
  <c r="F19" i="124"/>
  <c r="E19" i="124"/>
  <c r="D19" i="124"/>
  <c r="C19" i="124"/>
  <c r="AK18" i="124"/>
  <c r="T18" i="124"/>
  <c r="S18" i="124"/>
  <c r="R18" i="124"/>
  <c r="Q18" i="124"/>
  <c r="P18" i="124"/>
  <c r="K18" i="124"/>
  <c r="J18" i="124"/>
  <c r="I18" i="124"/>
  <c r="H18" i="124"/>
  <c r="G18" i="124"/>
  <c r="F18" i="124"/>
  <c r="E18" i="124"/>
  <c r="D18" i="124"/>
  <c r="C18" i="124"/>
  <c r="AK17" i="124"/>
  <c r="T17" i="124"/>
  <c r="S17" i="124"/>
  <c r="R17" i="124"/>
  <c r="Q17" i="124"/>
  <c r="P17" i="124"/>
  <c r="K17" i="124"/>
  <c r="J17" i="124"/>
  <c r="I17" i="124"/>
  <c r="H17" i="124"/>
  <c r="G17" i="124"/>
  <c r="F17" i="124"/>
  <c r="E17" i="124"/>
  <c r="D17" i="124"/>
  <c r="C17" i="124"/>
  <c r="AK16" i="124"/>
  <c r="T16" i="124"/>
  <c r="S16" i="124"/>
  <c r="R16" i="124"/>
  <c r="Q16" i="124"/>
  <c r="P16" i="124"/>
  <c r="K16" i="124"/>
  <c r="J16" i="124"/>
  <c r="I16" i="124"/>
  <c r="H16" i="124"/>
  <c r="G16" i="124"/>
  <c r="F16" i="124"/>
  <c r="E16" i="124"/>
  <c r="D16" i="124"/>
  <c r="C16" i="124"/>
  <c r="AK15" i="124"/>
  <c r="T15" i="124"/>
  <c r="S15" i="124"/>
  <c r="R15" i="124"/>
  <c r="Q15" i="124"/>
  <c r="P15" i="124"/>
  <c r="AS15" i="124" s="1"/>
  <c r="K15" i="124"/>
  <c r="J15" i="124"/>
  <c r="I15" i="124"/>
  <c r="H15" i="124"/>
  <c r="G15" i="124"/>
  <c r="F15" i="124"/>
  <c r="E15" i="124"/>
  <c r="D15" i="124"/>
  <c r="C15" i="124"/>
  <c r="AK14" i="124"/>
  <c r="T14" i="124"/>
  <c r="S14" i="124"/>
  <c r="R14" i="124"/>
  <c r="Q14" i="124"/>
  <c r="P14" i="124"/>
  <c r="K14" i="124"/>
  <c r="J14" i="124"/>
  <c r="I14" i="124"/>
  <c r="H14" i="124"/>
  <c r="G14" i="124"/>
  <c r="F14" i="124"/>
  <c r="E14" i="124"/>
  <c r="D14" i="124"/>
  <c r="C14" i="124"/>
  <c r="AK13" i="124"/>
  <c r="T13" i="124"/>
  <c r="S13" i="124"/>
  <c r="R13" i="124"/>
  <c r="Q13" i="124"/>
  <c r="P13" i="124"/>
  <c r="K13" i="124"/>
  <c r="J13" i="124"/>
  <c r="I13" i="124"/>
  <c r="H13" i="124"/>
  <c r="G13" i="124"/>
  <c r="F13" i="124"/>
  <c r="E13" i="124"/>
  <c r="D13" i="124"/>
  <c r="C13" i="124"/>
  <c r="AK12" i="124"/>
  <c r="T12" i="124"/>
  <c r="S12" i="124"/>
  <c r="R12" i="124"/>
  <c r="Q12" i="124"/>
  <c r="P12" i="124"/>
  <c r="K12" i="124"/>
  <c r="J12" i="124"/>
  <c r="I12" i="124"/>
  <c r="H12" i="124"/>
  <c r="G12" i="124"/>
  <c r="F12" i="124"/>
  <c r="E12" i="124"/>
  <c r="D12" i="124"/>
  <c r="C12" i="124"/>
  <c r="B208" i="36" a="1"/>
  <c r="J209" i="36" a="1"/>
  <c r="J193" i="36" a="1"/>
  <c r="G185" i="36" a="1"/>
  <c r="C185" i="36" a="1"/>
  <c r="B189" i="36" a="1"/>
  <c r="B212" i="36" a="1"/>
  <c r="B187" i="36" a="1"/>
  <c r="J189" i="36" a="1"/>
  <c r="G195" i="36" a="1"/>
  <c r="J213" i="36" a="1"/>
  <c r="G212" i="36" a="1"/>
  <c r="J187" i="36" a="1"/>
  <c r="G210" i="36" a="1"/>
  <c r="J202" i="36" a="1"/>
  <c r="C188" i="36" a="1"/>
  <c r="J185" i="36" a="1"/>
  <c r="G208" i="36" a="1"/>
  <c r="J210" i="36" a="1"/>
  <c r="C208" i="36" a="1"/>
  <c r="J211" i="36" a="1"/>
  <c r="G187" i="36" a="1"/>
  <c r="J199" i="36" a="1"/>
  <c r="C203" i="36" a="1"/>
  <c r="C199" i="36" a="1"/>
  <c r="G199" i="36" a="1"/>
  <c r="C207" i="36" a="1"/>
  <c r="J206" i="36" a="1"/>
  <c r="J208" i="36" a="1"/>
  <c r="C194" i="36" a="1"/>
  <c r="G207" i="36" a="1"/>
  <c r="B186" i="36" a="1"/>
  <c r="C186" i="36" a="1"/>
  <c r="C190" i="36" a="1"/>
  <c r="B191" i="36" a="1"/>
  <c r="G209" i="36" a="1"/>
  <c r="B199" i="36" a="1"/>
  <c r="C187" i="36" a="1"/>
  <c r="C211" i="36" a="1"/>
  <c r="C198" i="36" a="1"/>
  <c r="C212" i="36" a="1"/>
  <c r="C213" i="36" a="1"/>
  <c r="B188" i="36" a="1"/>
  <c r="G190" i="36" a="1"/>
  <c r="C192" i="36" a="1"/>
  <c r="G213" i="36" a="1"/>
  <c r="G200" i="36" a="1"/>
  <c r="J207" i="36" a="1"/>
  <c r="G191" i="36" a="1"/>
  <c r="B193" i="36" a="1"/>
  <c r="G201" i="36" a="1"/>
  <c r="J321" i="36" a="1"/>
  <c r="J194" i="36" a="1"/>
  <c r="B185" i="36" a="1"/>
  <c r="J200" i="36" a="1"/>
  <c r="B211" i="36" a="1"/>
  <c r="B195" i="36" a="1"/>
  <c r="B198" i="36" a="1"/>
  <c r="B194" i="36" a="1"/>
  <c r="B203" i="36" a="1"/>
  <c r="J212" i="36" a="1"/>
  <c r="J197" i="36" a="1"/>
  <c r="B213" i="36" a="1"/>
  <c r="C210" i="36" a="1"/>
  <c r="G193" i="36" a="1"/>
  <c r="G206" i="36" a="1"/>
  <c r="B190" i="36" a="1"/>
  <c r="B207" i="36" a="1"/>
  <c r="J190" i="36" a="1"/>
  <c r="G197" i="36" a="1"/>
  <c r="C191" i="36" a="1"/>
  <c r="J195" i="36" a="1"/>
  <c r="G194" i="36" a="1"/>
  <c r="J201" i="36" a="1"/>
  <c r="B210" i="36" a="1"/>
  <c r="C189" i="36" a="1"/>
  <c r="G211" i="36" a="1"/>
  <c r="C195" i="36" a="1"/>
  <c r="G202" i="36" a="1"/>
  <c r="C193" i="36" a="1"/>
  <c r="J191" i="36" a="1"/>
  <c r="J198" i="36" a="1"/>
  <c r="B192" i="36" a="1"/>
  <c r="W48" i="124" l="1"/>
  <c r="W47" i="124"/>
  <c r="AS17" i="124"/>
  <c r="AS14" i="124"/>
  <c r="AS18" i="124"/>
  <c r="AS13" i="124"/>
  <c r="AS12" i="124"/>
  <c r="AS16" i="124"/>
  <c r="AS20" i="124"/>
  <c r="C67" i="124"/>
  <c r="C80" i="124" s="1"/>
  <c r="D48" i="124"/>
  <c r="AS21" i="124"/>
  <c r="C68" i="124"/>
  <c r="C81" i="124" s="1"/>
  <c r="AS19" i="124"/>
  <c r="J321" i="36"/>
  <c r="E37" i="124"/>
  <c r="U16" i="124"/>
  <c r="AQ16" i="124" s="1"/>
  <c r="AR16" i="124" s="1"/>
  <c r="E34" i="124"/>
  <c r="W49" i="124"/>
  <c r="H277" i="36"/>
  <c r="I277" i="36"/>
  <c r="E33" i="124"/>
  <c r="D50" i="124"/>
  <c r="H241" i="36"/>
  <c r="I241" i="36"/>
  <c r="F69" i="124"/>
  <c r="C65" i="124"/>
  <c r="C33" i="124"/>
  <c r="G33" i="124" s="1"/>
  <c r="O33" i="124" s="1"/>
  <c r="G69" i="124"/>
  <c r="B185" i="36"/>
  <c r="G210" i="36"/>
  <c r="C198" i="36"/>
  <c r="J193" i="36"/>
  <c r="B192" i="36"/>
  <c r="B186" i="36"/>
  <c r="C211" i="36"/>
  <c r="C191" i="36"/>
  <c r="G208" i="36"/>
  <c r="G213" i="36"/>
  <c r="G193" i="36"/>
  <c r="J207" i="36"/>
  <c r="J206" i="36"/>
  <c r="G207" i="36"/>
  <c r="B193" i="36"/>
  <c r="G195" i="36"/>
  <c r="B188" i="36"/>
  <c r="B211" i="36"/>
  <c r="C208" i="36"/>
  <c r="C194" i="36"/>
  <c r="G185" i="36"/>
  <c r="G211" i="36"/>
  <c r="J210" i="36"/>
  <c r="J200" i="36"/>
  <c r="C212" i="36"/>
  <c r="J198" i="36"/>
  <c r="C203" i="36"/>
  <c r="J199" i="36"/>
  <c r="B203" i="36"/>
  <c r="B198" i="36"/>
  <c r="C199" i="36"/>
  <c r="C189" i="36"/>
  <c r="J191" i="36"/>
  <c r="J202" i="36"/>
  <c r="J197" i="36"/>
  <c r="B207" i="36"/>
  <c r="G197" i="36"/>
  <c r="B190" i="36"/>
  <c r="B210" i="36"/>
  <c r="B212" i="36"/>
  <c r="B191" i="36"/>
  <c r="C207" i="36"/>
  <c r="C195" i="36"/>
  <c r="C185" i="36"/>
  <c r="G201" i="36"/>
  <c r="G206" i="36"/>
  <c r="G202" i="36"/>
  <c r="J212" i="36"/>
  <c r="J187" i="36"/>
  <c r="J195" i="36"/>
  <c r="B195" i="36"/>
  <c r="B187" i="36"/>
  <c r="C210" i="36"/>
  <c r="G194" i="36"/>
  <c r="B208" i="36"/>
  <c r="B194" i="36"/>
  <c r="C193" i="36"/>
  <c r="C187" i="36"/>
  <c r="C190" i="36"/>
  <c r="G191" i="36"/>
  <c r="G190" i="36"/>
  <c r="G212" i="36"/>
  <c r="G187" i="36"/>
  <c r="J201" i="36"/>
  <c r="J209" i="36"/>
  <c r="J189" i="36"/>
  <c r="C188" i="36"/>
  <c r="J213" i="36"/>
  <c r="C213" i="36"/>
  <c r="J208" i="36"/>
  <c r="B213" i="36"/>
  <c r="B199" i="36"/>
  <c r="B189" i="36"/>
  <c r="C192" i="36"/>
  <c r="C186" i="36"/>
  <c r="G200" i="36"/>
  <c r="G199" i="36"/>
  <c r="G209" i="36"/>
  <c r="J190" i="36"/>
  <c r="J194" i="36"/>
  <c r="J211" i="36"/>
  <c r="J185" i="36"/>
  <c r="V50" i="124"/>
  <c r="G37" i="124"/>
  <c r="H37" i="124" s="1"/>
  <c r="C50" i="124"/>
  <c r="V47" i="124"/>
  <c r="C47" i="124"/>
  <c r="E69" i="124"/>
  <c r="U15" i="124"/>
  <c r="AQ15" i="124" s="1"/>
  <c r="AR15" i="124" s="1"/>
  <c r="C36" i="124"/>
  <c r="U14" i="124"/>
  <c r="AQ14" i="124" s="1"/>
  <c r="AR14" i="124" s="1"/>
  <c r="U17" i="124"/>
  <c r="AQ17" i="124" s="1"/>
  <c r="AR17" i="124" s="1"/>
  <c r="U22" i="124"/>
  <c r="U12" i="124"/>
  <c r="AQ12" i="124" s="1"/>
  <c r="AR12" i="124" s="1"/>
  <c r="U21" i="124"/>
  <c r="C35" i="124"/>
  <c r="G35" i="124" s="1"/>
  <c r="C66" i="124"/>
  <c r="C79" i="124" s="1"/>
  <c r="U19" i="124"/>
  <c r="AQ19" i="124" s="1"/>
  <c r="C69" i="124"/>
  <c r="D69" i="124"/>
  <c r="U13" i="124"/>
  <c r="AQ13" i="124" s="1"/>
  <c r="AR13" i="124" s="1"/>
  <c r="W46" i="124"/>
  <c r="U20" i="124"/>
  <c r="U18" i="124"/>
  <c r="AQ18" i="124" s="1"/>
  <c r="AR18" i="124" s="1"/>
  <c r="D47" i="124"/>
  <c r="W50" i="124"/>
  <c r="G34" i="124"/>
  <c r="H34" i="124" s="1"/>
  <c r="Q10" i="154" a="1"/>
  <c r="T10" i="154" a="1"/>
  <c r="O10" i="154" a="1"/>
  <c r="I321" i="36" a="1"/>
  <c r="R10" i="154" a="1"/>
  <c r="S10" i="154" a="1"/>
  <c r="U10" i="154" a="1"/>
  <c r="AR21" i="124" l="1"/>
  <c r="AQ21" i="124"/>
  <c r="AR19" i="124"/>
  <c r="H24" i="124"/>
  <c r="AR23" i="124"/>
  <c r="AQ20" i="124"/>
  <c r="AQ22" i="124" s="1"/>
  <c r="AR20" i="124"/>
  <c r="AR22" i="124" s="1"/>
  <c r="S10" i="154"/>
  <c r="U10" i="154"/>
  <c r="R10" i="154"/>
  <c r="O10" i="154"/>
  <c r="Q10" i="154"/>
  <c r="T10" i="154"/>
  <c r="I321" i="36"/>
  <c r="G321" i="36" s="1"/>
  <c r="K321" i="36" s="1"/>
  <c r="E82" i="124"/>
  <c r="G82" i="124"/>
  <c r="D82" i="124"/>
  <c r="C78" i="124"/>
  <c r="C82" i="124"/>
  <c r="F82" i="124"/>
  <c r="H33" i="124"/>
  <c r="C46" i="124"/>
  <c r="V46" i="124"/>
  <c r="I208" i="36"/>
  <c r="H208" i="36"/>
  <c r="I194" i="36"/>
  <c r="H194" i="36"/>
  <c r="I210" i="36"/>
  <c r="H210" i="36"/>
  <c r="H213" i="36"/>
  <c r="I213" i="36"/>
  <c r="H201" i="36"/>
  <c r="I201" i="36"/>
  <c r="I211" i="36"/>
  <c r="H211" i="36"/>
  <c r="I202" i="36"/>
  <c r="H202" i="36"/>
  <c r="I187" i="36"/>
  <c r="H187" i="36"/>
  <c r="I212" i="36"/>
  <c r="H212" i="36"/>
  <c r="I199" i="36"/>
  <c r="H199" i="36"/>
  <c r="I206" i="36"/>
  <c r="H206" i="36"/>
  <c r="H209" i="36"/>
  <c r="I209" i="36"/>
  <c r="H190" i="36"/>
  <c r="I190" i="36"/>
  <c r="I197" i="36"/>
  <c r="H197" i="36"/>
  <c r="I185" i="36"/>
  <c r="H185" i="36"/>
  <c r="I195" i="36"/>
  <c r="H195" i="36"/>
  <c r="I207" i="36"/>
  <c r="H207" i="36"/>
  <c r="I193" i="36"/>
  <c r="H193" i="36"/>
  <c r="I200" i="36"/>
  <c r="H200" i="36"/>
  <c r="I191" i="36"/>
  <c r="H191" i="36"/>
  <c r="C48" i="124"/>
  <c r="V48" i="124"/>
  <c r="H35" i="124"/>
  <c r="Y50" i="124"/>
  <c r="F50" i="124"/>
  <c r="O37" i="124"/>
  <c r="M37" i="124"/>
  <c r="K37" i="124"/>
  <c r="I37" i="124"/>
  <c r="L37" i="124"/>
  <c r="J37" i="124"/>
  <c r="V49" i="124"/>
  <c r="C49" i="124"/>
  <c r="G36" i="124"/>
  <c r="H36" i="124" s="1"/>
  <c r="F10" i="154" a="1"/>
  <c r="F10" i="158" a="1"/>
  <c r="J10" i="165" a="1"/>
  <c r="AR25" i="124" l="1"/>
  <c r="J10" i="165"/>
  <c r="AR24" i="124"/>
  <c r="F10" i="158"/>
  <c r="F10" i="154"/>
  <c r="H321" i="36"/>
  <c r="Y46" i="124"/>
  <c r="F46" i="124"/>
  <c r="AA50" i="124"/>
  <c r="H50" i="124"/>
  <c r="J50" i="124"/>
  <c r="AC50" i="124"/>
  <c r="Z50" i="124"/>
  <c r="T37" i="124"/>
  <c r="X42" i="124" s="1"/>
  <c r="V37" i="124"/>
  <c r="Z42" i="124" s="1"/>
  <c r="U37" i="124"/>
  <c r="Y42" i="124" s="1"/>
  <c r="G50" i="124"/>
  <c r="AB50" i="124"/>
  <c r="I50" i="124"/>
  <c r="K50" i="124"/>
  <c r="Q37" i="124"/>
  <c r="R37" i="124"/>
  <c r="P37" i="124"/>
  <c r="B273" i="36" a="1"/>
  <c r="C273" i="36" a="1"/>
  <c r="J237" i="36" a="1"/>
  <c r="B206" i="36" a="1"/>
  <c r="D10" i="158" a="1"/>
  <c r="I10" i="158" a="1"/>
  <c r="J10" i="154" a="1"/>
  <c r="J205" i="36" a="1"/>
  <c r="G10" i="158" a="1"/>
  <c r="M10" i="158" a="1"/>
  <c r="B237" i="36" a="1"/>
  <c r="J271" i="36" a="1"/>
  <c r="H10" i="154" a="1"/>
  <c r="J10" i="158" a="1"/>
  <c r="C237" i="36" a="1"/>
  <c r="G10" i="154" a="1"/>
  <c r="I10" i="154" a="1"/>
  <c r="K10" i="154" a="1"/>
  <c r="D10" i="154" a="1"/>
  <c r="H10" i="158" a="1"/>
  <c r="I10" i="154" l="1"/>
  <c r="H10" i="158"/>
  <c r="H10" i="154"/>
  <c r="D10" i="158"/>
  <c r="D10" i="154"/>
  <c r="G10" i="154"/>
  <c r="M10" i="158"/>
  <c r="K10" i="154"/>
  <c r="G10" i="158"/>
  <c r="J10" i="154"/>
  <c r="I10" i="158"/>
  <c r="J10" i="158"/>
  <c r="J237" i="36"/>
  <c r="C273" i="36"/>
  <c r="C237" i="36"/>
  <c r="B237" i="36"/>
  <c r="B273" i="36"/>
  <c r="J271" i="36"/>
  <c r="AE37" i="124"/>
  <c r="AD37" i="124"/>
  <c r="J205" i="36"/>
  <c r="B206" i="36"/>
  <c r="AA42" i="124"/>
  <c r="AC37" i="124"/>
  <c r="S37" i="124"/>
  <c r="Y37" i="124"/>
  <c r="AG37" i="124"/>
  <c r="Z37" i="124"/>
  <c r="AH37" i="124"/>
  <c r="X37" i="124"/>
  <c r="W37" i="124"/>
  <c r="AF37" i="124"/>
  <c r="C206" i="36" a="1"/>
  <c r="B310" i="36" a="1"/>
  <c r="L10" i="158" a="1"/>
  <c r="G237" i="36" a="1"/>
  <c r="L10" i="154" a="1"/>
  <c r="G205" i="36" a="1"/>
  <c r="G271" i="36" a="1"/>
  <c r="J307" i="36" a="1"/>
  <c r="M10" i="154" a="1"/>
  <c r="C310" i="36" a="1"/>
  <c r="K10" i="158" a="1"/>
  <c r="B310" i="36" l="1"/>
  <c r="L10" i="154"/>
  <c r="K10" i="158"/>
  <c r="C310" i="36"/>
  <c r="M10" i="154"/>
  <c r="L10" i="158"/>
  <c r="J307" i="36"/>
  <c r="G271" i="36"/>
  <c r="G237" i="36"/>
  <c r="C206" i="36"/>
  <c r="G205" i="36"/>
  <c r="AA37" i="124"/>
  <c r="I307" i="36" a="1"/>
  <c r="I307" i="36" l="1"/>
  <c r="G307" i="36" s="1"/>
  <c r="K307" i="36" s="1"/>
  <c r="I237" i="36"/>
  <c r="H237" i="36"/>
  <c r="I271" i="36"/>
  <c r="H271" i="36"/>
  <c r="I205" i="36"/>
  <c r="H205" i="36"/>
  <c r="B244" i="36" a="1"/>
  <c r="J276" i="36" a="1"/>
  <c r="B205" i="36" a="1"/>
  <c r="B278" i="36" a="1"/>
  <c r="J240" i="36" a="1"/>
  <c r="C278" i="36" a="1"/>
  <c r="C244" i="36" a="1"/>
  <c r="H307" i="36" l="1"/>
  <c r="J276" i="36"/>
  <c r="B205" i="36"/>
  <c r="C244" i="36"/>
  <c r="J240" i="36"/>
  <c r="B244" i="36"/>
  <c r="B278" i="36"/>
  <c r="C278" i="36"/>
  <c r="G240" i="36" a="1"/>
  <c r="G276" i="36" a="1"/>
  <c r="G204" i="36" a="1"/>
  <c r="C205" i="36" a="1"/>
  <c r="J204" i="36" a="1"/>
  <c r="J204" i="36" l="1"/>
  <c r="G204" i="36"/>
  <c r="G276" i="36"/>
  <c r="G240" i="36"/>
  <c r="C205" i="36"/>
  <c r="W50" i="121"/>
  <c r="D50" i="121"/>
  <c r="W49" i="121"/>
  <c r="D49" i="121"/>
  <c r="W48" i="121"/>
  <c r="D48" i="121"/>
  <c r="W47" i="121"/>
  <c r="D47" i="121"/>
  <c r="W46" i="121"/>
  <c r="D46" i="121"/>
  <c r="F39" i="121"/>
  <c r="D39" i="121"/>
  <c r="D38" i="121"/>
  <c r="E37" i="121"/>
  <c r="E36" i="121"/>
  <c r="C36" i="121"/>
  <c r="V49" i="121" s="1"/>
  <c r="E35" i="121"/>
  <c r="E34" i="121"/>
  <c r="E33" i="121"/>
  <c r="AK22" i="121"/>
  <c r="T22" i="121"/>
  <c r="L24" i="121" s="1"/>
  <c r="S22" i="121"/>
  <c r="R22" i="121"/>
  <c r="Q22" i="121"/>
  <c r="P22" i="121"/>
  <c r="K22" i="121"/>
  <c r="G69" i="121" s="1"/>
  <c r="J22" i="121"/>
  <c r="F69" i="121" s="1"/>
  <c r="I22" i="121"/>
  <c r="E69" i="121" s="1"/>
  <c r="H22" i="121"/>
  <c r="G22" i="121"/>
  <c r="F22" i="121"/>
  <c r="E22" i="121"/>
  <c r="D22" i="121"/>
  <c r="C22" i="121"/>
  <c r="AK21" i="121"/>
  <c r="T21" i="121"/>
  <c r="S21" i="121"/>
  <c r="R21" i="121"/>
  <c r="Q21" i="121"/>
  <c r="P21" i="121"/>
  <c r="K21" i="121"/>
  <c r="J21" i="121"/>
  <c r="I21" i="121"/>
  <c r="H21" i="121"/>
  <c r="G21" i="121"/>
  <c r="F21" i="121"/>
  <c r="E21" i="121"/>
  <c r="D21" i="121"/>
  <c r="C21" i="121"/>
  <c r="AK20" i="121"/>
  <c r="T20" i="121"/>
  <c r="S20" i="121"/>
  <c r="R20" i="121"/>
  <c r="Q20" i="121"/>
  <c r="P20" i="121"/>
  <c r="K20" i="121"/>
  <c r="J20" i="121"/>
  <c r="I20" i="121"/>
  <c r="H20" i="121"/>
  <c r="G20" i="121"/>
  <c r="F20" i="121"/>
  <c r="E20" i="121"/>
  <c r="D20" i="121"/>
  <c r="C20" i="121"/>
  <c r="AK19" i="121"/>
  <c r="T19" i="121"/>
  <c r="S19" i="121"/>
  <c r="R19" i="121"/>
  <c r="Q19" i="121"/>
  <c r="P19" i="121"/>
  <c r="K19" i="121"/>
  <c r="J19" i="121"/>
  <c r="I19" i="121"/>
  <c r="H19" i="121"/>
  <c r="G19" i="121"/>
  <c r="F19" i="121"/>
  <c r="E19" i="121"/>
  <c r="D19" i="121"/>
  <c r="C19" i="121"/>
  <c r="AK18" i="121"/>
  <c r="T18" i="121"/>
  <c r="S18" i="121"/>
  <c r="R18" i="121"/>
  <c r="Q18" i="121"/>
  <c r="P18" i="121"/>
  <c r="K18" i="121"/>
  <c r="J18" i="121"/>
  <c r="I18" i="121"/>
  <c r="H18" i="121"/>
  <c r="G18" i="121"/>
  <c r="F18" i="121"/>
  <c r="E18" i="121"/>
  <c r="D18" i="121"/>
  <c r="C18" i="121"/>
  <c r="AK17" i="121"/>
  <c r="T17" i="121"/>
  <c r="S17" i="121"/>
  <c r="R17" i="121"/>
  <c r="Q17" i="121"/>
  <c r="P17" i="121"/>
  <c r="K17" i="121"/>
  <c r="J17" i="121"/>
  <c r="I17" i="121"/>
  <c r="H17" i="121"/>
  <c r="G17" i="121"/>
  <c r="F17" i="121"/>
  <c r="E17" i="121"/>
  <c r="D17" i="121"/>
  <c r="C17" i="121"/>
  <c r="AK16" i="121"/>
  <c r="T16" i="121"/>
  <c r="S16" i="121"/>
  <c r="R16" i="121"/>
  <c r="Q16" i="121"/>
  <c r="P16" i="121"/>
  <c r="K16" i="121"/>
  <c r="J16" i="121"/>
  <c r="I16" i="121"/>
  <c r="H16" i="121"/>
  <c r="G16" i="121"/>
  <c r="F16" i="121"/>
  <c r="E16" i="121"/>
  <c r="D16" i="121"/>
  <c r="C16" i="121"/>
  <c r="AK15" i="121"/>
  <c r="T15" i="121"/>
  <c r="S15" i="121"/>
  <c r="R15" i="121"/>
  <c r="Q15" i="121"/>
  <c r="P15" i="121"/>
  <c r="K15" i="121"/>
  <c r="J15" i="121"/>
  <c r="I15" i="121"/>
  <c r="H15" i="121"/>
  <c r="G15" i="121"/>
  <c r="F15" i="121"/>
  <c r="E15" i="121"/>
  <c r="D15" i="121"/>
  <c r="C15" i="121"/>
  <c r="AK14" i="121"/>
  <c r="T14" i="121"/>
  <c r="S14" i="121"/>
  <c r="R14" i="121"/>
  <c r="Q14" i="121"/>
  <c r="P14" i="121"/>
  <c r="AS14" i="121" s="1"/>
  <c r="K14" i="121"/>
  <c r="J14" i="121"/>
  <c r="I14" i="121"/>
  <c r="H14" i="121"/>
  <c r="G14" i="121"/>
  <c r="F14" i="121"/>
  <c r="E14" i="121"/>
  <c r="D14" i="121"/>
  <c r="C14" i="121"/>
  <c r="AK13" i="121"/>
  <c r="T13" i="121"/>
  <c r="S13" i="121"/>
  <c r="R13" i="121"/>
  <c r="Q13" i="121"/>
  <c r="P13" i="121"/>
  <c r="K13" i="121"/>
  <c r="J13" i="121"/>
  <c r="I13" i="121"/>
  <c r="H13" i="121"/>
  <c r="G13" i="121"/>
  <c r="F13" i="121"/>
  <c r="E13" i="121"/>
  <c r="D13" i="121"/>
  <c r="C13" i="121"/>
  <c r="AK12" i="121"/>
  <c r="T12" i="121"/>
  <c r="S12" i="121"/>
  <c r="R12" i="121"/>
  <c r="Q12" i="121"/>
  <c r="P12" i="121"/>
  <c r="K12" i="121"/>
  <c r="J12" i="121"/>
  <c r="I12" i="121"/>
  <c r="H12" i="121"/>
  <c r="G12" i="121"/>
  <c r="F12" i="121"/>
  <c r="E12" i="121"/>
  <c r="D12" i="121"/>
  <c r="C12" i="121"/>
  <c r="U19" i="154" a="1"/>
  <c r="T19" i="154" a="1"/>
  <c r="S19" i="154" a="1"/>
  <c r="U20" i="121" l="1"/>
  <c r="AQ20" i="121" s="1"/>
  <c r="AS13" i="121"/>
  <c r="AS12" i="121"/>
  <c r="C49" i="121"/>
  <c r="U16" i="121"/>
  <c r="AQ16" i="121" s="1"/>
  <c r="AR16" i="121" s="1"/>
  <c r="C65" i="121"/>
  <c r="AS20" i="121"/>
  <c r="C66" i="121"/>
  <c r="C79" i="121" s="1"/>
  <c r="AS17" i="121"/>
  <c r="AS16" i="121"/>
  <c r="U12" i="121"/>
  <c r="AQ12" i="121" s="1"/>
  <c r="AR12" i="121" s="1"/>
  <c r="AS15" i="121"/>
  <c r="C67" i="121"/>
  <c r="C80" i="121" s="1"/>
  <c r="AS18" i="121"/>
  <c r="AS19" i="121"/>
  <c r="AS21" i="121"/>
  <c r="S19" i="154"/>
  <c r="T19" i="154"/>
  <c r="U19" i="154"/>
  <c r="C35" i="121"/>
  <c r="C48" i="121" s="1"/>
  <c r="C68" i="121"/>
  <c r="C81" i="121" s="1"/>
  <c r="C78" i="121"/>
  <c r="E82" i="121"/>
  <c r="U15" i="121"/>
  <c r="AQ15" i="121" s="1"/>
  <c r="AR15" i="121" s="1"/>
  <c r="U19" i="121"/>
  <c r="F82" i="121"/>
  <c r="G82" i="121"/>
  <c r="I204" i="36"/>
  <c r="H204" i="36"/>
  <c r="H240" i="36"/>
  <c r="I240" i="36"/>
  <c r="H276" i="36"/>
  <c r="I276" i="36"/>
  <c r="U18" i="121"/>
  <c r="AQ18" i="121" s="1"/>
  <c r="AR18" i="121" s="1"/>
  <c r="G36" i="121"/>
  <c r="H36" i="121" s="1"/>
  <c r="U17" i="121"/>
  <c r="AQ17" i="121" s="1"/>
  <c r="AR17" i="121" s="1"/>
  <c r="U13" i="121"/>
  <c r="AQ13" i="121" s="1"/>
  <c r="C33" i="121"/>
  <c r="C37" i="121"/>
  <c r="U14" i="121"/>
  <c r="AQ14" i="121" s="1"/>
  <c r="AR14" i="121" s="1"/>
  <c r="U22" i="121"/>
  <c r="C69" i="121"/>
  <c r="D69" i="121"/>
  <c r="C34" i="121"/>
  <c r="U21" i="121"/>
  <c r="O19" i="154" a="1"/>
  <c r="Q19" i="154" a="1"/>
  <c r="R19" i="154" a="1"/>
  <c r="G35" i="121" l="1"/>
  <c r="H35" i="121" s="1"/>
  <c r="V48" i="121"/>
  <c r="O19" i="154"/>
  <c r="AR19" i="121"/>
  <c r="AQ19" i="121"/>
  <c r="H24" i="121"/>
  <c r="AR23" i="121"/>
  <c r="AR20" i="121"/>
  <c r="AR13" i="121"/>
  <c r="AR21" i="121"/>
  <c r="AQ21" i="121"/>
  <c r="AQ22" i="121" s="1"/>
  <c r="R19" i="154"/>
  <c r="Q19" i="154"/>
  <c r="D82" i="121"/>
  <c r="C82" i="121"/>
  <c r="V47" i="121"/>
  <c r="C47" i="121"/>
  <c r="G34" i="121"/>
  <c r="H34" i="121" s="1"/>
  <c r="C46" i="121"/>
  <c r="V46" i="121"/>
  <c r="G33" i="121"/>
  <c r="O33" i="121" s="1"/>
  <c r="V50" i="121"/>
  <c r="C50" i="121"/>
  <c r="G37" i="121"/>
  <c r="AR22" i="121" l="1"/>
  <c r="AR24" i="121" s="1"/>
  <c r="H33" i="121"/>
  <c r="F46" i="121"/>
  <c r="Y46" i="121"/>
  <c r="J37" i="121"/>
  <c r="M37" i="121"/>
  <c r="O37" i="121"/>
  <c r="I37" i="121"/>
  <c r="K37" i="121"/>
  <c r="L37" i="121"/>
  <c r="H37" i="121"/>
  <c r="D19" i="154" a="1"/>
  <c r="D19" i="158" a="1"/>
  <c r="AR25" i="121" l="1"/>
  <c r="D19" i="154"/>
  <c r="D19" i="158"/>
  <c r="R37" i="121"/>
  <c r="Q37" i="121"/>
  <c r="P37" i="121"/>
  <c r="Y50" i="121"/>
  <c r="F50" i="121"/>
  <c r="AC50" i="121"/>
  <c r="J50" i="121"/>
  <c r="AB50" i="121"/>
  <c r="I50" i="121"/>
  <c r="G50" i="121"/>
  <c r="V37" i="121"/>
  <c r="U37" i="121"/>
  <c r="T37" i="121"/>
  <c r="Z50" i="121"/>
  <c r="K50" i="121"/>
  <c r="AA50" i="121"/>
  <c r="H50" i="121"/>
  <c r="F19" i="154" a="1"/>
  <c r="G19" i="158" a="1"/>
  <c r="H19" i="158" a="1"/>
  <c r="M19" i="158" a="1"/>
  <c r="B209" i="36" a="1"/>
  <c r="J19" i="154" a="1"/>
  <c r="K19" i="154" a="1"/>
  <c r="C235" i="36" a="1"/>
  <c r="B235" i="36" a="1"/>
  <c r="J19" i="158" a="1"/>
  <c r="B269" i="36" a="1"/>
  <c r="F19" i="158" a="1"/>
  <c r="J19" i="165" a="1"/>
  <c r="G19" i="154" a="1"/>
  <c r="H19" i="154" a="1"/>
  <c r="I19" i="158" a="1"/>
  <c r="C269" i="36" a="1"/>
  <c r="I19" i="154" a="1"/>
  <c r="J19" i="165" l="1"/>
  <c r="F19" i="158"/>
  <c r="B235" i="36"/>
  <c r="F19" i="154"/>
  <c r="B269" i="36"/>
  <c r="C235" i="36"/>
  <c r="B209" i="36"/>
  <c r="G19" i="158"/>
  <c r="H19" i="154"/>
  <c r="I19" i="158"/>
  <c r="C269" i="36"/>
  <c r="G19" i="154"/>
  <c r="I19" i="154"/>
  <c r="J19" i="154"/>
  <c r="H19" i="158"/>
  <c r="K19" i="154"/>
  <c r="M19" i="158"/>
  <c r="J19" i="158"/>
  <c r="AD37" i="121"/>
  <c r="AE37" i="121"/>
  <c r="Z42" i="121"/>
  <c r="W37" i="121"/>
  <c r="X37" i="121"/>
  <c r="AF37" i="121"/>
  <c r="Y37" i="121"/>
  <c r="AG37" i="121"/>
  <c r="Z37" i="121"/>
  <c r="AH37" i="121"/>
  <c r="S37" i="121"/>
  <c r="AC37" i="121"/>
  <c r="X42" i="121"/>
  <c r="Y42" i="121"/>
  <c r="G223" i="36" a="1"/>
  <c r="L19" i="158" a="1"/>
  <c r="C209" i="36" a="1"/>
  <c r="J259" i="36" a="1"/>
  <c r="M19" i="154" a="1"/>
  <c r="J223" i="36" a="1"/>
  <c r="L19" i="154" a="1"/>
  <c r="K19" i="158" a="1"/>
  <c r="G259" i="36" a="1"/>
  <c r="J188" i="36" a="1"/>
  <c r="B309" i="36" a="1"/>
  <c r="C309" i="36" a="1"/>
  <c r="G188" i="36" a="1"/>
  <c r="J223" i="36" l="1"/>
  <c r="G188" i="36"/>
  <c r="G223" i="36"/>
  <c r="J188" i="36"/>
  <c r="J259" i="36"/>
  <c r="B309" i="36"/>
  <c r="K19" i="158"/>
  <c r="L19" i="154"/>
  <c r="C309" i="36"/>
  <c r="L19" i="158"/>
  <c r="M19" i="154"/>
  <c r="C209" i="36"/>
  <c r="G259" i="36"/>
  <c r="AA37" i="121"/>
  <c r="AA42" i="121"/>
  <c r="FA22" i="120"/>
  <c r="EZ22" i="120" s="1"/>
  <c r="ET22" i="120"/>
  <c r="ES22" i="120"/>
  <c r="ER22" i="120"/>
  <c r="EQ22" i="120"/>
  <c r="EO22" i="120"/>
  <c r="EN22" i="120"/>
  <c r="EL22" i="120"/>
  <c r="FE22" i="120" s="1"/>
  <c r="EK22" i="120"/>
  <c r="EJ22" i="120"/>
  <c r="EI22" i="120"/>
  <c r="EC22" i="120"/>
  <c r="EB22" i="120"/>
  <c r="EA22" i="120"/>
  <c r="DE22" i="120"/>
  <c r="DD22" i="120" s="1"/>
  <c r="DB22" i="120"/>
  <c r="DA22" i="120"/>
  <c r="CN22" i="120"/>
  <c r="CM22" i="120"/>
  <c r="CL22" i="120"/>
  <c r="CK22" i="120"/>
  <c r="BK22" i="120"/>
  <c r="BJ22" i="120"/>
  <c r="BI22" i="120"/>
  <c r="BH22" i="120"/>
  <c r="BL22" i="120" s="1"/>
  <c r="AN22" i="120"/>
  <c r="V22" i="120"/>
  <c r="U22" i="120"/>
  <c r="T22" i="120"/>
  <c r="S22" i="120"/>
  <c r="Q22" i="120"/>
  <c r="P22" i="120"/>
  <c r="N22" i="120"/>
  <c r="M22" i="120"/>
  <c r="L22" i="120"/>
  <c r="K22" i="120"/>
  <c r="I22" i="120"/>
  <c r="H22" i="120"/>
  <c r="G22" i="120"/>
  <c r="F22" i="120"/>
  <c r="E22" i="120"/>
  <c r="D22" i="120"/>
  <c r="C22" i="120"/>
  <c r="FA21" i="120"/>
  <c r="EZ21" i="120" s="1"/>
  <c r="EO21" i="120"/>
  <c r="EN21" i="120"/>
  <c r="EC21" i="120"/>
  <c r="EB21" i="120"/>
  <c r="EA21" i="120"/>
  <c r="EV21" i="120" s="1"/>
  <c r="DE21" i="120"/>
  <c r="DD21" i="120" s="1"/>
  <c r="BK21" i="120"/>
  <c r="BJ21" i="120"/>
  <c r="BI21" i="120"/>
  <c r="BH21" i="120"/>
  <c r="AN21" i="120"/>
  <c r="Q21" i="120"/>
  <c r="P21" i="120"/>
  <c r="BS21" i="120" s="1"/>
  <c r="I21" i="120"/>
  <c r="H21" i="120"/>
  <c r="G21" i="120"/>
  <c r="F21" i="120"/>
  <c r="E21" i="120"/>
  <c r="D21" i="120"/>
  <c r="C21" i="120"/>
  <c r="FA20" i="120"/>
  <c r="EZ20" i="120" s="1"/>
  <c r="EO20" i="120"/>
  <c r="EN20" i="120"/>
  <c r="EC20" i="120"/>
  <c r="EB20" i="120"/>
  <c r="EA20" i="120"/>
  <c r="EM20" i="120" s="1"/>
  <c r="DE20" i="120"/>
  <c r="DD20" i="120" s="1"/>
  <c r="BK20" i="120"/>
  <c r="BJ20" i="120"/>
  <c r="BI20" i="120"/>
  <c r="BH20" i="120"/>
  <c r="AN20" i="120"/>
  <c r="Q20" i="120"/>
  <c r="P20" i="120"/>
  <c r="I20" i="120"/>
  <c r="H20" i="120"/>
  <c r="G20" i="120"/>
  <c r="F20" i="120"/>
  <c r="E20" i="120"/>
  <c r="D20" i="120"/>
  <c r="C20" i="120"/>
  <c r="FA19" i="120"/>
  <c r="EZ19" i="120"/>
  <c r="EO19" i="120"/>
  <c r="EN19" i="120"/>
  <c r="EC19" i="120"/>
  <c r="EB19" i="120"/>
  <c r="EA19" i="120"/>
  <c r="EM19" i="120" s="1"/>
  <c r="DE19" i="120"/>
  <c r="DD19" i="120" s="1"/>
  <c r="BK19" i="120"/>
  <c r="BJ19" i="120"/>
  <c r="BI19" i="120"/>
  <c r="BH19" i="120"/>
  <c r="BL19" i="120" s="1"/>
  <c r="AN19" i="120"/>
  <c r="Q19" i="120"/>
  <c r="P19" i="120"/>
  <c r="I19" i="120"/>
  <c r="H19" i="120"/>
  <c r="G19" i="120"/>
  <c r="F19" i="120"/>
  <c r="E19" i="120"/>
  <c r="D19" i="120"/>
  <c r="C19" i="120"/>
  <c r="FA18" i="120"/>
  <c r="EZ18" i="120" s="1"/>
  <c r="EO18" i="120"/>
  <c r="EN18" i="120"/>
  <c r="EC18" i="120"/>
  <c r="EB18" i="120"/>
  <c r="EA18" i="120"/>
  <c r="EM18" i="120" s="1"/>
  <c r="DE18" i="120"/>
  <c r="DD18" i="120" s="1"/>
  <c r="BK18" i="120"/>
  <c r="BJ18" i="120"/>
  <c r="BI18" i="120"/>
  <c r="BH18" i="120"/>
  <c r="AN18" i="120"/>
  <c r="Q18" i="120"/>
  <c r="P18" i="120"/>
  <c r="I18" i="120"/>
  <c r="H18" i="120"/>
  <c r="G18" i="120"/>
  <c r="F18" i="120"/>
  <c r="E18" i="120"/>
  <c r="D18" i="120"/>
  <c r="C18" i="120"/>
  <c r="FA17" i="120"/>
  <c r="EZ17" i="120" s="1"/>
  <c r="EO17" i="120"/>
  <c r="EN17" i="120"/>
  <c r="EP17" i="120" s="1"/>
  <c r="EC17" i="120"/>
  <c r="EB17" i="120"/>
  <c r="EA17" i="120"/>
  <c r="EM17" i="120" s="1"/>
  <c r="DE17" i="120"/>
  <c r="DD17" i="120" s="1"/>
  <c r="BK17" i="120"/>
  <c r="BJ17" i="120"/>
  <c r="BI17" i="120"/>
  <c r="BH17" i="120"/>
  <c r="AN17" i="120"/>
  <c r="Q17" i="120"/>
  <c r="P17" i="120"/>
  <c r="I17" i="120"/>
  <c r="H17" i="120"/>
  <c r="G17" i="120"/>
  <c r="F17" i="120"/>
  <c r="E17" i="120"/>
  <c r="D17" i="120"/>
  <c r="C17" i="120"/>
  <c r="FA16" i="120"/>
  <c r="EZ16" i="120" s="1"/>
  <c r="EO16" i="120"/>
  <c r="EN16" i="120"/>
  <c r="EC16" i="120"/>
  <c r="EB16" i="120"/>
  <c r="EA16" i="120"/>
  <c r="DE16" i="120"/>
  <c r="DD16" i="120" s="1"/>
  <c r="BK16" i="120"/>
  <c r="BJ16" i="120"/>
  <c r="BI16" i="120"/>
  <c r="BH16" i="120"/>
  <c r="AN16" i="120"/>
  <c r="Q16" i="120"/>
  <c r="P16" i="120"/>
  <c r="I16" i="120"/>
  <c r="H16" i="120"/>
  <c r="G16" i="120"/>
  <c r="F16" i="120"/>
  <c r="E16" i="120"/>
  <c r="D16" i="120"/>
  <c r="C16" i="120"/>
  <c r="FA15" i="120"/>
  <c r="EZ15" i="120" s="1"/>
  <c r="EO15" i="120"/>
  <c r="EN15" i="120"/>
  <c r="EC15" i="120"/>
  <c r="EB15" i="120"/>
  <c r="EA15" i="120"/>
  <c r="EM15" i="120" s="1"/>
  <c r="DE15" i="120"/>
  <c r="DD15" i="120" s="1"/>
  <c r="BK15" i="120"/>
  <c r="BJ15" i="120"/>
  <c r="BI15" i="120"/>
  <c r="BH15" i="120"/>
  <c r="AN15" i="120"/>
  <c r="Q15" i="120"/>
  <c r="P15" i="120"/>
  <c r="R15" i="120" s="1"/>
  <c r="I15" i="120"/>
  <c r="H15" i="120"/>
  <c r="G15" i="120"/>
  <c r="F15" i="120"/>
  <c r="E15" i="120"/>
  <c r="D15" i="120"/>
  <c r="C15" i="120"/>
  <c r="FA14" i="120"/>
  <c r="EZ14" i="120"/>
  <c r="EO14" i="120"/>
  <c r="EN14" i="120"/>
  <c r="EC14" i="120"/>
  <c r="EB14" i="120"/>
  <c r="EA14" i="120"/>
  <c r="DE14" i="120"/>
  <c r="DD14" i="120" s="1"/>
  <c r="BK14" i="120"/>
  <c r="BJ14" i="120"/>
  <c r="BI14" i="120"/>
  <c r="BH14" i="120"/>
  <c r="AN14" i="120"/>
  <c r="Q14" i="120"/>
  <c r="P14" i="120"/>
  <c r="I14" i="120"/>
  <c r="H14" i="120"/>
  <c r="G14" i="120"/>
  <c r="F14" i="120"/>
  <c r="E14" i="120"/>
  <c r="D14" i="120"/>
  <c r="C14" i="120"/>
  <c r="FA13" i="120"/>
  <c r="EZ13" i="120" s="1"/>
  <c r="EO13" i="120"/>
  <c r="EN13" i="120"/>
  <c r="EC13" i="120"/>
  <c r="EB13" i="120"/>
  <c r="EA13" i="120"/>
  <c r="EV13" i="120" s="1"/>
  <c r="DE13" i="120"/>
  <c r="DD13" i="120" s="1"/>
  <c r="BK13" i="120"/>
  <c r="BJ13" i="120"/>
  <c r="BI13" i="120"/>
  <c r="BH13" i="120"/>
  <c r="AN13" i="120"/>
  <c r="Q13" i="120"/>
  <c r="P13" i="120"/>
  <c r="I13" i="120"/>
  <c r="H13" i="120"/>
  <c r="G13" i="120"/>
  <c r="F13" i="120"/>
  <c r="E13" i="120"/>
  <c r="D13" i="120"/>
  <c r="C13" i="120"/>
  <c r="FA12" i="120"/>
  <c r="EZ12" i="120"/>
  <c r="EO12" i="120"/>
  <c r="EN12" i="120"/>
  <c r="EC12" i="120"/>
  <c r="EB12" i="120"/>
  <c r="EA12" i="120"/>
  <c r="EM12" i="120" s="1"/>
  <c r="DE12" i="120"/>
  <c r="DD12" i="120" s="1"/>
  <c r="BK12" i="120"/>
  <c r="BJ12" i="120"/>
  <c r="BI12" i="120"/>
  <c r="BH12" i="120"/>
  <c r="AN12" i="120"/>
  <c r="Q12" i="120"/>
  <c r="P12" i="120"/>
  <c r="I12" i="120"/>
  <c r="H12" i="120"/>
  <c r="G12" i="120"/>
  <c r="F12" i="120"/>
  <c r="E12" i="120"/>
  <c r="D12" i="120"/>
  <c r="C12" i="120"/>
  <c r="J316" i="36" a="1"/>
  <c r="EM16" i="120" l="1"/>
  <c r="BS16" i="120"/>
  <c r="Z22" i="120"/>
  <c r="EU14" i="120"/>
  <c r="BN14" i="120"/>
  <c r="BS17" i="120"/>
  <c r="BS13" i="120"/>
  <c r="BS12" i="120"/>
  <c r="CP22" i="120"/>
  <c r="O12" i="120"/>
  <c r="EM14" i="120"/>
  <c r="EP22" i="120"/>
  <c r="EP19" i="120"/>
  <c r="R17" i="120"/>
  <c r="EP20" i="120"/>
  <c r="X20" i="120"/>
  <c r="EU19" i="120"/>
  <c r="AB13" i="120"/>
  <c r="AC13" i="120" s="1"/>
  <c r="AA18" i="120"/>
  <c r="BO17" i="120"/>
  <c r="BL16" i="120"/>
  <c r="AA13" i="120"/>
  <c r="BM16" i="120"/>
  <c r="EU15" i="120"/>
  <c r="O17" i="120"/>
  <c r="BS19" i="120"/>
  <c r="BO22" i="120"/>
  <c r="EV16" i="120"/>
  <c r="EW14" i="120"/>
  <c r="O19" i="120"/>
  <c r="EU17" i="120"/>
  <c r="EP14" i="120"/>
  <c r="O20" i="120"/>
  <c r="O21" i="120"/>
  <c r="BO18" i="120"/>
  <c r="EV19" i="120"/>
  <c r="EU20" i="120"/>
  <c r="X19" i="120"/>
  <c r="W20" i="120"/>
  <c r="AH20" i="120" s="1"/>
  <c r="W21" i="120"/>
  <c r="AW21" i="120" s="1"/>
  <c r="Y19" i="120"/>
  <c r="X21" i="120"/>
  <c r="AA22" i="120"/>
  <c r="W16" i="120"/>
  <c r="AH16" i="120" s="1"/>
  <c r="Y17" i="120"/>
  <c r="Z19" i="120"/>
  <c r="Y20" i="120"/>
  <c r="CR22" i="120"/>
  <c r="EW13" i="120"/>
  <c r="AD22" i="120"/>
  <c r="BE22" i="120" s="1"/>
  <c r="EV14" i="120"/>
  <c r="W18" i="120"/>
  <c r="AH18" i="120" s="1"/>
  <c r="EP13" i="120"/>
  <c r="O14" i="120"/>
  <c r="AA20" i="120"/>
  <c r="EU21" i="120"/>
  <c r="BO12" i="120"/>
  <c r="AB20" i="120"/>
  <c r="AC20" i="120" s="1"/>
  <c r="EP12" i="120"/>
  <c r="FC22" i="120"/>
  <c r="EU16" i="120"/>
  <c r="X17" i="120"/>
  <c r="R20" i="120"/>
  <c r="EV22" i="120"/>
  <c r="EV18" i="120"/>
  <c r="EP21" i="120"/>
  <c r="O16" i="120"/>
  <c r="W15" i="120"/>
  <c r="BM22" i="120"/>
  <c r="Z16" i="120"/>
  <c r="O13" i="120"/>
  <c r="Z14" i="120"/>
  <c r="X12" i="120"/>
  <c r="BM21" i="120"/>
  <c r="FB22" i="120"/>
  <c r="FF22" i="120" s="1"/>
  <c r="AA19" i="120"/>
  <c r="AB18" i="120"/>
  <c r="AC18" i="120" s="1"/>
  <c r="O18" i="120"/>
  <c r="Z15" i="120"/>
  <c r="R18" i="120"/>
  <c r="BL20" i="120"/>
  <c r="EW20" i="120"/>
  <c r="BN13" i="120"/>
  <c r="EU13" i="120"/>
  <c r="EU12" i="120"/>
  <c r="Z20" i="120"/>
  <c r="W14" i="120"/>
  <c r="W12" i="120"/>
  <c r="BS14" i="120"/>
  <c r="BN18" i="120"/>
  <c r="BN20" i="120"/>
  <c r="J316" i="36"/>
  <c r="BN12" i="120"/>
  <c r="BL13" i="120"/>
  <c r="BO14" i="120"/>
  <c r="AA17" i="120"/>
  <c r="Z18" i="120"/>
  <c r="BO19" i="120"/>
  <c r="EV20" i="120"/>
  <c r="AB21" i="120"/>
  <c r="AC21" i="120" s="1"/>
  <c r="BN21" i="120"/>
  <c r="R12" i="120"/>
  <c r="AB12" i="120"/>
  <c r="AC12" i="120" s="1"/>
  <c r="Y13" i="120"/>
  <c r="BM13" i="120"/>
  <c r="R14" i="120"/>
  <c r="AA15" i="120"/>
  <c r="BN15" i="120"/>
  <c r="EP15" i="120"/>
  <c r="AA16" i="120"/>
  <c r="AB17" i="120"/>
  <c r="AC17" i="120" s="1"/>
  <c r="BM17" i="120"/>
  <c r="W19" i="120"/>
  <c r="R19" i="120"/>
  <c r="CO22" i="120"/>
  <c r="CQ22" i="120" s="1"/>
  <c r="Z21" i="120"/>
  <c r="I259" i="36"/>
  <c r="H259" i="36"/>
  <c r="BO13" i="120"/>
  <c r="EM13" i="120"/>
  <c r="X14" i="120"/>
  <c r="BS15" i="120"/>
  <c r="Y14" i="120"/>
  <c r="AB15" i="120"/>
  <c r="AC15" i="120" s="1"/>
  <c r="W17" i="120"/>
  <c r="AH17" i="120" s="1"/>
  <c r="EW19" i="120"/>
  <c r="AE22" i="120"/>
  <c r="BN22" i="120"/>
  <c r="EW22" i="120"/>
  <c r="BL18" i="120"/>
  <c r="EW18" i="120"/>
  <c r="BO20" i="120"/>
  <c r="Y21" i="120"/>
  <c r="EW21" i="120"/>
  <c r="W22" i="120"/>
  <c r="AW22" i="120" s="1"/>
  <c r="I223" i="36"/>
  <c r="H223" i="36"/>
  <c r="EW12" i="120"/>
  <c r="Y12" i="120"/>
  <c r="AW12" i="120"/>
  <c r="EV12" i="120"/>
  <c r="EY12" i="120" s="1"/>
  <c r="Z13" i="120"/>
  <c r="AA14" i="120"/>
  <c r="X15" i="120"/>
  <c r="EV15" i="120"/>
  <c r="X16" i="120"/>
  <c r="EW16" i="120"/>
  <c r="EV17" i="120"/>
  <c r="X18" i="120"/>
  <c r="AB19" i="120"/>
  <c r="AC19" i="120" s="1"/>
  <c r="BN19" i="120"/>
  <c r="CT22" i="120"/>
  <c r="EM21" i="120"/>
  <c r="AG22" i="120"/>
  <c r="BG22" i="120" s="1"/>
  <c r="CS22" i="120"/>
  <c r="H188" i="36"/>
  <c r="I188" i="36"/>
  <c r="Z12" i="120"/>
  <c r="W13" i="120"/>
  <c r="AW13" i="120" s="1"/>
  <c r="AB14" i="120"/>
  <c r="AC14" i="120" s="1"/>
  <c r="Y15" i="120"/>
  <c r="BO15" i="120"/>
  <c r="EW15" i="120"/>
  <c r="EP16" i="120"/>
  <c r="Z17" i="120"/>
  <c r="Y18" i="120"/>
  <c r="AA21" i="120"/>
  <c r="BO21" i="120"/>
  <c r="Y22" i="120"/>
  <c r="R22" i="120"/>
  <c r="DC22" i="120"/>
  <c r="FD22" i="120"/>
  <c r="R13" i="120"/>
  <c r="BL14" i="120"/>
  <c r="BN16" i="120"/>
  <c r="BS18" i="120"/>
  <c r="BM19" i="120"/>
  <c r="R21" i="120"/>
  <c r="AB22" i="120"/>
  <c r="AC22" i="120" s="1"/>
  <c r="BM14" i="120"/>
  <c r="R16" i="120"/>
  <c r="BO16" i="120"/>
  <c r="BL17" i="120"/>
  <c r="EW17" i="120"/>
  <c r="EP18" i="120"/>
  <c r="CU22" i="120"/>
  <c r="BL12" i="120"/>
  <c r="X13" i="120"/>
  <c r="EU18" i="120"/>
  <c r="CV22" i="120"/>
  <c r="AA12" i="120"/>
  <c r="BM12" i="120"/>
  <c r="O15" i="120"/>
  <c r="BL15" i="120"/>
  <c r="BN17" i="120"/>
  <c r="BM20" i="120"/>
  <c r="AB16" i="120"/>
  <c r="AC16" i="120" s="1"/>
  <c r="BM15" i="120"/>
  <c r="Y16" i="120"/>
  <c r="X22" i="120"/>
  <c r="AF22" i="120"/>
  <c r="BF22" i="120" s="1"/>
  <c r="BM18" i="120"/>
  <c r="BL21" i="120"/>
  <c r="BS20" i="120"/>
  <c r="H279" i="28" a="1"/>
  <c r="AM12" i="124" a="1"/>
  <c r="AM18" i="124" a="1"/>
  <c r="AM13" i="124" a="1"/>
  <c r="AM17" i="124" a="1"/>
  <c r="J194" i="28" a="1"/>
  <c r="AM14" i="124" a="1"/>
  <c r="G279" i="28" a="1"/>
  <c r="I316" i="36" a="1"/>
  <c r="AM21" i="124" a="1"/>
  <c r="AM22" i="124" a="1"/>
  <c r="AM20" i="124" a="1"/>
  <c r="AM19" i="124" a="1"/>
  <c r="AM15" i="124" a="1"/>
  <c r="AM16" i="124" a="1"/>
  <c r="FI22" i="120" l="1"/>
  <c r="AW20" i="120"/>
  <c r="AJ17" i="120"/>
  <c r="AS17" i="120" s="1"/>
  <c r="EY21" i="120"/>
  <c r="AH21" i="120"/>
  <c r="AJ21" i="120" s="1"/>
  <c r="AS21" i="120" s="1"/>
  <c r="CW22" i="120"/>
  <c r="EY17" i="120"/>
  <c r="EY18" i="120"/>
  <c r="EX22" i="120"/>
  <c r="AM13" i="124"/>
  <c r="AM19" i="124"/>
  <c r="AM22" i="124"/>
  <c r="G279" i="28"/>
  <c r="AM12" i="124"/>
  <c r="AM20" i="124"/>
  <c r="AM17" i="124"/>
  <c r="AM14" i="124"/>
  <c r="AM15" i="124"/>
  <c r="H279" i="28"/>
  <c r="AM18" i="124"/>
  <c r="AM21" i="124"/>
  <c r="J194" i="28"/>
  <c r="AM16" i="124"/>
  <c r="AW19" i="120"/>
  <c r="EY22" i="120"/>
  <c r="AH13" i="120"/>
  <c r="AJ13" i="120" s="1"/>
  <c r="EY20" i="120"/>
  <c r="EY13" i="120"/>
  <c r="AH15" i="120"/>
  <c r="BD22" i="120"/>
  <c r="AW14" i="120"/>
  <c r="FG22" i="120"/>
  <c r="AH22" i="120"/>
  <c r="AW16" i="120"/>
  <c r="AJ15" i="120"/>
  <c r="AS15" i="120" s="1"/>
  <c r="FH22" i="120"/>
  <c r="EY15" i="120"/>
  <c r="AW15" i="120"/>
  <c r="AW17" i="120"/>
  <c r="AW18" i="120"/>
  <c r="EY14" i="120"/>
  <c r="AH14" i="120"/>
  <c r="AJ14" i="120" s="1"/>
  <c r="AK14" i="120" s="1"/>
  <c r="AT14" i="120" s="1"/>
  <c r="CZ22" i="120"/>
  <c r="EY16" i="120"/>
  <c r="AH12" i="120"/>
  <c r="AJ12" i="120" s="1"/>
  <c r="AS12" i="120" s="1"/>
  <c r="I316" i="36"/>
  <c r="G316" i="36" s="1"/>
  <c r="K316" i="36" s="1"/>
  <c r="AH19" i="120"/>
  <c r="AJ19" i="120" s="1"/>
  <c r="AS19" i="120" s="1"/>
  <c r="EY19" i="120"/>
  <c r="AJ18" i="120"/>
  <c r="AJ20" i="120"/>
  <c r="AK20" i="120" s="1"/>
  <c r="CX22" i="120"/>
  <c r="AJ16" i="120"/>
  <c r="BP22" i="120"/>
  <c r="AK17" i="120" l="1"/>
  <c r="AT17" i="120" s="1"/>
  <c r="CY22" i="120"/>
  <c r="AK21" i="120"/>
  <c r="AT21" i="120" s="1"/>
  <c r="AK19" i="120"/>
  <c r="AT19" i="120" s="1"/>
  <c r="AK15" i="120"/>
  <c r="AP18" i="124"/>
  <c r="AO18" i="124"/>
  <c r="AN18" i="124"/>
  <c r="AP14" i="124"/>
  <c r="AO14" i="124"/>
  <c r="AN14" i="124"/>
  <c r="AP16" i="124"/>
  <c r="AO16" i="124"/>
  <c r="AN16" i="124"/>
  <c r="AP15" i="124"/>
  <c r="AO15" i="124"/>
  <c r="AN15" i="124"/>
  <c r="AP20" i="124"/>
  <c r="AO20" i="124"/>
  <c r="AN20" i="124"/>
  <c r="AP21" i="124"/>
  <c r="AO21" i="124"/>
  <c r="AN21" i="124"/>
  <c r="AP17" i="124"/>
  <c r="AN17" i="124"/>
  <c r="AO17" i="124"/>
  <c r="AK12" i="120"/>
  <c r="AT12" i="120" s="1"/>
  <c r="AJ22" i="120"/>
  <c r="AP12" i="124"/>
  <c r="AO12" i="124"/>
  <c r="AN12" i="124"/>
  <c r="AP19" i="124"/>
  <c r="AO19" i="124"/>
  <c r="AN19" i="124"/>
  <c r="AP13" i="124"/>
  <c r="AN13" i="124"/>
  <c r="AO13" i="124"/>
  <c r="AL21" i="120"/>
  <c r="AU21" i="120" s="1"/>
  <c r="AK13" i="120"/>
  <c r="AT13" i="120" s="1"/>
  <c r="H316" i="36"/>
  <c r="AT20" i="120"/>
  <c r="AL20" i="120"/>
  <c r="AU20" i="120" s="1"/>
  <c r="AS14" i="120"/>
  <c r="AL14" i="120"/>
  <c r="AU14" i="120" s="1"/>
  <c r="AT15" i="120"/>
  <c r="AL15" i="120"/>
  <c r="AM15" i="120" s="1"/>
  <c r="AK18" i="120"/>
  <c r="AT18" i="120" s="1"/>
  <c r="AS16" i="120"/>
  <c r="AS20" i="120"/>
  <c r="AS13" i="120"/>
  <c r="AL17" i="120"/>
  <c r="AU17" i="120" s="1"/>
  <c r="AS18" i="120"/>
  <c r="BR22" i="120"/>
  <c r="BQ22" i="120"/>
  <c r="AK16" i="120"/>
  <c r="AT16" i="120" s="1"/>
  <c r="AL19" i="120" l="1"/>
  <c r="AU19" i="120" s="1"/>
  <c r="AL12" i="120"/>
  <c r="AU12" i="120" s="1"/>
  <c r="AN22" i="124"/>
  <c r="AN24" i="124" s="1"/>
  <c r="AP22" i="124"/>
  <c r="AO22" i="124"/>
  <c r="AM12" i="120"/>
  <c r="AV12" i="120" s="1"/>
  <c r="AS22" i="120"/>
  <c r="AK22" i="120"/>
  <c r="AL22" i="120" s="1"/>
  <c r="AM17" i="120"/>
  <c r="AV17" i="120" s="1"/>
  <c r="AL16" i="120"/>
  <c r="AU16" i="120" s="1"/>
  <c r="AM21" i="120"/>
  <c r="AL18" i="120"/>
  <c r="AU18" i="120" s="1"/>
  <c r="AL13" i="120"/>
  <c r="AV15" i="120"/>
  <c r="AO15" i="120"/>
  <c r="AX15" i="120" s="1"/>
  <c r="AM18" i="120"/>
  <c r="AM20" i="120"/>
  <c r="AV20" i="120" s="1"/>
  <c r="AM14" i="120"/>
  <c r="AM16" i="120"/>
  <c r="AV16" i="120" s="1"/>
  <c r="AO12" i="120"/>
  <c r="AX12" i="120" s="1"/>
  <c r="AM19" i="120"/>
  <c r="AO20" i="120"/>
  <c r="AX20" i="120" s="1"/>
  <c r="AU15" i="120"/>
  <c r="AU22" i="120" l="1"/>
  <c r="AO16" i="120"/>
  <c r="AX16" i="120" s="1"/>
  <c r="AT22" i="120"/>
  <c r="AM22" i="120"/>
  <c r="AV22" i="120" s="1"/>
  <c r="AP26" i="124"/>
  <c r="AP28" i="124"/>
  <c r="AO26" i="124"/>
  <c r="AO28" i="124"/>
  <c r="AU13" i="120"/>
  <c r="AM13" i="120"/>
  <c r="AO13" i="120" s="1"/>
  <c r="AX13" i="120" s="1"/>
  <c r="AV21" i="120"/>
  <c r="AO21" i="120"/>
  <c r="AO17" i="120"/>
  <c r="AV19" i="120"/>
  <c r="AO19" i="120"/>
  <c r="AX19" i="120" s="1"/>
  <c r="AI16" i="120"/>
  <c r="AV14" i="120"/>
  <c r="AO14" i="120"/>
  <c r="AX14" i="120" s="1"/>
  <c r="AI20" i="120"/>
  <c r="AI15" i="120"/>
  <c r="AI12" i="120"/>
  <c r="AV18" i="120"/>
  <c r="AO18" i="120"/>
  <c r="H10" i="165" a="1"/>
  <c r="G10" i="165" a="1"/>
  <c r="E10" i="165" a="1"/>
  <c r="D10" i="165" a="1"/>
  <c r="D10" i="165" l="1"/>
  <c r="E10" i="165"/>
  <c r="G10" i="165"/>
  <c r="H10" i="165"/>
  <c r="AO22" i="120"/>
  <c r="AX22" i="120" s="1"/>
  <c r="AX17" i="120"/>
  <c r="AI17" i="120"/>
  <c r="AX21" i="120"/>
  <c r="AI21" i="120"/>
  <c r="AV13" i="120"/>
  <c r="AI13" i="120"/>
  <c r="AR20" i="120"/>
  <c r="AP20" i="120"/>
  <c r="AY20" i="120" s="1"/>
  <c r="AI14" i="120"/>
  <c r="AR12" i="120"/>
  <c r="AP12" i="120"/>
  <c r="AY12" i="120" s="1"/>
  <c r="AX18" i="120"/>
  <c r="AI18" i="120"/>
  <c r="AP15" i="120"/>
  <c r="AY15" i="120" s="1"/>
  <c r="AR15" i="120"/>
  <c r="AR16" i="120"/>
  <c r="AP16" i="120"/>
  <c r="AY16" i="120" s="1"/>
  <c r="AI19" i="120"/>
  <c r="AI22" i="120" l="1"/>
  <c r="AR13" i="120"/>
  <c r="AP13" i="120"/>
  <c r="AY13" i="120" s="1"/>
  <c r="AR21" i="120"/>
  <c r="AP21" i="120"/>
  <c r="AY21" i="120" s="1"/>
  <c r="AP17" i="120"/>
  <c r="AY17" i="120" s="1"/>
  <c r="AR17" i="120"/>
  <c r="AR14" i="120"/>
  <c r="AP14" i="120"/>
  <c r="AY14" i="120" s="1"/>
  <c r="AP18" i="120"/>
  <c r="AY18" i="120" s="1"/>
  <c r="AR18" i="120"/>
  <c r="AR19" i="120"/>
  <c r="AP19" i="120"/>
  <c r="AY19" i="120" s="1"/>
  <c r="AR22" i="120" l="1"/>
  <c r="AP22" i="120"/>
  <c r="AY22" i="120" s="1"/>
  <c r="F37" i="116"/>
  <c r="D37" i="116"/>
  <c r="F36" i="116"/>
  <c r="D36" i="116"/>
  <c r="E36" i="116" s="1"/>
  <c r="F35" i="116"/>
  <c r="D35" i="116"/>
  <c r="F34" i="116"/>
  <c r="D34" i="116"/>
  <c r="F33" i="116"/>
  <c r="D46" i="116" s="1"/>
  <c r="D33" i="116"/>
  <c r="AK22" i="116"/>
  <c r="T22" i="116"/>
  <c r="S22" i="116"/>
  <c r="R22" i="116"/>
  <c r="Q22" i="116"/>
  <c r="P22" i="116"/>
  <c r="K22" i="116"/>
  <c r="J22" i="116"/>
  <c r="I22" i="116"/>
  <c r="E69" i="116" s="1"/>
  <c r="H22" i="116"/>
  <c r="D69" i="116" s="1"/>
  <c r="G22" i="116"/>
  <c r="C37" i="116" s="1"/>
  <c r="F22" i="116"/>
  <c r="C36" i="116" s="1"/>
  <c r="E22" i="116"/>
  <c r="C35" i="116" s="1"/>
  <c r="D22" i="116"/>
  <c r="C22" i="116"/>
  <c r="AK21" i="116"/>
  <c r="T21" i="116"/>
  <c r="S21" i="116"/>
  <c r="R21" i="116"/>
  <c r="Q21" i="116"/>
  <c r="P21" i="116"/>
  <c r="K21" i="116"/>
  <c r="J21" i="116"/>
  <c r="I21" i="116"/>
  <c r="H21" i="116"/>
  <c r="G21" i="116"/>
  <c r="F21" i="116"/>
  <c r="E21" i="116"/>
  <c r="D21" i="116"/>
  <c r="C21" i="116"/>
  <c r="AK20" i="116"/>
  <c r="T20" i="116"/>
  <c r="S20" i="116"/>
  <c r="R20" i="116"/>
  <c r="Q20" i="116"/>
  <c r="P20" i="116"/>
  <c r="AS20" i="116" s="1"/>
  <c r="K20" i="116"/>
  <c r="J20" i="116"/>
  <c r="I20" i="116"/>
  <c r="H20" i="116"/>
  <c r="G20" i="116"/>
  <c r="F20" i="116"/>
  <c r="E20" i="116"/>
  <c r="D20" i="116"/>
  <c r="C20" i="116"/>
  <c r="AK19" i="116"/>
  <c r="T19" i="116"/>
  <c r="S19" i="116"/>
  <c r="R19" i="116"/>
  <c r="Q19" i="116"/>
  <c r="P19" i="116"/>
  <c r="K19" i="116"/>
  <c r="J19" i="116"/>
  <c r="I19" i="116"/>
  <c r="H19" i="116"/>
  <c r="G19" i="116"/>
  <c r="F19" i="116"/>
  <c r="E19" i="116"/>
  <c r="D19" i="116"/>
  <c r="C19" i="116"/>
  <c r="AK18" i="116"/>
  <c r="T18" i="116"/>
  <c r="S18" i="116"/>
  <c r="R18" i="116"/>
  <c r="Q18" i="116"/>
  <c r="P18" i="116"/>
  <c r="K18" i="116"/>
  <c r="J18" i="116"/>
  <c r="I18" i="116"/>
  <c r="H18" i="116"/>
  <c r="G18" i="116"/>
  <c r="F18" i="116"/>
  <c r="E18" i="116"/>
  <c r="D18" i="116"/>
  <c r="C18" i="116"/>
  <c r="AK17" i="116"/>
  <c r="T17" i="116"/>
  <c r="S17" i="116"/>
  <c r="R17" i="116"/>
  <c r="Q17" i="116"/>
  <c r="P17" i="116"/>
  <c r="K17" i="116"/>
  <c r="J17" i="116"/>
  <c r="I17" i="116"/>
  <c r="H17" i="116"/>
  <c r="G17" i="116"/>
  <c r="F17" i="116"/>
  <c r="E17" i="116"/>
  <c r="D17" i="116"/>
  <c r="C17" i="116"/>
  <c r="AK16" i="116"/>
  <c r="T16" i="116"/>
  <c r="S16" i="116"/>
  <c r="R16" i="116"/>
  <c r="Q16" i="116"/>
  <c r="P16" i="116"/>
  <c r="K16" i="116"/>
  <c r="J16" i="116"/>
  <c r="I16" i="116"/>
  <c r="H16" i="116"/>
  <c r="G16" i="116"/>
  <c r="F16" i="116"/>
  <c r="E16" i="116"/>
  <c r="D16" i="116"/>
  <c r="C16" i="116"/>
  <c r="AK15" i="116"/>
  <c r="T15" i="116"/>
  <c r="S15" i="116"/>
  <c r="R15" i="116"/>
  <c r="Q15" i="116"/>
  <c r="P15" i="116"/>
  <c r="K15" i="116"/>
  <c r="J15" i="116"/>
  <c r="I15" i="116"/>
  <c r="H15" i="116"/>
  <c r="G15" i="116"/>
  <c r="F15" i="116"/>
  <c r="E15" i="116"/>
  <c r="D15" i="116"/>
  <c r="C15" i="116"/>
  <c r="AK14" i="116"/>
  <c r="T14" i="116"/>
  <c r="S14" i="116"/>
  <c r="R14" i="116"/>
  <c r="Q14" i="116"/>
  <c r="P14" i="116"/>
  <c r="K14" i="116"/>
  <c r="J14" i="116"/>
  <c r="I14" i="116"/>
  <c r="H14" i="116"/>
  <c r="G14" i="116"/>
  <c r="F14" i="116"/>
  <c r="E14" i="116"/>
  <c r="D14" i="116"/>
  <c r="C14" i="116"/>
  <c r="AK13" i="116"/>
  <c r="T13" i="116"/>
  <c r="S13" i="116"/>
  <c r="R13" i="116"/>
  <c r="Q13" i="116"/>
  <c r="P13" i="116"/>
  <c r="K13" i="116"/>
  <c r="J13" i="116"/>
  <c r="I13" i="116"/>
  <c r="H13" i="116"/>
  <c r="G13" i="116"/>
  <c r="F13" i="116"/>
  <c r="E13" i="116"/>
  <c r="D13" i="116"/>
  <c r="C13" i="116"/>
  <c r="AK12" i="116"/>
  <c r="T12" i="116"/>
  <c r="S12" i="116"/>
  <c r="R12" i="116"/>
  <c r="Q12" i="116"/>
  <c r="P12" i="116"/>
  <c r="AS12" i="116" s="1"/>
  <c r="K12" i="116"/>
  <c r="J12" i="116"/>
  <c r="I12" i="116"/>
  <c r="H12" i="116"/>
  <c r="G12" i="116"/>
  <c r="F12" i="116"/>
  <c r="E12" i="116"/>
  <c r="D12" i="116"/>
  <c r="C12" i="116"/>
  <c r="W50" i="115"/>
  <c r="D50" i="115"/>
  <c r="W49" i="115"/>
  <c r="D49" i="115"/>
  <c r="W48" i="115"/>
  <c r="D48" i="115"/>
  <c r="W47" i="115"/>
  <c r="D47" i="115"/>
  <c r="W46" i="115"/>
  <c r="D46" i="115"/>
  <c r="AK12" i="115" a="1"/>
  <c r="AK12" i="115" s="1"/>
  <c r="P12" i="115" a="1"/>
  <c r="H12" i="115" a="1"/>
  <c r="C12" i="115" a="1"/>
  <c r="C35" i="115" s="1"/>
  <c r="V48" i="115" s="1"/>
  <c r="S20" i="154" a="1"/>
  <c r="R20" i="154" a="1"/>
  <c r="AS16" i="116" l="1"/>
  <c r="C65" i="116"/>
  <c r="C66" i="116"/>
  <c r="C79" i="116" s="1"/>
  <c r="AS18" i="116"/>
  <c r="AS15" i="116"/>
  <c r="U20" i="116"/>
  <c r="AQ20" i="116" s="1"/>
  <c r="E35" i="116"/>
  <c r="U16" i="116"/>
  <c r="AQ16" i="116" s="1"/>
  <c r="AR16" i="116" s="1"/>
  <c r="W49" i="116"/>
  <c r="AS14" i="115"/>
  <c r="AS13" i="115"/>
  <c r="AS21" i="115"/>
  <c r="AS20" i="115"/>
  <c r="AS19" i="115"/>
  <c r="AS18" i="115"/>
  <c r="AS17" i="115"/>
  <c r="AS15" i="115"/>
  <c r="AS16" i="115"/>
  <c r="AS13" i="116"/>
  <c r="U19" i="116"/>
  <c r="AQ19" i="116" s="1"/>
  <c r="AS19" i="116"/>
  <c r="AS14" i="116"/>
  <c r="AS21" i="116"/>
  <c r="E37" i="116"/>
  <c r="AS17" i="116"/>
  <c r="S20" i="154"/>
  <c r="R20" i="154"/>
  <c r="C48" i="116"/>
  <c r="V48" i="116"/>
  <c r="E82" i="116"/>
  <c r="C68" i="116"/>
  <c r="C81" i="116" s="1"/>
  <c r="D82" i="116"/>
  <c r="W47" i="116"/>
  <c r="U12" i="116"/>
  <c r="F69" i="116"/>
  <c r="W46" i="116"/>
  <c r="C78" i="116"/>
  <c r="G69" i="116"/>
  <c r="C33" i="116"/>
  <c r="G33" i="116" s="1"/>
  <c r="O33" i="116" s="1"/>
  <c r="U15" i="116"/>
  <c r="AQ15" i="116" s="1"/>
  <c r="AR15" i="116" s="1"/>
  <c r="U22" i="116"/>
  <c r="G35" i="116"/>
  <c r="H35" i="116" s="1"/>
  <c r="D49" i="116"/>
  <c r="C67" i="116"/>
  <c r="C80" i="116" s="1"/>
  <c r="E33" i="116"/>
  <c r="C34" i="115"/>
  <c r="G34" i="115" s="1"/>
  <c r="H34" i="115" s="1"/>
  <c r="C36" i="115"/>
  <c r="C49" i="115" s="1"/>
  <c r="U18" i="115"/>
  <c r="AQ18" i="115" s="1"/>
  <c r="AR18" i="115" s="1"/>
  <c r="C48" i="115"/>
  <c r="C12" i="115"/>
  <c r="U20" i="115"/>
  <c r="AQ20" i="115" s="1"/>
  <c r="U13" i="115"/>
  <c r="AQ13" i="115" s="1"/>
  <c r="U15" i="115"/>
  <c r="AQ15" i="115" s="1"/>
  <c r="AR15" i="115" s="1"/>
  <c r="C67" i="115"/>
  <c r="C80" i="115" s="1"/>
  <c r="C33" i="115"/>
  <c r="V46" i="115" s="1"/>
  <c r="C37" i="115"/>
  <c r="G37" i="115" s="1"/>
  <c r="O37" i="115" s="1"/>
  <c r="V49" i="116"/>
  <c r="C49" i="116"/>
  <c r="G36" i="116"/>
  <c r="H36" i="116" s="1"/>
  <c r="V50" i="116"/>
  <c r="G37" i="116"/>
  <c r="H37" i="116" s="1"/>
  <c r="C50" i="116"/>
  <c r="V46" i="116"/>
  <c r="D48" i="116"/>
  <c r="D50" i="116"/>
  <c r="W50" i="116"/>
  <c r="U21" i="116"/>
  <c r="W48" i="116"/>
  <c r="C69" i="116"/>
  <c r="U13" i="116"/>
  <c r="AQ13" i="116" s="1"/>
  <c r="AR13" i="116" s="1"/>
  <c r="C34" i="116"/>
  <c r="G34" i="116" s="1"/>
  <c r="U18" i="116"/>
  <c r="AQ18" i="116" s="1"/>
  <c r="AR18" i="116" s="1"/>
  <c r="E34" i="116"/>
  <c r="U17" i="116"/>
  <c r="AQ17" i="116" s="1"/>
  <c r="AR17" i="116" s="1"/>
  <c r="D47" i="116"/>
  <c r="U14" i="116"/>
  <c r="AQ14" i="116" s="1"/>
  <c r="AR14" i="116" s="1"/>
  <c r="U21" i="115"/>
  <c r="U16" i="115"/>
  <c r="AQ16" i="115" s="1"/>
  <c r="AR16" i="115" s="1"/>
  <c r="U19" i="115"/>
  <c r="AQ19" i="115" s="1"/>
  <c r="U14" i="115"/>
  <c r="AQ14" i="115" s="1"/>
  <c r="AR14" i="115" s="1"/>
  <c r="C69" i="115"/>
  <c r="C68" i="115"/>
  <c r="C81" i="115" s="1"/>
  <c r="P12" i="115"/>
  <c r="G69" i="115"/>
  <c r="F69" i="115"/>
  <c r="E69" i="115"/>
  <c r="D69" i="115"/>
  <c r="H12" i="115"/>
  <c r="G35" i="115"/>
  <c r="H35" i="115" s="1"/>
  <c r="C65" i="115"/>
  <c r="C66" i="115"/>
  <c r="C79" i="115" s="1"/>
  <c r="U17" i="115"/>
  <c r="AQ17" i="115" s="1"/>
  <c r="AR17" i="115" s="1"/>
  <c r="U22" i="115"/>
  <c r="S7" i="154" a="1"/>
  <c r="O7" i="154" a="1"/>
  <c r="Q7" i="154" a="1"/>
  <c r="O20" i="154" a="1"/>
  <c r="R7" i="154" a="1"/>
  <c r="Q20" i="154" a="1"/>
  <c r="T20" i="154" a="1"/>
  <c r="U20" i="154" a="1"/>
  <c r="U7" i="154" a="1"/>
  <c r="T7" i="154" a="1"/>
  <c r="V49" i="115" l="1"/>
  <c r="G36" i="115"/>
  <c r="H36" i="115" s="1"/>
  <c r="H33" i="116"/>
  <c r="F46" i="116" s="1"/>
  <c r="O20" i="154"/>
  <c r="AR19" i="116"/>
  <c r="C46" i="116"/>
  <c r="AR21" i="116"/>
  <c r="AQ21" i="116"/>
  <c r="AR20" i="115"/>
  <c r="G33" i="115"/>
  <c r="O33" i="115" s="1"/>
  <c r="H24" i="116"/>
  <c r="AR23" i="116"/>
  <c r="AR19" i="115"/>
  <c r="C46" i="115"/>
  <c r="AR20" i="116"/>
  <c r="AR22" i="116" s="1"/>
  <c r="AR13" i="115"/>
  <c r="H24" i="115"/>
  <c r="AR23" i="115"/>
  <c r="AQ21" i="115"/>
  <c r="AR21" i="115"/>
  <c r="AQ22" i="116"/>
  <c r="AS12" i="115"/>
  <c r="U7" i="154"/>
  <c r="Q7" i="154"/>
  <c r="Q20" i="154"/>
  <c r="U20" i="154"/>
  <c r="S7" i="154"/>
  <c r="T7" i="154"/>
  <c r="T20" i="154"/>
  <c r="O7" i="154"/>
  <c r="R7" i="154"/>
  <c r="G82" i="115"/>
  <c r="C82" i="115"/>
  <c r="C82" i="116"/>
  <c r="G82" i="116"/>
  <c r="E82" i="115"/>
  <c r="F82" i="115"/>
  <c r="F82" i="116"/>
  <c r="C78" i="115"/>
  <c r="D82" i="115"/>
  <c r="V47" i="115"/>
  <c r="C47" i="115"/>
  <c r="U12" i="115"/>
  <c r="AQ12" i="115" s="1"/>
  <c r="AR12" i="115" s="1"/>
  <c r="H33" i="115"/>
  <c r="F46" i="115" s="1"/>
  <c r="C50" i="115"/>
  <c r="V50" i="115"/>
  <c r="Y50" i="116"/>
  <c r="F50" i="116"/>
  <c r="Y46" i="116"/>
  <c r="O37" i="116"/>
  <c r="L37" i="116"/>
  <c r="R37" i="116" s="1"/>
  <c r="I37" i="116"/>
  <c r="J37" i="116"/>
  <c r="M37" i="116"/>
  <c r="H34" i="116"/>
  <c r="V47" i="116"/>
  <c r="C47" i="116"/>
  <c r="K37" i="116"/>
  <c r="Q37" i="116" s="1"/>
  <c r="L37" i="115"/>
  <c r="I37" i="115"/>
  <c r="J37" i="115"/>
  <c r="M37" i="115"/>
  <c r="H37" i="115"/>
  <c r="K37" i="115"/>
  <c r="F20" i="158" a="1"/>
  <c r="D7" i="158" a="1"/>
  <c r="D20" i="154" a="1"/>
  <c r="C284" i="36" a="1"/>
  <c r="F20" i="154" a="1"/>
  <c r="C247" i="36" a="1"/>
  <c r="D20" i="158" a="1"/>
  <c r="AQ22" i="115" l="1"/>
  <c r="AR22" i="115"/>
  <c r="AR25" i="115" s="1"/>
  <c r="AR24" i="116"/>
  <c r="AR25" i="116"/>
  <c r="C284" i="36"/>
  <c r="D7" i="158"/>
  <c r="F20" i="154"/>
  <c r="C247" i="36"/>
  <c r="D20" i="154"/>
  <c r="D20" i="158"/>
  <c r="F20" i="158"/>
  <c r="AE37" i="116"/>
  <c r="AD37" i="116"/>
  <c r="Y46" i="115"/>
  <c r="AB50" i="116"/>
  <c r="I50" i="116"/>
  <c r="AA50" i="116"/>
  <c r="H50" i="116"/>
  <c r="U37" i="116"/>
  <c r="V37" i="116"/>
  <c r="T37" i="116"/>
  <c r="Z50" i="116"/>
  <c r="G50" i="116"/>
  <c r="K50" i="116"/>
  <c r="AC50" i="116"/>
  <c r="J50" i="116"/>
  <c r="P37" i="116"/>
  <c r="U37" i="115"/>
  <c r="T37" i="115"/>
  <c r="G50" i="115"/>
  <c r="V37" i="115"/>
  <c r="Z50" i="115"/>
  <c r="AC50" i="115"/>
  <c r="J50" i="115"/>
  <c r="I50" i="115"/>
  <c r="AB50" i="115"/>
  <c r="F50" i="115"/>
  <c r="R37" i="115"/>
  <c r="Q37" i="115"/>
  <c r="P37" i="115"/>
  <c r="Y50" i="115"/>
  <c r="K50" i="115"/>
  <c r="H50" i="115"/>
  <c r="AA50" i="115"/>
  <c r="E7" i="158" a="1"/>
  <c r="B284" i="36" a="1"/>
  <c r="C231" i="36" a="1"/>
  <c r="J20" i="154" a="1"/>
  <c r="B247" i="36" a="1"/>
  <c r="J7" i="165" a="1"/>
  <c r="B267" i="36" a="1"/>
  <c r="M7" i="158" a="1"/>
  <c r="K7" i="154" a="1"/>
  <c r="G20" i="158" a="1"/>
  <c r="F7" i="158" a="1"/>
  <c r="B204" i="36" a="1"/>
  <c r="H20" i="154" a="1"/>
  <c r="H7" i="154" a="1"/>
  <c r="I20" i="158" a="1"/>
  <c r="E7" i="154" a="1"/>
  <c r="C267" i="36" a="1"/>
  <c r="J7" i="154" a="1"/>
  <c r="J20" i="165" a="1"/>
  <c r="H7" i="158" a="1"/>
  <c r="G7" i="154" a="1"/>
  <c r="I7" i="158" a="1"/>
  <c r="J7" i="158" a="1"/>
  <c r="K20" i="154" a="1"/>
  <c r="B196" i="36" a="1"/>
  <c r="I7" i="154" a="1"/>
  <c r="I20" i="154" a="1"/>
  <c r="G20" i="154" a="1"/>
  <c r="J20" i="158" a="1"/>
  <c r="B231" i="36" a="1"/>
  <c r="D7" i="154" a="1"/>
  <c r="M20" i="158" a="1"/>
  <c r="F7" i="154" a="1"/>
  <c r="H20" i="158" a="1"/>
  <c r="G7" i="158" a="1"/>
  <c r="J20" i="165" l="1"/>
  <c r="J7" i="165"/>
  <c r="AR24" i="115"/>
  <c r="I7" i="158"/>
  <c r="J7" i="158"/>
  <c r="H20" i="158"/>
  <c r="J20" i="158"/>
  <c r="F7" i="154"/>
  <c r="J7" i="154"/>
  <c r="J20" i="154"/>
  <c r="H20" i="154"/>
  <c r="B247" i="36"/>
  <c r="G7" i="154"/>
  <c r="M20" i="158"/>
  <c r="K20" i="154"/>
  <c r="I20" i="158"/>
  <c r="M7" i="158"/>
  <c r="K7" i="154"/>
  <c r="C231" i="36"/>
  <c r="B267" i="36"/>
  <c r="G20" i="158"/>
  <c r="I20" i="154"/>
  <c r="H7" i="158"/>
  <c r="G7" i="158"/>
  <c r="F7" i="158"/>
  <c r="E7" i="158"/>
  <c r="E7" i="154"/>
  <c r="B196" i="36"/>
  <c r="D7" i="154"/>
  <c r="C267" i="36"/>
  <c r="G20" i="154"/>
  <c r="B204" i="36"/>
  <c r="H7" i="154"/>
  <c r="I7" i="154"/>
  <c r="B231" i="36"/>
  <c r="B284" i="36"/>
  <c r="AD37" i="115"/>
  <c r="Z42" i="115"/>
  <c r="AE37" i="115"/>
  <c r="X42" i="116"/>
  <c r="AG37" i="116"/>
  <c r="Y37" i="116"/>
  <c r="X37" i="116"/>
  <c r="AF37" i="116"/>
  <c r="W37" i="116"/>
  <c r="Z37" i="116"/>
  <c r="AH37" i="116"/>
  <c r="Z42" i="116"/>
  <c r="AC37" i="116"/>
  <c r="S37" i="116"/>
  <c r="Y42" i="116"/>
  <c r="X37" i="115"/>
  <c r="W37" i="115"/>
  <c r="AF37" i="115"/>
  <c r="Y37" i="115"/>
  <c r="AG37" i="115"/>
  <c r="X42" i="115"/>
  <c r="Y42" i="115"/>
  <c r="S37" i="115"/>
  <c r="AC37" i="115"/>
  <c r="Z37" i="115"/>
  <c r="AH37" i="115"/>
  <c r="J236" i="36" a="1"/>
  <c r="J203" i="36" a="1"/>
  <c r="G236" i="36" a="1"/>
  <c r="G235" i="36" a="1"/>
  <c r="G270" i="36" a="1"/>
  <c r="K20" i="158" a="1"/>
  <c r="L20" i="158" a="1"/>
  <c r="M20" i="154" a="1"/>
  <c r="C316" i="36" a="1"/>
  <c r="G272" i="36" a="1"/>
  <c r="B303" i="36" a="1"/>
  <c r="M7" i="154" a="1"/>
  <c r="C204" i="36" a="1"/>
  <c r="J272" i="36" a="1"/>
  <c r="J196" i="36" a="1"/>
  <c r="G203" i="36" a="1"/>
  <c r="C303" i="36" a="1"/>
  <c r="L20" i="154" a="1"/>
  <c r="G196" i="36" a="1"/>
  <c r="J235" i="36" a="1"/>
  <c r="C196" i="36" a="1"/>
  <c r="K7" i="158" a="1"/>
  <c r="L7" i="158" a="1"/>
  <c r="L7" i="154" a="1"/>
  <c r="J270" i="36" a="1"/>
  <c r="B316" i="36" a="1"/>
  <c r="C303" i="36" l="1"/>
  <c r="L7" i="158"/>
  <c r="M7" i="154"/>
  <c r="C196" i="36"/>
  <c r="J236" i="36"/>
  <c r="G196" i="36"/>
  <c r="C316" i="36"/>
  <c r="M20" i="154"/>
  <c r="L20" i="158"/>
  <c r="C204" i="36"/>
  <c r="G236" i="36"/>
  <c r="B303" i="36"/>
  <c r="K7" i="158"/>
  <c r="L7" i="154"/>
  <c r="J235" i="36"/>
  <c r="J203" i="36"/>
  <c r="J272" i="36"/>
  <c r="J196" i="36"/>
  <c r="G235" i="36"/>
  <c r="G272" i="36"/>
  <c r="J270" i="36"/>
  <c r="G270" i="36"/>
  <c r="B316" i="36"/>
  <c r="K20" i="158"/>
  <c r="L20" i="154"/>
  <c r="G203" i="36"/>
  <c r="AA42" i="116"/>
  <c r="AA37" i="115"/>
  <c r="AA37" i="116"/>
  <c r="AA42" i="115"/>
  <c r="J310" i="36" a="1"/>
  <c r="J304" i="36" a="1"/>
  <c r="J310" i="36" l="1"/>
  <c r="J304" i="36"/>
  <c r="I270" i="36"/>
  <c r="H270" i="36"/>
  <c r="I196" i="36"/>
  <c r="H196" i="36"/>
  <c r="I235" i="36"/>
  <c r="H235" i="36"/>
  <c r="H236" i="36"/>
  <c r="I236" i="36"/>
  <c r="H203" i="36"/>
  <c r="I203" i="36"/>
  <c r="I272" i="36"/>
  <c r="H272" i="36"/>
  <c r="C12" i="113"/>
  <c r="D12" i="113"/>
  <c r="E12" i="113"/>
  <c r="F12" i="113"/>
  <c r="G12" i="113"/>
  <c r="H12" i="113"/>
  <c r="I12" i="113"/>
  <c r="P12" i="113"/>
  <c r="Q12" i="113"/>
  <c r="AN12" i="113"/>
  <c r="BH12" i="113"/>
  <c r="BI12" i="113"/>
  <c r="BJ12" i="113"/>
  <c r="BK12" i="113"/>
  <c r="DE12" i="113"/>
  <c r="DD12" i="113" s="1"/>
  <c r="EA12" i="113"/>
  <c r="EB12" i="113"/>
  <c r="EC12" i="113"/>
  <c r="ED12" i="113"/>
  <c r="EE12" i="113"/>
  <c r="EF12" i="113"/>
  <c r="EG12" i="113"/>
  <c r="EN12" i="113"/>
  <c r="EO12" i="113"/>
  <c r="FA12" i="113"/>
  <c r="EZ12" i="113" s="1"/>
  <c r="C13" i="113"/>
  <c r="D13" i="113"/>
  <c r="E13" i="113"/>
  <c r="F13" i="113"/>
  <c r="G13" i="113"/>
  <c r="H13" i="113"/>
  <c r="I13" i="113"/>
  <c r="P13" i="113"/>
  <c r="Q13" i="113"/>
  <c r="AN13" i="113"/>
  <c r="BH13" i="113"/>
  <c r="BI13" i="113"/>
  <c r="BJ13" i="113"/>
  <c r="BK13" i="113"/>
  <c r="DE13" i="113"/>
  <c r="DD13" i="113" s="1"/>
  <c r="EA13" i="113"/>
  <c r="EB13" i="113"/>
  <c r="EC13" i="113"/>
  <c r="ED13" i="113"/>
  <c r="EE13" i="113"/>
  <c r="EF13" i="113"/>
  <c r="EG13" i="113"/>
  <c r="EN13" i="113"/>
  <c r="EO13" i="113"/>
  <c r="FA13" i="113"/>
  <c r="EZ13" i="113" s="1"/>
  <c r="C14" i="113"/>
  <c r="D14" i="113"/>
  <c r="E14" i="113"/>
  <c r="F14" i="113"/>
  <c r="G14" i="113"/>
  <c r="H14" i="113"/>
  <c r="I14" i="113"/>
  <c r="P14" i="113"/>
  <c r="Q14" i="113"/>
  <c r="AN14" i="113"/>
  <c r="BH14" i="113"/>
  <c r="BI14" i="113"/>
  <c r="BJ14" i="113"/>
  <c r="BK14" i="113"/>
  <c r="DE14" i="113"/>
  <c r="DD14" i="113" s="1"/>
  <c r="EA14" i="113"/>
  <c r="EB14" i="113"/>
  <c r="EC14" i="113"/>
  <c r="ED14" i="113"/>
  <c r="EE14" i="113"/>
  <c r="EF14" i="113"/>
  <c r="EG14" i="113"/>
  <c r="EN14" i="113"/>
  <c r="EP14" i="113" s="1"/>
  <c r="EO14" i="113"/>
  <c r="FA14" i="113"/>
  <c r="EZ14" i="113" s="1"/>
  <c r="C15" i="113"/>
  <c r="D15" i="113"/>
  <c r="E15" i="113"/>
  <c r="F15" i="113"/>
  <c r="G15" i="113"/>
  <c r="H15" i="113"/>
  <c r="I15" i="113"/>
  <c r="P15" i="113"/>
  <c r="Q15" i="113"/>
  <c r="R15" i="113" s="1"/>
  <c r="AN15" i="113"/>
  <c r="BH15" i="113"/>
  <c r="BI15" i="113"/>
  <c r="BJ15" i="113"/>
  <c r="BK15" i="113"/>
  <c r="DE15" i="113"/>
  <c r="DD15" i="113" s="1"/>
  <c r="EA15" i="113"/>
  <c r="EB15" i="113"/>
  <c r="EC15" i="113"/>
  <c r="ED15" i="113"/>
  <c r="EE15" i="113"/>
  <c r="EF15" i="113"/>
  <c r="EG15" i="113"/>
  <c r="EN15" i="113"/>
  <c r="EO15" i="113"/>
  <c r="FA15" i="113"/>
  <c r="EZ15" i="113" s="1"/>
  <c r="C16" i="113"/>
  <c r="D16" i="113"/>
  <c r="E16" i="113"/>
  <c r="X16" i="113" s="1"/>
  <c r="F16" i="113"/>
  <c r="G16" i="113"/>
  <c r="H16" i="113"/>
  <c r="I16" i="113"/>
  <c r="P16" i="113"/>
  <c r="Q16" i="113"/>
  <c r="AN16" i="113"/>
  <c r="BH16" i="113"/>
  <c r="BI16" i="113"/>
  <c r="BJ16" i="113"/>
  <c r="BK16" i="113"/>
  <c r="BM16" i="113" s="1"/>
  <c r="DE16" i="113"/>
  <c r="DD16" i="113" s="1"/>
  <c r="EA16" i="113"/>
  <c r="EB16" i="113"/>
  <c r="EC16" i="113"/>
  <c r="ED16" i="113"/>
  <c r="EE16" i="113"/>
  <c r="EF16" i="113"/>
  <c r="EG16" i="113"/>
  <c r="EN16" i="113"/>
  <c r="EO16" i="113"/>
  <c r="FA16" i="113"/>
  <c r="EZ16" i="113" s="1"/>
  <c r="C17" i="113"/>
  <c r="D17" i="113"/>
  <c r="E17" i="113"/>
  <c r="F17" i="113"/>
  <c r="G17" i="113"/>
  <c r="H17" i="113"/>
  <c r="I17" i="113"/>
  <c r="P17" i="113"/>
  <c r="Q17" i="113"/>
  <c r="AN17" i="113"/>
  <c r="BH17" i="113"/>
  <c r="BI17" i="113"/>
  <c r="BJ17" i="113"/>
  <c r="BK17" i="113"/>
  <c r="DE17" i="113"/>
  <c r="DD17" i="113" s="1"/>
  <c r="EA17" i="113"/>
  <c r="EB17" i="113"/>
  <c r="EC17" i="113"/>
  <c r="ED17" i="113"/>
  <c r="EE17" i="113"/>
  <c r="EF17" i="113"/>
  <c r="EG17" i="113"/>
  <c r="EN17" i="113"/>
  <c r="EO17" i="113"/>
  <c r="FA17" i="113"/>
  <c r="EZ17" i="113" s="1"/>
  <c r="C18" i="113"/>
  <c r="D18" i="113"/>
  <c r="E18" i="113"/>
  <c r="F18" i="113"/>
  <c r="G18" i="113"/>
  <c r="H18" i="113"/>
  <c r="I18" i="113"/>
  <c r="P18" i="113"/>
  <c r="Q18" i="113"/>
  <c r="AN18" i="113"/>
  <c r="BH18" i="113"/>
  <c r="BI18" i="113"/>
  <c r="BJ18" i="113"/>
  <c r="BK18" i="113"/>
  <c r="DE18" i="113"/>
  <c r="DD18" i="113" s="1"/>
  <c r="EA18" i="113"/>
  <c r="EB18" i="113"/>
  <c r="EC18" i="113"/>
  <c r="ED18" i="113"/>
  <c r="EE18" i="113"/>
  <c r="EF18" i="113"/>
  <c r="EG18" i="113"/>
  <c r="EN18" i="113"/>
  <c r="EO18" i="113"/>
  <c r="FA18" i="113"/>
  <c r="EZ18" i="113" s="1"/>
  <c r="C19" i="113"/>
  <c r="D19" i="113"/>
  <c r="E19" i="113"/>
  <c r="F19" i="113"/>
  <c r="G19" i="113"/>
  <c r="H19" i="113"/>
  <c r="I19" i="113"/>
  <c r="P19" i="113"/>
  <c r="Q19" i="113"/>
  <c r="AN19" i="113"/>
  <c r="BH19" i="113"/>
  <c r="BI19" i="113"/>
  <c r="BJ19" i="113"/>
  <c r="BK19" i="113"/>
  <c r="DE19" i="113"/>
  <c r="DD19" i="113" s="1"/>
  <c r="EA19" i="113"/>
  <c r="EB19" i="113"/>
  <c r="EC19" i="113"/>
  <c r="ED19" i="113"/>
  <c r="EE19" i="113"/>
  <c r="EF19" i="113"/>
  <c r="EG19" i="113"/>
  <c r="EN19" i="113"/>
  <c r="EO19" i="113"/>
  <c r="FA19" i="113"/>
  <c r="EZ19" i="113" s="1"/>
  <c r="C20" i="113"/>
  <c r="D20" i="113"/>
  <c r="E20" i="113"/>
  <c r="F20" i="113"/>
  <c r="G20" i="113"/>
  <c r="H20" i="113"/>
  <c r="I20" i="113"/>
  <c r="P20" i="113"/>
  <c r="Q20" i="113"/>
  <c r="AN20" i="113"/>
  <c r="BH20" i="113"/>
  <c r="BI20" i="113"/>
  <c r="BJ20" i="113"/>
  <c r="BK20" i="113"/>
  <c r="DE20" i="113"/>
  <c r="DD20" i="113" s="1"/>
  <c r="EA20" i="113"/>
  <c r="EB20" i="113"/>
  <c r="EC20" i="113"/>
  <c r="ED20" i="113"/>
  <c r="EE20" i="113"/>
  <c r="EF20" i="113"/>
  <c r="EG20" i="113"/>
  <c r="EN20" i="113"/>
  <c r="EO20" i="113"/>
  <c r="FA20" i="113"/>
  <c r="EZ20" i="113" s="1"/>
  <c r="C21" i="113"/>
  <c r="D21" i="113"/>
  <c r="E21" i="113"/>
  <c r="F21" i="113"/>
  <c r="G21" i="113"/>
  <c r="H21" i="113"/>
  <c r="I21" i="113"/>
  <c r="P21" i="113"/>
  <c r="Q21" i="113"/>
  <c r="AN21" i="113"/>
  <c r="BH21" i="113"/>
  <c r="BI21" i="113"/>
  <c r="BJ21" i="113"/>
  <c r="BK21" i="113"/>
  <c r="DE21" i="113"/>
  <c r="DD21" i="113" s="1"/>
  <c r="EA21" i="113"/>
  <c r="EB21" i="113"/>
  <c r="EC21" i="113"/>
  <c r="ED21" i="113"/>
  <c r="EE21" i="113"/>
  <c r="EF21" i="113"/>
  <c r="EG21" i="113"/>
  <c r="EN21" i="113"/>
  <c r="EO21" i="113"/>
  <c r="FA21" i="113"/>
  <c r="EZ21" i="113" s="1"/>
  <c r="C22" i="113"/>
  <c r="D22" i="113"/>
  <c r="E22" i="113"/>
  <c r="F22" i="113"/>
  <c r="G22" i="113"/>
  <c r="H22" i="113"/>
  <c r="I22" i="113"/>
  <c r="K22" i="113"/>
  <c r="L22" i="113"/>
  <c r="M22" i="113"/>
  <c r="N22" i="113"/>
  <c r="P22" i="113"/>
  <c r="Q22" i="113"/>
  <c r="S22" i="113"/>
  <c r="T22" i="113"/>
  <c r="U22" i="113"/>
  <c r="V22" i="113"/>
  <c r="AN22" i="113"/>
  <c r="BH22" i="113"/>
  <c r="BI22" i="113"/>
  <c r="BJ22" i="113"/>
  <c r="BK22" i="113"/>
  <c r="CK22" i="113"/>
  <c r="CL22" i="113"/>
  <c r="CM22" i="113"/>
  <c r="CN22" i="113"/>
  <c r="DA22" i="113"/>
  <c r="DB22" i="113"/>
  <c r="DE22" i="113"/>
  <c r="DD22" i="113" s="1"/>
  <c r="EA22" i="113"/>
  <c r="EM12" i="113" s="1"/>
  <c r="EB22" i="113"/>
  <c r="EC22" i="113"/>
  <c r="ED22" i="113"/>
  <c r="EE22" i="113"/>
  <c r="EF22" i="113"/>
  <c r="EG22" i="113"/>
  <c r="EI22" i="113"/>
  <c r="EJ22" i="113"/>
  <c r="EK22" i="113"/>
  <c r="EL22" i="113"/>
  <c r="EN22" i="113"/>
  <c r="EO22" i="113"/>
  <c r="EQ22" i="113"/>
  <c r="ER22" i="113"/>
  <c r="ES22" i="113"/>
  <c r="ET22" i="113"/>
  <c r="FA22" i="113"/>
  <c r="EZ22" i="113" s="1"/>
  <c r="FE22" i="112"/>
  <c r="FD22" i="112"/>
  <c r="FC22" i="112"/>
  <c r="FB22" i="112"/>
  <c r="EZ22" i="112"/>
  <c r="EW22" i="112"/>
  <c r="EV22" i="112"/>
  <c r="EP22" i="112"/>
  <c r="DE22" i="112"/>
  <c r="DD22" i="112" s="1"/>
  <c r="DB22" i="112"/>
  <c r="DA22" i="112"/>
  <c r="CV22" i="112"/>
  <c r="CU22" i="112"/>
  <c r="CT22" i="112"/>
  <c r="CS22" i="112"/>
  <c r="CN22" i="112"/>
  <c r="CM22" i="112"/>
  <c r="CL22" i="112"/>
  <c r="CK22" i="112"/>
  <c r="BO22" i="112"/>
  <c r="BN22" i="112"/>
  <c r="BM22" i="112"/>
  <c r="BL22" i="112"/>
  <c r="AN22" i="112"/>
  <c r="AM22" i="112"/>
  <c r="AG22" i="112"/>
  <c r="AF22" i="112"/>
  <c r="AE22" i="112"/>
  <c r="AD22" i="112"/>
  <c r="BA22" i="112" s="1"/>
  <c r="AA22" i="112"/>
  <c r="AB22" i="112" s="1"/>
  <c r="AC22" i="112" s="1"/>
  <c r="Z22" i="112"/>
  <c r="Y22" i="112"/>
  <c r="X22" i="112"/>
  <c r="W22" i="112"/>
  <c r="R22" i="112"/>
  <c r="EZ21" i="112"/>
  <c r="EW21" i="112"/>
  <c r="EV21" i="112"/>
  <c r="EU21" i="112"/>
  <c r="EP21" i="112"/>
  <c r="EM21" i="112"/>
  <c r="DE21" i="112"/>
  <c r="DD21" i="112" s="1"/>
  <c r="BS21" i="112"/>
  <c r="BO21" i="112"/>
  <c r="BN21" i="112"/>
  <c r="BM21" i="112"/>
  <c r="BL21" i="112"/>
  <c r="AN21" i="112"/>
  <c r="AM21" i="112"/>
  <c r="AA21" i="112"/>
  <c r="AB21" i="112" s="1"/>
  <c r="AC21" i="112" s="1"/>
  <c r="Z21" i="112"/>
  <c r="Y21" i="112"/>
  <c r="X21" i="112"/>
  <c r="W21" i="112"/>
  <c r="R21" i="112"/>
  <c r="O21" i="112"/>
  <c r="EZ20" i="112"/>
  <c r="EW20" i="112"/>
  <c r="EV20" i="112"/>
  <c r="EU20" i="112"/>
  <c r="EP20" i="112"/>
  <c r="EM20" i="112"/>
  <c r="DE20" i="112"/>
  <c r="DD20" i="112" s="1"/>
  <c r="BS20" i="112"/>
  <c r="BO20" i="112"/>
  <c r="BN20" i="112"/>
  <c r="BM20" i="112"/>
  <c r="BL20" i="112"/>
  <c r="AN20" i="112"/>
  <c r="AM20" i="112"/>
  <c r="AA20" i="112"/>
  <c r="AB20" i="112" s="1"/>
  <c r="AC20" i="112" s="1"/>
  <c r="Z20" i="112"/>
  <c r="Y20" i="112"/>
  <c r="X20" i="112"/>
  <c r="W20" i="112"/>
  <c r="R20" i="112"/>
  <c r="O20" i="112"/>
  <c r="EZ19" i="112"/>
  <c r="EW19" i="112"/>
  <c r="EV19" i="112"/>
  <c r="EU19" i="112"/>
  <c r="EP19" i="112"/>
  <c r="EM19" i="112"/>
  <c r="DE19" i="112"/>
  <c r="DD19" i="112" s="1"/>
  <c r="BS19" i="112"/>
  <c r="BO19" i="112"/>
  <c r="BN19" i="112"/>
  <c r="BM19" i="112"/>
  <c r="BL19" i="112"/>
  <c r="AN19" i="112"/>
  <c r="AM19" i="112"/>
  <c r="AA19" i="112"/>
  <c r="AB19" i="112" s="1"/>
  <c r="AC19" i="112" s="1"/>
  <c r="Z19" i="112"/>
  <c r="Y19" i="112"/>
  <c r="X19" i="112"/>
  <c r="W19" i="112"/>
  <c r="AH19" i="112" s="1"/>
  <c r="R19" i="112"/>
  <c r="O19" i="112"/>
  <c r="EZ18" i="112"/>
  <c r="EW18" i="112"/>
  <c r="EV18" i="112"/>
  <c r="EU18" i="112"/>
  <c r="EP18" i="112"/>
  <c r="EM18" i="112"/>
  <c r="DE18" i="112"/>
  <c r="DD18" i="112" s="1"/>
  <c r="BS18" i="112"/>
  <c r="BO18" i="112"/>
  <c r="BN18" i="112"/>
  <c r="BM18" i="112"/>
  <c r="BL18" i="112"/>
  <c r="AN18" i="112"/>
  <c r="AM18" i="112"/>
  <c r="AA18" i="112"/>
  <c r="AB18" i="112" s="1"/>
  <c r="AC18" i="112" s="1"/>
  <c r="Z18" i="112"/>
  <c r="Y18" i="112"/>
  <c r="X18" i="112"/>
  <c r="W18" i="112"/>
  <c r="AH18" i="112" s="1"/>
  <c r="R18" i="112"/>
  <c r="O18" i="112"/>
  <c r="EZ17" i="112"/>
  <c r="EW17" i="112"/>
  <c r="EV17" i="112"/>
  <c r="EU17" i="112"/>
  <c r="EP17" i="112"/>
  <c r="EM17" i="112"/>
  <c r="DE17" i="112"/>
  <c r="DD17" i="112"/>
  <c r="BS17" i="112"/>
  <c r="BO17" i="112"/>
  <c r="BN17" i="112"/>
  <c r="BM17" i="112"/>
  <c r="BL17" i="112"/>
  <c r="AN17" i="112"/>
  <c r="AM17" i="112"/>
  <c r="AA17" i="112"/>
  <c r="AB17" i="112" s="1"/>
  <c r="AC17" i="112" s="1"/>
  <c r="Z17" i="112"/>
  <c r="Y17" i="112"/>
  <c r="X17" i="112"/>
  <c r="W17" i="112"/>
  <c r="R17" i="112"/>
  <c r="O17" i="112"/>
  <c r="EZ16" i="112"/>
  <c r="EW16" i="112"/>
  <c r="EV16" i="112"/>
  <c r="EU16" i="112"/>
  <c r="EP16" i="112"/>
  <c r="EM16" i="112"/>
  <c r="DE16" i="112"/>
  <c r="DD16" i="112"/>
  <c r="BS16" i="112"/>
  <c r="BO16" i="112"/>
  <c r="BN16" i="112"/>
  <c r="BM16" i="112"/>
  <c r="BL16" i="112"/>
  <c r="AN16" i="112"/>
  <c r="AM16" i="112"/>
  <c r="AA16" i="112"/>
  <c r="AB16" i="112" s="1"/>
  <c r="AC16" i="112" s="1"/>
  <c r="Z16" i="112"/>
  <c r="Y16" i="112"/>
  <c r="X16" i="112"/>
  <c r="W16" i="112"/>
  <c r="R16" i="112"/>
  <c r="O16" i="112"/>
  <c r="EZ15" i="112"/>
  <c r="EW15" i="112"/>
  <c r="EV15" i="112"/>
  <c r="EU15" i="112"/>
  <c r="EP15" i="112"/>
  <c r="EM15" i="112"/>
  <c r="DE15" i="112"/>
  <c r="DD15" i="112" s="1"/>
  <c r="BS15" i="112"/>
  <c r="BO15" i="112"/>
  <c r="BN15" i="112"/>
  <c r="BM15" i="112"/>
  <c r="BL15" i="112"/>
  <c r="AN15" i="112"/>
  <c r="AM15" i="112"/>
  <c r="AA15" i="112"/>
  <c r="AB15" i="112" s="1"/>
  <c r="AC15" i="112" s="1"/>
  <c r="Z15" i="112"/>
  <c r="Y15" i="112"/>
  <c r="X15" i="112"/>
  <c r="W15" i="112"/>
  <c r="AH15" i="112" s="1"/>
  <c r="R15" i="112"/>
  <c r="O15" i="112"/>
  <c r="EZ14" i="112"/>
  <c r="EW14" i="112"/>
  <c r="EV14" i="112"/>
  <c r="EU14" i="112"/>
  <c r="EP14" i="112"/>
  <c r="EM14" i="112"/>
  <c r="DE14" i="112"/>
  <c r="DD14" i="112"/>
  <c r="BS14" i="112"/>
  <c r="BO14" i="112"/>
  <c r="BN14" i="112"/>
  <c r="BM14" i="112"/>
  <c r="BL14" i="112"/>
  <c r="AN14" i="112"/>
  <c r="AM14" i="112"/>
  <c r="AA14" i="112"/>
  <c r="AB14" i="112" s="1"/>
  <c r="AC14" i="112" s="1"/>
  <c r="Z14" i="112"/>
  <c r="Y14" i="112"/>
  <c r="X14" i="112"/>
  <c r="W14" i="112"/>
  <c r="R14" i="112"/>
  <c r="O14" i="112"/>
  <c r="EZ13" i="112"/>
  <c r="EW13" i="112"/>
  <c r="EV13" i="112"/>
  <c r="EU13" i="112"/>
  <c r="EP13" i="112"/>
  <c r="EM13" i="112"/>
  <c r="DE13" i="112"/>
  <c r="DD13" i="112" s="1"/>
  <c r="BS13" i="112"/>
  <c r="BO13" i="112"/>
  <c r="BN13" i="112"/>
  <c r="BM13" i="112"/>
  <c r="BL13" i="112"/>
  <c r="AN13" i="112"/>
  <c r="AM13" i="112"/>
  <c r="AA13" i="112"/>
  <c r="AB13" i="112" s="1"/>
  <c r="AC13" i="112" s="1"/>
  <c r="Z13" i="112"/>
  <c r="Y13" i="112"/>
  <c r="X13" i="112"/>
  <c r="W13" i="112"/>
  <c r="R13" i="112"/>
  <c r="O13" i="112"/>
  <c r="EZ12" i="112"/>
  <c r="EW12" i="112"/>
  <c r="EV12" i="112"/>
  <c r="EY12" i="112" s="1"/>
  <c r="EU12" i="112"/>
  <c r="EP12" i="112"/>
  <c r="EM12" i="112"/>
  <c r="DE12" i="112"/>
  <c r="DD12" i="112" s="1"/>
  <c r="BS12" i="112"/>
  <c r="BO12" i="112"/>
  <c r="BN12" i="112"/>
  <c r="BM12" i="112"/>
  <c r="BL12" i="112"/>
  <c r="AN12" i="112"/>
  <c r="AM12" i="112"/>
  <c r="AA12" i="112"/>
  <c r="AB12" i="112" s="1"/>
  <c r="AC12" i="112" s="1"/>
  <c r="Z12" i="112"/>
  <c r="Y12" i="112"/>
  <c r="X12" i="112"/>
  <c r="W12" i="112"/>
  <c r="R12" i="112"/>
  <c r="O12" i="112"/>
  <c r="AM16" i="116" a="1"/>
  <c r="AM19" i="116" a="1"/>
  <c r="G284" i="28" a="1"/>
  <c r="AM14" i="116" a="1"/>
  <c r="AM22" i="116" a="1"/>
  <c r="AM20" i="116" a="1"/>
  <c r="I304" i="36" a="1"/>
  <c r="AM15" i="116" a="1"/>
  <c r="AM17" i="116" a="1"/>
  <c r="I310" i="36" a="1"/>
  <c r="H284" i="28" a="1"/>
  <c r="AM12" i="116" a="1"/>
  <c r="J185" i="28" a="1"/>
  <c r="AM18" i="116" a="1"/>
  <c r="AM21" i="116" a="1"/>
  <c r="AM13" i="116" a="1"/>
  <c r="EP12" i="113" l="1"/>
  <c r="BL17" i="113"/>
  <c r="CR22" i="113"/>
  <c r="W19" i="113"/>
  <c r="EU21" i="113"/>
  <c r="EP21" i="113"/>
  <c r="R13" i="113"/>
  <c r="CO22" i="112"/>
  <c r="EP22" i="113"/>
  <c r="EP18" i="113"/>
  <c r="EV19" i="113"/>
  <c r="EP13" i="113"/>
  <c r="AW22" i="112"/>
  <c r="X20" i="113"/>
  <c r="EP17" i="113"/>
  <c r="BL21" i="113"/>
  <c r="AG22" i="113"/>
  <c r="BG22" i="113" s="1"/>
  <c r="AE22" i="113"/>
  <c r="R20" i="113"/>
  <c r="FI22" i="112"/>
  <c r="Z19" i="113"/>
  <c r="X19" i="113"/>
  <c r="AB19" i="113"/>
  <c r="AC19" i="113" s="1"/>
  <c r="O19" i="113"/>
  <c r="AW16" i="112"/>
  <c r="CP22" i="112"/>
  <c r="BN13" i="113"/>
  <c r="AV21" i="112"/>
  <c r="H284" i="28"/>
  <c r="AM16" i="116"/>
  <c r="AM17" i="116"/>
  <c r="AM22" i="116"/>
  <c r="G284" i="28"/>
  <c r="AM12" i="116"/>
  <c r="AO12" i="116" s="1"/>
  <c r="J185" i="28"/>
  <c r="AM14" i="116"/>
  <c r="AM13" i="116"/>
  <c r="AM21" i="116"/>
  <c r="AM15" i="116"/>
  <c r="AM20" i="116"/>
  <c r="AM19" i="116"/>
  <c r="AM18" i="116"/>
  <c r="BM20" i="113"/>
  <c r="BL20" i="113"/>
  <c r="CO22" i="113"/>
  <c r="Y20" i="113"/>
  <c r="Z22" i="113"/>
  <c r="O13" i="113"/>
  <c r="W12" i="113"/>
  <c r="AW12" i="113" s="1"/>
  <c r="AH16" i="112"/>
  <c r="EW15" i="113"/>
  <c r="BO22" i="113"/>
  <c r="W21" i="113"/>
  <c r="AH19" i="113"/>
  <c r="BN17" i="113"/>
  <c r="EV15" i="113"/>
  <c r="O21" i="113"/>
  <c r="BM17" i="113"/>
  <c r="AH17" i="112"/>
  <c r="AV12" i="112"/>
  <c r="AH22" i="112"/>
  <c r="AJ22" i="112" s="1"/>
  <c r="AS22" i="112" s="1"/>
  <c r="CR22" i="112"/>
  <c r="EV13" i="113"/>
  <c r="W20" i="113"/>
  <c r="AA19" i="113"/>
  <c r="FC22" i="113"/>
  <c r="BS17" i="113"/>
  <c r="AL12" i="112"/>
  <c r="AU12" i="112" s="1"/>
  <c r="EY16" i="112"/>
  <c r="CZ22" i="112"/>
  <c r="Y19" i="113"/>
  <c r="BO13" i="113"/>
  <c r="AH21" i="112"/>
  <c r="AJ21" i="112" s="1"/>
  <c r="AS21" i="112" s="1"/>
  <c r="R16" i="113"/>
  <c r="AH13" i="112"/>
  <c r="AH14" i="112"/>
  <c r="AJ14" i="112" s="1"/>
  <c r="AS14" i="112" s="1"/>
  <c r="AH20" i="112"/>
  <c r="AJ20" i="112" s="1"/>
  <c r="EW20" i="113"/>
  <c r="R14" i="113"/>
  <c r="EY13" i="112"/>
  <c r="BL12" i="113"/>
  <c r="I304" i="36"/>
  <c r="G304" i="36" s="1"/>
  <c r="K304" i="36" s="1"/>
  <c r="I310" i="36"/>
  <c r="G310" i="36" s="1"/>
  <c r="K310" i="36" s="1"/>
  <c r="AW12" i="112"/>
  <c r="AV13" i="112"/>
  <c r="AV14" i="112"/>
  <c r="AV15" i="112"/>
  <c r="AV16" i="112"/>
  <c r="AV17" i="112"/>
  <c r="AV18" i="112"/>
  <c r="AV19" i="112"/>
  <c r="AZ22" i="112"/>
  <c r="BD22" i="112" s="1"/>
  <c r="R22" i="113"/>
  <c r="Y22" i="113"/>
  <c r="AA21" i="113"/>
  <c r="EP20" i="113"/>
  <c r="EP19" i="113"/>
  <c r="EU18" i="113"/>
  <c r="EV17" i="113"/>
  <c r="R12" i="113"/>
  <c r="O12" i="113"/>
  <c r="AW13" i="112"/>
  <c r="AW14" i="112"/>
  <c r="AW15" i="112"/>
  <c r="AW17" i="112"/>
  <c r="AW18" i="112"/>
  <c r="AW19" i="112"/>
  <c r="AV20" i="112"/>
  <c r="EY22" i="112"/>
  <c r="X22" i="113"/>
  <c r="EU20" i="113"/>
  <c r="EM19" i="113"/>
  <c r="BS12" i="113"/>
  <c r="AH12" i="112"/>
  <c r="AW20" i="112"/>
  <c r="AW21" i="112"/>
  <c r="CX22" i="112"/>
  <c r="EX22" i="112"/>
  <c r="EV22" i="113"/>
  <c r="W22" i="113"/>
  <c r="EM20" i="113"/>
  <c r="BS16" i="113"/>
  <c r="O15" i="113"/>
  <c r="AB12" i="113"/>
  <c r="AC12" i="113" s="1"/>
  <c r="AO12" i="112"/>
  <c r="AX12" i="112" s="1"/>
  <c r="AI12" i="112"/>
  <c r="AR12" i="112" s="1"/>
  <c r="EY15" i="112"/>
  <c r="BL22" i="113"/>
  <c r="R19" i="113"/>
  <c r="EP15" i="113"/>
  <c r="EM15" i="113"/>
  <c r="Z13" i="113"/>
  <c r="AA12" i="113"/>
  <c r="EY14" i="112"/>
  <c r="EY17" i="112"/>
  <c r="EY18" i="112"/>
  <c r="EY19" i="112"/>
  <c r="BL18" i="113"/>
  <c r="BO17" i="113"/>
  <c r="W14" i="113"/>
  <c r="AH14" i="113" s="1"/>
  <c r="Y13" i="113"/>
  <c r="AK12" i="112"/>
  <c r="AT12" i="112" s="1"/>
  <c r="EY20" i="112"/>
  <c r="EY21" i="112"/>
  <c r="AV22" i="112"/>
  <c r="EM21" i="113"/>
  <c r="CU22" i="113"/>
  <c r="Z20" i="113"/>
  <c r="BO19" i="113"/>
  <c r="BS19" i="113"/>
  <c r="EW18" i="113"/>
  <c r="W18" i="113"/>
  <c r="AW18" i="113" s="1"/>
  <c r="R17" i="113"/>
  <c r="BL16" i="113"/>
  <c r="X13" i="113"/>
  <c r="AJ12" i="112"/>
  <c r="AS12" i="112" s="1"/>
  <c r="CW22" i="112"/>
  <c r="DC22" i="113"/>
  <c r="AA22" i="113"/>
  <c r="R21" i="113"/>
  <c r="EV18" i="113"/>
  <c r="O14" i="113"/>
  <c r="W13" i="113"/>
  <c r="AW13" i="113" s="1"/>
  <c r="X12" i="113"/>
  <c r="EP16" i="113"/>
  <c r="BO21" i="113"/>
  <c r="O16" i="113"/>
  <c r="BN15" i="113"/>
  <c r="BM13" i="113"/>
  <c r="EU12" i="113"/>
  <c r="FD22" i="113"/>
  <c r="EW19" i="113"/>
  <c r="EW17" i="113"/>
  <c r="AB16" i="113"/>
  <c r="AC16" i="113" s="1"/>
  <c r="EW21" i="113"/>
  <c r="X21" i="113"/>
  <c r="O20" i="113"/>
  <c r="AA16" i="113"/>
  <c r="EW14" i="113"/>
  <c r="AB22" i="113"/>
  <c r="AC22" i="113" s="1"/>
  <c r="FB22" i="113"/>
  <c r="Z12" i="113"/>
  <c r="AF22" i="113"/>
  <c r="BF22" i="113" s="1"/>
  <c r="EM18" i="113"/>
  <c r="Y16" i="113"/>
  <c r="EM14" i="113"/>
  <c r="Y12" i="113"/>
  <c r="Z16" i="113"/>
  <c r="EV14" i="113"/>
  <c r="AA13" i="113"/>
  <c r="AB21" i="113"/>
  <c r="AC21" i="113" s="1"/>
  <c r="BS15" i="113"/>
  <c r="EU14" i="113"/>
  <c r="EU17" i="113"/>
  <c r="BN22" i="113"/>
  <c r="BN18" i="113"/>
  <c r="BO16" i="113"/>
  <c r="EU13" i="113"/>
  <c r="BS21" i="113"/>
  <c r="BO18" i="113"/>
  <c r="W16" i="113"/>
  <c r="BO14" i="113"/>
  <c r="EW22" i="113"/>
  <c r="BO20" i="113"/>
  <c r="BM19" i="113"/>
  <c r="BM18" i="113"/>
  <c r="BN16" i="113"/>
  <c r="AA15" i="113"/>
  <c r="EM13" i="113"/>
  <c r="BN21" i="113"/>
  <c r="AB13" i="113"/>
  <c r="AC13" i="113" s="1"/>
  <c r="EM17" i="113"/>
  <c r="Z21" i="113"/>
  <c r="EU15" i="113"/>
  <c r="BS13" i="113"/>
  <c r="Y21" i="113"/>
  <c r="BN20" i="113"/>
  <c r="EU19" i="113"/>
  <c r="BS18" i="113"/>
  <c r="AD22" i="113"/>
  <c r="BE22" i="113" s="1"/>
  <c r="AB18" i="113"/>
  <c r="AC18" i="113" s="1"/>
  <c r="X14" i="113"/>
  <c r="EW13" i="113"/>
  <c r="BO12" i="113"/>
  <c r="BS14" i="113"/>
  <c r="O17" i="113"/>
  <c r="AB17" i="113"/>
  <c r="AC17" i="113" s="1"/>
  <c r="AA17" i="113"/>
  <c r="W15" i="113"/>
  <c r="EM16" i="113"/>
  <c r="EW16" i="113"/>
  <c r="O18" i="113"/>
  <c r="Y18" i="113"/>
  <c r="X18" i="113"/>
  <c r="AB15" i="113"/>
  <c r="AC15" i="113" s="1"/>
  <c r="Y17" i="113"/>
  <c r="Z15" i="113"/>
  <c r="AB14" i="113"/>
  <c r="AC14" i="113" s="1"/>
  <c r="X17" i="113"/>
  <c r="Y15" i="113"/>
  <c r="AA14" i="113"/>
  <c r="AB20" i="113"/>
  <c r="AC20" i="113" s="1"/>
  <c r="W17" i="113"/>
  <c r="X15" i="113"/>
  <c r="BL14" i="113"/>
  <c r="Z14" i="113"/>
  <c r="BL15" i="113"/>
  <c r="BM15" i="113"/>
  <c r="BO15" i="113"/>
  <c r="BL13" i="113"/>
  <c r="EV21" i="113"/>
  <c r="BN19" i="113"/>
  <c r="CP22" i="113"/>
  <c r="BS20" i="113"/>
  <c r="CS22" i="113"/>
  <c r="CT22" i="113"/>
  <c r="EY19" i="113"/>
  <c r="BN12" i="113"/>
  <c r="Z17" i="113"/>
  <c r="BM14" i="113"/>
  <c r="AA18" i="113"/>
  <c r="BL19" i="113"/>
  <c r="Z18" i="113"/>
  <c r="EW12" i="113"/>
  <c r="BM12" i="113"/>
  <c r="EV20" i="113"/>
  <c r="AW19" i="113"/>
  <c r="EV12" i="113"/>
  <c r="AA20" i="113"/>
  <c r="Y14" i="113"/>
  <c r="FE22" i="113"/>
  <c r="CV22" i="113"/>
  <c r="BM22" i="113"/>
  <c r="BM21" i="113"/>
  <c r="EV16" i="113"/>
  <c r="EU16" i="113"/>
  <c r="R18" i="113"/>
  <c r="BN14" i="113"/>
  <c r="AJ18" i="112"/>
  <c r="AS18" i="112" s="1"/>
  <c r="DC22" i="112"/>
  <c r="AJ15" i="112"/>
  <c r="AS15" i="112" s="1"/>
  <c r="BE22" i="112"/>
  <c r="BP22" i="112"/>
  <c r="FH22" i="112"/>
  <c r="BB22" i="112"/>
  <c r="BF22" i="112"/>
  <c r="AJ19" i="112"/>
  <c r="FF22" i="112"/>
  <c r="AJ17" i="112"/>
  <c r="AK17" i="112" s="1"/>
  <c r="AT17" i="112" s="1"/>
  <c r="FG22" i="112"/>
  <c r="AJ16" i="112"/>
  <c r="AS16" i="112" s="1"/>
  <c r="AJ13" i="112"/>
  <c r="BC22" i="112"/>
  <c r="BG22" i="112" s="1"/>
  <c r="AM19" i="121" a="1"/>
  <c r="AM12" i="121" a="1"/>
  <c r="AM17" i="121" a="1"/>
  <c r="AM21" i="121" a="1"/>
  <c r="AM13" i="121" a="1"/>
  <c r="G273" i="28" a="1"/>
  <c r="H273" i="28" a="1"/>
  <c r="J191" i="28" a="1"/>
  <c r="AM20" i="121" a="1"/>
  <c r="AM16" i="121" a="1"/>
  <c r="AM15" i="121" a="1"/>
  <c r="AM18" i="121" a="1"/>
  <c r="AM14" i="121" a="1"/>
  <c r="AM22" i="121" a="1"/>
  <c r="FG22" i="113" l="1"/>
  <c r="CQ22" i="112"/>
  <c r="AM19" i="121"/>
  <c r="AH12" i="113"/>
  <c r="EY13" i="113"/>
  <c r="CQ22" i="113"/>
  <c r="FI22" i="113"/>
  <c r="EY12" i="113"/>
  <c r="AH13" i="113"/>
  <c r="AJ14" i="113"/>
  <c r="AS14" i="113" s="1"/>
  <c r="AS20" i="112"/>
  <c r="AK20" i="112"/>
  <c r="AT20" i="112" s="1"/>
  <c r="AJ19" i="113"/>
  <c r="AK19" i="113" s="1"/>
  <c r="AT19" i="113" s="1"/>
  <c r="EY21" i="113"/>
  <c r="EY16" i="113"/>
  <c r="AJ13" i="113"/>
  <c r="AS13" i="113" s="1"/>
  <c r="CY22" i="112"/>
  <c r="EY14" i="113"/>
  <c r="AM20" i="121"/>
  <c r="AM17" i="121"/>
  <c r="AM18" i="121"/>
  <c r="AM21" i="121"/>
  <c r="J191" i="28"/>
  <c r="H273" i="28"/>
  <c r="AM13" i="121"/>
  <c r="AM14" i="121"/>
  <c r="AM12" i="121"/>
  <c r="AM22" i="121"/>
  <c r="G273" i="28"/>
  <c r="AM15" i="121"/>
  <c r="AM16" i="121"/>
  <c r="AO18" i="116"/>
  <c r="AP18" i="116"/>
  <c r="AN18" i="116"/>
  <c r="AN19" i="116"/>
  <c r="AP19" i="116"/>
  <c r="AO19" i="116"/>
  <c r="BP22" i="113"/>
  <c r="AP20" i="116"/>
  <c r="AO20" i="116"/>
  <c r="AN20" i="116"/>
  <c r="AW17" i="113"/>
  <c r="AP15" i="116"/>
  <c r="AN15" i="116"/>
  <c r="AO15" i="116"/>
  <c r="AH18" i="113"/>
  <c r="AJ18" i="113" s="1"/>
  <c r="AN21" i="116"/>
  <c r="AO21" i="116"/>
  <c r="AP21" i="116"/>
  <c r="AP13" i="116"/>
  <c r="AN13" i="116"/>
  <c r="AO13" i="116"/>
  <c r="AO14" i="116"/>
  <c r="AP14" i="116"/>
  <c r="AN14" i="116"/>
  <c r="AH20" i="113"/>
  <c r="AJ20" i="113" s="1"/>
  <c r="FF22" i="113"/>
  <c r="AJ12" i="113"/>
  <c r="AK12" i="113" s="1"/>
  <c r="AT12" i="113" s="1"/>
  <c r="AW20" i="113"/>
  <c r="EY22" i="113"/>
  <c r="CX22" i="113"/>
  <c r="EY20" i="113"/>
  <c r="AW14" i="113"/>
  <c r="AW22" i="113"/>
  <c r="EY15" i="113"/>
  <c r="EX22" i="113"/>
  <c r="AO17" i="116"/>
  <c r="AP17" i="116"/>
  <c r="AN17" i="116"/>
  <c r="AO19" i="121"/>
  <c r="AN19" i="121"/>
  <c r="AP19" i="121"/>
  <c r="AW21" i="113"/>
  <c r="AP12" i="112"/>
  <c r="AY12" i="112" s="1"/>
  <c r="AP16" i="116"/>
  <c r="AO16" i="116"/>
  <c r="AN16" i="116"/>
  <c r="AH16" i="113"/>
  <c r="AJ16" i="113" s="1"/>
  <c r="AS16" i="113" s="1"/>
  <c r="AH21" i="113"/>
  <c r="AJ21" i="113" s="1"/>
  <c r="AS21" i="113" s="1"/>
  <c r="EY18" i="113"/>
  <c r="AW16" i="113"/>
  <c r="FH22" i="113"/>
  <c r="AK22" i="112"/>
  <c r="AT22" i="112" s="1"/>
  <c r="H310" i="36"/>
  <c r="AK15" i="112"/>
  <c r="AT15" i="112" s="1"/>
  <c r="BD22" i="113"/>
  <c r="AH22" i="113"/>
  <c r="AJ22" i="113" s="1"/>
  <c r="AS22" i="113" s="1"/>
  <c r="H304" i="36"/>
  <c r="BR22" i="113"/>
  <c r="BQ22" i="113"/>
  <c r="AS20" i="113"/>
  <c r="AK20" i="113"/>
  <c r="AT20" i="113" s="1"/>
  <c r="AH15" i="113"/>
  <c r="AJ15" i="113" s="1"/>
  <c r="AK14" i="113"/>
  <c r="AT14" i="113" s="1"/>
  <c r="AH17" i="113"/>
  <c r="AJ17" i="113" s="1"/>
  <c r="AS17" i="113" s="1"/>
  <c r="EY17" i="113"/>
  <c r="AW15" i="113"/>
  <c r="CW22" i="113"/>
  <c r="CZ22" i="113"/>
  <c r="AK14" i="112"/>
  <c r="AL17" i="112"/>
  <c r="AS17" i="112"/>
  <c r="AS13" i="112"/>
  <c r="AK21" i="112"/>
  <c r="AL21" i="112" s="1"/>
  <c r="AU21" i="112" s="1"/>
  <c r="AK13" i="112"/>
  <c r="AT13" i="112" s="1"/>
  <c r="AS19" i="112"/>
  <c r="AK19" i="112"/>
  <c r="AL20" i="112"/>
  <c r="AU20" i="112" s="1"/>
  <c r="AK16" i="112"/>
  <c r="BR22" i="112"/>
  <c r="BQ22" i="112"/>
  <c r="AK18" i="112"/>
  <c r="AK13" i="113" l="1"/>
  <c r="AT13" i="113" s="1"/>
  <c r="AL19" i="113"/>
  <c r="AM19" i="113" s="1"/>
  <c r="AV19" i="113" s="1"/>
  <c r="AS19" i="113"/>
  <c r="CY22" i="113"/>
  <c r="AS12" i="113"/>
  <c r="AL15" i="112"/>
  <c r="AU15" i="112" s="1"/>
  <c r="AO22" i="116"/>
  <c r="AN22" i="116"/>
  <c r="AN24" i="116" s="1"/>
  <c r="AP16" i="121"/>
  <c r="AN16" i="121"/>
  <c r="AO16" i="121"/>
  <c r="AP15" i="121"/>
  <c r="AO15" i="121"/>
  <c r="AN15" i="121"/>
  <c r="AP12" i="121"/>
  <c r="AN12" i="121"/>
  <c r="AO12" i="121"/>
  <c r="AP22" i="116"/>
  <c r="AP14" i="121"/>
  <c r="AO14" i="121"/>
  <c r="AN14" i="121"/>
  <c r="AO28" i="116"/>
  <c r="AO26" i="116"/>
  <c r="AN13" i="121"/>
  <c r="AO13" i="121"/>
  <c r="AP13" i="121"/>
  <c r="AN21" i="121"/>
  <c r="AO21" i="121"/>
  <c r="AP21" i="121"/>
  <c r="AP18" i="121"/>
  <c r="AO18" i="121"/>
  <c r="AN18" i="121"/>
  <c r="AP17" i="121"/>
  <c r="AN17" i="121"/>
  <c r="AO17" i="121"/>
  <c r="AP20" i="121"/>
  <c r="AN20" i="121"/>
  <c r="AO20" i="121"/>
  <c r="AS15" i="113"/>
  <c r="AK15" i="113"/>
  <c r="AT15" i="113" s="1"/>
  <c r="AO20" i="112"/>
  <c r="AX20" i="112" s="1"/>
  <c r="AL12" i="113"/>
  <c r="AU12" i="113" s="1"/>
  <c r="AL22" i="112"/>
  <c r="AU22" i="112" s="1"/>
  <c r="AL13" i="112"/>
  <c r="AU13" i="112" s="1"/>
  <c r="AK22" i="113"/>
  <c r="AO15" i="112"/>
  <c r="AX15" i="112" s="1"/>
  <c r="AK17" i="113"/>
  <c r="AT17" i="113" s="1"/>
  <c r="AL13" i="113"/>
  <c r="AU13" i="113" s="1"/>
  <c r="AL14" i="113"/>
  <c r="AU14" i="113" s="1"/>
  <c r="AK21" i="113"/>
  <c r="AT21" i="113" s="1"/>
  <c r="AK16" i="113"/>
  <c r="AT16" i="113" s="1"/>
  <c r="AS18" i="113"/>
  <c r="AU19" i="113"/>
  <c r="AO19" i="113"/>
  <c r="AX19" i="113" s="1"/>
  <c r="AK18" i="113"/>
  <c r="AT18" i="113" s="1"/>
  <c r="AL20" i="113"/>
  <c r="AU20" i="113" s="1"/>
  <c r="AT16" i="112"/>
  <c r="AU17" i="112"/>
  <c r="AO17" i="112"/>
  <c r="AX17" i="112" s="1"/>
  <c r="AT14" i="112"/>
  <c r="AL14" i="112"/>
  <c r="AL16" i="112"/>
  <c r="AU16" i="112" s="1"/>
  <c r="AT19" i="112"/>
  <c r="AT21" i="112"/>
  <c r="AO21" i="112"/>
  <c r="AX21" i="112" s="1"/>
  <c r="AT18" i="112"/>
  <c r="AL19" i="112"/>
  <c r="AU19" i="112" s="1"/>
  <c r="AL18" i="112"/>
  <c r="AU18" i="112" s="1"/>
  <c r="E20" i="165" a="1"/>
  <c r="D20" i="165" a="1"/>
  <c r="D20" i="165" l="1"/>
  <c r="E20" i="165"/>
  <c r="AI20" i="112"/>
  <c r="AO13" i="112"/>
  <c r="AX13" i="112" s="1"/>
  <c r="AI15" i="112"/>
  <c r="AL15" i="113"/>
  <c r="AU15" i="113" s="1"/>
  <c r="AM13" i="113"/>
  <c r="AV13" i="113" s="1"/>
  <c r="AP28" i="116"/>
  <c r="AP26" i="116"/>
  <c r="AO22" i="121"/>
  <c r="AP22" i="121"/>
  <c r="AO22" i="112"/>
  <c r="AO16" i="112"/>
  <c r="AX16" i="112" s="1"/>
  <c r="AN22" i="121"/>
  <c r="AN24" i="121" s="1"/>
  <c r="AM12" i="113"/>
  <c r="AV12" i="113" s="1"/>
  <c r="AL21" i="113"/>
  <c r="AU21" i="113" s="1"/>
  <c r="AI17" i="112"/>
  <c r="AP17" i="112" s="1"/>
  <c r="AY17" i="112" s="1"/>
  <c r="AO19" i="112"/>
  <c r="AX19" i="112" s="1"/>
  <c r="AT22" i="113"/>
  <c r="AL22" i="113"/>
  <c r="AU22" i="113" s="1"/>
  <c r="AL16" i="113"/>
  <c r="AU16" i="113" s="1"/>
  <c r="AO18" i="112"/>
  <c r="AX18" i="112" s="1"/>
  <c r="AM14" i="113"/>
  <c r="AV14" i="113" s="1"/>
  <c r="AM21" i="113"/>
  <c r="AV21" i="113" s="1"/>
  <c r="AL17" i="113"/>
  <c r="AU17" i="113" s="1"/>
  <c r="AL18" i="113"/>
  <c r="AU18" i="113" s="1"/>
  <c r="AM20" i="113"/>
  <c r="AV20" i="113" s="1"/>
  <c r="AI19" i="113"/>
  <c r="AP15" i="112"/>
  <c r="AY15" i="112" s="1"/>
  <c r="AR15" i="112"/>
  <c r="AR20" i="112"/>
  <c r="AP20" i="112"/>
  <c r="AY20" i="112" s="1"/>
  <c r="AI21" i="112"/>
  <c r="AU14" i="112"/>
  <c r="AO14" i="112"/>
  <c r="AX14" i="112" s="1"/>
  <c r="AI13" i="112"/>
  <c r="H20" i="165" a="1"/>
  <c r="G20" i="165" a="1"/>
  <c r="AM15" i="113" l="1"/>
  <c r="AV15" i="113" s="1"/>
  <c r="G20" i="165"/>
  <c r="H20" i="165"/>
  <c r="AI16" i="112"/>
  <c r="AR17" i="112"/>
  <c r="AI18" i="112"/>
  <c r="AO13" i="113"/>
  <c r="AX13" i="113" s="1"/>
  <c r="AM17" i="113"/>
  <c r="AV17" i="113" s="1"/>
  <c r="AO21" i="113"/>
  <c r="AX21" i="113" s="1"/>
  <c r="AI19" i="112"/>
  <c r="AP26" i="121"/>
  <c r="AP28" i="121"/>
  <c r="AO14" i="113"/>
  <c r="AX14" i="113" s="1"/>
  <c r="AI13" i="113"/>
  <c r="AP13" i="113" s="1"/>
  <c r="AY13" i="113" s="1"/>
  <c r="AX22" i="112"/>
  <c r="AI22" i="112"/>
  <c r="AM18" i="113"/>
  <c r="AV18" i="113" s="1"/>
  <c r="AO12" i="113"/>
  <c r="AX12" i="113" s="1"/>
  <c r="AO26" i="121"/>
  <c r="AO28" i="121"/>
  <c r="AM22" i="113"/>
  <c r="AV22" i="113" s="1"/>
  <c r="AM16" i="113"/>
  <c r="AV16" i="113" s="1"/>
  <c r="AI14" i="112"/>
  <c r="AP14" i="112" s="1"/>
  <c r="AY14" i="112" s="1"/>
  <c r="AI12" i="113"/>
  <c r="AP12" i="113" s="1"/>
  <c r="AY12" i="113" s="1"/>
  <c r="AP19" i="113"/>
  <c r="AY19" i="113" s="1"/>
  <c r="AR19" i="113"/>
  <c r="AO20" i="113"/>
  <c r="AX20" i="113" s="1"/>
  <c r="AO15" i="113"/>
  <c r="AP16" i="112"/>
  <c r="AY16" i="112" s="1"/>
  <c r="AR16" i="112"/>
  <c r="AR18" i="112"/>
  <c r="AP18" i="112"/>
  <c r="AY18" i="112" s="1"/>
  <c r="AR13" i="112"/>
  <c r="AP13" i="112"/>
  <c r="AY13" i="112" s="1"/>
  <c r="AP21" i="112"/>
  <c r="AY21" i="112" s="1"/>
  <c r="AR21" i="112"/>
  <c r="AR19" i="112"/>
  <c r="AP19" i="112"/>
  <c r="AY19" i="112" s="1"/>
  <c r="G19" i="165" a="1"/>
  <c r="E19" i="165" a="1"/>
  <c r="H19" i="165" a="1"/>
  <c r="D19" i="165" a="1"/>
  <c r="AI21" i="113" l="1"/>
  <c r="AR21" i="113" s="1"/>
  <c r="D19" i="165"/>
  <c r="H19" i="165"/>
  <c r="E19" i="165"/>
  <c r="G19" i="165"/>
  <c r="AO22" i="113"/>
  <c r="AX22" i="113" s="1"/>
  <c r="AR13" i="113"/>
  <c r="AO18" i="113"/>
  <c r="AX18" i="113" s="1"/>
  <c r="AO16" i="113"/>
  <c r="AX16" i="113" s="1"/>
  <c r="AO17" i="113"/>
  <c r="AX17" i="113" s="1"/>
  <c r="AR14" i="112"/>
  <c r="AR22" i="112"/>
  <c r="AP22" i="112"/>
  <c r="AY22" i="112" s="1"/>
  <c r="AI14" i="113"/>
  <c r="AI18" i="113"/>
  <c r="AI22" i="113"/>
  <c r="AI17" i="113"/>
  <c r="AP17" i="113" s="1"/>
  <c r="AY17" i="113" s="1"/>
  <c r="AP21" i="113"/>
  <c r="AY21" i="113" s="1"/>
  <c r="AR12" i="113"/>
  <c r="AI16" i="113"/>
  <c r="AR18" i="113"/>
  <c r="AP18" i="113"/>
  <c r="AY18" i="113" s="1"/>
  <c r="AR14" i="113"/>
  <c r="AP14" i="113"/>
  <c r="AY14" i="113" s="1"/>
  <c r="AX15" i="113"/>
  <c r="AI15" i="113"/>
  <c r="AI20" i="113"/>
  <c r="EQ22" i="111" a="1"/>
  <c r="EQ22" i="111" s="1"/>
  <c r="EI22" i="111" a="1"/>
  <c r="DA22" i="111" a="1"/>
  <c r="CN22" i="111"/>
  <c r="CM22" i="111"/>
  <c r="CP22" i="111" s="1"/>
  <c r="CL22" i="111"/>
  <c r="CK22" i="111"/>
  <c r="AN22" i="111"/>
  <c r="AM22" i="111"/>
  <c r="S22" i="111" a="1"/>
  <c r="S22" i="111" s="1"/>
  <c r="K22" i="111" a="1"/>
  <c r="K22" i="111" s="1"/>
  <c r="AN21" i="111"/>
  <c r="AM21" i="111"/>
  <c r="AN20" i="111"/>
  <c r="AM20" i="111"/>
  <c r="AN19" i="111"/>
  <c r="AM19" i="111"/>
  <c r="AN18" i="111"/>
  <c r="AM18" i="111"/>
  <c r="AN17" i="111"/>
  <c r="AM17" i="111"/>
  <c r="AN16" i="111"/>
  <c r="AM16" i="111"/>
  <c r="AN15" i="111"/>
  <c r="AM15" i="111"/>
  <c r="AN14" i="111"/>
  <c r="AM14" i="111"/>
  <c r="AN13" i="111"/>
  <c r="AM13" i="111"/>
  <c r="FA12" i="111" a="1"/>
  <c r="EZ13" i="111" s="1"/>
  <c r="EN12" i="111" a="1"/>
  <c r="EA12" i="111" a="1"/>
  <c r="EM16" i="111" s="1"/>
  <c r="DE12" i="111" a="1"/>
  <c r="DE12" i="111" s="1"/>
  <c r="DD12" i="111" s="1"/>
  <c r="BK12" i="111" a="1"/>
  <c r="BJ12" i="111" a="1"/>
  <c r="BJ12" i="111" s="1"/>
  <c r="BI12" i="111" a="1"/>
  <c r="BI12" i="111" s="1"/>
  <c r="BH12" i="111" a="1"/>
  <c r="AN12" i="111"/>
  <c r="AM12" i="111"/>
  <c r="P12" i="111" a="1"/>
  <c r="R13" i="111" s="1"/>
  <c r="C12" i="111" a="1"/>
  <c r="BO21" i="111" l="1"/>
  <c r="AR17" i="113"/>
  <c r="AA15" i="111"/>
  <c r="AB15" i="111" s="1"/>
  <c r="AC15" i="111" s="1"/>
  <c r="BL19" i="111"/>
  <c r="BS15" i="111"/>
  <c r="BM21" i="111"/>
  <c r="BL14" i="111"/>
  <c r="BO17" i="111"/>
  <c r="BO18" i="111"/>
  <c r="BN21" i="111"/>
  <c r="BM14" i="111"/>
  <c r="BS17" i="111"/>
  <c r="BS18" i="111"/>
  <c r="BL20" i="111"/>
  <c r="BN17" i="111"/>
  <c r="BO22" i="111"/>
  <c r="BL13" i="111"/>
  <c r="BL16" i="111"/>
  <c r="EM17" i="111"/>
  <c r="BM20" i="111"/>
  <c r="CO22" i="111"/>
  <c r="CQ22" i="111" s="1"/>
  <c r="BK12" i="111"/>
  <c r="BM13" i="111"/>
  <c r="BM16" i="111"/>
  <c r="BO20" i="111"/>
  <c r="BN18" i="111"/>
  <c r="BN13" i="111"/>
  <c r="BM15" i="111"/>
  <c r="BN16" i="111"/>
  <c r="BM19" i="111"/>
  <c r="BS20" i="111"/>
  <c r="BO13" i="111"/>
  <c r="BN15" i="111"/>
  <c r="BL18" i="111"/>
  <c r="BN19" i="111"/>
  <c r="BO15" i="111"/>
  <c r="BM18" i="111"/>
  <c r="BS19" i="111"/>
  <c r="AP22" i="113"/>
  <c r="AY22" i="113" s="1"/>
  <c r="AR22" i="113"/>
  <c r="AP16" i="113"/>
  <c r="AY16" i="113" s="1"/>
  <c r="AR16" i="113"/>
  <c r="FA12" i="111"/>
  <c r="EZ12" i="111" s="1"/>
  <c r="BO16" i="111"/>
  <c r="BS16" i="111"/>
  <c r="AA22" i="111"/>
  <c r="AB22" i="111" s="1"/>
  <c r="AC22" i="111" s="1"/>
  <c r="DD16" i="111"/>
  <c r="BL21" i="111"/>
  <c r="BN14" i="111"/>
  <c r="BO19" i="111"/>
  <c r="BL22" i="111"/>
  <c r="BO14" i="111"/>
  <c r="BM22" i="111"/>
  <c r="BS14" i="111"/>
  <c r="BL17" i="111"/>
  <c r="BN22" i="111"/>
  <c r="R15" i="111"/>
  <c r="BM17" i="111"/>
  <c r="BL15" i="111"/>
  <c r="BN20" i="111"/>
  <c r="AP20" i="113"/>
  <c r="AY20" i="113" s="1"/>
  <c r="AR20" i="113"/>
  <c r="AR15" i="113"/>
  <c r="AP15" i="113"/>
  <c r="AY15" i="113" s="1"/>
  <c r="AD22" i="111"/>
  <c r="DD15" i="111"/>
  <c r="Y17" i="111"/>
  <c r="CR22" i="111"/>
  <c r="Y16" i="111"/>
  <c r="Y22" i="111"/>
  <c r="AA21" i="111"/>
  <c r="AB21" i="111" s="1"/>
  <c r="AC21" i="111" s="1"/>
  <c r="Z20" i="111"/>
  <c r="Y19" i="111"/>
  <c r="X18" i="111"/>
  <c r="W17" i="111"/>
  <c r="O15" i="111"/>
  <c r="X22" i="111"/>
  <c r="Z21" i="111"/>
  <c r="Y20" i="111"/>
  <c r="X19" i="111"/>
  <c r="W18" i="111"/>
  <c r="O16" i="111"/>
  <c r="W22" i="111"/>
  <c r="Y21" i="111"/>
  <c r="X20" i="111"/>
  <c r="W19" i="111"/>
  <c r="AW19" i="111" s="1"/>
  <c r="O17" i="111"/>
  <c r="X21" i="111"/>
  <c r="W20" i="111"/>
  <c r="AW20" i="111" s="1"/>
  <c r="O18" i="111"/>
  <c r="W21" i="111"/>
  <c r="AV21" i="111" s="1"/>
  <c r="O19" i="111"/>
  <c r="O20" i="111"/>
  <c r="O21" i="111"/>
  <c r="W14" i="111"/>
  <c r="AA13" i="111"/>
  <c r="AB13" i="111" s="1"/>
  <c r="AC13" i="111" s="1"/>
  <c r="AA20" i="111"/>
  <c r="AB20" i="111" s="1"/>
  <c r="AC20" i="111" s="1"/>
  <c r="Z13" i="111"/>
  <c r="AA19" i="111"/>
  <c r="AB19" i="111" s="1"/>
  <c r="AC19" i="111" s="1"/>
  <c r="O14" i="111"/>
  <c r="Y13" i="111"/>
  <c r="Z19" i="111"/>
  <c r="X13" i="111"/>
  <c r="AA18" i="111"/>
  <c r="AB18" i="111" s="1"/>
  <c r="AC18" i="111" s="1"/>
  <c r="W13" i="111"/>
  <c r="Z18" i="111"/>
  <c r="O13" i="111"/>
  <c r="AG22" i="111"/>
  <c r="BG22" i="111" s="1"/>
  <c r="AA17" i="111"/>
  <c r="AB17" i="111" s="1"/>
  <c r="AC17" i="111" s="1"/>
  <c r="C12" i="111"/>
  <c r="O12" i="111" s="1"/>
  <c r="Y18" i="111"/>
  <c r="X17" i="111"/>
  <c r="DD13" i="111"/>
  <c r="DD14" i="111"/>
  <c r="DD21" i="111"/>
  <c r="DD19" i="111"/>
  <c r="DD18" i="111"/>
  <c r="DD20" i="111"/>
  <c r="Z17" i="111"/>
  <c r="EW13" i="111"/>
  <c r="EW14" i="111"/>
  <c r="EV13" i="111"/>
  <c r="EW18" i="111"/>
  <c r="EW19" i="111"/>
  <c r="EW15" i="111"/>
  <c r="EV14" i="111"/>
  <c r="EW16" i="111"/>
  <c r="EV15" i="111"/>
  <c r="EW17" i="111"/>
  <c r="EV16" i="111"/>
  <c r="EM13" i="111"/>
  <c r="EV17" i="111"/>
  <c r="EY17" i="111" s="1"/>
  <c r="EM14" i="111"/>
  <c r="EW22" i="111"/>
  <c r="EV18" i="111"/>
  <c r="EM15" i="111"/>
  <c r="EV21" i="111"/>
  <c r="EW20" i="111"/>
  <c r="EV20" i="111"/>
  <c r="EV19" i="111"/>
  <c r="EY19" i="111" s="1"/>
  <c r="EV22" i="111"/>
  <c r="EM21" i="111"/>
  <c r="EM20" i="111"/>
  <c r="EM19" i="111"/>
  <c r="EM18" i="111"/>
  <c r="W15" i="111"/>
  <c r="EA12" i="111"/>
  <c r="EM12" i="111" s="1"/>
  <c r="Z16" i="111"/>
  <c r="X14" i="111"/>
  <c r="Y15" i="111"/>
  <c r="EP14" i="111"/>
  <c r="EP16" i="111"/>
  <c r="EU13" i="111"/>
  <c r="EU14" i="111"/>
  <c r="EP13" i="111"/>
  <c r="EU15" i="111"/>
  <c r="EU16" i="111"/>
  <c r="EP15" i="111"/>
  <c r="EN12" i="111"/>
  <c r="EU12" i="111" s="1"/>
  <c r="EU17" i="111"/>
  <c r="EU21" i="111"/>
  <c r="EP21" i="111"/>
  <c r="EU20" i="111"/>
  <c r="EP20" i="111"/>
  <c r="EU19" i="111"/>
  <c r="EP19" i="111"/>
  <c r="EU18" i="111"/>
  <c r="EP18" i="111"/>
  <c r="EP17" i="111"/>
  <c r="EP22" i="111"/>
  <c r="Y14" i="111"/>
  <c r="Z14" i="111"/>
  <c r="EW21" i="111"/>
  <c r="AA14" i="111"/>
  <c r="AB14" i="111" s="1"/>
  <c r="AC14" i="111" s="1"/>
  <c r="DA22" i="111"/>
  <c r="DC22" i="111" s="1"/>
  <c r="DD22" i="111"/>
  <c r="FE22" i="111"/>
  <c r="FD22" i="111"/>
  <c r="FC22" i="111"/>
  <c r="EI22" i="111"/>
  <c r="FB22" i="111" s="1"/>
  <c r="AE22" i="111"/>
  <c r="AF22" i="111"/>
  <c r="BF22" i="111" s="1"/>
  <c r="W16" i="111"/>
  <c r="X16" i="111"/>
  <c r="X15" i="111"/>
  <c r="AA16" i="111"/>
  <c r="AB16" i="111" s="1"/>
  <c r="AC16" i="111" s="1"/>
  <c r="Z15" i="111"/>
  <c r="DD17" i="111"/>
  <c r="Z22" i="111"/>
  <c r="R16" i="111"/>
  <c r="R17" i="111"/>
  <c r="R18" i="111"/>
  <c r="CV22" i="111"/>
  <c r="R19" i="111"/>
  <c r="CU22" i="111"/>
  <c r="R20" i="111"/>
  <c r="R22" i="111"/>
  <c r="R21" i="111"/>
  <c r="BS13" i="111"/>
  <c r="BS21" i="111"/>
  <c r="P12" i="111"/>
  <c r="BS12" i="111" s="1"/>
  <c r="R14" i="111"/>
  <c r="EZ21" i="111"/>
  <c r="BH12" i="111"/>
  <c r="EZ19" i="111"/>
  <c r="EZ18" i="111"/>
  <c r="EZ22" i="111"/>
  <c r="EZ17" i="111"/>
  <c r="EZ20" i="111"/>
  <c r="EZ16" i="111"/>
  <c r="EZ15" i="111"/>
  <c r="EZ14" i="111"/>
  <c r="J196" i="28" a="1"/>
  <c r="G274" i="28" a="1"/>
  <c r="H274" i="28" a="1"/>
  <c r="R12" i="111" l="1"/>
  <c r="H274" i="28"/>
  <c r="G274" i="28"/>
  <c r="J196" i="28"/>
  <c r="AV19" i="111"/>
  <c r="EY16" i="111"/>
  <c r="X12" i="111"/>
  <c r="EY15" i="111"/>
  <c r="Y12" i="111"/>
  <c r="CX22" i="111"/>
  <c r="EX22" i="111"/>
  <c r="EY13" i="111"/>
  <c r="BP22" i="111"/>
  <c r="BR22" i="111" s="1"/>
  <c r="BE22" i="111"/>
  <c r="BL12" i="111"/>
  <c r="BM12" i="111"/>
  <c r="BO12" i="111"/>
  <c r="BN12" i="111"/>
  <c r="AH18" i="111"/>
  <c r="AJ18" i="111" s="1"/>
  <c r="AS18" i="111" s="1"/>
  <c r="AW16" i="111"/>
  <c r="AV16" i="111"/>
  <c r="AH16" i="111"/>
  <c r="AW18" i="111"/>
  <c r="AW14" i="111"/>
  <c r="AV14" i="111"/>
  <c r="AH14" i="111"/>
  <c r="AJ14" i="111" s="1"/>
  <c r="AS14" i="111" s="1"/>
  <c r="AW15" i="111"/>
  <c r="AV15" i="111"/>
  <c r="AH15" i="111"/>
  <c r="EV12" i="111"/>
  <c r="AH17" i="111"/>
  <c r="AW17" i="111"/>
  <c r="EY14" i="111"/>
  <c r="AV18" i="111"/>
  <c r="CT22" i="111"/>
  <c r="CZ22" i="111" s="1"/>
  <c r="FF22" i="111"/>
  <c r="FG22" i="111"/>
  <c r="AH21" i="111"/>
  <c r="AJ21" i="111"/>
  <c r="AS21" i="111" s="1"/>
  <c r="FH22" i="111"/>
  <c r="EY22" i="111"/>
  <c r="EW12" i="111"/>
  <c r="CS22" i="111"/>
  <c r="FI22" i="111"/>
  <c r="AH13" i="111"/>
  <c r="AJ13" i="111" s="1"/>
  <c r="AW13" i="111"/>
  <c r="AV13" i="111"/>
  <c r="AH20" i="111"/>
  <c r="AJ20" i="111" s="1"/>
  <c r="AS20" i="111" s="1"/>
  <c r="EY20" i="111"/>
  <c r="AV20" i="111"/>
  <c r="EP12" i="111"/>
  <c r="EY21" i="111"/>
  <c r="AW21" i="111"/>
  <c r="AH19" i="111"/>
  <c r="AJ19" i="111" s="1"/>
  <c r="AV17" i="111"/>
  <c r="AV22" i="111"/>
  <c r="AH22" i="111"/>
  <c r="AJ22" i="111" s="1"/>
  <c r="AS22" i="111" s="1"/>
  <c r="BD22" i="111"/>
  <c r="AW22" i="111"/>
  <c r="Z12" i="111"/>
  <c r="AA12" i="111"/>
  <c r="AB12" i="111" s="1"/>
  <c r="AC12" i="111" s="1"/>
  <c r="W12" i="111"/>
  <c r="EY18" i="111"/>
  <c r="AK21" i="111" l="1"/>
  <c r="AT21" i="111" s="1"/>
  <c r="CW22" i="111"/>
  <c r="CY22" i="111" s="1"/>
  <c r="AS19" i="111"/>
  <c r="AK19" i="111"/>
  <c r="AT19" i="111" s="1"/>
  <c r="AS13" i="111"/>
  <c r="AK13" i="111"/>
  <c r="AT13" i="111" s="1"/>
  <c r="AK12" i="111"/>
  <c r="AT12" i="111" s="1"/>
  <c r="AJ12" i="111"/>
  <c r="AS12" i="111" s="1"/>
  <c r="AI12" i="111"/>
  <c r="AH12" i="111"/>
  <c r="AO12" i="111"/>
  <c r="AX12" i="111" s="1"/>
  <c r="AL12" i="111"/>
  <c r="AU12" i="111" s="1"/>
  <c r="AW12" i="111"/>
  <c r="AV12" i="111"/>
  <c r="AJ16" i="111"/>
  <c r="BQ22" i="111"/>
  <c r="AL21" i="111"/>
  <c r="AU21" i="111" s="1"/>
  <c r="AK15" i="111"/>
  <c r="AT15" i="111" s="1"/>
  <c r="AK22" i="111"/>
  <c r="AT22" i="111" s="1"/>
  <c r="AK18" i="111"/>
  <c r="AK14" i="111"/>
  <c r="AT14" i="111" s="1"/>
  <c r="AK20" i="111"/>
  <c r="AT20" i="111" s="1"/>
  <c r="AJ17" i="111"/>
  <c r="AS17" i="111" s="1"/>
  <c r="EY12" i="111"/>
  <c r="AJ15" i="111"/>
  <c r="AS15" i="111" s="1"/>
  <c r="AO21" i="111" l="1"/>
  <c r="AX21" i="111" s="1"/>
  <c r="AL14" i="111"/>
  <c r="AU14" i="111" s="1"/>
  <c r="AK17" i="111"/>
  <c r="AT17" i="111" s="1"/>
  <c r="AL15" i="111"/>
  <c r="AU15" i="111" s="1"/>
  <c r="AI21" i="111"/>
  <c r="AR21" i="111" s="1"/>
  <c r="AL13" i="111"/>
  <c r="AU13" i="111" s="1"/>
  <c r="AL20" i="111"/>
  <c r="AU20" i="111" s="1"/>
  <c r="AT18" i="111"/>
  <c r="AL18" i="111"/>
  <c r="AU18" i="111" s="1"/>
  <c r="AS16" i="111"/>
  <c r="AK16" i="111"/>
  <c r="AO13" i="111"/>
  <c r="AX13" i="111" s="1"/>
  <c r="AO14" i="111"/>
  <c r="AX14" i="111" s="1"/>
  <c r="AO15" i="111"/>
  <c r="AL19" i="111"/>
  <c r="AP21" i="111"/>
  <c r="AY21" i="111" s="1"/>
  <c r="AR12" i="111"/>
  <c r="AP12" i="111"/>
  <c r="AY12" i="111" s="1"/>
  <c r="AL22" i="111"/>
  <c r="AU22" i="111" s="1"/>
  <c r="AL17" i="111"/>
  <c r="AI13" i="111" l="1"/>
  <c r="AI14" i="111"/>
  <c r="AO22" i="111"/>
  <c r="AX22" i="111" s="1"/>
  <c r="AO20" i="111"/>
  <c r="AX20" i="111" s="1"/>
  <c r="AU17" i="111"/>
  <c r="AO17" i="111"/>
  <c r="AX17" i="111" s="1"/>
  <c r="AO18" i="111"/>
  <c r="AR14" i="111"/>
  <c r="AP14" i="111"/>
  <c r="AY14" i="111" s="1"/>
  <c r="AU19" i="111"/>
  <c r="AO19" i="111"/>
  <c r="AX19" i="111" s="1"/>
  <c r="AX15" i="111"/>
  <c r="AI15" i="111"/>
  <c r="AR13" i="111"/>
  <c r="AP13" i="111"/>
  <c r="AY13" i="111" s="1"/>
  <c r="AI22" i="111"/>
  <c r="AT16" i="111"/>
  <c r="AL16" i="111"/>
  <c r="AU16" i="111" s="1"/>
  <c r="AO16" i="111" l="1"/>
  <c r="AX16" i="111" s="1"/>
  <c r="AI20" i="111"/>
  <c r="AR22" i="111"/>
  <c r="AP22" i="111"/>
  <c r="AY22" i="111" s="1"/>
  <c r="AI16" i="111"/>
  <c r="AR15" i="111"/>
  <c r="AP15" i="111"/>
  <c r="AY15" i="111" s="1"/>
  <c r="AI19" i="111"/>
  <c r="AX18" i="111"/>
  <c r="AI18" i="111"/>
  <c r="AI17" i="111"/>
  <c r="AR20" i="111" l="1"/>
  <c r="AP20" i="111"/>
  <c r="AY20" i="111" s="1"/>
  <c r="AR17" i="111"/>
  <c r="AP17" i="111"/>
  <c r="AY17" i="111" s="1"/>
  <c r="AR18" i="111"/>
  <c r="AP18" i="111"/>
  <c r="AY18" i="111" s="1"/>
  <c r="AP19" i="111"/>
  <c r="AY19" i="111" s="1"/>
  <c r="AR19" i="111"/>
  <c r="AR16" i="111"/>
  <c r="AP16" i="111"/>
  <c r="AY16" i="111" s="1"/>
  <c r="C12" i="110" l="1"/>
  <c r="D12" i="110"/>
  <c r="E12" i="110"/>
  <c r="F12" i="110"/>
  <c r="G12" i="110"/>
  <c r="H12" i="110"/>
  <c r="P12" i="110"/>
  <c r="Q12" i="110"/>
  <c r="AM12" i="110"/>
  <c r="AN12" i="110"/>
  <c r="BH12" i="110"/>
  <c r="BI12" i="110"/>
  <c r="BJ12" i="110"/>
  <c r="BK12" i="110"/>
  <c r="BO12" i="110" s="1"/>
  <c r="DE12" i="110"/>
  <c r="DD12" i="110" s="1"/>
  <c r="EA12" i="110"/>
  <c r="EB12" i="110"/>
  <c r="EC12" i="110"/>
  <c r="ED12" i="110"/>
  <c r="EE12" i="110"/>
  <c r="EF12" i="110"/>
  <c r="EN12" i="110"/>
  <c r="EO12" i="110"/>
  <c r="FA12" i="110"/>
  <c r="EZ12" i="110" s="1"/>
  <c r="C13" i="110"/>
  <c r="D13" i="110"/>
  <c r="E13" i="110"/>
  <c r="F13" i="110"/>
  <c r="G13" i="110"/>
  <c r="H13" i="110"/>
  <c r="P13" i="110"/>
  <c r="Q13" i="110"/>
  <c r="R13" i="110" s="1"/>
  <c r="AM13" i="110"/>
  <c r="AN13" i="110"/>
  <c r="BH13" i="110"/>
  <c r="BI13" i="110"/>
  <c r="BJ13" i="110"/>
  <c r="BK13" i="110"/>
  <c r="BO13" i="110" s="1"/>
  <c r="DE13" i="110"/>
  <c r="DD13" i="110" s="1"/>
  <c r="EA13" i="110"/>
  <c r="EB13" i="110"/>
  <c r="EC13" i="110"/>
  <c r="ED13" i="110"/>
  <c r="EE13" i="110"/>
  <c r="EF13" i="110"/>
  <c r="EN13" i="110"/>
  <c r="EO13" i="110"/>
  <c r="FA13" i="110"/>
  <c r="EZ13" i="110" s="1"/>
  <c r="C14" i="110"/>
  <c r="D14" i="110"/>
  <c r="E14" i="110"/>
  <c r="F14" i="110"/>
  <c r="G14" i="110"/>
  <c r="H14" i="110"/>
  <c r="P14" i="110"/>
  <c r="Q14" i="110"/>
  <c r="AM14" i="110"/>
  <c r="AN14" i="110"/>
  <c r="BH14" i="110"/>
  <c r="BI14" i="110"/>
  <c r="BJ14" i="110"/>
  <c r="BK14" i="110"/>
  <c r="DE14" i="110"/>
  <c r="DD14" i="110" s="1"/>
  <c r="EA14" i="110"/>
  <c r="EB14" i="110"/>
  <c r="EC14" i="110"/>
  <c r="ED14" i="110"/>
  <c r="EE14" i="110"/>
  <c r="EF14" i="110"/>
  <c r="EN14" i="110"/>
  <c r="EO14" i="110"/>
  <c r="FA14" i="110"/>
  <c r="EZ14" i="110" s="1"/>
  <c r="C15" i="110"/>
  <c r="D15" i="110"/>
  <c r="E15" i="110"/>
  <c r="F15" i="110"/>
  <c r="G15" i="110"/>
  <c r="H15" i="110"/>
  <c r="P15" i="110"/>
  <c r="Q15" i="110"/>
  <c r="AM15" i="110"/>
  <c r="AN15" i="110"/>
  <c r="BH15" i="110"/>
  <c r="BI15" i="110"/>
  <c r="BJ15" i="110"/>
  <c r="BK15" i="110"/>
  <c r="DE15" i="110"/>
  <c r="DD15" i="110" s="1"/>
  <c r="EA15" i="110"/>
  <c r="EB15" i="110"/>
  <c r="EC15" i="110"/>
  <c r="ED15" i="110"/>
  <c r="EE15" i="110"/>
  <c r="EF15" i="110"/>
  <c r="EN15" i="110"/>
  <c r="EO15" i="110"/>
  <c r="FA15" i="110"/>
  <c r="EZ15" i="110" s="1"/>
  <c r="C16" i="110"/>
  <c r="D16" i="110"/>
  <c r="E16" i="110"/>
  <c r="F16" i="110"/>
  <c r="G16" i="110"/>
  <c r="H16" i="110"/>
  <c r="P16" i="110"/>
  <c r="Q16" i="110"/>
  <c r="AM16" i="110"/>
  <c r="AN16" i="110"/>
  <c r="BH16" i="110"/>
  <c r="BI16" i="110"/>
  <c r="BJ16" i="110"/>
  <c r="BK16" i="110"/>
  <c r="DE16" i="110"/>
  <c r="DD16" i="110" s="1"/>
  <c r="EA16" i="110"/>
  <c r="EB16" i="110"/>
  <c r="EC16" i="110"/>
  <c r="ED16" i="110"/>
  <c r="EE16" i="110"/>
  <c r="EF16" i="110"/>
  <c r="EN16" i="110"/>
  <c r="EO16" i="110"/>
  <c r="FA16" i="110"/>
  <c r="EZ16" i="110" s="1"/>
  <c r="C17" i="110"/>
  <c r="D17" i="110"/>
  <c r="E17" i="110"/>
  <c r="F17" i="110"/>
  <c r="G17" i="110"/>
  <c r="H17" i="110"/>
  <c r="P17" i="110"/>
  <c r="Q17" i="110"/>
  <c r="AM17" i="110"/>
  <c r="AN17" i="110"/>
  <c r="BH17" i="110"/>
  <c r="BI17" i="110"/>
  <c r="BJ17" i="110"/>
  <c r="BK17" i="110"/>
  <c r="DE17" i="110"/>
  <c r="DD17" i="110" s="1"/>
  <c r="EA17" i="110"/>
  <c r="EB17" i="110"/>
  <c r="EC17" i="110"/>
  <c r="ED17" i="110"/>
  <c r="EE17" i="110"/>
  <c r="EF17" i="110"/>
  <c r="EN17" i="110"/>
  <c r="EO17" i="110"/>
  <c r="FA17" i="110"/>
  <c r="EZ17" i="110" s="1"/>
  <c r="C18" i="110"/>
  <c r="D18" i="110"/>
  <c r="E18" i="110"/>
  <c r="F18" i="110"/>
  <c r="G18" i="110"/>
  <c r="H18" i="110"/>
  <c r="P18" i="110"/>
  <c r="Q18" i="110"/>
  <c r="R18" i="110" s="1"/>
  <c r="AM18" i="110"/>
  <c r="AN18" i="110"/>
  <c r="BH18" i="110"/>
  <c r="BI18" i="110"/>
  <c r="BJ18" i="110"/>
  <c r="BK18" i="110"/>
  <c r="DE18" i="110"/>
  <c r="DD18" i="110" s="1"/>
  <c r="EA18" i="110"/>
  <c r="EB18" i="110"/>
  <c r="EC18" i="110"/>
  <c r="ED18" i="110"/>
  <c r="EE18" i="110"/>
  <c r="EF18" i="110"/>
  <c r="EN18" i="110"/>
  <c r="EO18" i="110"/>
  <c r="FA18" i="110"/>
  <c r="EZ18" i="110" s="1"/>
  <c r="C19" i="110"/>
  <c r="D19" i="110"/>
  <c r="E19" i="110"/>
  <c r="F19" i="110"/>
  <c r="G19" i="110"/>
  <c r="H19" i="110"/>
  <c r="P19" i="110"/>
  <c r="Q19" i="110"/>
  <c r="R19" i="110" s="1"/>
  <c r="AM19" i="110"/>
  <c r="AN19" i="110"/>
  <c r="BH19" i="110"/>
  <c r="BI19" i="110"/>
  <c r="BJ19" i="110"/>
  <c r="BK19" i="110"/>
  <c r="BN19" i="110" s="1"/>
  <c r="DE19" i="110"/>
  <c r="DD19" i="110" s="1"/>
  <c r="EA19" i="110"/>
  <c r="EB19" i="110"/>
  <c r="EC19" i="110"/>
  <c r="ED19" i="110"/>
  <c r="EE19" i="110"/>
  <c r="EF19" i="110"/>
  <c r="EN19" i="110"/>
  <c r="EO19" i="110"/>
  <c r="FA19" i="110"/>
  <c r="EZ19" i="110" s="1"/>
  <c r="C20" i="110"/>
  <c r="D20" i="110"/>
  <c r="E20" i="110"/>
  <c r="F20" i="110"/>
  <c r="G20" i="110"/>
  <c r="H20" i="110"/>
  <c r="P20" i="110"/>
  <c r="Q20" i="110"/>
  <c r="R20" i="110" s="1"/>
  <c r="AM20" i="110"/>
  <c r="AN20" i="110"/>
  <c r="BH20" i="110"/>
  <c r="BI20" i="110"/>
  <c r="BJ20" i="110"/>
  <c r="BK20" i="110"/>
  <c r="DE20" i="110"/>
  <c r="DD20" i="110" s="1"/>
  <c r="EA20" i="110"/>
  <c r="EM20" i="110" s="1"/>
  <c r="EB20" i="110"/>
  <c r="EC20" i="110"/>
  <c r="ED20" i="110"/>
  <c r="EE20" i="110"/>
  <c r="EF20" i="110"/>
  <c r="EN20" i="110"/>
  <c r="EO20" i="110"/>
  <c r="FA20" i="110"/>
  <c r="EZ20" i="110" s="1"/>
  <c r="C21" i="110"/>
  <c r="D21" i="110"/>
  <c r="E21" i="110"/>
  <c r="F21" i="110"/>
  <c r="G21" i="110"/>
  <c r="H21" i="110"/>
  <c r="P21" i="110"/>
  <c r="Q21" i="110"/>
  <c r="R21" i="110" s="1"/>
  <c r="AM21" i="110"/>
  <c r="AN21" i="110"/>
  <c r="BH21" i="110"/>
  <c r="BI21" i="110"/>
  <c r="BJ21" i="110"/>
  <c r="BK21" i="110"/>
  <c r="DE21" i="110"/>
  <c r="DD21" i="110" s="1"/>
  <c r="EA21" i="110"/>
  <c r="EB21" i="110"/>
  <c r="EC21" i="110"/>
  <c r="ED21" i="110"/>
  <c r="EE21" i="110"/>
  <c r="EF21" i="110"/>
  <c r="EN21" i="110"/>
  <c r="EO21" i="110"/>
  <c r="FA21" i="110"/>
  <c r="EZ21" i="110" s="1"/>
  <c r="C22" i="110"/>
  <c r="O12" i="110" s="1"/>
  <c r="D22" i="110"/>
  <c r="E22" i="110"/>
  <c r="F22" i="110"/>
  <c r="G22" i="110"/>
  <c r="H22" i="110"/>
  <c r="K22" i="110"/>
  <c r="L22" i="110"/>
  <c r="M22" i="110"/>
  <c r="N22" i="110"/>
  <c r="P22" i="110"/>
  <c r="BS18" i="110" s="1"/>
  <c r="Q22" i="110"/>
  <c r="R22" i="110" s="1"/>
  <c r="S22" i="110"/>
  <c r="T22" i="110"/>
  <c r="U22" i="110"/>
  <c r="V22" i="110"/>
  <c r="AM22" i="110"/>
  <c r="AN22" i="110"/>
  <c r="BH22" i="110"/>
  <c r="BI22" i="110"/>
  <c r="BJ22" i="110"/>
  <c r="BK22" i="110"/>
  <c r="CK22" i="110"/>
  <c r="CL22" i="110"/>
  <c r="CM22" i="110"/>
  <c r="CN22" i="110"/>
  <c r="DA22" i="110"/>
  <c r="DB22" i="110"/>
  <c r="DE22" i="110"/>
  <c r="DD22" i="110" s="1"/>
  <c r="EA22" i="110"/>
  <c r="EB22" i="110"/>
  <c r="EC22" i="110"/>
  <c r="ED22" i="110"/>
  <c r="EE22" i="110"/>
  <c r="EF22" i="110"/>
  <c r="EI22" i="110"/>
  <c r="EJ22" i="110"/>
  <c r="EK22" i="110"/>
  <c r="EL22" i="110"/>
  <c r="EN22" i="110"/>
  <c r="EO22" i="110"/>
  <c r="EQ22" i="110"/>
  <c r="ER22" i="110"/>
  <c r="ES22" i="110"/>
  <c r="ET22" i="110"/>
  <c r="FA22" i="110"/>
  <c r="EZ22" i="110" s="1"/>
  <c r="F37" i="109"/>
  <c r="D50" i="109" s="1"/>
  <c r="D37" i="109"/>
  <c r="F36" i="109"/>
  <c r="D36" i="109"/>
  <c r="F35" i="109"/>
  <c r="D35" i="109"/>
  <c r="F34" i="109"/>
  <c r="D34" i="109"/>
  <c r="F33" i="109"/>
  <c r="D46" i="109" s="1"/>
  <c r="D33" i="109"/>
  <c r="H26" i="109"/>
  <c r="H25" i="109"/>
  <c r="AK22" i="109"/>
  <c r="T22" i="109"/>
  <c r="S22" i="109"/>
  <c r="R22" i="109"/>
  <c r="Q22" i="109"/>
  <c r="P22" i="109"/>
  <c r="K22" i="109"/>
  <c r="J22" i="109"/>
  <c r="I22" i="109"/>
  <c r="H22" i="109"/>
  <c r="G22" i="109"/>
  <c r="F22" i="109"/>
  <c r="C36" i="109" s="1"/>
  <c r="V49" i="109" s="1"/>
  <c r="E22" i="109"/>
  <c r="C35" i="109" s="1"/>
  <c r="D22" i="109"/>
  <c r="C34" i="109" s="1"/>
  <c r="C22" i="109"/>
  <c r="C33" i="109" s="1"/>
  <c r="C46" i="109" s="1"/>
  <c r="AK21" i="109"/>
  <c r="T21" i="109"/>
  <c r="S21" i="109"/>
  <c r="R21" i="109"/>
  <c r="Q21" i="109"/>
  <c r="P21" i="109"/>
  <c r="K21" i="109"/>
  <c r="J21" i="109"/>
  <c r="I21" i="109"/>
  <c r="H21" i="109"/>
  <c r="G21" i="109"/>
  <c r="F21" i="109"/>
  <c r="E21" i="109"/>
  <c r="D21" i="109"/>
  <c r="C21" i="109"/>
  <c r="AK20" i="109"/>
  <c r="T20" i="109"/>
  <c r="S20" i="109"/>
  <c r="R20" i="109"/>
  <c r="Q20" i="109"/>
  <c r="P20" i="109"/>
  <c r="AS20" i="109" s="1"/>
  <c r="K20" i="109"/>
  <c r="J20" i="109"/>
  <c r="I20" i="109"/>
  <c r="H20" i="109"/>
  <c r="G20" i="109"/>
  <c r="F20" i="109"/>
  <c r="E20" i="109"/>
  <c r="D20" i="109"/>
  <c r="C20" i="109"/>
  <c r="AK19" i="109"/>
  <c r="T19" i="109"/>
  <c r="S19" i="109"/>
  <c r="R19" i="109"/>
  <c r="Q19" i="109"/>
  <c r="P19" i="109"/>
  <c r="K19" i="109"/>
  <c r="J19" i="109"/>
  <c r="I19" i="109"/>
  <c r="H19" i="109"/>
  <c r="G19" i="109"/>
  <c r="F19" i="109"/>
  <c r="E19" i="109"/>
  <c r="D19" i="109"/>
  <c r="C19" i="109"/>
  <c r="AK18" i="109"/>
  <c r="T18" i="109"/>
  <c r="S18" i="109"/>
  <c r="R18" i="109"/>
  <c r="Q18" i="109"/>
  <c r="P18" i="109"/>
  <c r="K18" i="109"/>
  <c r="J18" i="109"/>
  <c r="I18" i="109"/>
  <c r="H18" i="109"/>
  <c r="G18" i="109"/>
  <c r="F18" i="109"/>
  <c r="E18" i="109"/>
  <c r="D18" i="109"/>
  <c r="C18" i="109"/>
  <c r="AK17" i="109"/>
  <c r="T17" i="109"/>
  <c r="S17" i="109"/>
  <c r="R17" i="109"/>
  <c r="Q17" i="109"/>
  <c r="P17" i="109"/>
  <c r="K17" i="109"/>
  <c r="J17" i="109"/>
  <c r="I17" i="109"/>
  <c r="H17" i="109"/>
  <c r="G17" i="109"/>
  <c r="F17" i="109"/>
  <c r="E17" i="109"/>
  <c r="D17" i="109"/>
  <c r="C17" i="109"/>
  <c r="AK16" i="109"/>
  <c r="T16" i="109"/>
  <c r="S16" i="109"/>
  <c r="R16" i="109"/>
  <c r="Q16" i="109"/>
  <c r="P16" i="109"/>
  <c r="K16" i="109"/>
  <c r="J16" i="109"/>
  <c r="I16" i="109"/>
  <c r="H16" i="109"/>
  <c r="G16" i="109"/>
  <c r="F16" i="109"/>
  <c r="E16" i="109"/>
  <c r="D16" i="109"/>
  <c r="C16" i="109"/>
  <c r="AK15" i="109"/>
  <c r="T15" i="109"/>
  <c r="S15" i="109"/>
  <c r="R15" i="109"/>
  <c r="Q15" i="109"/>
  <c r="P15" i="109"/>
  <c r="K15" i="109"/>
  <c r="J15" i="109"/>
  <c r="I15" i="109"/>
  <c r="H15" i="109"/>
  <c r="G15" i="109"/>
  <c r="F15" i="109"/>
  <c r="E15" i="109"/>
  <c r="D15" i="109"/>
  <c r="C15" i="109"/>
  <c r="AK14" i="109"/>
  <c r="T14" i="109"/>
  <c r="S14" i="109"/>
  <c r="R14" i="109"/>
  <c r="Q14" i="109"/>
  <c r="P14" i="109"/>
  <c r="K14" i="109"/>
  <c r="J14" i="109"/>
  <c r="I14" i="109"/>
  <c r="H14" i="109"/>
  <c r="G14" i="109"/>
  <c r="F14" i="109"/>
  <c r="E14" i="109"/>
  <c r="D14" i="109"/>
  <c r="C14" i="109"/>
  <c r="AK13" i="109"/>
  <c r="T13" i="109"/>
  <c r="S13" i="109"/>
  <c r="R13" i="109"/>
  <c r="Q13" i="109"/>
  <c r="P13" i="109"/>
  <c r="K13" i="109"/>
  <c r="J13" i="109"/>
  <c r="I13" i="109"/>
  <c r="H13" i="109"/>
  <c r="G13" i="109"/>
  <c r="F13" i="109"/>
  <c r="E13" i="109"/>
  <c r="D13" i="109"/>
  <c r="C13" i="109"/>
  <c r="AK12" i="109"/>
  <c r="T12" i="109"/>
  <c r="S12" i="109"/>
  <c r="R12" i="109"/>
  <c r="Q12" i="109"/>
  <c r="P12" i="109"/>
  <c r="AS12" i="109" s="1"/>
  <c r="K12" i="109"/>
  <c r="J12" i="109"/>
  <c r="I12" i="109"/>
  <c r="H12" i="109"/>
  <c r="G12" i="109"/>
  <c r="F12" i="109"/>
  <c r="E12" i="109"/>
  <c r="D12" i="109"/>
  <c r="C12" i="109"/>
  <c r="EP22" i="110" l="1"/>
  <c r="CO22" i="110"/>
  <c r="EP21" i="110"/>
  <c r="EP16" i="110"/>
  <c r="E33" i="109"/>
  <c r="AS16" i="109"/>
  <c r="CR22" i="110"/>
  <c r="AS14" i="109"/>
  <c r="AS19" i="109"/>
  <c r="U17" i="109"/>
  <c r="AQ17" i="109" s="1"/>
  <c r="AR17" i="109" s="1"/>
  <c r="E35" i="109"/>
  <c r="AS15" i="109"/>
  <c r="W49" i="109"/>
  <c r="U18" i="109"/>
  <c r="AQ18" i="109" s="1"/>
  <c r="AR18" i="109" s="1"/>
  <c r="R16" i="110"/>
  <c r="DC22" i="110"/>
  <c r="EM13" i="110"/>
  <c r="AA21" i="110"/>
  <c r="AB21" i="110" s="1"/>
  <c r="AC21" i="110" s="1"/>
  <c r="EU12" i="110"/>
  <c r="EP13" i="110"/>
  <c r="EV15" i="110"/>
  <c r="EM12" i="110"/>
  <c r="BN21" i="110"/>
  <c r="BL18" i="110"/>
  <c r="BN16" i="110"/>
  <c r="U15" i="109"/>
  <c r="AQ15" i="109" s="1"/>
  <c r="AR15" i="109" s="1"/>
  <c r="W48" i="109"/>
  <c r="AS18" i="109"/>
  <c r="R15" i="110"/>
  <c r="U16" i="109"/>
  <c r="AQ16" i="109" s="1"/>
  <c r="AR16" i="109" s="1"/>
  <c r="AS21" i="109"/>
  <c r="X17" i="110"/>
  <c r="Y16" i="110"/>
  <c r="Y15" i="110"/>
  <c r="AS17" i="109"/>
  <c r="W19" i="110"/>
  <c r="X16" i="110"/>
  <c r="W21" i="110"/>
  <c r="W16" i="110"/>
  <c r="AV16" i="110" s="1"/>
  <c r="W15" i="110"/>
  <c r="AV15" i="110" s="1"/>
  <c r="AS13" i="109"/>
  <c r="BM21" i="110"/>
  <c r="BS21" i="110"/>
  <c r="EP20" i="110"/>
  <c r="BL13" i="110"/>
  <c r="W12" i="110"/>
  <c r="BL21" i="110"/>
  <c r="EM18" i="110"/>
  <c r="AA12" i="110"/>
  <c r="AB12" i="110" s="1"/>
  <c r="AC12" i="110" s="1"/>
  <c r="U12" i="109"/>
  <c r="AQ12" i="109" s="1"/>
  <c r="C67" i="109"/>
  <c r="C80" i="109" s="1"/>
  <c r="G34" i="109"/>
  <c r="H34" i="109" s="1"/>
  <c r="W46" i="109"/>
  <c r="EM17" i="110"/>
  <c r="EM16" i="110"/>
  <c r="X15" i="110"/>
  <c r="EW14" i="110"/>
  <c r="C68" i="109"/>
  <c r="C81" i="109" s="1"/>
  <c r="D48" i="109"/>
  <c r="EW22" i="110"/>
  <c r="EU21" i="110"/>
  <c r="AV21" i="110"/>
  <c r="EM15" i="110"/>
  <c r="EV14" i="110"/>
  <c r="EP17" i="110"/>
  <c r="EP14" i="110"/>
  <c r="EW19" i="110"/>
  <c r="BS14" i="110"/>
  <c r="EW13" i="110"/>
  <c r="U14" i="109"/>
  <c r="AQ14" i="109" s="1"/>
  <c r="AR14" i="109" s="1"/>
  <c r="U20" i="109"/>
  <c r="EV19" i="110"/>
  <c r="EY19" i="110" s="1"/>
  <c r="X19" i="110"/>
  <c r="BM17" i="110"/>
  <c r="EM14" i="110"/>
  <c r="EV13" i="110"/>
  <c r="U21" i="109"/>
  <c r="FB22" i="110"/>
  <c r="CP22" i="110"/>
  <c r="CQ22" i="110" s="1"/>
  <c r="AA16" i="110"/>
  <c r="AB16" i="110" s="1"/>
  <c r="AC16" i="110" s="1"/>
  <c r="FE22" i="110"/>
  <c r="Z13" i="110"/>
  <c r="FD22" i="110"/>
  <c r="EM21" i="110"/>
  <c r="BS15" i="110"/>
  <c r="U13" i="109"/>
  <c r="AQ13" i="109" s="1"/>
  <c r="AR13" i="109" s="1"/>
  <c r="Z18" i="110"/>
  <c r="EW12" i="110"/>
  <c r="E36" i="109"/>
  <c r="EP12" i="110"/>
  <c r="R12" i="110"/>
  <c r="BS12" i="110"/>
  <c r="W20" i="110"/>
  <c r="U19" i="109"/>
  <c r="BO18" i="110"/>
  <c r="F69" i="109"/>
  <c r="W47" i="109"/>
  <c r="EV22" i="110"/>
  <c r="C65" i="109"/>
  <c r="EW20" i="110"/>
  <c r="BS19" i="110"/>
  <c r="BN18" i="110"/>
  <c r="BO15" i="110"/>
  <c r="C66" i="109"/>
  <c r="C79" i="109" s="1"/>
  <c r="G23" i="109"/>
  <c r="EV20" i="110"/>
  <c r="EU14" i="110"/>
  <c r="X14" i="110"/>
  <c r="R14" i="110"/>
  <c r="AA22" i="110"/>
  <c r="AB22" i="110" s="1"/>
  <c r="AC22" i="110" s="1"/>
  <c r="Z22" i="110"/>
  <c r="EU17" i="110"/>
  <c r="Z17" i="110"/>
  <c r="EU15" i="110"/>
  <c r="Z12" i="110"/>
  <c r="EM19" i="110"/>
  <c r="W18" i="110"/>
  <c r="EU16" i="110"/>
  <c r="Y12" i="110"/>
  <c r="BL20" i="110"/>
  <c r="Z16" i="110"/>
  <c r="W13" i="110"/>
  <c r="X12" i="110"/>
  <c r="W14" i="110"/>
  <c r="Z15" i="110"/>
  <c r="EU18" i="110"/>
  <c r="BS13" i="110"/>
  <c r="Y17" i="110"/>
  <c r="AA15" i="110"/>
  <c r="AB15" i="110" s="1"/>
  <c r="AC15" i="110" s="1"/>
  <c r="EU20" i="110"/>
  <c r="CT22" i="110"/>
  <c r="BL14" i="110"/>
  <c r="O17" i="110"/>
  <c r="BM18" i="110"/>
  <c r="Y13" i="110"/>
  <c r="BL22" i="110"/>
  <c r="Y18" i="110"/>
  <c r="BS16" i="110"/>
  <c r="BL12" i="110"/>
  <c r="W17" i="110"/>
  <c r="X22" i="110"/>
  <c r="EW18" i="110"/>
  <c r="X18" i="110"/>
  <c r="EW16" i="110"/>
  <c r="AF22" i="110"/>
  <c r="BF22" i="110" s="1"/>
  <c r="O20" i="110"/>
  <c r="AA14" i="110"/>
  <c r="AB14" i="110" s="1"/>
  <c r="AC14" i="110" s="1"/>
  <c r="AA17" i="110"/>
  <c r="AB17" i="110" s="1"/>
  <c r="AC17" i="110" s="1"/>
  <c r="BM16" i="110"/>
  <c r="Y19" i="110"/>
  <c r="AA13" i="110"/>
  <c r="AB13" i="110" s="1"/>
  <c r="AC13" i="110" s="1"/>
  <c r="AD22" i="110"/>
  <c r="FF22" i="110" s="1"/>
  <c r="FC22" i="110"/>
  <c r="W22" i="110"/>
  <c r="BO21" i="110"/>
  <c r="X20" i="110"/>
  <c r="EV18" i="110"/>
  <c r="BM15" i="110"/>
  <c r="BL19" i="110"/>
  <c r="BM19" i="110"/>
  <c r="O13" i="110"/>
  <c r="O19" i="110"/>
  <c r="BN13" i="110"/>
  <c r="O21" i="110"/>
  <c r="AA19" i="110"/>
  <c r="AB19" i="110" s="1"/>
  <c r="AC19" i="110" s="1"/>
  <c r="BL16" i="110"/>
  <c r="BO16" i="110"/>
  <c r="BM13" i="110"/>
  <c r="Z19" i="110"/>
  <c r="Y22" i="110"/>
  <c r="EW15" i="110"/>
  <c r="Z21" i="110"/>
  <c r="O16" i="110"/>
  <c r="Y21" i="110"/>
  <c r="BS20" i="110"/>
  <c r="EW17" i="110"/>
  <c r="CV22" i="110"/>
  <c r="X21" i="110"/>
  <c r="BO20" i="110"/>
  <c r="EV17" i="110"/>
  <c r="EU13" i="110"/>
  <c r="X13" i="110"/>
  <c r="BM12" i="110"/>
  <c r="EP19" i="110"/>
  <c r="EU19" i="110"/>
  <c r="CU22" i="110"/>
  <c r="BN20" i="110"/>
  <c r="BN15" i="110"/>
  <c r="CS22" i="110"/>
  <c r="BM22" i="110"/>
  <c r="EW21" i="110"/>
  <c r="O18" i="110"/>
  <c r="BL15" i="110"/>
  <c r="BN12" i="110"/>
  <c r="BM20" i="110"/>
  <c r="EV21" i="110"/>
  <c r="EP18" i="110"/>
  <c r="AA18" i="110"/>
  <c r="BS17" i="110"/>
  <c r="O15" i="110"/>
  <c r="Z14" i="110"/>
  <c r="AG22" i="110"/>
  <c r="BG22" i="110" s="1"/>
  <c r="Y14" i="110"/>
  <c r="AE22" i="110"/>
  <c r="BO14" i="110"/>
  <c r="EV12" i="110"/>
  <c r="BN22" i="110"/>
  <c r="BO22" i="110"/>
  <c r="AA20" i="110"/>
  <c r="AB20" i="110" s="1"/>
  <c r="AC20" i="110" s="1"/>
  <c r="AH19" i="110"/>
  <c r="R17" i="110"/>
  <c r="EV16" i="110"/>
  <c r="EP15" i="110"/>
  <c r="BN14" i="110"/>
  <c r="Z20" i="110"/>
  <c r="BO19" i="110"/>
  <c r="BL17" i="110"/>
  <c r="BN17" i="110"/>
  <c r="BO17" i="110"/>
  <c r="BM14" i="110"/>
  <c r="O14" i="110"/>
  <c r="Y20" i="110"/>
  <c r="V47" i="109"/>
  <c r="C47" i="109"/>
  <c r="G35" i="109"/>
  <c r="H35" i="109" s="1"/>
  <c r="C48" i="109"/>
  <c r="V48" i="109"/>
  <c r="V46" i="109"/>
  <c r="W50" i="109"/>
  <c r="D47" i="109"/>
  <c r="G36" i="109"/>
  <c r="H36" i="109" s="1"/>
  <c r="C69" i="109"/>
  <c r="U22" i="109"/>
  <c r="C37" i="109"/>
  <c r="C49" i="109"/>
  <c r="D69" i="109"/>
  <c r="E37" i="109"/>
  <c r="D49" i="109"/>
  <c r="G33" i="109"/>
  <c r="O33" i="109" s="1"/>
  <c r="G69" i="109"/>
  <c r="E69" i="109"/>
  <c r="E34" i="109"/>
  <c r="AM19" i="125" a="1"/>
  <c r="AM22" i="125" a="1"/>
  <c r="G283" i="28" a="1"/>
  <c r="AM13" i="125" a="1"/>
  <c r="AM18" i="125" a="1"/>
  <c r="S25" i="154" a="1"/>
  <c r="R25" i="154" a="1"/>
  <c r="U25" i="154" a="1"/>
  <c r="O25" i="154" a="1"/>
  <c r="AM16" i="125" a="1"/>
  <c r="AM20" i="125" a="1"/>
  <c r="T25" i="154" a="1"/>
  <c r="AM12" i="125" a="1"/>
  <c r="AM15" i="125" a="1"/>
  <c r="Q25" i="154" a="1"/>
  <c r="AM21" i="125" a="1"/>
  <c r="J188" i="28" a="1"/>
  <c r="AM17" i="125" a="1"/>
  <c r="H283" i="28" a="1"/>
  <c r="AM14" i="125" a="1"/>
  <c r="EY15" i="110" l="1"/>
  <c r="EY22" i="110"/>
  <c r="AW15" i="110"/>
  <c r="AH16" i="110"/>
  <c r="AH15" i="110"/>
  <c r="EY16" i="110"/>
  <c r="AJ15" i="110"/>
  <c r="AS15" i="110" s="1"/>
  <c r="AW16" i="110"/>
  <c r="EX22" i="110"/>
  <c r="FG22" i="110"/>
  <c r="AJ16" i="110"/>
  <c r="AS16" i="110" s="1"/>
  <c r="AM22" i="125"/>
  <c r="G283" i="28"/>
  <c r="AM19" i="125"/>
  <c r="AM12" i="125"/>
  <c r="J188" i="28"/>
  <c r="AM14" i="125"/>
  <c r="AM13" i="125"/>
  <c r="H283" i="28"/>
  <c r="AM18" i="125"/>
  <c r="AM17" i="125"/>
  <c r="AM15" i="125"/>
  <c r="AM16" i="125"/>
  <c r="AM21" i="125"/>
  <c r="AM20" i="125"/>
  <c r="AV22" i="110"/>
  <c r="AR21" i="109"/>
  <c r="AQ21" i="109"/>
  <c r="AW19" i="110"/>
  <c r="AH12" i="110"/>
  <c r="AH14" i="110"/>
  <c r="AJ14" i="110" s="1"/>
  <c r="AS14" i="110" s="1"/>
  <c r="AV12" i="110"/>
  <c r="AH13" i="110"/>
  <c r="AJ13" i="110" s="1"/>
  <c r="AS13" i="110" s="1"/>
  <c r="AR20" i="109"/>
  <c r="AQ20" i="109"/>
  <c r="AJ12" i="110"/>
  <c r="AS12" i="110" s="1"/>
  <c r="AW12" i="110"/>
  <c r="EY12" i="110"/>
  <c r="AH18" i="110"/>
  <c r="AJ18" i="110" s="1"/>
  <c r="AS18" i="110" s="1"/>
  <c r="AH17" i="110"/>
  <c r="AJ17" i="110" s="1"/>
  <c r="AS17" i="110" s="1"/>
  <c r="AH21" i="110"/>
  <c r="AJ21" i="110" s="1"/>
  <c r="AS21" i="110" s="1"/>
  <c r="H24" i="109"/>
  <c r="AR23" i="109"/>
  <c r="AV19" i="110"/>
  <c r="AR19" i="109"/>
  <c r="AQ19" i="109"/>
  <c r="AR12" i="109"/>
  <c r="AW21" i="110"/>
  <c r="AV14" i="110"/>
  <c r="EY21" i="110"/>
  <c r="Q25" i="154"/>
  <c r="T25" i="154"/>
  <c r="U25" i="154"/>
  <c r="S25" i="154"/>
  <c r="O25" i="154"/>
  <c r="R25" i="154"/>
  <c r="EY20" i="110"/>
  <c r="C82" i="109"/>
  <c r="F82" i="109"/>
  <c r="G82" i="109"/>
  <c r="E82" i="109"/>
  <c r="C78" i="109"/>
  <c r="D82" i="109"/>
  <c r="EY18" i="110"/>
  <c r="AJ19" i="110"/>
  <c r="AS19" i="110" s="1"/>
  <c r="AK15" i="110"/>
  <c r="AT15" i="110" s="1"/>
  <c r="CW22" i="110"/>
  <c r="AW20" i="110"/>
  <c r="AH20" i="110"/>
  <c r="AV20" i="110"/>
  <c r="CX22" i="110"/>
  <c r="CY22" i="110" s="1"/>
  <c r="BE22" i="110"/>
  <c r="AW22" i="110"/>
  <c r="EY13" i="110"/>
  <c r="AV18" i="110"/>
  <c r="AW18" i="110"/>
  <c r="AV13" i="110"/>
  <c r="AW13" i="110"/>
  <c r="AH22" i="110"/>
  <c r="AW17" i="110"/>
  <c r="AV17" i="110"/>
  <c r="AW14" i="110"/>
  <c r="BD22" i="110"/>
  <c r="EY14" i="110"/>
  <c r="EY17" i="110"/>
  <c r="BP22" i="110"/>
  <c r="BQ22" i="110" s="1"/>
  <c r="CZ22" i="110"/>
  <c r="FH22" i="110"/>
  <c r="AB18" i="110"/>
  <c r="AC18" i="110" s="1"/>
  <c r="FI22" i="110"/>
  <c r="V50" i="109"/>
  <c r="C50" i="109"/>
  <c r="G37" i="109"/>
  <c r="H37" i="109" s="1"/>
  <c r="H33" i="109"/>
  <c r="AK16" i="110" l="1"/>
  <c r="AT16" i="110" s="1"/>
  <c r="AQ22" i="109"/>
  <c r="AL15" i="110"/>
  <c r="AU15" i="110" s="1"/>
  <c r="AK19" i="110"/>
  <c r="AT19" i="110" s="1"/>
  <c r="AK12" i="110"/>
  <c r="AT12" i="110" s="1"/>
  <c r="AK14" i="110"/>
  <c r="AT14" i="110" s="1"/>
  <c r="AN20" i="125"/>
  <c r="AO20" i="125"/>
  <c r="AP20" i="125"/>
  <c r="AP21" i="125"/>
  <c r="AN21" i="125"/>
  <c r="AO21" i="125"/>
  <c r="AP16" i="125"/>
  <c r="AN16" i="125"/>
  <c r="AO16" i="125"/>
  <c r="AP15" i="125"/>
  <c r="AN15" i="125"/>
  <c r="AO15" i="125"/>
  <c r="AP17" i="125"/>
  <c r="AO17" i="125"/>
  <c r="AN17" i="125"/>
  <c r="AO18" i="125"/>
  <c r="AN18" i="125"/>
  <c r="AP18" i="125"/>
  <c r="AO13" i="125"/>
  <c r="AN13" i="125"/>
  <c r="AP13" i="125"/>
  <c r="AP14" i="125"/>
  <c r="AN14" i="125"/>
  <c r="AO14" i="125"/>
  <c r="AP12" i="125"/>
  <c r="AO12" i="125"/>
  <c r="AN12" i="125"/>
  <c r="AR22" i="109"/>
  <c r="AR25" i="109" s="1"/>
  <c r="AP19" i="125"/>
  <c r="AO19" i="125"/>
  <c r="AN19" i="125"/>
  <c r="AK17" i="110"/>
  <c r="AL17" i="110" s="1"/>
  <c r="AU17" i="110" s="1"/>
  <c r="AL19" i="110"/>
  <c r="AU19" i="110" s="1"/>
  <c r="AK21" i="110"/>
  <c r="AT21" i="110" s="1"/>
  <c r="BR22" i="110"/>
  <c r="AJ20" i="110"/>
  <c r="AL12" i="110"/>
  <c r="AU12" i="110" s="1"/>
  <c r="AL16" i="110"/>
  <c r="AU16" i="110" s="1"/>
  <c r="AK13" i="110"/>
  <c r="AT13" i="110" s="1"/>
  <c r="AJ22" i="110"/>
  <c r="AK22" i="110" s="1"/>
  <c r="AT22" i="110" s="1"/>
  <c r="AK18" i="110"/>
  <c r="AO15" i="110"/>
  <c r="AX15" i="110" s="1"/>
  <c r="F50" i="109"/>
  <c r="Y50" i="109"/>
  <c r="Y46" i="109"/>
  <c r="F46" i="109"/>
  <c r="O37" i="109"/>
  <c r="K37" i="109"/>
  <c r="Q37" i="109" s="1"/>
  <c r="M37" i="109"/>
  <c r="J37" i="109"/>
  <c r="L37" i="109"/>
  <c r="I37" i="109"/>
  <c r="F25" i="154" a="1"/>
  <c r="D25" i="154" a="1"/>
  <c r="C240" i="36" a="1"/>
  <c r="F25" i="158" a="1"/>
  <c r="J25" i="165" a="1"/>
  <c r="D25" i="158" a="1"/>
  <c r="AL14" i="110" l="1"/>
  <c r="AU14" i="110" s="1"/>
  <c r="AO14" i="110"/>
  <c r="AX14" i="110" s="1"/>
  <c r="J25" i="165"/>
  <c r="AL21" i="110"/>
  <c r="AU21" i="110" s="1"/>
  <c r="AO22" i="125"/>
  <c r="AP22" i="125"/>
  <c r="AT17" i="110"/>
  <c r="AR24" i="109"/>
  <c r="AN22" i="125"/>
  <c r="AN24" i="125" s="1"/>
  <c r="AO19" i="110"/>
  <c r="AX19" i="110" s="1"/>
  <c r="AO17" i="110"/>
  <c r="AX17" i="110" s="1"/>
  <c r="D25" i="154"/>
  <c r="F25" i="154"/>
  <c r="F25" i="158"/>
  <c r="C240" i="36"/>
  <c r="D25" i="158"/>
  <c r="AO21" i="110"/>
  <c r="AX21" i="110" s="1"/>
  <c r="AD37" i="109"/>
  <c r="AO12" i="110"/>
  <c r="AX12" i="110" s="1"/>
  <c r="AL13" i="110"/>
  <c r="AU13" i="110" s="1"/>
  <c r="AI19" i="110"/>
  <c r="AP19" i="110" s="1"/>
  <c r="AY19" i="110" s="1"/>
  <c r="AI17" i="110"/>
  <c r="AP17" i="110" s="1"/>
  <c r="AY17" i="110" s="1"/>
  <c r="AS20" i="110"/>
  <c r="AK20" i="110"/>
  <c r="AL20" i="110" s="1"/>
  <c r="AU20" i="110" s="1"/>
  <c r="AS22" i="110"/>
  <c r="AT18" i="110"/>
  <c r="AL18" i="110"/>
  <c r="AL22" i="110"/>
  <c r="AU22" i="110" s="1"/>
  <c r="AO16" i="110"/>
  <c r="AX16" i="110" s="1"/>
  <c r="AI14" i="110"/>
  <c r="AI15" i="110"/>
  <c r="H50" i="109"/>
  <c r="AA50" i="109"/>
  <c r="G50" i="109"/>
  <c r="V37" i="109"/>
  <c r="Z42" i="109" s="1"/>
  <c r="U37" i="109"/>
  <c r="T37" i="109"/>
  <c r="Z50" i="109"/>
  <c r="K50" i="109"/>
  <c r="Y42" i="109"/>
  <c r="X42" i="109"/>
  <c r="J50" i="109"/>
  <c r="AC50" i="109"/>
  <c r="I50" i="109"/>
  <c r="AB50" i="109"/>
  <c r="P37" i="109"/>
  <c r="R37" i="109"/>
  <c r="J234" i="36" a="1"/>
  <c r="J25" i="158" a="1"/>
  <c r="J269" i="36" a="1"/>
  <c r="J25" i="154" a="1"/>
  <c r="G25" i="154" a="1"/>
  <c r="H25" i="154" a="1"/>
  <c r="K25" i="154" a="1"/>
  <c r="B201" i="36" a="1"/>
  <c r="H25" i="158" a="1"/>
  <c r="B240" i="36" a="1"/>
  <c r="J192" i="36" a="1"/>
  <c r="M25" i="158" a="1"/>
  <c r="I25" i="158" a="1"/>
  <c r="G25" i="158" a="1"/>
  <c r="I25" i="154" a="1"/>
  <c r="B275" i="36" a="1"/>
  <c r="C275" i="36" a="1"/>
  <c r="AR17" i="110" l="1"/>
  <c r="AP28" i="125"/>
  <c r="AP26" i="125"/>
  <c r="AI16" i="110"/>
  <c r="AR19" i="110"/>
  <c r="AO13" i="110"/>
  <c r="AO28" i="125"/>
  <c r="AO26" i="125"/>
  <c r="J269" i="36"/>
  <c r="J234" i="36"/>
  <c r="J25" i="158"/>
  <c r="H25" i="154"/>
  <c r="H25" i="158"/>
  <c r="J192" i="36"/>
  <c r="G25" i="158"/>
  <c r="C275" i="36"/>
  <c r="I25" i="158"/>
  <c r="B275" i="36"/>
  <c r="K25" i="154"/>
  <c r="M25" i="158"/>
  <c r="I25" i="154"/>
  <c r="G25" i="154"/>
  <c r="B201" i="36"/>
  <c r="J25" i="154"/>
  <c r="B240" i="36"/>
  <c r="AI12" i="110"/>
  <c r="AA42" i="109"/>
  <c r="AE37" i="109"/>
  <c r="AI21" i="110"/>
  <c r="AP21" i="110" s="1"/>
  <c r="AY21" i="110" s="1"/>
  <c r="AT20" i="110"/>
  <c r="AO20" i="110"/>
  <c r="AX20" i="110" s="1"/>
  <c r="AU18" i="110"/>
  <c r="AO18" i="110"/>
  <c r="AX18" i="110" s="1"/>
  <c r="AO22" i="110"/>
  <c r="AX22" i="110" s="1"/>
  <c r="AR12" i="110"/>
  <c r="AP12" i="110"/>
  <c r="AY12" i="110" s="1"/>
  <c r="AX13" i="110"/>
  <c r="AI13" i="110"/>
  <c r="AP15" i="110"/>
  <c r="AY15" i="110" s="1"/>
  <c r="AR15" i="110"/>
  <c r="AP14" i="110"/>
  <c r="AY14" i="110" s="1"/>
  <c r="AR14" i="110"/>
  <c r="AP16" i="110"/>
  <c r="AY16" i="110" s="1"/>
  <c r="AR16" i="110"/>
  <c r="AC37" i="109"/>
  <c r="S37" i="109"/>
  <c r="AF37" i="109"/>
  <c r="W37" i="109"/>
  <c r="X37" i="109"/>
  <c r="AH37" i="109"/>
  <c r="Z37" i="109"/>
  <c r="AG37" i="109"/>
  <c r="Y37" i="109"/>
  <c r="E22" i="165" a="1"/>
  <c r="H22" i="165" a="1"/>
  <c r="D22" i="165" a="1"/>
  <c r="G22" i="165" a="1"/>
  <c r="B311" i="36" a="1"/>
  <c r="J314" i="36" a="1"/>
  <c r="G192" i="36" a="1"/>
  <c r="L25" i="154" a="1"/>
  <c r="G234" i="36" a="1"/>
  <c r="M25" i="154" a="1"/>
  <c r="G269" i="36" a="1"/>
  <c r="C311" i="36" a="1"/>
  <c r="L25" i="158" a="1"/>
  <c r="C201" i="36" a="1"/>
  <c r="K25" i="158" a="1"/>
  <c r="G22" i="165" l="1"/>
  <c r="D22" i="165"/>
  <c r="H22" i="165"/>
  <c r="E22" i="165"/>
  <c r="G192" i="36"/>
  <c r="B311" i="36"/>
  <c r="K25" i="158"/>
  <c r="L25" i="154"/>
  <c r="J314" i="36"/>
  <c r="G269" i="36"/>
  <c r="C311" i="36"/>
  <c r="M25" i="154"/>
  <c r="L25" i="158"/>
  <c r="C201" i="36"/>
  <c r="G234" i="36"/>
  <c r="AI20" i="110"/>
  <c r="AR21" i="110"/>
  <c r="AI18" i="110"/>
  <c r="AI22" i="110"/>
  <c r="AP13" i="110"/>
  <c r="AY13" i="110" s="1"/>
  <c r="AR13" i="110"/>
  <c r="AA37" i="109"/>
  <c r="I314" i="36" a="1"/>
  <c r="I314" i="36" l="1"/>
  <c r="G314" i="36" s="1"/>
  <c r="K314" i="36" s="1"/>
  <c r="H234" i="36"/>
  <c r="I234" i="36"/>
  <c r="I269" i="36"/>
  <c r="H269" i="36"/>
  <c r="AP20" i="110"/>
  <c r="AY20" i="110" s="1"/>
  <c r="AR20" i="110"/>
  <c r="I192" i="36"/>
  <c r="H192" i="36"/>
  <c r="AP22" i="110"/>
  <c r="AY22" i="110" s="1"/>
  <c r="AR22" i="110"/>
  <c r="AP18" i="110"/>
  <c r="AY18" i="110" s="1"/>
  <c r="AR18" i="110"/>
  <c r="FA22" i="108"/>
  <c r="EZ22" i="108" s="1"/>
  <c r="ET22" i="108"/>
  <c r="ES22" i="108"/>
  <c r="ER22" i="108"/>
  <c r="EQ22" i="108"/>
  <c r="EO22" i="108"/>
  <c r="EN22" i="108"/>
  <c r="EL22" i="108"/>
  <c r="EK22" i="108"/>
  <c r="EJ22" i="108"/>
  <c r="EI22" i="108"/>
  <c r="EC22" i="108"/>
  <c r="EB22" i="108"/>
  <c r="EA22" i="108"/>
  <c r="DE22" i="108"/>
  <c r="DD22" i="108" s="1"/>
  <c r="DB22" i="108"/>
  <c r="DA22" i="108"/>
  <c r="DC22" i="108" s="1"/>
  <c r="CN22" i="108"/>
  <c r="CM22" i="108"/>
  <c r="CL22" i="108"/>
  <c r="CK22" i="108"/>
  <c r="BK22" i="108"/>
  <c r="BJ22" i="108"/>
  <c r="BI22" i="108"/>
  <c r="BH22" i="108"/>
  <c r="BL22" i="108" s="1"/>
  <c r="AN22" i="108"/>
  <c r="V22" i="108"/>
  <c r="U22" i="108"/>
  <c r="T22" i="108"/>
  <c r="S22" i="108"/>
  <c r="Q22" i="108"/>
  <c r="P22" i="108"/>
  <c r="BS12" i="108" s="1"/>
  <c r="N22" i="108"/>
  <c r="M22" i="108"/>
  <c r="L22" i="108"/>
  <c r="K22" i="108"/>
  <c r="I22" i="108"/>
  <c r="H22" i="108"/>
  <c r="G22" i="108"/>
  <c r="F22" i="108"/>
  <c r="E22" i="108"/>
  <c r="D22" i="108"/>
  <c r="C22" i="108"/>
  <c r="FA21" i="108"/>
  <c r="EZ21" i="108" s="1"/>
  <c r="EO21" i="108"/>
  <c r="EN21" i="108"/>
  <c r="EC21" i="108"/>
  <c r="EB21" i="108"/>
  <c r="EA21" i="108"/>
  <c r="DE21" i="108"/>
  <c r="DD21" i="108" s="1"/>
  <c r="BK21" i="108"/>
  <c r="BJ21" i="108"/>
  <c r="BI21" i="108"/>
  <c r="BH21" i="108"/>
  <c r="AN21" i="108"/>
  <c r="Q21" i="108"/>
  <c r="P21" i="108"/>
  <c r="I21" i="108"/>
  <c r="H21" i="108"/>
  <c r="G21" i="108"/>
  <c r="F21" i="108"/>
  <c r="E21" i="108"/>
  <c r="D21" i="108"/>
  <c r="C21" i="108"/>
  <c r="FA20" i="108"/>
  <c r="EZ20" i="108" s="1"/>
  <c r="EO20" i="108"/>
  <c r="EN20" i="108"/>
  <c r="EC20" i="108"/>
  <c r="EB20" i="108"/>
  <c r="EA20" i="108"/>
  <c r="DE20" i="108"/>
  <c r="DD20" i="108" s="1"/>
  <c r="BK20" i="108"/>
  <c r="BJ20" i="108"/>
  <c r="BI20" i="108"/>
  <c r="BH20" i="108"/>
  <c r="AN20" i="108"/>
  <c r="Q20" i="108"/>
  <c r="P20" i="108"/>
  <c r="I20" i="108"/>
  <c r="H20" i="108"/>
  <c r="G20" i="108"/>
  <c r="F20" i="108"/>
  <c r="E20" i="108"/>
  <c r="D20" i="108"/>
  <c r="C20" i="108"/>
  <c r="FA19" i="108"/>
  <c r="EZ19" i="108" s="1"/>
  <c r="EO19" i="108"/>
  <c r="EN19" i="108"/>
  <c r="EC19" i="108"/>
  <c r="EB19" i="108"/>
  <c r="EA19" i="108"/>
  <c r="DE19" i="108"/>
  <c r="DD19" i="108" s="1"/>
  <c r="BK19" i="108"/>
  <c r="BJ19" i="108"/>
  <c r="BI19" i="108"/>
  <c r="BH19" i="108"/>
  <c r="AN19" i="108"/>
  <c r="Q19" i="108"/>
  <c r="P19" i="108"/>
  <c r="I19" i="108"/>
  <c r="H19" i="108"/>
  <c r="G19" i="108"/>
  <c r="F19" i="108"/>
  <c r="E19" i="108"/>
  <c r="D19" i="108"/>
  <c r="C19" i="108"/>
  <c r="FA18" i="108"/>
  <c r="EZ18" i="108" s="1"/>
  <c r="EO18" i="108"/>
  <c r="EN18" i="108"/>
  <c r="EC18" i="108"/>
  <c r="EB18" i="108"/>
  <c r="EA18" i="108"/>
  <c r="DE18" i="108"/>
  <c r="DD18" i="108" s="1"/>
  <c r="BK18" i="108"/>
  <c r="BJ18" i="108"/>
  <c r="BI18" i="108"/>
  <c r="BH18" i="108"/>
  <c r="AN18" i="108"/>
  <c r="Q18" i="108"/>
  <c r="P18" i="108"/>
  <c r="I18" i="108"/>
  <c r="H18" i="108"/>
  <c r="G18" i="108"/>
  <c r="F18" i="108"/>
  <c r="E18" i="108"/>
  <c r="D18" i="108"/>
  <c r="C18" i="108"/>
  <c r="FA17" i="108"/>
  <c r="EZ17" i="108" s="1"/>
  <c r="EO17" i="108"/>
  <c r="EN17" i="108"/>
  <c r="EC17" i="108"/>
  <c r="EB17" i="108"/>
  <c r="EA17" i="108"/>
  <c r="DE17" i="108"/>
  <c r="DD17" i="108" s="1"/>
  <c r="BK17" i="108"/>
  <c r="BJ17" i="108"/>
  <c r="BI17" i="108"/>
  <c r="BH17" i="108"/>
  <c r="AN17" i="108"/>
  <c r="Q17" i="108"/>
  <c r="P17" i="108"/>
  <c r="I17" i="108"/>
  <c r="H17" i="108"/>
  <c r="G17" i="108"/>
  <c r="F17" i="108"/>
  <c r="E17" i="108"/>
  <c r="D17" i="108"/>
  <c r="C17" i="108"/>
  <c r="O17" i="108" s="1"/>
  <c r="FA16" i="108"/>
  <c r="EZ16" i="108" s="1"/>
  <c r="EO16" i="108"/>
  <c r="EN16" i="108"/>
  <c r="EC16" i="108"/>
  <c r="EB16" i="108"/>
  <c r="EA16" i="108"/>
  <c r="DE16" i="108"/>
  <c r="DD16" i="108" s="1"/>
  <c r="BK16" i="108"/>
  <c r="BJ16" i="108"/>
  <c r="BI16" i="108"/>
  <c r="BH16" i="108"/>
  <c r="AN16" i="108"/>
  <c r="Q16" i="108"/>
  <c r="P16" i="108"/>
  <c r="I16" i="108"/>
  <c r="H16" i="108"/>
  <c r="G16" i="108"/>
  <c r="F16" i="108"/>
  <c r="E16" i="108"/>
  <c r="D16" i="108"/>
  <c r="C16" i="108"/>
  <c r="FA15" i="108"/>
  <c r="EZ15" i="108"/>
  <c r="EO15" i="108"/>
  <c r="EN15" i="108"/>
  <c r="EC15" i="108"/>
  <c r="EB15" i="108"/>
  <c r="EA15" i="108"/>
  <c r="DE15" i="108"/>
  <c r="DD15" i="108" s="1"/>
  <c r="BK15" i="108"/>
  <c r="BJ15" i="108"/>
  <c r="BI15" i="108"/>
  <c r="BH15" i="108"/>
  <c r="AN15" i="108"/>
  <c r="Q15" i="108"/>
  <c r="P15" i="108"/>
  <c r="I15" i="108"/>
  <c r="H15" i="108"/>
  <c r="G15" i="108"/>
  <c r="F15" i="108"/>
  <c r="E15" i="108"/>
  <c r="D15" i="108"/>
  <c r="C15" i="108"/>
  <c r="FA14" i="108"/>
  <c r="EZ14" i="108" s="1"/>
  <c r="EO14" i="108"/>
  <c r="EN14" i="108"/>
  <c r="EC14" i="108"/>
  <c r="EB14" i="108"/>
  <c r="EA14" i="108"/>
  <c r="DE14" i="108"/>
  <c r="DD14" i="108"/>
  <c r="BK14" i="108"/>
  <c r="BJ14" i="108"/>
  <c r="BI14" i="108"/>
  <c r="BH14" i="108"/>
  <c r="AN14" i="108"/>
  <c r="Q14" i="108"/>
  <c r="P14" i="108"/>
  <c r="I14" i="108"/>
  <c r="H14" i="108"/>
  <c r="G14" i="108"/>
  <c r="F14" i="108"/>
  <c r="E14" i="108"/>
  <c r="D14" i="108"/>
  <c r="C14" i="108"/>
  <c r="FA13" i="108"/>
  <c r="EZ13" i="108" s="1"/>
  <c r="EO13" i="108"/>
  <c r="EN13" i="108"/>
  <c r="EC13" i="108"/>
  <c r="EB13" i="108"/>
  <c r="EA13" i="108"/>
  <c r="EM13" i="108" s="1"/>
  <c r="DE13" i="108"/>
  <c r="DD13" i="108" s="1"/>
  <c r="BK13" i="108"/>
  <c r="BJ13" i="108"/>
  <c r="BI13" i="108"/>
  <c r="BH13" i="108"/>
  <c r="BL13" i="108" s="1"/>
  <c r="AN13" i="108"/>
  <c r="Q13" i="108"/>
  <c r="P13" i="108"/>
  <c r="I13" i="108"/>
  <c r="H13" i="108"/>
  <c r="G13" i="108"/>
  <c r="F13" i="108"/>
  <c r="E13" i="108"/>
  <c r="D13" i="108"/>
  <c r="C13" i="108"/>
  <c r="FA12" i="108"/>
  <c r="EZ12" i="108" s="1"/>
  <c r="EO12" i="108"/>
  <c r="EN12" i="108"/>
  <c r="EC12" i="108"/>
  <c r="EB12" i="108"/>
  <c r="EA12" i="108"/>
  <c r="EV12" i="108" s="1"/>
  <c r="DE12" i="108"/>
  <c r="DD12" i="108" s="1"/>
  <c r="BK12" i="108"/>
  <c r="BJ12" i="108"/>
  <c r="BI12" i="108"/>
  <c r="BH12" i="108"/>
  <c r="AN12" i="108"/>
  <c r="Q12" i="108"/>
  <c r="P12" i="108"/>
  <c r="I12" i="108"/>
  <c r="H12" i="108"/>
  <c r="G12" i="108"/>
  <c r="F12" i="108"/>
  <c r="E12" i="108"/>
  <c r="D12" i="108"/>
  <c r="C12" i="108"/>
  <c r="BS21" i="108" l="1"/>
  <c r="AB22" i="108"/>
  <c r="AC22" i="108" s="1"/>
  <c r="BS18" i="108"/>
  <c r="BS19" i="108"/>
  <c r="BS14" i="108"/>
  <c r="BS17" i="108"/>
  <c r="BS16" i="108"/>
  <c r="BS15" i="108"/>
  <c r="BS13" i="108"/>
  <c r="CP22" i="108"/>
  <c r="EU13" i="108"/>
  <c r="EV17" i="108"/>
  <c r="Z12" i="108"/>
  <c r="EP15" i="108"/>
  <c r="O12" i="108"/>
  <c r="AB12" i="108"/>
  <c r="AC12" i="108" s="1"/>
  <c r="BM19" i="108"/>
  <c r="EW20" i="108"/>
  <c r="Y12" i="108"/>
  <c r="EU19" i="108"/>
  <c r="Z15" i="108"/>
  <c r="AB14" i="108"/>
  <c r="AC14" i="108" s="1"/>
  <c r="AA12" i="108"/>
  <c r="EV18" i="108"/>
  <c r="Y14" i="108"/>
  <c r="EU20" i="108"/>
  <c r="EU18" i="108"/>
  <c r="EP14" i="108"/>
  <c r="EU12" i="108"/>
  <c r="EP21" i="108"/>
  <c r="R13" i="108"/>
  <c r="EU16" i="108"/>
  <c r="FB22" i="108"/>
  <c r="AA14" i="108"/>
  <c r="EU15" i="108"/>
  <c r="EW18" i="108"/>
  <c r="BS20" i="108"/>
  <c r="BM14" i="108"/>
  <c r="AA15" i="108"/>
  <c r="BO16" i="108"/>
  <c r="BL20" i="108"/>
  <c r="O15" i="108"/>
  <c r="AB18" i="108"/>
  <c r="AC18" i="108" s="1"/>
  <c r="BO14" i="108"/>
  <c r="R17" i="108"/>
  <c r="BN20" i="108"/>
  <c r="EU21" i="108"/>
  <c r="X13" i="108"/>
  <c r="BM13" i="108"/>
  <c r="R15" i="108"/>
  <c r="Z16" i="108"/>
  <c r="R16" i="108"/>
  <c r="EW16" i="108"/>
  <c r="BN19" i="108"/>
  <c r="EP19" i="108"/>
  <c r="W21" i="108"/>
  <c r="Z13" i="108"/>
  <c r="AA13" i="108"/>
  <c r="BO13" i="108"/>
  <c r="R22" i="108"/>
  <c r="BM22" i="108"/>
  <c r="Y13" i="108"/>
  <c r="BL15" i="108"/>
  <c r="BM17" i="108"/>
  <c r="BM18" i="108"/>
  <c r="BL21" i="108"/>
  <c r="BN14" i="108"/>
  <c r="Y16" i="108"/>
  <c r="AA18" i="108"/>
  <c r="EV20" i="108"/>
  <c r="H314" i="36"/>
  <c r="EV21" i="108"/>
  <c r="EP18" i="108"/>
  <c r="Y18" i="108"/>
  <c r="R21" i="108"/>
  <c r="O13" i="108"/>
  <c r="X14" i="108"/>
  <c r="W16" i="108"/>
  <c r="AH16" i="108" s="1"/>
  <c r="EV16" i="108"/>
  <c r="EY16" i="108" s="1"/>
  <c r="O19" i="108"/>
  <c r="Z21" i="108"/>
  <c r="X22" i="108"/>
  <c r="BN22" i="108"/>
  <c r="FC22" i="108"/>
  <c r="BN12" i="108"/>
  <c r="X16" i="108"/>
  <c r="BL17" i="108"/>
  <c r="Y22" i="108"/>
  <c r="BO22" i="108"/>
  <c r="FD22" i="108"/>
  <c r="BN16" i="108"/>
  <c r="EV22" i="108"/>
  <c r="Z17" i="108"/>
  <c r="EM19" i="108"/>
  <c r="EV19" i="108"/>
  <c r="EV13" i="108"/>
  <c r="W22" i="108"/>
  <c r="AW22" i="108" s="1"/>
  <c r="O20" i="108"/>
  <c r="EP22" i="108"/>
  <c r="EM16" i="108"/>
  <c r="Z22" i="108"/>
  <c r="BO17" i="108"/>
  <c r="BM21" i="108"/>
  <c r="BO15" i="108"/>
  <c r="W20" i="108"/>
  <c r="BN21" i="108"/>
  <c r="X12" i="108"/>
  <c r="EW14" i="108"/>
  <c r="BN15" i="108"/>
  <c r="O16" i="108"/>
  <c r="X20" i="108"/>
  <c r="EP20" i="108"/>
  <c r="BM20" i="108"/>
  <c r="BL14" i="108"/>
  <c r="EW19" i="108"/>
  <c r="AA16" i="108"/>
  <c r="EV14" i="108"/>
  <c r="EY14" i="108" s="1"/>
  <c r="AB16" i="108"/>
  <c r="AC16" i="108" s="1"/>
  <c r="AD22" i="108"/>
  <c r="BE22" i="108" s="1"/>
  <c r="O14" i="108"/>
  <c r="EM17" i="108"/>
  <c r="Y20" i="108"/>
  <c r="BO21" i="108"/>
  <c r="EM14" i="108"/>
  <c r="W18" i="108"/>
  <c r="X18" i="108"/>
  <c r="BO12" i="108"/>
  <c r="AA22" i="108"/>
  <c r="EP16" i="108"/>
  <c r="Z19" i="108"/>
  <c r="AA17" i="108"/>
  <c r="AA19" i="108"/>
  <c r="Z20" i="108"/>
  <c r="EW12" i="108"/>
  <c r="W14" i="108"/>
  <c r="AH14" i="108" s="1"/>
  <c r="BO18" i="108"/>
  <c r="AA20" i="108"/>
  <c r="O21" i="108"/>
  <c r="CO22" i="108"/>
  <c r="CQ22" i="108" s="1"/>
  <c r="Z14" i="108"/>
  <c r="EM20" i="108"/>
  <c r="W12" i="108"/>
  <c r="EM15" i="108"/>
  <c r="X17" i="108"/>
  <c r="AB20" i="108"/>
  <c r="AC20" i="108" s="1"/>
  <c r="BO20" i="108"/>
  <c r="Z18" i="108"/>
  <c r="W13" i="108"/>
  <c r="AH13" i="108" s="1"/>
  <c r="R18" i="108"/>
  <c r="BN13" i="108"/>
  <c r="EU14" i="108"/>
  <c r="EU17" i="108"/>
  <c r="BL19" i="108"/>
  <c r="BL16" i="108"/>
  <c r="EP17" i="108"/>
  <c r="CR22" i="108"/>
  <c r="AG22" i="108"/>
  <c r="BG22" i="108" s="1"/>
  <c r="FE22" i="108"/>
  <c r="BN17" i="108"/>
  <c r="EW15" i="108"/>
  <c r="BM16" i="108"/>
  <c r="CV22" i="108"/>
  <c r="EW21" i="108"/>
  <c r="R12" i="108"/>
  <c r="Y15" i="108"/>
  <c r="EW17" i="108"/>
  <c r="EM18" i="108"/>
  <c r="BO19" i="108"/>
  <c r="R20" i="108"/>
  <c r="BL12" i="108"/>
  <c r="EP13" i="108"/>
  <c r="EV15" i="108"/>
  <c r="R19" i="108"/>
  <c r="X21" i="108"/>
  <c r="BM12" i="108"/>
  <c r="W19" i="108"/>
  <c r="Y21" i="108"/>
  <c r="AE22" i="108"/>
  <c r="X19" i="108"/>
  <c r="AF22" i="108"/>
  <c r="BF22" i="108" s="1"/>
  <c r="EW13" i="108"/>
  <c r="W17" i="108"/>
  <c r="Y19" i="108"/>
  <c r="AA21" i="108"/>
  <c r="AB21" i="108"/>
  <c r="AC21" i="108" s="1"/>
  <c r="W15" i="108"/>
  <c r="Y17" i="108"/>
  <c r="CS22" i="108"/>
  <c r="AB19" i="108"/>
  <c r="AC19" i="108" s="1"/>
  <c r="CT22" i="108"/>
  <c r="CU22" i="108"/>
  <c r="X15" i="108"/>
  <c r="AB17" i="108"/>
  <c r="AC17" i="108" s="1"/>
  <c r="EW22" i="108"/>
  <c r="EM12" i="108"/>
  <c r="AB15" i="108"/>
  <c r="AC15" i="108" s="1"/>
  <c r="BM15" i="108"/>
  <c r="O18" i="108"/>
  <c r="AB13" i="108"/>
  <c r="AC13" i="108" s="1"/>
  <c r="EP12" i="108"/>
  <c r="EM21" i="108"/>
  <c r="R14" i="108"/>
  <c r="BL18" i="108"/>
  <c r="BN18" i="108"/>
  <c r="J203" i="28" a="1"/>
  <c r="AM19" i="109" a="1"/>
  <c r="AM12" i="109" a="1"/>
  <c r="H269" i="28" a="1"/>
  <c r="AM22" i="109" a="1"/>
  <c r="AM17" i="109" a="1"/>
  <c r="AM21" i="109" a="1"/>
  <c r="AM16" i="109" a="1"/>
  <c r="AM14" i="109" a="1"/>
  <c r="AM13" i="109" a="1"/>
  <c r="AM20" i="109" a="1"/>
  <c r="AM18" i="109" a="1"/>
  <c r="AM15" i="109" a="1"/>
  <c r="G269" i="28" a="1"/>
  <c r="AH22" i="108" l="1"/>
  <c r="FF22" i="108"/>
  <c r="EX22" i="108"/>
  <c r="AM20" i="109"/>
  <c r="J203" i="28"/>
  <c r="AM21" i="109"/>
  <c r="AM13" i="109"/>
  <c r="AM18" i="109"/>
  <c r="AM15" i="109"/>
  <c r="AM12" i="109"/>
  <c r="H269" i="28"/>
  <c r="AM16" i="109"/>
  <c r="AM17" i="109"/>
  <c r="AM22" i="109"/>
  <c r="G269" i="28"/>
  <c r="AM19" i="109"/>
  <c r="AM14" i="109"/>
  <c r="AW20" i="108"/>
  <c r="AH21" i="108"/>
  <c r="AJ21" i="108" s="1"/>
  <c r="EY20" i="108"/>
  <c r="AW13" i="108"/>
  <c r="AW18" i="108"/>
  <c r="AH12" i="108"/>
  <c r="AJ12" i="108" s="1"/>
  <c r="FG22" i="108"/>
  <c r="AW16" i="108"/>
  <c r="EY17" i="108"/>
  <c r="AH20" i="108"/>
  <c r="BD22" i="108"/>
  <c r="EY21" i="108"/>
  <c r="AW21" i="108"/>
  <c r="EY19" i="108"/>
  <c r="FI22" i="108"/>
  <c r="AW14" i="108"/>
  <c r="FH22" i="108"/>
  <c r="AH18" i="108"/>
  <c r="AJ18" i="108" s="1"/>
  <c r="CX22" i="108"/>
  <c r="EY18" i="108"/>
  <c r="EY12" i="108"/>
  <c r="AW12" i="108"/>
  <c r="CZ22" i="108"/>
  <c r="EY13" i="108"/>
  <c r="AJ22" i="108"/>
  <c r="AK22" i="108" s="1"/>
  <c r="AT22" i="108" s="1"/>
  <c r="EY22" i="108"/>
  <c r="AJ14" i="108"/>
  <c r="AK14" i="108" s="1"/>
  <c r="AT14" i="108" s="1"/>
  <c r="AH15" i="108"/>
  <c r="AW15" i="108"/>
  <c r="CW22" i="108"/>
  <c r="AH17" i="108"/>
  <c r="AJ16" i="108"/>
  <c r="AK16" i="108" s="1"/>
  <c r="AT16" i="108" s="1"/>
  <c r="AJ13" i="108"/>
  <c r="AK13" i="108" s="1"/>
  <c r="AT13" i="108" s="1"/>
  <c r="AJ20" i="108"/>
  <c r="AK20" i="108" s="1"/>
  <c r="AT20" i="108" s="1"/>
  <c r="AW19" i="108"/>
  <c r="AH19" i="108"/>
  <c r="EY15" i="108"/>
  <c r="BP22" i="108"/>
  <c r="AW17" i="108"/>
  <c r="AL16" i="108" l="1"/>
  <c r="AU16" i="108" s="1"/>
  <c r="AS21" i="108"/>
  <c r="AK21" i="108"/>
  <c r="AT21" i="108" s="1"/>
  <c r="AP19" i="109"/>
  <c r="AN19" i="109"/>
  <c r="AO19" i="109"/>
  <c r="AN16" i="109"/>
  <c r="AO16" i="109"/>
  <c r="AP16" i="109"/>
  <c r="AP17" i="109"/>
  <c r="AO17" i="109"/>
  <c r="AN17" i="109"/>
  <c r="AO12" i="109"/>
  <c r="AN12" i="109"/>
  <c r="AP12" i="109"/>
  <c r="AP18" i="109"/>
  <c r="AN18" i="109"/>
  <c r="AO18" i="109"/>
  <c r="AO21" i="109"/>
  <c r="AN21" i="109"/>
  <c r="AP21" i="109"/>
  <c r="CY22" i="108"/>
  <c r="AP14" i="109"/>
  <c r="AO14" i="109"/>
  <c r="AN14" i="109"/>
  <c r="AP15" i="109"/>
  <c r="AN15" i="109"/>
  <c r="AO15" i="109"/>
  <c r="AP13" i="109"/>
  <c r="AO13" i="109"/>
  <c r="AN13" i="109"/>
  <c r="AS22" i="108"/>
  <c r="AO20" i="109"/>
  <c r="AN20" i="109"/>
  <c r="AP20" i="109"/>
  <c r="AS18" i="108"/>
  <c r="AK18" i="108"/>
  <c r="AT18" i="108" s="1"/>
  <c r="AL13" i="108"/>
  <c r="AU13" i="108" s="1"/>
  <c r="AL21" i="108"/>
  <c r="AU21" i="108" s="1"/>
  <c r="AS12" i="108"/>
  <c r="AJ15" i="108"/>
  <c r="AK15" i="108" s="1"/>
  <c r="AT15" i="108" s="1"/>
  <c r="AJ19" i="108"/>
  <c r="AS16" i="108"/>
  <c r="AM16" i="108"/>
  <c r="AV16" i="108" s="1"/>
  <c r="AS13" i="108"/>
  <c r="AL14" i="108"/>
  <c r="AU14" i="108" s="1"/>
  <c r="BR22" i="108"/>
  <c r="BQ22" i="108"/>
  <c r="AS14" i="108"/>
  <c r="AK12" i="108"/>
  <c r="AT12" i="108" s="1"/>
  <c r="AJ17" i="108"/>
  <c r="AS20" i="108"/>
  <c r="AL20" i="108"/>
  <c r="AU20" i="108" s="1"/>
  <c r="AM20" i="108"/>
  <c r="AV20" i="108" s="1"/>
  <c r="AL22" i="108"/>
  <c r="AU22" i="108" s="1"/>
  <c r="AO16" i="108" l="1"/>
  <c r="AX16" i="108" s="1"/>
  <c r="AO22" i="109"/>
  <c r="AN22" i="109"/>
  <c r="AN24" i="109" s="1"/>
  <c r="AM21" i="108"/>
  <c r="AV21" i="108" s="1"/>
  <c r="AP22" i="109"/>
  <c r="AM13" i="108"/>
  <c r="AV13" i="108" s="1"/>
  <c r="AL15" i="108"/>
  <c r="AU15" i="108" s="1"/>
  <c r="AL18" i="108"/>
  <c r="AO20" i="108"/>
  <c r="AM22" i="108"/>
  <c r="AV22" i="108" s="1"/>
  <c r="AK19" i="108"/>
  <c r="AS15" i="108"/>
  <c r="AM15" i="108"/>
  <c r="AS17" i="108"/>
  <c r="AO13" i="108"/>
  <c r="AK17" i="108"/>
  <c r="AT17" i="108" s="1"/>
  <c r="AM14" i="108"/>
  <c r="AV14" i="108" s="1"/>
  <c r="AS19" i="108"/>
  <c r="AO22" i="108"/>
  <c r="AX22" i="108" s="1"/>
  <c r="AI16" i="108"/>
  <c r="AL12" i="108"/>
  <c r="AM12" i="108" s="1"/>
  <c r="AV12" i="108" s="1"/>
  <c r="AO21" i="108"/>
  <c r="AX21" i="108" s="1"/>
  <c r="AL17" i="108" l="1"/>
  <c r="AU17" i="108" s="1"/>
  <c r="AP26" i="109"/>
  <c r="AP28" i="109"/>
  <c r="AO26" i="109"/>
  <c r="AO28" i="109"/>
  <c r="AU18" i="108"/>
  <c r="AM18" i="108"/>
  <c r="AX13" i="108"/>
  <c r="AI13" i="108"/>
  <c r="AP16" i="108"/>
  <c r="AY16" i="108" s="1"/>
  <c r="AR16" i="108"/>
  <c r="AV15" i="108"/>
  <c r="AO15" i="108"/>
  <c r="AX15" i="108" s="1"/>
  <c r="AT19" i="108"/>
  <c r="AU12" i="108"/>
  <c r="AO12" i="108"/>
  <c r="AI22" i="108"/>
  <c r="AM17" i="108"/>
  <c r="AV17" i="108" s="1"/>
  <c r="AI21" i="108"/>
  <c r="AX20" i="108"/>
  <c r="AI20" i="108"/>
  <c r="AO14" i="108"/>
  <c r="AX14" i="108" s="1"/>
  <c r="AL19" i="108"/>
  <c r="G25" i="165" a="1"/>
  <c r="H25" i="165" a="1"/>
  <c r="E25" i="165" a="1"/>
  <c r="D25" i="165" a="1"/>
  <c r="AO17" i="108" l="1"/>
  <c r="AX17" i="108" s="1"/>
  <c r="D25" i="165"/>
  <c r="E25" i="165"/>
  <c r="H25" i="165"/>
  <c r="G25" i="165"/>
  <c r="AI15" i="108"/>
  <c r="AR15" i="108" s="1"/>
  <c r="AV18" i="108"/>
  <c r="AO18" i="108"/>
  <c r="AX18" i="108" s="1"/>
  <c r="AR20" i="108"/>
  <c r="AP20" i="108"/>
  <c r="AY20" i="108" s="1"/>
  <c r="AU19" i="108"/>
  <c r="AM19" i="108"/>
  <c r="AV19" i="108" s="1"/>
  <c r="AI14" i="108"/>
  <c r="AR22" i="108"/>
  <c r="AP22" i="108"/>
  <c r="AY22" i="108" s="1"/>
  <c r="AO19" i="108"/>
  <c r="AX19" i="108" s="1"/>
  <c r="AI17" i="108"/>
  <c r="AP13" i="108"/>
  <c r="AY13" i="108" s="1"/>
  <c r="AR13" i="108"/>
  <c r="AR21" i="108"/>
  <c r="AP21" i="108"/>
  <c r="AY21" i="108" s="1"/>
  <c r="AX12" i="108"/>
  <c r="AI12" i="108"/>
  <c r="AP15" i="108" l="1"/>
  <c r="AY15" i="108" s="1"/>
  <c r="AI18" i="108"/>
  <c r="AR12" i="108"/>
  <c r="AP12" i="108"/>
  <c r="AY12" i="108" s="1"/>
  <c r="AP17" i="108"/>
  <c r="AY17" i="108" s="1"/>
  <c r="AR17" i="108"/>
  <c r="AI19" i="108"/>
  <c r="AR14" i="108"/>
  <c r="AP14" i="108"/>
  <c r="AY14" i="108" s="1"/>
  <c r="AR18" i="108" l="1"/>
  <c r="AP18" i="108"/>
  <c r="AY18" i="108" s="1"/>
  <c r="AR19" i="108"/>
  <c r="AP19" i="108"/>
  <c r="AY19" i="108" s="1"/>
  <c r="FA22" i="107" l="1"/>
  <c r="EZ22" i="107" s="1"/>
  <c r="ET22" i="107"/>
  <c r="ES22" i="107"/>
  <c r="ER22" i="107"/>
  <c r="EQ22" i="107"/>
  <c r="EO22" i="107"/>
  <c r="EN22" i="107"/>
  <c r="EL22" i="107"/>
  <c r="EK22" i="107"/>
  <c r="EJ22" i="107"/>
  <c r="EI22" i="107"/>
  <c r="EC22" i="107"/>
  <c r="EB22" i="107"/>
  <c r="EA22" i="107"/>
  <c r="DE22" i="107"/>
  <c r="DD22" i="107" s="1"/>
  <c r="DB22" i="107"/>
  <c r="DA22" i="107"/>
  <c r="CN22" i="107"/>
  <c r="CM22" i="107"/>
  <c r="CL22" i="107"/>
  <c r="CK22" i="107"/>
  <c r="BK22" i="107"/>
  <c r="BJ22" i="107"/>
  <c r="BI22" i="107"/>
  <c r="BH22" i="107"/>
  <c r="AN22" i="107"/>
  <c r="AM22" i="107"/>
  <c r="V22" i="107"/>
  <c r="U22" i="107"/>
  <c r="T22" i="107"/>
  <c r="S22" i="107"/>
  <c r="Q22" i="107"/>
  <c r="P22" i="107"/>
  <c r="N22" i="107"/>
  <c r="M22" i="107"/>
  <c r="L22" i="107"/>
  <c r="K22" i="107"/>
  <c r="H22" i="107"/>
  <c r="G22" i="107"/>
  <c r="F22" i="107"/>
  <c r="E22" i="107"/>
  <c r="D22" i="107"/>
  <c r="C22" i="107"/>
  <c r="FA21" i="107"/>
  <c r="EZ21" i="107" s="1"/>
  <c r="EO21" i="107"/>
  <c r="EN21" i="107"/>
  <c r="EC21" i="107"/>
  <c r="EB21" i="107"/>
  <c r="EA21" i="107"/>
  <c r="DE21" i="107"/>
  <c r="DD21" i="107" s="1"/>
  <c r="BK21" i="107"/>
  <c r="BJ21" i="107"/>
  <c r="BI21" i="107"/>
  <c r="BH21" i="107"/>
  <c r="AN21" i="107"/>
  <c r="AM21" i="107"/>
  <c r="Q21" i="107"/>
  <c r="P21" i="107"/>
  <c r="H21" i="107"/>
  <c r="G21" i="107"/>
  <c r="F21" i="107"/>
  <c r="E21" i="107"/>
  <c r="D21" i="107"/>
  <c r="C21" i="107"/>
  <c r="FA20" i="107"/>
  <c r="EZ20" i="107" s="1"/>
  <c r="EO20" i="107"/>
  <c r="EN20" i="107"/>
  <c r="EC20" i="107"/>
  <c r="EB20" i="107"/>
  <c r="EA20" i="107"/>
  <c r="DE20" i="107"/>
  <c r="DD20" i="107" s="1"/>
  <c r="BK20" i="107"/>
  <c r="BJ20" i="107"/>
  <c r="BI20" i="107"/>
  <c r="BH20" i="107"/>
  <c r="AN20" i="107"/>
  <c r="AM20" i="107"/>
  <c r="Q20" i="107"/>
  <c r="P20" i="107"/>
  <c r="H20" i="107"/>
  <c r="G20" i="107"/>
  <c r="F20" i="107"/>
  <c r="E20" i="107"/>
  <c r="D20" i="107"/>
  <c r="C20" i="107"/>
  <c r="FA19" i="107"/>
  <c r="EZ19" i="107"/>
  <c r="EO19" i="107"/>
  <c r="EN19" i="107"/>
  <c r="EC19" i="107"/>
  <c r="EB19" i="107"/>
  <c r="EA19" i="107"/>
  <c r="DE19" i="107"/>
  <c r="DD19" i="107" s="1"/>
  <c r="BK19" i="107"/>
  <c r="BJ19" i="107"/>
  <c r="BI19" i="107"/>
  <c r="BH19" i="107"/>
  <c r="AN19" i="107"/>
  <c r="AM19" i="107"/>
  <c r="Q19" i="107"/>
  <c r="P19" i="107"/>
  <c r="H19" i="107"/>
  <c r="G19" i="107"/>
  <c r="F19" i="107"/>
  <c r="E19" i="107"/>
  <c r="D19" i="107"/>
  <c r="C19" i="107"/>
  <c r="FA18" i="107"/>
  <c r="EZ18" i="107" s="1"/>
  <c r="EO18" i="107"/>
  <c r="EN18" i="107"/>
  <c r="EU18" i="107" s="1"/>
  <c r="EC18" i="107"/>
  <c r="EB18" i="107"/>
  <c r="EA18" i="107"/>
  <c r="DE18" i="107"/>
  <c r="DD18" i="107" s="1"/>
  <c r="BK18" i="107"/>
  <c r="BJ18" i="107"/>
  <c r="BI18" i="107"/>
  <c r="BH18" i="107"/>
  <c r="AN18" i="107"/>
  <c r="AM18" i="107"/>
  <c r="Q18" i="107"/>
  <c r="P18" i="107"/>
  <c r="H18" i="107"/>
  <c r="G18" i="107"/>
  <c r="F18" i="107"/>
  <c r="E18" i="107"/>
  <c r="D18" i="107"/>
  <c r="C18" i="107"/>
  <c r="FA17" i="107"/>
  <c r="EZ17" i="107" s="1"/>
  <c r="EO17" i="107"/>
  <c r="EN17" i="107"/>
  <c r="EC17" i="107"/>
  <c r="EB17" i="107"/>
  <c r="EA17" i="107"/>
  <c r="EM17" i="107" s="1"/>
  <c r="DE17" i="107"/>
  <c r="DD17" i="107" s="1"/>
  <c r="BK17" i="107"/>
  <c r="BJ17" i="107"/>
  <c r="BI17" i="107"/>
  <c r="BH17" i="107"/>
  <c r="AN17" i="107"/>
  <c r="AM17" i="107"/>
  <c r="Q17" i="107"/>
  <c r="P17" i="107"/>
  <c r="H17" i="107"/>
  <c r="G17" i="107"/>
  <c r="F17" i="107"/>
  <c r="E17" i="107"/>
  <c r="D17" i="107"/>
  <c r="C17" i="107"/>
  <c r="FA16" i="107"/>
  <c r="EZ16" i="107" s="1"/>
  <c r="EO16" i="107"/>
  <c r="EN16" i="107"/>
  <c r="EC16" i="107"/>
  <c r="EB16" i="107"/>
  <c r="EA16" i="107"/>
  <c r="DE16" i="107"/>
  <c r="DD16" i="107" s="1"/>
  <c r="BK16" i="107"/>
  <c r="BJ16" i="107"/>
  <c r="BI16" i="107"/>
  <c r="BH16" i="107"/>
  <c r="AN16" i="107"/>
  <c r="AM16" i="107"/>
  <c r="Q16" i="107"/>
  <c r="P16" i="107"/>
  <c r="H16" i="107"/>
  <c r="G16" i="107"/>
  <c r="F16" i="107"/>
  <c r="E16" i="107"/>
  <c r="D16" i="107"/>
  <c r="C16" i="107"/>
  <c r="FA15" i="107"/>
  <c r="EZ15" i="107" s="1"/>
  <c r="EO15" i="107"/>
  <c r="EN15" i="107"/>
  <c r="EC15" i="107"/>
  <c r="EB15" i="107"/>
  <c r="EA15" i="107"/>
  <c r="DE15" i="107"/>
  <c r="DD15" i="107" s="1"/>
  <c r="BK15" i="107"/>
  <c r="BJ15" i="107"/>
  <c r="BI15" i="107"/>
  <c r="BH15" i="107"/>
  <c r="AN15" i="107"/>
  <c r="AM15" i="107"/>
  <c r="Q15" i="107"/>
  <c r="P15" i="107"/>
  <c r="H15" i="107"/>
  <c r="G15" i="107"/>
  <c r="F15" i="107"/>
  <c r="E15" i="107"/>
  <c r="D15" i="107"/>
  <c r="C15" i="107"/>
  <c r="FA14" i="107"/>
  <c r="EZ14" i="107" s="1"/>
  <c r="EO14" i="107"/>
  <c r="EN14" i="107"/>
  <c r="EC14" i="107"/>
  <c r="EB14" i="107"/>
  <c r="EA14" i="107"/>
  <c r="DE14" i="107"/>
  <c r="DD14" i="107" s="1"/>
  <c r="BK14" i="107"/>
  <c r="BJ14" i="107"/>
  <c r="BI14" i="107"/>
  <c r="BH14" i="107"/>
  <c r="AN14" i="107"/>
  <c r="AM14" i="107"/>
  <c r="Q14" i="107"/>
  <c r="P14" i="107"/>
  <c r="H14" i="107"/>
  <c r="G14" i="107"/>
  <c r="F14" i="107"/>
  <c r="E14" i="107"/>
  <c r="D14" i="107"/>
  <c r="C14" i="107"/>
  <c r="FA13" i="107"/>
  <c r="EZ13" i="107" s="1"/>
  <c r="EO13" i="107"/>
  <c r="EN13" i="107"/>
  <c r="EC13" i="107"/>
  <c r="EB13" i="107"/>
  <c r="EA13" i="107"/>
  <c r="DE13" i="107"/>
  <c r="DD13" i="107" s="1"/>
  <c r="BK13" i="107"/>
  <c r="BJ13" i="107"/>
  <c r="BI13" i="107"/>
  <c r="BH13" i="107"/>
  <c r="AN13" i="107"/>
  <c r="AM13" i="107"/>
  <c r="Q13" i="107"/>
  <c r="P13" i="107"/>
  <c r="H13" i="107"/>
  <c r="G13" i="107"/>
  <c r="F13" i="107"/>
  <c r="E13" i="107"/>
  <c r="D13" i="107"/>
  <c r="C13" i="107"/>
  <c r="FA12" i="107"/>
  <c r="EZ12" i="107"/>
  <c r="EO12" i="107"/>
  <c r="EN12" i="107"/>
  <c r="EC12" i="107"/>
  <c r="EB12" i="107"/>
  <c r="EA12" i="107"/>
  <c r="DE12" i="107"/>
  <c r="DD12" i="107" s="1"/>
  <c r="BK12" i="107"/>
  <c r="BJ12" i="107"/>
  <c r="BI12" i="107"/>
  <c r="BH12" i="107"/>
  <c r="AN12" i="107"/>
  <c r="AM12" i="107"/>
  <c r="Q12" i="107"/>
  <c r="P12" i="107"/>
  <c r="H12" i="107"/>
  <c r="G12" i="107"/>
  <c r="F12" i="107"/>
  <c r="E12" i="107"/>
  <c r="D12" i="107"/>
  <c r="C12" i="107"/>
  <c r="EU14" i="107" l="1"/>
  <c r="EW21" i="107"/>
  <c r="EU12" i="107"/>
  <c r="CP22" i="107"/>
  <c r="EM15" i="107"/>
  <c r="EM14" i="107"/>
  <c r="EP16" i="107"/>
  <c r="BN12" i="107"/>
  <c r="R16" i="107"/>
  <c r="EM12" i="107"/>
  <c r="BM14" i="107"/>
  <c r="BM13" i="107"/>
  <c r="EW19" i="107"/>
  <c r="Y13" i="107"/>
  <c r="BL16" i="107"/>
  <c r="BO18" i="107"/>
  <c r="O21" i="107"/>
  <c r="R12" i="107"/>
  <c r="BM12" i="107"/>
  <c r="BS20" i="107"/>
  <c r="AA19" i="107"/>
  <c r="AB19" i="107" s="1"/>
  <c r="AC19" i="107" s="1"/>
  <c r="O17" i="107"/>
  <c r="Y18" i="107"/>
  <c r="EW16" i="107"/>
  <c r="EU16" i="107"/>
  <c r="EW13" i="107"/>
  <c r="Y16" i="107"/>
  <c r="R13" i="107"/>
  <c r="BN21" i="107"/>
  <c r="Z16" i="107"/>
  <c r="AA16" i="107"/>
  <c r="AB16" i="107" s="1"/>
  <c r="AC16" i="107" s="1"/>
  <c r="R18" i="107"/>
  <c r="AA14" i="107"/>
  <c r="AB14" i="107" s="1"/>
  <c r="AC14" i="107" s="1"/>
  <c r="O13" i="107"/>
  <c r="EM20" i="107"/>
  <c r="O16" i="107"/>
  <c r="W16" i="107"/>
  <c r="X16" i="107"/>
  <c r="W13" i="107"/>
  <c r="EM19" i="107"/>
  <c r="AA20" i="107"/>
  <c r="AB20" i="107" s="1"/>
  <c r="AC20" i="107" s="1"/>
  <c r="O12" i="107"/>
  <c r="X13" i="107"/>
  <c r="EV19" i="107"/>
  <c r="BL15" i="107"/>
  <c r="EP18" i="107"/>
  <c r="BS19" i="107"/>
  <c r="R22" i="107"/>
  <c r="BM22" i="107"/>
  <c r="EW22" i="107"/>
  <c r="EP22" i="107"/>
  <c r="EU13" i="107"/>
  <c r="BL17" i="107"/>
  <c r="EU17" i="107"/>
  <c r="EW14" i="107"/>
  <c r="BN13" i="107"/>
  <c r="R15" i="107"/>
  <c r="AA18" i="107"/>
  <c r="AB18" i="107" s="1"/>
  <c r="AC18" i="107" s="1"/>
  <c r="Y20" i="107"/>
  <c r="EU21" i="107"/>
  <c r="BO13" i="107"/>
  <c r="AA15" i="107"/>
  <c r="AB15" i="107" s="1"/>
  <c r="AC15" i="107" s="1"/>
  <c r="BN17" i="107"/>
  <c r="BL19" i="107"/>
  <c r="EU19" i="107"/>
  <c r="BL20" i="107"/>
  <c r="EU20" i="107"/>
  <c r="EU15" i="107"/>
  <c r="EP19" i="107"/>
  <c r="W18" i="107"/>
  <c r="AV18" i="107" s="1"/>
  <c r="Z19" i="107"/>
  <c r="BO20" i="107"/>
  <c r="EV12" i="107"/>
  <c r="BN15" i="107"/>
  <c r="DC22" i="107"/>
  <c r="EW17" i="107"/>
  <c r="BS14" i="107"/>
  <c r="X15" i="107"/>
  <c r="EM18" i="107"/>
  <c r="Y15" i="107"/>
  <c r="BN16" i="107"/>
  <c r="AA17" i="107"/>
  <c r="AB17" i="107" s="1"/>
  <c r="AC17" i="107" s="1"/>
  <c r="O18" i="107"/>
  <c r="EV18" i="107"/>
  <c r="BO19" i="107"/>
  <c r="EV20" i="107"/>
  <c r="EW20" i="107"/>
  <c r="W20" i="107"/>
  <c r="EV15" i="107"/>
  <c r="EV21" i="107"/>
  <c r="Y12" i="107"/>
  <c r="O14" i="107"/>
  <c r="X17" i="107"/>
  <c r="BM19" i="107"/>
  <c r="BN19" i="107"/>
  <c r="BS12" i="107"/>
  <c r="Z15" i="107"/>
  <c r="BO16" i="107"/>
  <c r="EW18" i="107"/>
  <c r="R20" i="107"/>
  <c r="BS13" i="107"/>
  <c r="BL14" i="107"/>
  <c r="BS16" i="107"/>
  <c r="R17" i="107"/>
  <c r="X18" i="107"/>
  <c r="BL22" i="107"/>
  <c r="FB22" i="107"/>
  <c r="CO22" i="107"/>
  <c r="CQ22" i="107" s="1"/>
  <c r="X14" i="107"/>
  <c r="BS21" i="107"/>
  <c r="EW15" i="107"/>
  <c r="Z12" i="107"/>
  <c r="W15" i="107"/>
  <c r="Y17" i="107"/>
  <c r="AA12" i="107"/>
  <c r="AB12" i="107" s="1"/>
  <c r="AC12" i="107" s="1"/>
  <c r="R14" i="107"/>
  <c r="Z17" i="107"/>
  <c r="BN14" i="107"/>
  <c r="Z18" i="107"/>
  <c r="BN22" i="107"/>
  <c r="FD22" i="107"/>
  <c r="BL12" i="107"/>
  <c r="Z13" i="107"/>
  <c r="EM13" i="107"/>
  <c r="BO14" i="107"/>
  <c r="BO22" i="107"/>
  <c r="FE22" i="107"/>
  <c r="X22" i="107"/>
  <c r="FC22" i="107"/>
  <c r="W22" i="107"/>
  <c r="AA13" i="107"/>
  <c r="AB13" i="107" s="1"/>
  <c r="AC13" i="107" s="1"/>
  <c r="EV13" i="107"/>
  <c r="EV16" i="107"/>
  <c r="BM17" i="107"/>
  <c r="BM20" i="107"/>
  <c r="AA21" i="107"/>
  <c r="AB21" i="107" s="1"/>
  <c r="AC21" i="107" s="1"/>
  <c r="Y22" i="107"/>
  <c r="W17" i="107"/>
  <c r="EP20" i="107"/>
  <c r="EW12" i="107"/>
  <c r="Z20" i="107"/>
  <c r="BM16" i="107"/>
  <c r="Z21" i="107"/>
  <c r="BO15" i="107"/>
  <c r="EM16" i="107"/>
  <c r="BO17" i="107"/>
  <c r="AA22" i="107"/>
  <c r="AB22" i="107" s="1"/>
  <c r="AC22" i="107" s="1"/>
  <c r="BO21" i="107"/>
  <c r="CR22" i="107"/>
  <c r="X12" i="107"/>
  <c r="BL18" i="107"/>
  <c r="X20" i="107"/>
  <c r="BS18" i="107"/>
  <c r="EP15" i="107"/>
  <c r="EP21" i="107"/>
  <c r="BS15" i="107"/>
  <c r="Y19" i="107"/>
  <c r="Z22" i="107"/>
  <c r="BO12" i="107"/>
  <c r="BM15" i="107"/>
  <c r="BL21" i="107"/>
  <c r="R19" i="107"/>
  <c r="BS17" i="107"/>
  <c r="BM21" i="107"/>
  <c r="EV14" i="107"/>
  <c r="AH17" i="107"/>
  <c r="AW17" i="107"/>
  <c r="EP12" i="107"/>
  <c r="BM18" i="107"/>
  <c r="R21" i="107"/>
  <c r="BN18" i="107"/>
  <c r="O19" i="107"/>
  <c r="W21" i="107"/>
  <c r="AD22" i="107"/>
  <c r="EP17" i="107"/>
  <c r="X21" i="107"/>
  <c r="AE22" i="107"/>
  <c r="W14" i="107"/>
  <c r="Y21" i="107"/>
  <c r="AF22" i="107"/>
  <c r="BF22" i="107" s="1"/>
  <c r="EV17" i="107"/>
  <c r="AG22" i="107"/>
  <c r="BG22" i="107" s="1"/>
  <c r="Y14" i="107"/>
  <c r="W19" i="107"/>
  <c r="Z14" i="107"/>
  <c r="X19" i="107"/>
  <c r="CS22" i="107"/>
  <c r="CT22" i="107"/>
  <c r="W12" i="107"/>
  <c r="CU22" i="107"/>
  <c r="O15" i="107"/>
  <c r="CV22" i="107"/>
  <c r="EV22" i="107"/>
  <c r="EP13" i="107"/>
  <c r="O20" i="107"/>
  <c r="EM21" i="107"/>
  <c r="EP14" i="107"/>
  <c r="BL13" i="107"/>
  <c r="BN20" i="107"/>
  <c r="AM20" i="105" a="1"/>
  <c r="AM22" i="105" a="1"/>
  <c r="H268" i="28" a="1"/>
  <c r="J200" i="28" a="1"/>
  <c r="AM18" i="105" a="1"/>
  <c r="AM17" i="105" a="1"/>
  <c r="AM15" i="105" a="1"/>
  <c r="AM12" i="105" a="1"/>
  <c r="AM19" i="105" a="1"/>
  <c r="AM14" i="105" a="1"/>
  <c r="G268" i="28" a="1"/>
  <c r="AM16" i="105" a="1"/>
  <c r="AM21" i="105" a="1"/>
  <c r="AM13" i="105" a="1"/>
  <c r="EY16" i="107" l="1"/>
  <c r="AW18" i="107"/>
  <c r="AM20" i="105"/>
  <c r="AM12" i="105"/>
  <c r="AM16" i="105"/>
  <c r="AM18" i="105"/>
  <c r="AM17" i="105"/>
  <c r="AM22" i="105"/>
  <c r="AM13" i="105"/>
  <c r="AM21" i="105"/>
  <c r="AM15" i="105"/>
  <c r="AM19" i="105"/>
  <c r="AM14" i="105"/>
  <c r="AH20" i="107"/>
  <c r="AJ20" i="107" s="1"/>
  <c r="AK20" i="107" s="1"/>
  <c r="AT20" i="107" s="1"/>
  <c r="AV16" i="107"/>
  <c r="AH18" i="107"/>
  <c r="AJ18" i="107" s="1"/>
  <c r="AH13" i="107"/>
  <c r="AJ13" i="107" s="1"/>
  <c r="AS13" i="107" s="1"/>
  <c r="AH15" i="107"/>
  <c r="AJ15" i="107" s="1"/>
  <c r="AK15" i="107" s="1"/>
  <c r="AT15" i="107" s="1"/>
  <c r="AV17" i="107"/>
  <c r="H268" i="28"/>
  <c r="J200" i="28"/>
  <c r="G268" i="28"/>
  <c r="EY22" i="107"/>
  <c r="EY17" i="107"/>
  <c r="AV22" i="107"/>
  <c r="EX22" i="107"/>
  <c r="EY14" i="107"/>
  <c r="CZ22" i="107"/>
  <c r="FH22" i="107"/>
  <c r="AH22" i="107"/>
  <c r="AJ22" i="107" s="1"/>
  <c r="AS22" i="107" s="1"/>
  <c r="AW13" i="107"/>
  <c r="AH16" i="107"/>
  <c r="AJ16" i="107" s="1"/>
  <c r="AS16" i="107" s="1"/>
  <c r="BD22" i="107"/>
  <c r="EY13" i="107"/>
  <c r="AV13" i="107"/>
  <c r="AW16" i="107"/>
  <c r="AW22" i="107"/>
  <c r="EY15" i="107"/>
  <c r="AV15" i="107"/>
  <c r="AW15" i="107"/>
  <c r="EY18" i="107"/>
  <c r="EY20" i="107"/>
  <c r="AW20" i="107"/>
  <c r="FG22" i="107"/>
  <c r="AV20" i="107"/>
  <c r="EY12" i="107"/>
  <c r="EY21" i="107"/>
  <c r="AV12" i="107"/>
  <c r="BP22" i="107"/>
  <c r="BE22" i="107"/>
  <c r="FI22" i="107"/>
  <c r="AH14" i="107"/>
  <c r="AV14" i="107"/>
  <c r="AW14" i="107"/>
  <c r="AH21" i="107"/>
  <c r="FF22" i="107"/>
  <c r="AH19" i="107"/>
  <c r="EY19" i="107"/>
  <c r="AW19" i="107"/>
  <c r="AV19" i="107"/>
  <c r="CW22" i="107"/>
  <c r="AJ17" i="107"/>
  <c r="AK17" i="107" s="1"/>
  <c r="CX22" i="107"/>
  <c r="AO12" i="107"/>
  <c r="AX12" i="107" s="1"/>
  <c r="AL12" i="107"/>
  <c r="AU12" i="107" s="1"/>
  <c r="AK12" i="107"/>
  <c r="AT12" i="107" s="1"/>
  <c r="AJ12" i="107"/>
  <c r="AS12" i="107" s="1"/>
  <c r="AI12" i="107"/>
  <c r="AH12" i="107"/>
  <c r="AW12" i="107"/>
  <c r="AV21" i="107"/>
  <c r="AW21" i="107"/>
  <c r="AS18" i="107" l="1"/>
  <c r="AK18" i="107"/>
  <c r="AT18" i="107" s="1"/>
  <c r="AK13" i="107"/>
  <c r="AT13" i="107" s="1"/>
  <c r="AS15" i="107"/>
  <c r="AK22" i="107"/>
  <c r="AT22" i="107" s="1"/>
  <c r="AS20" i="107"/>
  <c r="AL18" i="107"/>
  <c r="AU18" i="107" s="1"/>
  <c r="AL22" i="107"/>
  <c r="AU22" i="107" s="1"/>
  <c r="CY22" i="107"/>
  <c r="AL15" i="107"/>
  <c r="AU15" i="107" s="1"/>
  <c r="AT17" i="107"/>
  <c r="AL17" i="107"/>
  <c r="AU17" i="107" s="1"/>
  <c r="AJ21" i="107"/>
  <c r="AS17" i="107"/>
  <c r="AO22" i="107"/>
  <c r="AX22" i="107" s="1"/>
  <c r="AJ19" i="107"/>
  <c r="AS19" i="107" s="1"/>
  <c r="AK16" i="107"/>
  <c r="AT16" i="107" s="1"/>
  <c r="AJ14" i="107"/>
  <c r="AP12" i="107"/>
  <c r="AY12" i="107" s="1"/>
  <c r="AR12" i="107"/>
  <c r="AL20" i="107"/>
  <c r="BR22" i="107"/>
  <c r="BQ22" i="107"/>
  <c r="AL13" i="107" l="1"/>
  <c r="AO18" i="107"/>
  <c r="AO15" i="107"/>
  <c r="AO17" i="107"/>
  <c r="AX17" i="107" s="1"/>
  <c r="AS14" i="107"/>
  <c r="AI22" i="107"/>
  <c r="AX15" i="107"/>
  <c r="AI15" i="107"/>
  <c r="AU20" i="107"/>
  <c r="AO20" i="107"/>
  <c r="AX20" i="107" s="1"/>
  <c r="AK19" i="107"/>
  <c r="AT19" i="107" s="1"/>
  <c r="AK14" i="107"/>
  <c r="AT14" i="107" s="1"/>
  <c r="AL16" i="107"/>
  <c r="AU16" i="107" s="1"/>
  <c r="AS21" i="107"/>
  <c r="AK21" i="107"/>
  <c r="AT21" i="107" s="1"/>
  <c r="AU13" i="107" l="1"/>
  <c r="AO13" i="107"/>
  <c r="AX18" i="107"/>
  <c r="AI18" i="107"/>
  <c r="AL14" i="107"/>
  <c r="AU14" i="107" s="1"/>
  <c r="AL19" i="107"/>
  <c r="AU19" i="107" s="1"/>
  <c r="AI17" i="107"/>
  <c r="AP17" i="107" s="1"/>
  <c r="AY17" i="107" s="1"/>
  <c r="AI20" i="107"/>
  <c r="AO16" i="107"/>
  <c r="AR15" i="107"/>
  <c r="AP15" i="107"/>
  <c r="AY15" i="107" s="1"/>
  <c r="AO14" i="107"/>
  <c r="AX14" i="107" s="1"/>
  <c r="AR22" i="107"/>
  <c r="AP22" i="107"/>
  <c r="AY22" i="107" s="1"/>
  <c r="AL21" i="107"/>
  <c r="AU21" i="107" s="1"/>
  <c r="AX13" i="107" l="1"/>
  <c r="AI13" i="107"/>
  <c r="AR17" i="107"/>
  <c r="AO19" i="107"/>
  <c r="AX19" i="107" s="1"/>
  <c r="AR18" i="107"/>
  <c r="AP18" i="107"/>
  <c r="AY18" i="107" s="1"/>
  <c r="AI19" i="107"/>
  <c r="AR19" i="107" s="1"/>
  <c r="AI14" i="107"/>
  <c r="AO21" i="107"/>
  <c r="AX21" i="107" s="1"/>
  <c r="AX16" i="107"/>
  <c r="AI16" i="107"/>
  <c r="AR20" i="107"/>
  <c r="AP20" i="107"/>
  <c r="AY20" i="107" s="1"/>
  <c r="AR13" i="107" l="1"/>
  <c r="AP13" i="107"/>
  <c r="AY13" i="107" s="1"/>
  <c r="AP19" i="107"/>
  <c r="AY19" i="107" s="1"/>
  <c r="AR14" i="107"/>
  <c r="AP14" i="107"/>
  <c r="AY14" i="107" s="1"/>
  <c r="AR16" i="107"/>
  <c r="AP16" i="107"/>
  <c r="AY16" i="107" s="1"/>
  <c r="AI21" i="107"/>
  <c r="AR21" i="107" l="1"/>
  <c r="AP21" i="107"/>
  <c r="AY21" i="107" s="1"/>
  <c r="N2" i="106" l="1"/>
  <c r="F37" i="105"/>
  <c r="D37" i="105"/>
  <c r="F36" i="105"/>
  <c r="D36" i="105"/>
  <c r="F35" i="105"/>
  <c r="D35" i="105"/>
  <c r="F34" i="105"/>
  <c r="D47" i="105" s="1"/>
  <c r="D34" i="105"/>
  <c r="F33" i="105"/>
  <c r="D46" i="105" s="1"/>
  <c r="D33" i="105"/>
  <c r="H26" i="105"/>
  <c r="H25" i="105"/>
  <c r="AK22" i="105"/>
  <c r="T22" i="105"/>
  <c r="S22" i="105"/>
  <c r="R22" i="105"/>
  <c r="Q22" i="105"/>
  <c r="P22" i="105"/>
  <c r="K22" i="105"/>
  <c r="J22" i="105"/>
  <c r="I22" i="105"/>
  <c r="H22" i="105"/>
  <c r="G22" i="105"/>
  <c r="F22" i="105"/>
  <c r="E22" i="105"/>
  <c r="C35" i="105" s="1"/>
  <c r="D22" i="105"/>
  <c r="C34" i="105" s="1"/>
  <c r="C22" i="105"/>
  <c r="C33" i="105" s="1"/>
  <c r="C46" i="105" s="1"/>
  <c r="AK21" i="105"/>
  <c r="T21" i="105"/>
  <c r="S21" i="105"/>
  <c r="R21" i="105"/>
  <c r="Q21" i="105"/>
  <c r="P21" i="105"/>
  <c r="K21" i="105"/>
  <c r="J21" i="105"/>
  <c r="I21" i="105"/>
  <c r="H21" i="105"/>
  <c r="G21" i="105"/>
  <c r="F21" i="105"/>
  <c r="E21" i="105"/>
  <c r="D21" i="105"/>
  <c r="C21" i="105"/>
  <c r="AK20" i="105"/>
  <c r="T20" i="105"/>
  <c r="S20" i="105"/>
  <c r="R20" i="105"/>
  <c r="Q20" i="105"/>
  <c r="P20" i="105"/>
  <c r="K20" i="105"/>
  <c r="J20" i="105"/>
  <c r="I20" i="105"/>
  <c r="H20" i="105"/>
  <c r="G20" i="105"/>
  <c r="F20" i="105"/>
  <c r="E20" i="105"/>
  <c r="D20" i="105"/>
  <c r="C20" i="105"/>
  <c r="AK19" i="105"/>
  <c r="T19" i="105"/>
  <c r="S19" i="105"/>
  <c r="R19" i="105"/>
  <c r="Q19" i="105"/>
  <c r="P19" i="105"/>
  <c r="K19" i="105"/>
  <c r="J19" i="105"/>
  <c r="I19" i="105"/>
  <c r="H19" i="105"/>
  <c r="G19" i="105"/>
  <c r="F19" i="105"/>
  <c r="E19" i="105"/>
  <c r="D19" i="105"/>
  <c r="C19" i="105"/>
  <c r="AK18" i="105"/>
  <c r="T18" i="105"/>
  <c r="S18" i="105"/>
  <c r="R18" i="105"/>
  <c r="Q18" i="105"/>
  <c r="P18" i="105"/>
  <c r="K18" i="105"/>
  <c r="J18" i="105"/>
  <c r="I18" i="105"/>
  <c r="H18" i="105"/>
  <c r="G18" i="105"/>
  <c r="F18" i="105"/>
  <c r="E18" i="105"/>
  <c r="D18" i="105"/>
  <c r="C18" i="105"/>
  <c r="AK17" i="105"/>
  <c r="T17" i="105"/>
  <c r="S17" i="105"/>
  <c r="R17" i="105"/>
  <c r="Q17" i="105"/>
  <c r="P17" i="105"/>
  <c r="AS17" i="105" s="1"/>
  <c r="K17" i="105"/>
  <c r="J17" i="105"/>
  <c r="I17" i="105"/>
  <c r="H17" i="105"/>
  <c r="G17" i="105"/>
  <c r="F17" i="105"/>
  <c r="E17" i="105"/>
  <c r="D17" i="105"/>
  <c r="C17" i="105"/>
  <c r="AK16" i="105"/>
  <c r="T16" i="105"/>
  <c r="S16" i="105"/>
  <c r="R16" i="105"/>
  <c r="Q16" i="105"/>
  <c r="P16" i="105"/>
  <c r="K16" i="105"/>
  <c r="J16" i="105"/>
  <c r="I16" i="105"/>
  <c r="H16" i="105"/>
  <c r="G16" i="105"/>
  <c r="F16" i="105"/>
  <c r="E16" i="105"/>
  <c r="D16" i="105"/>
  <c r="C16" i="105"/>
  <c r="AK15" i="105"/>
  <c r="T15" i="105"/>
  <c r="S15" i="105"/>
  <c r="R15" i="105"/>
  <c r="Q15" i="105"/>
  <c r="P15" i="105"/>
  <c r="K15" i="105"/>
  <c r="J15" i="105"/>
  <c r="I15" i="105"/>
  <c r="H15" i="105"/>
  <c r="G15" i="105"/>
  <c r="F15" i="105"/>
  <c r="E15" i="105"/>
  <c r="D15" i="105"/>
  <c r="C15" i="105"/>
  <c r="AK14" i="105"/>
  <c r="T14" i="105"/>
  <c r="S14" i="105"/>
  <c r="R14" i="105"/>
  <c r="Q14" i="105"/>
  <c r="P14" i="105"/>
  <c r="AS14" i="105" s="1"/>
  <c r="K14" i="105"/>
  <c r="J14" i="105"/>
  <c r="I14" i="105"/>
  <c r="H14" i="105"/>
  <c r="G14" i="105"/>
  <c r="F14" i="105"/>
  <c r="E14" i="105"/>
  <c r="D14" i="105"/>
  <c r="C14" i="105"/>
  <c r="AK13" i="105"/>
  <c r="T13" i="105"/>
  <c r="S13" i="105"/>
  <c r="R13" i="105"/>
  <c r="Q13" i="105"/>
  <c r="P13" i="105"/>
  <c r="K13" i="105"/>
  <c r="J13" i="105"/>
  <c r="I13" i="105"/>
  <c r="H13" i="105"/>
  <c r="G13" i="105"/>
  <c r="F13" i="105"/>
  <c r="E13" i="105"/>
  <c r="D13" i="105"/>
  <c r="C13" i="105"/>
  <c r="AK12" i="105"/>
  <c r="T12" i="105"/>
  <c r="S12" i="105"/>
  <c r="R12" i="105"/>
  <c r="Q12" i="105"/>
  <c r="P12" i="105"/>
  <c r="K12" i="105"/>
  <c r="J12" i="105"/>
  <c r="I12" i="105"/>
  <c r="H12" i="105"/>
  <c r="G12" i="105"/>
  <c r="F12" i="105"/>
  <c r="E12" i="105"/>
  <c r="D12" i="105"/>
  <c r="C12" i="105"/>
  <c r="D15" i="106" a="1"/>
  <c r="S20" i="106" a="1"/>
  <c r="BP14" i="106" a="1"/>
  <c r="Q18" i="106" a="1"/>
  <c r="BP13" i="106" a="1"/>
  <c r="D36" i="106" a="1"/>
  <c r="Q16" i="106" a="1"/>
  <c r="E13" i="106" a="1"/>
  <c r="T17" i="106" a="1"/>
  <c r="BP18" i="106" a="1"/>
  <c r="BR22" i="106" a="1"/>
  <c r="E20" i="106" a="1"/>
  <c r="BP17" i="106" a="1"/>
  <c r="H18" i="106" a="1"/>
  <c r="J19" i="106" a="1"/>
  <c r="E21" i="106" a="1"/>
  <c r="J16" i="106" a="1"/>
  <c r="D34" i="106" a="1"/>
  <c r="T16" i="106" a="1"/>
  <c r="R19" i="106" a="1"/>
  <c r="BU12" i="106" a="1"/>
  <c r="H17" i="106" a="1"/>
  <c r="Q17" i="106" a="1"/>
  <c r="H25" i="106" a="1"/>
  <c r="F22" i="106" a="1"/>
  <c r="BU14" i="106" a="1"/>
  <c r="S22" i="106" a="1"/>
  <c r="T19" i="106" a="1"/>
  <c r="F16" i="106" a="1"/>
  <c r="D20" i="106" a="1"/>
  <c r="T12" i="106" a="1"/>
  <c r="G17" i="106" a="1"/>
  <c r="E19" i="106" a="1"/>
  <c r="G16" i="106" a="1"/>
  <c r="BU18" i="106" a="1"/>
  <c r="P14" i="106" a="1"/>
  <c r="AG22" i="106" a="1"/>
  <c r="BP15" i="106" a="1"/>
  <c r="S18" i="106" a="1"/>
  <c r="H12" i="106" a="1"/>
  <c r="BR19" i="106" a="1"/>
  <c r="T22" i="106" a="1"/>
  <c r="AY22" i="106" a="1"/>
  <c r="I12" i="106" a="1"/>
  <c r="H26" i="106" a="1"/>
  <c r="D35" i="106" a="1"/>
  <c r="E12" i="106" a="1"/>
  <c r="F17" i="106" a="1"/>
  <c r="BR21" i="106" a="1"/>
  <c r="K13" i="106" a="1"/>
  <c r="S14" i="106" a="1"/>
  <c r="J18" i="106" a="1"/>
  <c r="BP22" i="106" a="1"/>
  <c r="F33" i="106" a="1"/>
  <c r="D33" i="106" a="1"/>
  <c r="H22" i="106" a="1"/>
  <c r="D17" i="106" a="1"/>
  <c r="AV22" i="106" a="1"/>
  <c r="I17" i="106" a="1"/>
  <c r="I13" i="106" a="1"/>
  <c r="J13" i="106" a="1"/>
  <c r="BU21" i="106" a="1"/>
  <c r="E18" i="106" a="1"/>
  <c r="E14" i="106" a="1"/>
  <c r="R17" i="106" a="1"/>
  <c r="D22" i="106" a="1"/>
  <c r="K18" i="106" a="1"/>
  <c r="BR20" i="106" a="1"/>
  <c r="T18" i="106" a="1"/>
  <c r="C22" i="106" a="1"/>
  <c r="E16" i="106" a="1"/>
  <c r="BR13" i="106" a="1"/>
  <c r="BM22" i="106" a="1"/>
  <c r="D21" i="106" a="1"/>
  <c r="P13" i="106" a="1"/>
  <c r="D37" i="106" a="1"/>
  <c r="F34" i="106" a="1"/>
  <c r="BU17" i="106" a="1"/>
  <c r="BR14" i="106" a="1"/>
  <c r="C18" i="106" a="1"/>
  <c r="G22" i="106" a="1"/>
  <c r="G19" i="106" a="1"/>
  <c r="BP16" i="106" a="1"/>
  <c r="D13" i="106" a="1"/>
  <c r="G12" i="106" a="1"/>
  <c r="P20" i="106" a="1"/>
  <c r="P22" i="106" a="1"/>
  <c r="C19" i="106" a="1"/>
  <c r="I15" i="106" a="1"/>
  <c r="J14" i="106" a="1"/>
  <c r="R20" i="106" a="1"/>
  <c r="C13" i="106" a="1"/>
  <c r="K16" i="106" a="1"/>
  <c r="K22" i="106" a="1"/>
  <c r="P15" i="106" a="1"/>
  <c r="BR15" i="106" a="1"/>
  <c r="Q21" i="106" a="1"/>
  <c r="I22" i="106" a="1"/>
  <c r="P16" i="106" a="1"/>
  <c r="G18" i="106" a="1"/>
  <c r="BR16" i="106" a="1"/>
  <c r="T15" i="106" a="1"/>
  <c r="BU20" i="106" a="1"/>
  <c r="P21" i="106" a="1"/>
  <c r="K14" i="106" a="1"/>
  <c r="D18" i="106" a="1"/>
  <c r="S21" i="106" a="1"/>
  <c r="AW22" i="106" a="1"/>
  <c r="S15" i="106" a="1"/>
  <c r="Q19" i="106" a="1"/>
  <c r="G15" i="106" a="1"/>
  <c r="F37" i="106" a="1"/>
  <c r="D14" i="106" a="1"/>
  <c r="R22" i="106" a="1"/>
  <c r="Q14" i="106" a="1"/>
  <c r="I21" i="106" a="1"/>
  <c r="AH22" i="106" a="1"/>
  <c r="F21" i="106" a="1"/>
  <c r="I18" i="106" a="1"/>
  <c r="BU15" i="106" a="1"/>
  <c r="BU22" i="106" a="1"/>
  <c r="R15" i="106" a="1"/>
  <c r="I20" i="106" a="1"/>
  <c r="H19" i="106" a="1"/>
  <c r="D16" i="106" a="1"/>
  <c r="H16" i="106" a="1"/>
  <c r="J15" i="106" a="1"/>
  <c r="Q13" i="106" a="1"/>
  <c r="P12" i="106" a="1"/>
  <c r="C21" i="106" a="1"/>
  <c r="E17" i="106" a="1"/>
  <c r="Q15" i="106" a="1"/>
  <c r="S17" i="106" a="1"/>
  <c r="F19" i="106" a="1"/>
  <c r="BU19" i="106" a="1"/>
  <c r="BU13" i="106" a="1"/>
  <c r="H15" i="106" a="1"/>
  <c r="C16" i="106" a="1"/>
  <c r="I19" i="106" a="1"/>
  <c r="S16" i="106" a="1"/>
  <c r="F36" i="106" a="1"/>
  <c r="K12" i="106" a="1"/>
  <c r="Q12" i="106" a="1"/>
  <c r="K19" i="106" a="1"/>
  <c r="F15" i="106" a="1"/>
  <c r="BU16" i="106" a="1"/>
  <c r="R18" i="106" a="1"/>
  <c r="C20" i="106" a="1"/>
  <c r="I14" i="106" a="1"/>
  <c r="J21" i="106" a="1"/>
  <c r="T20" i="106" a="1"/>
  <c r="C17" i="106" a="1"/>
  <c r="E15" i="106" a="1"/>
  <c r="BR12" i="106" a="1"/>
  <c r="K20" i="106" a="1"/>
  <c r="BP19" i="106" a="1"/>
  <c r="C15" i="106" a="1"/>
  <c r="F13" i="106" a="1"/>
  <c r="F20" i="106" a="1"/>
  <c r="H14" i="106" a="1"/>
  <c r="R14" i="106" a="1"/>
  <c r="H20" i="106" a="1"/>
  <c r="F12" i="106" a="1"/>
  <c r="R16" i="106" a="1"/>
  <c r="K21" i="106" a="1"/>
  <c r="BR17" i="106" a="1"/>
  <c r="D19" i="106" a="1"/>
  <c r="AX22" i="106" a="1"/>
  <c r="S13" i="106" a="1"/>
  <c r="C12" i="106" a="1"/>
  <c r="J12" i="106" a="1"/>
  <c r="T14" i="106" a="1"/>
  <c r="G20" i="106" a="1"/>
  <c r="S12" i="106" a="1"/>
  <c r="D12" i="106" a="1"/>
  <c r="BR18" i="106" a="1"/>
  <c r="F35" i="106" a="1"/>
  <c r="J22" i="106" a="1"/>
  <c r="F18" i="106" a="1"/>
  <c r="R13" i="106" a="1"/>
  <c r="P19" i="106" a="1"/>
  <c r="Q22" i="106" a="1"/>
  <c r="R12" i="106" a="1"/>
  <c r="K15" i="106" a="1"/>
  <c r="E22" i="106" a="1"/>
  <c r="K17" i="106" a="1"/>
  <c r="G13" i="106" a="1"/>
  <c r="G14" i="106" a="1"/>
  <c r="I16" i="106" a="1"/>
  <c r="C14" i="106" a="1"/>
  <c r="J20" i="106" a="1"/>
  <c r="H13" i="106" a="1"/>
  <c r="T13" i="106" a="1"/>
  <c r="H21" i="106" a="1"/>
  <c r="BP12" i="106" a="1"/>
  <c r="BP20" i="106" a="1"/>
  <c r="BP21" i="106" a="1"/>
  <c r="R21" i="106" a="1"/>
  <c r="BL22" i="106" a="1"/>
  <c r="T21" i="106" a="1"/>
  <c r="G21" i="106" a="1"/>
  <c r="P17" i="106" a="1"/>
  <c r="J17" i="106" a="1"/>
  <c r="AF22" i="106" a="1"/>
  <c r="S19" i="106" a="1"/>
  <c r="P18" i="106" a="1"/>
  <c r="E8" i="106" a="1"/>
  <c r="F14" i="106" a="1"/>
  <c r="Q20" i="106" a="1"/>
  <c r="AE22" i="106" a="1"/>
  <c r="AS19" i="105" l="1"/>
  <c r="AS15" i="105"/>
  <c r="AS13" i="105"/>
  <c r="AS21" i="105"/>
  <c r="AS16" i="105"/>
  <c r="AS20" i="105"/>
  <c r="AS12" i="105"/>
  <c r="AS18" i="105"/>
  <c r="U19" i="105"/>
  <c r="AQ19" i="105" s="1"/>
  <c r="E34" i="105"/>
  <c r="U13" i="105"/>
  <c r="AQ13" i="105" s="1"/>
  <c r="AR13" i="105" s="1"/>
  <c r="AP13" i="105" s="1"/>
  <c r="C66" i="105"/>
  <c r="C79" i="105" s="1"/>
  <c r="V46" i="105"/>
  <c r="U18" i="105"/>
  <c r="AQ18" i="105" s="1"/>
  <c r="AR18" i="105" s="1"/>
  <c r="AP18" i="105" s="1"/>
  <c r="C68" i="105"/>
  <c r="C81" i="105" s="1"/>
  <c r="U20" i="105"/>
  <c r="AN20" i="105" s="1"/>
  <c r="W50" i="105"/>
  <c r="U17" i="105"/>
  <c r="AQ17" i="105" s="1"/>
  <c r="AR17" i="105" s="1"/>
  <c r="AP17" i="105" s="1"/>
  <c r="D69" i="105"/>
  <c r="U22" i="105"/>
  <c r="AO15" i="105" s="1"/>
  <c r="F33" i="106"/>
  <c r="D46" i="106" s="1"/>
  <c r="F34" i="106"/>
  <c r="D47" i="106" s="1"/>
  <c r="F35" i="106"/>
  <c r="D48" i="106" s="1"/>
  <c r="F36" i="106"/>
  <c r="D49" i="106" s="1"/>
  <c r="F37" i="106"/>
  <c r="D50" i="106" s="1"/>
  <c r="D33" i="106"/>
  <c r="BU12" i="106"/>
  <c r="D35" i="106"/>
  <c r="D34" i="106"/>
  <c r="D37" i="106"/>
  <c r="D36" i="106"/>
  <c r="BU18" i="106"/>
  <c r="BU13" i="106"/>
  <c r="BU22" i="106"/>
  <c r="BU21" i="106"/>
  <c r="BU20" i="106"/>
  <c r="BU19" i="106"/>
  <c r="BU17" i="106"/>
  <c r="BU16" i="106"/>
  <c r="BU15" i="106"/>
  <c r="BU14" i="106"/>
  <c r="AE22" i="106"/>
  <c r="AV22" i="106"/>
  <c r="BR12" i="106"/>
  <c r="BQ12" i="106" s="1"/>
  <c r="BL22" i="106"/>
  <c r="BP12" i="106"/>
  <c r="BO12" i="106" s="1"/>
  <c r="BR19" i="106"/>
  <c r="BQ19" i="106" s="1"/>
  <c r="BR13" i="106"/>
  <c r="BQ13" i="106" s="1"/>
  <c r="BR18" i="106"/>
  <c r="BQ18" i="106" s="1"/>
  <c r="BR21" i="106"/>
  <c r="BQ21" i="106" s="1"/>
  <c r="BR17" i="106"/>
  <c r="BQ17" i="106" s="1"/>
  <c r="BR20" i="106"/>
  <c r="BQ20" i="106" s="1"/>
  <c r="BR16" i="106"/>
  <c r="BQ16" i="106" s="1"/>
  <c r="BR22" i="106"/>
  <c r="BQ22" i="106" s="1"/>
  <c r="BR15" i="106"/>
  <c r="BQ15" i="106" s="1"/>
  <c r="BR14" i="106"/>
  <c r="BQ14" i="106" s="1"/>
  <c r="BP22" i="106"/>
  <c r="BO22" i="106" s="1"/>
  <c r="BP18" i="106"/>
  <c r="BO18" i="106" s="1"/>
  <c r="BP17" i="106"/>
  <c r="BO17" i="106" s="1"/>
  <c r="BP21" i="106"/>
  <c r="BO21" i="106" s="1"/>
  <c r="BP19" i="106"/>
  <c r="BO19" i="106" s="1"/>
  <c r="BP16" i="106"/>
  <c r="BO16" i="106" s="1"/>
  <c r="BP14" i="106"/>
  <c r="BO14" i="106" s="1"/>
  <c r="BP20" i="106"/>
  <c r="BO20" i="106" s="1"/>
  <c r="BP15" i="106"/>
  <c r="BO15" i="106" s="1"/>
  <c r="BP13" i="106"/>
  <c r="BO13" i="106" s="1"/>
  <c r="BM22" i="106"/>
  <c r="AW22" i="106"/>
  <c r="AY22" i="106"/>
  <c r="AX22" i="106"/>
  <c r="AH22" i="106"/>
  <c r="AG22" i="106"/>
  <c r="AF22" i="106"/>
  <c r="C12" i="106"/>
  <c r="H26" i="106"/>
  <c r="P12" i="106"/>
  <c r="H25" i="106"/>
  <c r="S20" i="106"/>
  <c r="R20" i="106"/>
  <c r="R14" i="106"/>
  <c r="P22" i="106"/>
  <c r="P20" i="106"/>
  <c r="P18" i="106"/>
  <c r="P16" i="106"/>
  <c r="P14" i="106"/>
  <c r="R21" i="106"/>
  <c r="R19" i="106"/>
  <c r="R17" i="106"/>
  <c r="R15" i="106"/>
  <c r="R13" i="106"/>
  <c r="Q21" i="106"/>
  <c r="Q19" i="106"/>
  <c r="Q17" i="106"/>
  <c r="Q13" i="106"/>
  <c r="P21" i="106"/>
  <c r="P19" i="106"/>
  <c r="P17" i="106"/>
  <c r="P15" i="106"/>
  <c r="P13" i="106"/>
  <c r="T22" i="106"/>
  <c r="W22" i="106" s="1"/>
  <c r="T20" i="106"/>
  <c r="T18" i="106"/>
  <c r="T16" i="106"/>
  <c r="W16" i="106" s="1"/>
  <c r="T14" i="106"/>
  <c r="S22" i="106"/>
  <c r="S18" i="106"/>
  <c r="S16" i="106"/>
  <c r="S14" i="106"/>
  <c r="R22" i="106"/>
  <c r="R18" i="106"/>
  <c r="Q22" i="106"/>
  <c r="Q20" i="106"/>
  <c r="Q18" i="106"/>
  <c r="Q16" i="106"/>
  <c r="Q14" i="106"/>
  <c r="T21" i="106"/>
  <c r="W21" i="106" s="1"/>
  <c r="T19" i="106"/>
  <c r="W19" i="106" s="1"/>
  <c r="T17" i="106"/>
  <c r="T15" i="106"/>
  <c r="W15" i="106" s="1"/>
  <c r="T13" i="106"/>
  <c r="S21" i="106"/>
  <c r="S19" i="106"/>
  <c r="S17" i="106"/>
  <c r="S15" i="106"/>
  <c r="S13" i="106"/>
  <c r="Q15" i="106"/>
  <c r="R16" i="106"/>
  <c r="R12" i="106"/>
  <c r="Q12" i="106"/>
  <c r="T12" i="106"/>
  <c r="S12" i="106"/>
  <c r="K21" i="106"/>
  <c r="H18" i="106"/>
  <c r="E15" i="106"/>
  <c r="K22" i="106"/>
  <c r="H19" i="106"/>
  <c r="E16" i="106"/>
  <c r="I21" i="106"/>
  <c r="K13" i="106"/>
  <c r="H21" i="106"/>
  <c r="F19" i="106"/>
  <c r="D17" i="106"/>
  <c r="J13" i="106"/>
  <c r="G21" i="106"/>
  <c r="E19" i="106"/>
  <c r="C17" i="106"/>
  <c r="I13" i="106"/>
  <c r="F21" i="106"/>
  <c r="E20" i="106"/>
  <c r="D19" i="106"/>
  <c r="C18" i="106"/>
  <c r="K16" i="106"/>
  <c r="J15" i="106"/>
  <c r="H13" i="106"/>
  <c r="E21" i="106"/>
  <c r="C19" i="106"/>
  <c r="G13" i="106"/>
  <c r="F18" i="106"/>
  <c r="K15" i="106"/>
  <c r="G22" i="106"/>
  <c r="C37" i="106" s="1"/>
  <c r="I14" i="106"/>
  <c r="F22" i="106"/>
  <c r="C36" i="106" s="1"/>
  <c r="D20" i="106"/>
  <c r="K17" i="106"/>
  <c r="J16" i="106"/>
  <c r="I15" i="106"/>
  <c r="H14" i="106"/>
  <c r="E22" i="106"/>
  <c r="C35" i="106" s="1"/>
  <c r="D21" i="106"/>
  <c r="C20" i="106"/>
  <c r="K18" i="106"/>
  <c r="J17" i="106"/>
  <c r="I16" i="106"/>
  <c r="H15" i="106"/>
  <c r="G14" i="106"/>
  <c r="F13" i="106"/>
  <c r="C15" i="106"/>
  <c r="J20" i="106"/>
  <c r="G17" i="106"/>
  <c r="D14" i="106"/>
  <c r="J21" i="106"/>
  <c r="G18" i="106"/>
  <c r="D15" i="106"/>
  <c r="H20" i="106"/>
  <c r="E17" i="106"/>
  <c r="G20" i="106"/>
  <c r="E18" i="106"/>
  <c r="C16" i="106"/>
  <c r="K14" i="106"/>
  <c r="H22" i="106"/>
  <c r="F20" i="106"/>
  <c r="D18" i="106"/>
  <c r="J14" i="106"/>
  <c r="D22" i="106"/>
  <c r="C34" i="106" s="1"/>
  <c r="C21" i="106"/>
  <c r="K19" i="106"/>
  <c r="J18" i="106"/>
  <c r="I17" i="106"/>
  <c r="H16" i="106"/>
  <c r="G15" i="106"/>
  <c r="F14" i="106"/>
  <c r="E13" i="106"/>
  <c r="I19" i="106"/>
  <c r="F16" i="106"/>
  <c r="C13" i="106"/>
  <c r="I20" i="106"/>
  <c r="F17" i="106"/>
  <c r="C14" i="106"/>
  <c r="J22" i="106"/>
  <c r="G19" i="106"/>
  <c r="D16" i="106"/>
  <c r="I22" i="106"/>
  <c r="C22" i="106"/>
  <c r="K20" i="106"/>
  <c r="J19" i="106"/>
  <c r="I18" i="106"/>
  <c r="H17" i="106"/>
  <c r="G16" i="106"/>
  <c r="F15" i="106"/>
  <c r="E14" i="106"/>
  <c r="D13" i="106"/>
  <c r="J12" i="106"/>
  <c r="K12" i="106"/>
  <c r="I12" i="106"/>
  <c r="H12" i="106"/>
  <c r="G12" i="106"/>
  <c r="F12" i="106"/>
  <c r="E12" i="106"/>
  <c r="D12" i="106"/>
  <c r="E8" i="106"/>
  <c r="E33" i="105"/>
  <c r="G33" i="105"/>
  <c r="O33" i="105" s="1"/>
  <c r="W48" i="105"/>
  <c r="W49" i="105"/>
  <c r="W46" i="105"/>
  <c r="D50" i="105"/>
  <c r="V48" i="105"/>
  <c r="C48" i="105"/>
  <c r="U15" i="105"/>
  <c r="AQ15" i="105" s="1"/>
  <c r="AR15" i="105" s="1"/>
  <c r="AP15" i="105" s="1"/>
  <c r="E35" i="105"/>
  <c r="G35" i="105"/>
  <c r="H35" i="105" s="1"/>
  <c r="C47" i="105"/>
  <c r="C36" i="105"/>
  <c r="G36" i="105" s="1"/>
  <c r="V47" i="105"/>
  <c r="U16" i="105"/>
  <c r="AQ16" i="105" s="1"/>
  <c r="AR16" i="105" s="1"/>
  <c r="AP16" i="105" s="1"/>
  <c r="W47" i="105"/>
  <c r="C65" i="105"/>
  <c r="U21" i="105"/>
  <c r="AN21" i="105" s="1"/>
  <c r="E36" i="105"/>
  <c r="C67" i="105"/>
  <c r="C80" i="105" s="1"/>
  <c r="D48" i="105"/>
  <c r="U12" i="105"/>
  <c r="AQ12" i="105" s="1"/>
  <c r="C69" i="105"/>
  <c r="C37" i="105"/>
  <c r="E69" i="105"/>
  <c r="D49" i="105"/>
  <c r="E37" i="105"/>
  <c r="F69" i="105"/>
  <c r="G69" i="105"/>
  <c r="U14" i="105"/>
  <c r="AQ14" i="105" s="1"/>
  <c r="AR14" i="105" s="1"/>
  <c r="AP14" i="105" s="1"/>
  <c r="G34" i="105"/>
  <c r="H34" i="105" s="1"/>
  <c r="S13" i="154" a="1"/>
  <c r="Q13" i="154" a="1"/>
  <c r="U13" i="154" a="1"/>
  <c r="T13" i="154" a="1"/>
  <c r="O13" i="154" a="1"/>
  <c r="R13" i="154" a="1"/>
  <c r="AN17" i="105" l="1"/>
  <c r="AN15" i="105"/>
  <c r="AR19" i="105"/>
  <c r="AP19" i="105" s="1"/>
  <c r="H24" i="105"/>
  <c r="AR23" i="105"/>
  <c r="AO16" i="105"/>
  <c r="AN16" i="105"/>
  <c r="AO14" i="105"/>
  <c r="AN14" i="105"/>
  <c r="AO19" i="105"/>
  <c r="AN19" i="105"/>
  <c r="AO21" i="105"/>
  <c r="AO20" i="105"/>
  <c r="AN13" i="105"/>
  <c r="AN18" i="105"/>
  <c r="AR20" i="105"/>
  <c r="AP20" i="105" s="1"/>
  <c r="AQ20" i="105"/>
  <c r="AR21" i="105"/>
  <c r="AP21" i="105" s="1"/>
  <c r="AQ21" i="105"/>
  <c r="AQ22" i="105" s="1"/>
  <c r="AO13" i="105"/>
  <c r="AO18" i="105"/>
  <c r="AN12" i="105"/>
  <c r="AN22" i="105" s="1"/>
  <c r="AN24" i="105" s="1"/>
  <c r="AO17" i="105"/>
  <c r="AR12" i="105"/>
  <c r="AO12" i="105"/>
  <c r="O13" i="154"/>
  <c r="Q13" i="154"/>
  <c r="U13" i="154"/>
  <c r="S13" i="154"/>
  <c r="R13" i="154"/>
  <c r="T13" i="154"/>
  <c r="C78" i="105"/>
  <c r="C82" i="105"/>
  <c r="G82" i="105"/>
  <c r="E82" i="105"/>
  <c r="D82" i="105"/>
  <c r="F82" i="105"/>
  <c r="H33" i="105"/>
  <c r="Z21" i="106"/>
  <c r="W46" i="106"/>
  <c r="G34" i="106"/>
  <c r="H34" i="106" s="1"/>
  <c r="W47" i="106"/>
  <c r="E37" i="106"/>
  <c r="G37" i="106"/>
  <c r="H37" i="106" s="1"/>
  <c r="F50" i="106" s="1"/>
  <c r="BA22" i="106"/>
  <c r="E33" i="106"/>
  <c r="E34" i="106"/>
  <c r="W49" i="106"/>
  <c r="E36" i="106"/>
  <c r="V49" i="106"/>
  <c r="W50" i="106"/>
  <c r="W48" i="106"/>
  <c r="E35" i="106"/>
  <c r="BS22" i="106"/>
  <c r="BS17" i="106"/>
  <c r="BS15" i="106"/>
  <c r="BS14" i="106"/>
  <c r="AI22" i="106"/>
  <c r="AL22" i="106"/>
  <c r="AZ22" i="106"/>
  <c r="BN22" i="106"/>
  <c r="BS20" i="106"/>
  <c r="BS16" i="106"/>
  <c r="BS13" i="106"/>
  <c r="BS19" i="106"/>
  <c r="BS21" i="106"/>
  <c r="BS18" i="106"/>
  <c r="BS12" i="106"/>
  <c r="Y18" i="106"/>
  <c r="AJ22" i="106"/>
  <c r="BC22" i="106"/>
  <c r="Z19" i="106"/>
  <c r="AM22" i="106"/>
  <c r="Z12" i="106"/>
  <c r="U12" i="106"/>
  <c r="Y15" i="106"/>
  <c r="U13" i="106"/>
  <c r="Z15" i="106"/>
  <c r="U22" i="106"/>
  <c r="H24" i="106" s="1"/>
  <c r="Y13" i="106"/>
  <c r="C50" i="106"/>
  <c r="AC19" i="106"/>
  <c r="AD19" i="106"/>
  <c r="U19" i="106"/>
  <c r="Z14" i="106"/>
  <c r="U21" i="106"/>
  <c r="C66" i="106"/>
  <c r="C79" i="106" s="1"/>
  <c r="BD22" i="106"/>
  <c r="U20" i="106"/>
  <c r="C47" i="106"/>
  <c r="U18" i="106"/>
  <c r="AC21" i="106"/>
  <c r="V47" i="106"/>
  <c r="W14" i="106"/>
  <c r="U14" i="106"/>
  <c r="Y16" i="106"/>
  <c r="W17" i="106"/>
  <c r="U17" i="106"/>
  <c r="U16" i="106"/>
  <c r="Y14" i="106"/>
  <c r="W13" i="106"/>
  <c r="C65" i="106"/>
  <c r="C78" i="106" s="1"/>
  <c r="E69" i="106"/>
  <c r="E82" i="106" s="1"/>
  <c r="U15" i="106"/>
  <c r="AD18" i="106"/>
  <c r="Z18" i="106"/>
  <c r="BF22" i="106"/>
  <c r="W18" i="106"/>
  <c r="BE22" i="106"/>
  <c r="AD14" i="106"/>
  <c r="W20" i="106"/>
  <c r="Y12" i="106"/>
  <c r="Z16" i="106"/>
  <c r="AB13" i="106"/>
  <c r="Y20" i="106"/>
  <c r="AB15" i="106"/>
  <c r="Z17" i="106"/>
  <c r="C68" i="106"/>
  <c r="C81" i="106" s="1"/>
  <c r="Z13" i="106"/>
  <c r="Y21" i="106"/>
  <c r="AA12" i="106"/>
  <c r="AB12" i="106"/>
  <c r="AD12" i="106"/>
  <c r="AC12" i="106"/>
  <c r="W12" i="106"/>
  <c r="AA15" i="106"/>
  <c r="X22" i="106"/>
  <c r="AD22" i="106"/>
  <c r="Z22" i="106"/>
  <c r="AA22" i="106"/>
  <c r="C69" i="106"/>
  <c r="C82" i="106" s="1"/>
  <c r="AC13" i="106"/>
  <c r="G36" i="106"/>
  <c r="H36" i="106" s="1"/>
  <c r="X21" i="106"/>
  <c r="Y22" i="106"/>
  <c r="AB19" i="106"/>
  <c r="G69" i="106"/>
  <c r="G82" i="106" s="1"/>
  <c r="X12" i="106"/>
  <c r="D69" i="106"/>
  <c r="D82" i="106" s="1"/>
  <c r="AA21" i="106"/>
  <c r="C67" i="106"/>
  <c r="C80" i="106" s="1"/>
  <c r="AD13" i="106"/>
  <c r="AA20" i="106"/>
  <c r="AB21" i="106"/>
  <c r="BG22" i="106"/>
  <c r="AB22" i="106"/>
  <c r="Z20" i="106"/>
  <c r="AA18" i="106"/>
  <c r="X18" i="106"/>
  <c r="C48" i="106"/>
  <c r="V48" i="106"/>
  <c r="AD17" i="106"/>
  <c r="AB17" i="106"/>
  <c r="AB14" i="106"/>
  <c r="X15" i="106"/>
  <c r="AD21" i="106"/>
  <c r="AA16" i="106"/>
  <c r="Y17" i="106"/>
  <c r="X17" i="106"/>
  <c r="AD15" i="106"/>
  <c r="Y19" i="106"/>
  <c r="X19" i="106"/>
  <c r="F69" i="106"/>
  <c r="F82" i="106" s="1"/>
  <c r="AC22" i="106"/>
  <c r="G35" i="106"/>
  <c r="H35" i="106" s="1"/>
  <c r="AA14" i="106"/>
  <c r="AB20" i="106"/>
  <c r="AC20" i="106"/>
  <c r="AC16" i="106"/>
  <c r="AA17" i="106"/>
  <c r="AC18" i="106"/>
  <c r="X13" i="106"/>
  <c r="X16" i="106"/>
  <c r="AB18" i="106"/>
  <c r="AA19" i="106"/>
  <c r="V50" i="106"/>
  <c r="X14" i="106"/>
  <c r="AD20" i="106"/>
  <c r="AA13" i="106"/>
  <c r="C49" i="106"/>
  <c r="AC14" i="106"/>
  <c r="AB16" i="106"/>
  <c r="AC15" i="106"/>
  <c r="C33" i="106"/>
  <c r="V46" i="106" s="1"/>
  <c r="X20" i="106"/>
  <c r="AC17" i="106"/>
  <c r="AD16" i="106"/>
  <c r="V50" i="105"/>
  <c r="C50" i="105"/>
  <c r="G37" i="105"/>
  <c r="V49" i="105"/>
  <c r="C49" i="105"/>
  <c r="H36" i="105"/>
  <c r="AO22" i="105" l="1"/>
  <c r="AO26" i="105" s="1"/>
  <c r="AR22" i="105"/>
  <c r="AR25" i="105" s="1"/>
  <c r="AP12" i="105"/>
  <c r="AP22" i="105" s="1"/>
  <c r="F46" i="105"/>
  <c r="Y46" i="105"/>
  <c r="I37" i="106"/>
  <c r="K37" i="106"/>
  <c r="I50" i="106" s="1"/>
  <c r="M37" i="106"/>
  <c r="K50" i="106" s="1"/>
  <c r="O37" i="106"/>
  <c r="L37" i="106"/>
  <c r="R37" i="106" s="1"/>
  <c r="AE37" i="106" s="1"/>
  <c r="Y50" i="106"/>
  <c r="J37" i="106"/>
  <c r="AA50" i="106" s="1"/>
  <c r="BB22" i="106"/>
  <c r="AK22" i="106"/>
  <c r="BH22" i="106"/>
  <c r="BI22" i="106"/>
  <c r="BK22" i="106"/>
  <c r="G33" i="106"/>
  <c r="O33" i="106" s="1"/>
  <c r="C46" i="106"/>
  <c r="O37" i="105"/>
  <c r="I37" i="105"/>
  <c r="L37" i="105"/>
  <c r="J37" i="105"/>
  <c r="M37" i="105"/>
  <c r="K37" i="105"/>
  <c r="H37" i="105"/>
  <c r="D13" i="165" a="1"/>
  <c r="D13" i="154" a="1"/>
  <c r="J13" i="165" a="1"/>
  <c r="D13" i="158" a="1"/>
  <c r="D13" i="165" l="1"/>
  <c r="J13" i="165"/>
  <c r="AR24" i="105"/>
  <c r="AP26" i="105"/>
  <c r="D13" i="154"/>
  <c r="D13" i="158"/>
  <c r="V37" i="106"/>
  <c r="AH37" i="106" s="1"/>
  <c r="G50" i="106"/>
  <c r="U37" i="106"/>
  <c r="AG37" i="106" s="1"/>
  <c r="Z50" i="106"/>
  <c r="AB50" i="106"/>
  <c r="T37" i="106"/>
  <c r="X42" i="106" s="1"/>
  <c r="Q37" i="106"/>
  <c r="AD37" i="106" s="1"/>
  <c r="P37" i="106"/>
  <c r="AC37" i="106" s="1"/>
  <c r="H50" i="106"/>
  <c r="J50" i="106"/>
  <c r="AC50" i="106"/>
  <c r="H33" i="106"/>
  <c r="F46" i="106" s="1"/>
  <c r="BJ22" i="106"/>
  <c r="I50" i="105"/>
  <c r="AB50" i="105"/>
  <c r="G50" i="105"/>
  <c r="V37" i="105"/>
  <c r="U37" i="105"/>
  <c r="T37" i="105"/>
  <c r="Z50" i="105"/>
  <c r="P37" i="105"/>
  <c r="F50" i="105"/>
  <c r="Y50" i="105"/>
  <c r="R37" i="105"/>
  <c r="Q37" i="105"/>
  <c r="K50" i="105"/>
  <c r="H50" i="105"/>
  <c r="AA50" i="105"/>
  <c r="J50" i="105"/>
  <c r="AC50" i="105"/>
  <c r="G13" i="165" a="1"/>
  <c r="C234" i="36" a="1"/>
  <c r="C270" i="36" a="1"/>
  <c r="J13" i="158" a="1"/>
  <c r="G13" i="158" a="1"/>
  <c r="M13" i="158" a="1"/>
  <c r="G13" i="154" a="1"/>
  <c r="J13" i="154" a="1"/>
  <c r="I13" i="158" a="1"/>
  <c r="H13" i="154" a="1"/>
  <c r="F13" i="154" a="1"/>
  <c r="B270" i="36" a="1"/>
  <c r="F13" i="158" a="1"/>
  <c r="I13" i="154" a="1"/>
  <c r="H13" i="158" a="1"/>
  <c r="B202" i="36" a="1"/>
  <c r="K13" i="154" a="1"/>
  <c r="B234" i="36" a="1"/>
  <c r="G13" i="165" l="1"/>
  <c r="J13" i="158"/>
  <c r="H13" i="154"/>
  <c r="H13" i="158"/>
  <c r="B234" i="36"/>
  <c r="J13" i="154"/>
  <c r="B270" i="36"/>
  <c r="F13" i="158"/>
  <c r="G13" i="154"/>
  <c r="B202" i="36"/>
  <c r="C234" i="36"/>
  <c r="G13" i="158"/>
  <c r="I13" i="158"/>
  <c r="K13" i="154"/>
  <c r="M13" i="158"/>
  <c r="C270" i="36"/>
  <c r="F13" i="154"/>
  <c r="I13" i="154"/>
  <c r="Y42" i="105"/>
  <c r="Z42" i="105"/>
  <c r="X42" i="105"/>
  <c r="AD37" i="105"/>
  <c r="AE37" i="105"/>
  <c r="W37" i="106"/>
  <c r="Z42" i="106"/>
  <c r="Z37" i="106"/>
  <c r="AF37" i="106"/>
  <c r="X37" i="106"/>
  <c r="Y42" i="106"/>
  <c r="S37" i="106"/>
  <c r="Y37" i="106"/>
  <c r="Y46" i="106"/>
  <c r="AG37" i="105"/>
  <c r="Y37" i="105"/>
  <c r="AC37" i="105"/>
  <c r="S37" i="105"/>
  <c r="AF37" i="105"/>
  <c r="X37" i="105"/>
  <c r="W37" i="105"/>
  <c r="AH37" i="105"/>
  <c r="Z37" i="105"/>
  <c r="J64" i="36" a="1"/>
  <c r="J53" i="36" a="1"/>
  <c r="L13" i="158" a="1"/>
  <c r="J258" i="36" a="1"/>
  <c r="G186" i="36" a="1"/>
  <c r="J46" i="36" a="1"/>
  <c r="J59" i="36" a="1"/>
  <c r="J68" i="36" a="1"/>
  <c r="J60" i="36" a="1"/>
  <c r="J67" i="36" a="1"/>
  <c r="J222" i="36" a="1"/>
  <c r="B306" i="36" a="1"/>
  <c r="J49" i="36" a="1"/>
  <c r="C306" i="36" a="1"/>
  <c r="G222" i="36" a="1"/>
  <c r="J54" i="36" a="1"/>
  <c r="J63" i="36" a="1"/>
  <c r="G258" i="36" a="1"/>
  <c r="J57" i="36" a="1"/>
  <c r="J55" i="36" a="1"/>
  <c r="K13" i="158" a="1"/>
  <c r="J52" i="36" a="1"/>
  <c r="J48" i="36" a="1"/>
  <c r="J186" i="36" a="1"/>
  <c r="M13" i="154" a="1"/>
  <c r="J61" i="36" a="1"/>
  <c r="J65" i="36" a="1"/>
  <c r="J58" i="36" a="1"/>
  <c r="J50" i="36" a="1"/>
  <c r="J51" i="36" a="1"/>
  <c r="L13" i="154" a="1"/>
  <c r="J69" i="36" a="1"/>
  <c r="J47" i="36" a="1"/>
  <c r="J62" i="36" a="1"/>
  <c r="J41" i="36" a="1"/>
  <c r="J45" i="36" a="1"/>
  <c r="J44" i="36" a="1"/>
  <c r="J56" i="36" a="1"/>
  <c r="J66" i="36" a="1"/>
  <c r="C202" i="36" a="1"/>
  <c r="J43" i="36" a="1"/>
  <c r="AA42" i="105" l="1"/>
  <c r="AO28" i="105"/>
  <c r="AP28" i="105"/>
  <c r="B306" i="36"/>
  <c r="K13" i="158"/>
  <c r="L13" i="154"/>
  <c r="G186" i="36"/>
  <c r="C306" i="36"/>
  <c r="M13" i="154"/>
  <c r="L13" i="158"/>
  <c r="C202" i="36"/>
  <c r="J258" i="36"/>
  <c r="G222" i="36"/>
  <c r="J222" i="36"/>
  <c r="J186" i="36"/>
  <c r="G258" i="36"/>
  <c r="AA42" i="106"/>
  <c r="AA37" i="106"/>
  <c r="AA37" i="105"/>
  <c r="J52" i="36"/>
  <c r="J61" i="36"/>
  <c r="J49" i="36"/>
  <c r="J66" i="36"/>
  <c r="J65" i="36"/>
  <c r="J63" i="36"/>
  <c r="J47" i="36"/>
  <c r="J62" i="36"/>
  <c r="J46" i="36"/>
  <c r="J59" i="36"/>
  <c r="J50" i="36"/>
  <c r="J53" i="36"/>
  <c r="J48" i="36"/>
  <c r="J58" i="36"/>
  <c r="J45" i="36"/>
  <c r="J64" i="36"/>
  <c r="J54" i="36"/>
  <c r="J51" i="36"/>
  <c r="J44" i="36"/>
  <c r="J60" i="36"/>
  <c r="J57" i="36"/>
  <c r="J67" i="36"/>
  <c r="J69" i="36"/>
  <c r="J56" i="36"/>
  <c r="J43" i="36"/>
  <c r="J68" i="36"/>
  <c r="J55" i="36"/>
  <c r="J41" i="36"/>
  <c r="J301" i="36" a="1"/>
  <c r="E13" i="165" a="1"/>
  <c r="H13" i="165" a="1"/>
  <c r="J42" i="36" a="1"/>
  <c r="J301" i="36" l="1"/>
  <c r="H13" i="165"/>
  <c r="E13" i="165"/>
  <c r="I258" i="36"/>
  <c r="H258" i="36"/>
  <c r="I186" i="36"/>
  <c r="H186" i="36"/>
  <c r="H222" i="36"/>
  <c r="I222" i="36"/>
  <c r="J42" i="36"/>
  <c r="I301" i="36" a="1"/>
  <c r="I301" i="36" l="1"/>
  <c r="G301" i="36" s="1"/>
  <c r="K301" i="36" s="1"/>
  <c r="FE22" i="99"/>
  <c r="FD22" i="99"/>
  <c r="FC22" i="99"/>
  <c r="FB22" i="99"/>
  <c r="EZ22" i="99"/>
  <c r="EW22" i="99"/>
  <c r="EV22" i="99"/>
  <c r="EP22" i="99"/>
  <c r="DD22" i="99"/>
  <c r="DC22" i="99"/>
  <c r="CV22" i="99"/>
  <c r="CU22" i="99"/>
  <c r="CT22" i="99"/>
  <c r="CS22" i="99"/>
  <c r="CW22" i="99" s="1"/>
  <c r="CR22" i="99"/>
  <c r="CP22" i="99"/>
  <c r="CO22" i="99"/>
  <c r="BO22" i="99"/>
  <c r="BN22" i="99"/>
  <c r="BM22" i="99"/>
  <c r="BL22" i="99"/>
  <c r="AN22" i="99"/>
  <c r="AG22" i="99"/>
  <c r="BG22" i="99" s="1"/>
  <c r="AF22" i="99"/>
  <c r="BF22" i="99" s="1"/>
  <c r="AE22" i="99"/>
  <c r="AD22" i="99"/>
  <c r="AB22" i="99"/>
  <c r="AC22" i="99" s="1"/>
  <c r="AA22" i="99"/>
  <c r="Z22" i="99"/>
  <c r="Y22" i="99"/>
  <c r="X22" i="99"/>
  <c r="W22" i="99"/>
  <c r="R22" i="99"/>
  <c r="EZ21" i="99"/>
  <c r="EW21" i="99"/>
  <c r="EV21" i="99"/>
  <c r="EU21" i="99"/>
  <c r="EP21" i="99"/>
  <c r="EM21" i="99"/>
  <c r="DD21" i="99"/>
  <c r="BS21" i="99"/>
  <c r="BO21" i="99"/>
  <c r="BN21" i="99"/>
  <c r="BM21" i="99"/>
  <c r="BL21" i="99"/>
  <c r="AN21" i="99"/>
  <c r="AB21" i="99"/>
  <c r="AC21" i="99" s="1"/>
  <c r="AA21" i="99"/>
  <c r="Z21" i="99"/>
  <c r="Y21" i="99"/>
  <c r="X21" i="99"/>
  <c r="W21" i="99"/>
  <c r="R21" i="99"/>
  <c r="O21" i="99"/>
  <c r="EZ20" i="99"/>
  <c r="EW20" i="99"/>
  <c r="EV20" i="99"/>
  <c r="EU20" i="99"/>
  <c r="EP20" i="99"/>
  <c r="EM20" i="99"/>
  <c r="DD20" i="99"/>
  <c r="BS20" i="99"/>
  <c r="BO20" i="99"/>
  <c r="BN20" i="99"/>
  <c r="BM20" i="99"/>
  <c r="BL20" i="99"/>
  <c r="AN20" i="99"/>
  <c r="AB20" i="99"/>
  <c r="AC20" i="99" s="1"/>
  <c r="AA20" i="99"/>
  <c r="Z20" i="99"/>
  <c r="Y20" i="99"/>
  <c r="X20" i="99"/>
  <c r="W20" i="99"/>
  <c r="R20" i="99"/>
  <c r="O20" i="99"/>
  <c r="EZ19" i="99"/>
  <c r="EW19" i="99"/>
  <c r="EV19" i="99"/>
  <c r="EY19" i="99" s="1"/>
  <c r="EU19" i="99"/>
  <c r="EP19" i="99"/>
  <c r="EM19" i="99"/>
  <c r="DD19" i="99"/>
  <c r="BS19" i="99"/>
  <c r="BO19" i="99"/>
  <c r="BN19" i="99"/>
  <c r="BM19" i="99"/>
  <c r="BL19" i="99"/>
  <c r="AN19" i="99"/>
  <c r="AW19" i="99" s="1"/>
  <c r="AB19" i="99"/>
  <c r="AC19" i="99" s="1"/>
  <c r="AA19" i="99"/>
  <c r="Z19" i="99"/>
  <c r="Y19" i="99"/>
  <c r="X19" i="99"/>
  <c r="W19" i="99"/>
  <c r="R19" i="99"/>
  <c r="O19" i="99"/>
  <c r="EZ18" i="99"/>
  <c r="EW18" i="99"/>
  <c r="EV18" i="99"/>
  <c r="EU18" i="99"/>
  <c r="EP18" i="99"/>
  <c r="EM18" i="99"/>
  <c r="DD18" i="99"/>
  <c r="BS18" i="99"/>
  <c r="BO18" i="99"/>
  <c r="BN18" i="99"/>
  <c r="BM18" i="99"/>
  <c r="BL18" i="99"/>
  <c r="AN18" i="99"/>
  <c r="AB18" i="99"/>
  <c r="AC18" i="99" s="1"/>
  <c r="AA18" i="99"/>
  <c r="Z18" i="99"/>
  <c r="Y18" i="99"/>
  <c r="X18" i="99"/>
  <c r="W18" i="99"/>
  <c r="R18" i="99"/>
  <c r="O18" i="99"/>
  <c r="EZ17" i="99"/>
  <c r="EW17" i="99"/>
  <c r="EV17" i="99"/>
  <c r="EU17" i="99"/>
  <c r="EP17" i="99"/>
  <c r="EM17" i="99"/>
  <c r="DD17" i="99"/>
  <c r="BS17" i="99"/>
  <c r="BO17" i="99"/>
  <c r="BN17" i="99"/>
  <c r="BM17" i="99"/>
  <c r="BL17" i="99"/>
  <c r="AN17" i="99"/>
  <c r="AB17" i="99"/>
  <c r="AC17" i="99" s="1"/>
  <c r="AA17" i="99"/>
  <c r="Z17" i="99"/>
  <c r="Y17" i="99"/>
  <c r="X17" i="99"/>
  <c r="W17" i="99"/>
  <c r="R17" i="99"/>
  <c r="O17" i="99"/>
  <c r="EZ16" i="99"/>
  <c r="EW16" i="99"/>
  <c r="EV16" i="99"/>
  <c r="EU16" i="99"/>
  <c r="EP16" i="99"/>
  <c r="EM16" i="99"/>
  <c r="DD16" i="99"/>
  <c r="BS16" i="99"/>
  <c r="BO16" i="99"/>
  <c r="BN16" i="99"/>
  <c r="BM16" i="99"/>
  <c r="BL16" i="99"/>
  <c r="AN16" i="99"/>
  <c r="AB16" i="99"/>
  <c r="AC16" i="99" s="1"/>
  <c r="AA16" i="99"/>
  <c r="Z16" i="99"/>
  <c r="Y16" i="99"/>
  <c r="X16" i="99"/>
  <c r="W16" i="99"/>
  <c r="R16" i="99"/>
  <c r="O16" i="99"/>
  <c r="EZ15" i="99"/>
  <c r="EW15" i="99"/>
  <c r="EV15" i="99"/>
  <c r="EU15" i="99"/>
  <c r="EP15" i="99"/>
  <c r="EM15" i="99"/>
  <c r="DD15" i="99"/>
  <c r="BS15" i="99"/>
  <c r="BO15" i="99"/>
  <c r="BN15" i="99"/>
  <c r="BM15" i="99"/>
  <c r="BL15" i="99"/>
  <c r="AN15" i="99"/>
  <c r="AB15" i="99"/>
  <c r="AC15" i="99" s="1"/>
  <c r="AA15" i="99"/>
  <c r="Z15" i="99"/>
  <c r="Y15" i="99"/>
  <c r="X15" i="99"/>
  <c r="W15" i="99"/>
  <c r="R15" i="99"/>
  <c r="O15" i="99"/>
  <c r="EZ14" i="99"/>
  <c r="EW14" i="99"/>
  <c r="EV14" i="99"/>
  <c r="EU14" i="99"/>
  <c r="EP14" i="99"/>
  <c r="EM14" i="99"/>
  <c r="DD14" i="99"/>
  <c r="BS14" i="99"/>
  <c r="BO14" i="99"/>
  <c r="BN14" i="99"/>
  <c r="BM14" i="99"/>
  <c r="BL14" i="99"/>
  <c r="AN14" i="99"/>
  <c r="AB14" i="99"/>
  <c r="AC14" i="99" s="1"/>
  <c r="AA14" i="99"/>
  <c r="Z14" i="99"/>
  <c r="Y14" i="99"/>
  <c r="X14" i="99"/>
  <c r="W14" i="99"/>
  <c r="R14" i="99"/>
  <c r="O14" i="99"/>
  <c r="EZ13" i="99"/>
  <c r="EW13" i="99"/>
  <c r="EV13" i="99"/>
  <c r="EU13" i="99"/>
  <c r="EP13" i="99"/>
  <c r="EM13" i="99"/>
  <c r="DD13" i="99"/>
  <c r="BS13" i="99"/>
  <c r="BO13" i="99"/>
  <c r="BN13" i="99"/>
  <c r="BM13" i="99"/>
  <c r="BL13" i="99"/>
  <c r="AN13" i="99"/>
  <c r="AB13" i="99"/>
  <c r="AC13" i="99" s="1"/>
  <c r="AA13" i="99"/>
  <c r="Z13" i="99"/>
  <c r="Y13" i="99"/>
  <c r="X13" i="99"/>
  <c r="W13" i="99"/>
  <c r="R13" i="99"/>
  <c r="O13" i="99"/>
  <c r="EZ12" i="99"/>
  <c r="EW12" i="99"/>
  <c r="EV12" i="99"/>
  <c r="EU12" i="99"/>
  <c r="EP12" i="99"/>
  <c r="EM12" i="99"/>
  <c r="DD12" i="99"/>
  <c r="BS12" i="99"/>
  <c r="BO12" i="99"/>
  <c r="BN12" i="99"/>
  <c r="BM12" i="99"/>
  <c r="BL12" i="99"/>
  <c r="AN12" i="99"/>
  <c r="AB12" i="99"/>
  <c r="AC12" i="99" s="1"/>
  <c r="AA12" i="99"/>
  <c r="Z12" i="99"/>
  <c r="Y12" i="99"/>
  <c r="X12" i="99"/>
  <c r="W12" i="99"/>
  <c r="R12" i="99"/>
  <c r="O12" i="99"/>
  <c r="AM16" i="126" a="1"/>
  <c r="AM20" i="126" a="1"/>
  <c r="G285" i="28" a="1"/>
  <c r="AM22" i="126" a="1"/>
  <c r="AM18" i="126" a="1"/>
  <c r="AM15" i="126" a="1"/>
  <c r="AM12" i="126" a="1"/>
  <c r="AM13" i="126" a="1"/>
  <c r="AM19" i="126" a="1"/>
  <c r="AM14" i="126" a="1"/>
  <c r="J186" i="28" a="1"/>
  <c r="AM21" i="126" a="1"/>
  <c r="AM17" i="126" a="1"/>
  <c r="H285" i="28" a="1"/>
  <c r="H301" i="36" l="1"/>
  <c r="AW17" i="99"/>
  <c r="AW15" i="99"/>
  <c r="AM17" i="126"/>
  <c r="AM12" i="126"/>
  <c r="AM21" i="126"/>
  <c r="J186" i="28"/>
  <c r="AM22" i="126"/>
  <c r="G285" i="28"/>
  <c r="H285" i="28"/>
  <c r="AM20" i="126"/>
  <c r="AM14" i="126"/>
  <c r="AM13" i="126"/>
  <c r="AM19" i="126"/>
  <c r="AM15" i="126"/>
  <c r="AM18" i="126"/>
  <c r="AM16" i="126"/>
  <c r="CZ22" i="99"/>
  <c r="EY17" i="99"/>
  <c r="AW13" i="99"/>
  <c r="AH12" i="99"/>
  <c r="AJ12" i="99" s="1"/>
  <c r="AS12" i="99" s="1"/>
  <c r="FF22" i="99"/>
  <c r="AW22" i="99"/>
  <c r="AH15" i="99"/>
  <c r="BD22" i="99"/>
  <c r="AW16" i="99"/>
  <c r="EY15" i="99"/>
  <c r="AW20" i="99"/>
  <c r="AH13" i="99"/>
  <c r="AJ13" i="99" s="1"/>
  <c r="EX22" i="99"/>
  <c r="AW14" i="99"/>
  <c r="EY21" i="99"/>
  <c r="CX22" i="99"/>
  <c r="CY22" i="99" s="1"/>
  <c r="AW12" i="99"/>
  <c r="EY14" i="99"/>
  <c r="FG22" i="99"/>
  <c r="AH17" i="99"/>
  <c r="EY20" i="99"/>
  <c r="BP22" i="99"/>
  <c r="BR22" i="99" s="1"/>
  <c r="FH22" i="99"/>
  <c r="EY12" i="99"/>
  <c r="EY13" i="99"/>
  <c r="AW18" i="99"/>
  <c r="CQ22" i="99"/>
  <c r="FI22" i="99"/>
  <c r="AJ15" i="99"/>
  <c r="AK15" i="99" s="1"/>
  <c r="AT15" i="99" s="1"/>
  <c r="EY18" i="99"/>
  <c r="AH20" i="99"/>
  <c r="AJ20" i="99" s="1"/>
  <c r="AS20" i="99" s="1"/>
  <c r="AK12" i="99"/>
  <c r="AT12" i="99" s="1"/>
  <c r="BE22" i="99"/>
  <c r="AW21" i="99"/>
  <c r="AH19" i="99"/>
  <c r="AJ19" i="99" s="1"/>
  <c r="AS19" i="99" s="1"/>
  <c r="AH22" i="99"/>
  <c r="AH16" i="99"/>
  <c r="EY22" i="99"/>
  <c r="AH14" i="99"/>
  <c r="AJ14" i="99" s="1"/>
  <c r="AS14" i="99" s="1"/>
  <c r="AH21" i="99"/>
  <c r="AJ21" i="99" s="1"/>
  <c r="AS21" i="99" s="1"/>
  <c r="EY16" i="99"/>
  <c r="AH18" i="99"/>
  <c r="AJ18" i="99" s="1"/>
  <c r="AP19" i="126" l="1"/>
  <c r="AO19" i="126"/>
  <c r="AN19" i="126"/>
  <c r="AP14" i="126"/>
  <c r="AO14" i="126"/>
  <c r="AN14" i="126"/>
  <c r="AO15" i="126"/>
  <c r="AN15" i="126"/>
  <c r="AP15" i="126"/>
  <c r="AN20" i="126"/>
  <c r="AO20" i="126"/>
  <c r="AP20" i="126"/>
  <c r="AP16" i="126"/>
  <c r="AN16" i="126"/>
  <c r="AO16" i="126"/>
  <c r="BQ22" i="99"/>
  <c r="AJ22" i="99"/>
  <c r="AS22" i="99" s="1"/>
  <c r="AP21" i="126"/>
  <c r="AN21" i="126"/>
  <c r="AO21" i="126"/>
  <c r="AP13" i="126"/>
  <c r="AN13" i="126"/>
  <c r="AO13" i="126"/>
  <c r="AO12" i="126"/>
  <c r="AN12" i="126"/>
  <c r="AP12" i="126"/>
  <c r="AP18" i="126"/>
  <c r="AO18" i="126"/>
  <c r="AN18" i="126"/>
  <c r="AN17" i="126"/>
  <c r="AO17" i="126"/>
  <c r="AP17" i="126"/>
  <c r="AS13" i="99"/>
  <c r="AK13" i="99"/>
  <c r="AT13" i="99" s="1"/>
  <c r="AJ17" i="99"/>
  <c r="AK18" i="99"/>
  <c r="AT18" i="99" s="1"/>
  <c r="AL12" i="99"/>
  <c r="AU12" i="99" s="1"/>
  <c r="AK21" i="99"/>
  <c r="AT21" i="99" s="1"/>
  <c r="AK19" i="99"/>
  <c r="AT19" i="99" s="1"/>
  <c r="AS18" i="99"/>
  <c r="AL15" i="99"/>
  <c r="AU15" i="99" s="1"/>
  <c r="AL18" i="99"/>
  <c r="AU18" i="99" s="1"/>
  <c r="AK14" i="99"/>
  <c r="AK20" i="99"/>
  <c r="AT20" i="99" s="1"/>
  <c r="AS15" i="99"/>
  <c r="AJ16" i="99"/>
  <c r="AK22" i="99" l="1"/>
  <c r="AT22" i="99" s="1"/>
  <c r="AP22" i="126"/>
  <c r="AM12" i="99"/>
  <c r="AN22" i="126"/>
  <c r="AN24" i="126" s="1"/>
  <c r="AL22" i="99"/>
  <c r="AU22" i="99" s="1"/>
  <c r="AO22" i="126"/>
  <c r="AL21" i="99"/>
  <c r="AK17" i="99"/>
  <c r="AT17" i="99" s="1"/>
  <c r="AM15" i="99"/>
  <c r="AV15" i="99" s="1"/>
  <c r="AL13" i="99"/>
  <c r="AU13" i="99" s="1"/>
  <c r="AS17" i="99"/>
  <c r="AL17" i="99"/>
  <c r="AU17" i="99" s="1"/>
  <c r="AL19" i="99"/>
  <c r="AM22" i="99"/>
  <c r="AV22" i="99" s="1"/>
  <c r="AT14" i="99"/>
  <c r="AL14" i="99"/>
  <c r="AK16" i="99"/>
  <c r="AT16" i="99" s="1"/>
  <c r="AM18" i="99"/>
  <c r="AM14" i="99"/>
  <c r="AV14" i="99" s="1"/>
  <c r="AS16" i="99"/>
  <c r="AL20" i="99"/>
  <c r="AU20" i="99" s="1"/>
  <c r="AP28" i="126" l="1"/>
  <c r="AP26" i="126"/>
  <c r="AM20" i="99"/>
  <c r="AV20" i="99" s="1"/>
  <c r="AO28" i="126"/>
  <c r="AO26" i="126"/>
  <c r="AV12" i="99"/>
  <c r="AO12" i="99"/>
  <c r="AO20" i="99"/>
  <c r="AX20" i="99" s="1"/>
  <c r="AO14" i="99"/>
  <c r="AX14" i="99" s="1"/>
  <c r="AU19" i="99"/>
  <c r="AU21" i="99"/>
  <c r="AM21" i="99"/>
  <c r="AM13" i="99"/>
  <c r="AV13" i="99" s="1"/>
  <c r="AO15" i="99"/>
  <c r="AM19" i="99"/>
  <c r="AV19" i="99" s="1"/>
  <c r="AM17" i="99"/>
  <c r="AV17" i="99" s="1"/>
  <c r="AV18" i="99"/>
  <c r="AO18" i="99"/>
  <c r="AX18" i="99" s="1"/>
  <c r="AO22" i="99"/>
  <c r="AX22" i="99" s="1"/>
  <c r="AU14" i="99"/>
  <c r="AI14" i="99"/>
  <c r="AL16" i="99"/>
  <c r="H17" i="165" a="1"/>
  <c r="G17" i="165" a="1"/>
  <c r="D17" i="165" a="1"/>
  <c r="E17" i="165" a="1"/>
  <c r="E17" i="165" l="1"/>
  <c r="D17" i="165"/>
  <c r="G17" i="165"/>
  <c r="H17" i="165"/>
  <c r="AI18" i="99"/>
  <c r="AI22" i="99"/>
  <c r="AX12" i="99"/>
  <c r="AI12" i="99"/>
  <c r="AI20" i="99"/>
  <c r="AV21" i="99"/>
  <c r="AO21" i="99"/>
  <c r="AO19" i="99"/>
  <c r="AO13" i="99"/>
  <c r="AX13" i="99" s="1"/>
  <c r="AX15" i="99"/>
  <c r="AI15" i="99"/>
  <c r="AO17" i="99"/>
  <c r="AR20" i="99"/>
  <c r="AP20" i="99"/>
  <c r="AY20" i="99" s="1"/>
  <c r="AR14" i="99"/>
  <c r="AP14" i="99"/>
  <c r="AY14" i="99" s="1"/>
  <c r="AR22" i="99"/>
  <c r="AP22" i="99"/>
  <c r="AY22" i="99" s="1"/>
  <c r="AP18" i="99"/>
  <c r="AY18" i="99" s="1"/>
  <c r="AR18" i="99"/>
  <c r="AU16" i="99"/>
  <c r="AM16" i="99"/>
  <c r="AV16" i="99" s="1"/>
  <c r="AR12" i="99" l="1"/>
  <c r="AP12" i="99"/>
  <c r="AY12" i="99" s="1"/>
  <c r="AR15" i="99"/>
  <c r="AP15" i="99"/>
  <c r="AY15" i="99" s="1"/>
  <c r="AX17" i="99"/>
  <c r="AI17" i="99"/>
  <c r="AX19" i="99"/>
  <c r="AI19" i="99"/>
  <c r="AI13" i="99"/>
  <c r="AX21" i="99"/>
  <c r="AI21" i="99"/>
  <c r="AO16" i="99"/>
  <c r="AR17" i="99" l="1"/>
  <c r="AP17" i="99"/>
  <c r="AY17" i="99" s="1"/>
  <c r="AR19" i="99"/>
  <c r="AP19" i="99"/>
  <c r="AY19" i="99" s="1"/>
  <c r="AR13" i="99"/>
  <c r="AP13" i="99"/>
  <c r="AY13" i="99" s="1"/>
  <c r="AP21" i="99"/>
  <c r="AY21" i="99" s="1"/>
  <c r="AR21" i="99"/>
  <c r="AX16" i="99"/>
  <c r="AI16" i="99"/>
  <c r="AR16" i="99" l="1"/>
  <c r="AP16" i="99"/>
  <c r="AY16" i="99" s="1"/>
  <c r="B283" i="28" a="1"/>
  <c r="B285" i="28" a="1"/>
  <c r="B273" i="28" a="1"/>
  <c r="B276" i="28" a="1"/>
  <c r="B274" i="28" a="1"/>
  <c r="B270" i="28" a="1"/>
  <c r="B261" i="28" a="1"/>
  <c r="B284" i="28" a="1"/>
  <c r="B257" i="28" a="1"/>
  <c r="B263" i="28" a="1"/>
  <c r="B277" i="28" a="1"/>
  <c r="B264" i="28" a="1"/>
  <c r="B258" i="28" a="1"/>
  <c r="B271" i="28" a="1"/>
  <c r="B262" i="28" a="1"/>
  <c r="B260" i="28" a="1"/>
  <c r="B280" i="28" a="1"/>
  <c r="B259" i="28" a="1"/>
  <c r="B265" i="28" a="1"/>
  <c r="B269" i="28" a="1"/>
  <c r="I258" i="28" l="1"/>
  <c r="I262" i="28"/>
  <c r="I270" i="28"/>
  <c r="I278" i="28"/>
  <c r="I274" i="28"/>
  <c r="I263" i="28"/>
  <c r="I283" i="28"/>
  <c r="I259" i="28"/>
  <c r="I260" i="28"/>
  <c r="I264" i="28"/>
  <c r="I272" i="28"/>
  <c r="I284" i="28"/>
  <c r="I279" i="28"/>
  <c r="I257" i="28"/>
  <c r="I261" i="28"/>
  <c r="I265" i="28"/>
  <c r="I269" i="28"/>
  <c r="I273" i="28"/>
  <c r="I277" i="28"/>
  <c r="I285" i="28"/>
  <c r="B265" i="28"/>
  <c r="B277" i="28"/>
  <c r="B264" i="28"/>
  <c r="B263" i="28"/>
  <c r="B280" i="28"/>
  <c r="B276" i="28"/>
  <c r="B271" i="28"/>
  <c r="B262" i="28"/>
  <c r="B261" i="28"/>
  <c r="B260" i="28"/>
  <c r="B259" i="28"/>
  <c r="B285" i="28"/>
  <c r="B284" i="28"/>
  <c r="B270" i="28"/>
  <c r="B258" i="28"/>
  <c r="B274" i="28"/>
  <c r="B273" i="28"/>
  <c r="B283" i="28"/>
  <c r="B269" i="28"/>
  <c r="B257" i="28"/>
  <c r="H389" i="28" a="1"/>
  <c r="B53" i="36" a="1"/>
  <c r="G378" i="28" a="1"/>
  <c r="G389" i="28" a="1"/>
  <c r="I387" i="28" a="1"/>
  <c r="G391" i="28" a="1"/>
  <c r="G373" i="28" a="1"/>
  <c r="H390" i="28" a="1"/>
  <c r="B161" i="36" a="1"/>
  <c r="G386" i="28" a="1"/>
  <c r="F296" i="28" a="1"/>
  <c r="I376" i="28" a="1"/>
  <c r="I390" i="28" a="1"/>
  <c r="G387" i="28" a="1"/>
  <c r="B153" i="36" a="1"/>
  <c r="H384" i="28" a="1"/>
  <c r="B46" i="36" a="1"/>
  <c r="F309" i="28" a="1"/>
  <c r="G384" i="28" a="1"/>
  <c r="I382" i="28" a="1"/>
  <c r="H376" i="28" a="1"/>
  <c r="G392" i="28" a="1"/>
  <c r="B157" i="36" a="1"/>
  <c r="I388" i="28" a="1"/>
  <c r="B150" i="36" a="1"/>
  <c r="B64" i="36" a="1"/>
  <c r="F293" i="28" a="1"/>
  <c r="G376" i="28" a="1"/>
  <c r="F295" i="28" a="1"/>
  <c r="C43" i="36" a="1"/>
  <c r="I367" i="28" a="1"/>
  <c r="H391" i="28" a="1"/>
  <c r="G393" i="28" a="1"/>
  <c r="F294" i="28" a="1"/>
  <c r="B44" i="36" a="1"/>
  <c r="I377" i="28" a="1"/>
  <c r="G388" i="28" a="1"/>
  <c r="I384" i="28" a="1"/>
  <c r="G374" i="28" a="1"/>
  <c r="C42" i="36" a="1"/>
  <c r="C49" i="36" a="1"/>
  <c r="H388" i="28" a="1"/>
  <c r="B156" i="36" a="1"/>
  <c r="F302" i="28" a="1"/>
  <c r="C44" i="36" a="1"/>
  <c r="I381" i="28" a="1"/>
  <c r="B56" i="36" a="1"/>
  <c r="G380" i="28" a="1"/>
  <c r="G377" i="28" a="1"/>
  <c r="B171" i="36" a="1"/>
  <c r="H393" i="28" a="1"/>
  <c r="F315" i="28" a="1"/>
  <c r="C63" i="36" a="1"/>
  <c r="I389" i="28" a="1"/>
  <c r="B61" i="36" a="1"/>
  <c r="C48" i="36" a="1"/>
  <c r="B47" i="36" a="1"/>
  <c r="C45" i="36" a="1"/>
  <c r="C65" i="36" a="1"/>
  <c r="I386" i="28" a="1"/>
  <c r="B167" i="36" a="1"/>
  <c r="C46" i="36" a="1"/>
  <c r="B42" i="36" a="1"/>
  <c r="H378" i="28" a="1"/>
  <c r="B45" i="36" a="1"/>
  <c r="C64" i="36" a="1"/>
  <c r="B168" i="36" a="1"/>
  <c r="G366" i="28" a="1"/>
  <c r="F297" i="28" a="1"/>
  <c r="B66" i="36" a="1"/>
  <c r="F313" i="28" a="1"/>
  <c r="H372" i="28" a="1"/>
  <c r="C61" i="36" a="1"/>
  <c r="I378" i="28" a="1"/>
  <c r="B57" i="36" a="1"/>
  <c r="B151" i="36" a="1"/>
  <c r="H392" i="28" a="1"/>
  <c r="B163" i="36" a="1"/>
  <c r="B177" i="36" a="1"/>
  <c r="B152" i="36" a="1"/>
  <c r="B155" i="36" a="1"/>
  <c r="B175" i="36" a="1"/>
  <c r="H386" i="28" a="1"/>
  <c r="B166" i="36" a="1"/>
  <c r="B154" i="36" a="1"/>
  <c r="F311" i="28" a="1"/>
  <c r="B41" i="36" a="1"/>
  <c r="F319" i="28" a="1"/>
  <c r="B59" i="36" a="1"/>
  <c r="I366" i="28" a="1"/>
  <c r="I391" i="28" a="1"/>
  <c r="I374" i="28" a="1"/>
  <c r="H382" i="28" a="1"/>
  <c r="C52" i="36" a="1"/>
  <c r="C53" i="36" a="1"/>
  <c r="F300" i="28" a="1"/>
  <c r="B49" i="36" a="1"/>
  <c r="B149" i="36" a="1"/>
  <c r="C56" i="36" a="1"/>
  <c r="B173" i="36" a="1"/>
  <c r="I392" i="28" a="1"/>
  <c r="H380" i="28" a="1"/>
  <c r="B164" i="36" a="1"/>
  <c r="C66" i="36" a="1"/>
  <c r="I393" i="28" a="1"/>
  <c r="H381" i="28" a="1"/>
  <c r="G390" i="28" a="1"/>
  <c r="H377" i="28" a="1"/>
  <c r="F305" i="28" a="1"/>
  <c r="G381" i="28" a="1"/>
  <c r="C51" i="36" a="1"/>
  <c r="B174" i="36" a="1"/>
  <c r="B65" i="36" a="1"/>
  <c r="I380" i="28" a="1"/>
  <c r="C57" i="36" a="1"/>
  <c r="F298" i="28" a="1"/>
  <c r="H373" i="28" a="1"/>
  <c r="B162" i="36" a="1"/>
  <c r="H387" i="28" a="1"/>
  <c r="F306" i="28" a="1"/>
  <c r="F299" i="28" a="1"/>
  <c r="I372" i="28" a="1"/>
  <c r="I373" i="28" a="1"/>
  <c r="H366" i="28" a="1"/>
  <c r="F318" i="28" a="1"/>
  <c r="F314" i="28" a="1"/>
  <c r="F308" i="28" a="1"/>
  <c r="B48" i="36" a="1"/>
  <c r="G367" i="28" a="1"/>
  <c r="C47" i="36" a="1"/>
  <c r="B63" i="36" a="1"/>
  <c r="G372" i="28" a="1"/>
  <c r="F316" i="28" a="1"/>
  <c r="C41" i="36" a="1"/>
  <c r="H374" i="28" a="1"/>
  <c r="B52" i="36" a="1"/>
  <c r="B51" i="36" a="1"/>
  <c r="B43" i="36" a="1"/>
  <c r="G382" i="28" a="1"/>
  <c r="H367" i="28" a="1"/>
  <c r="C59" i="36" a="1"/>
  <c r="B153" i="36" l="1"/>
  <c r="B152" i="36"/>
  <c r="B151" i="36"/>
  <c r="B162" i="36"/>
  <c r="B150" i="36"/>
  <c r="B149" i="36"/>
  <c r="B161" i="36"/>
  <c r="B171" i="36"/>
  <c r="B168" i="36"/>
  <c r="B167" i="36"/>
  <c r="B157" i="36"/>
  <c r="B164" i="36"/>
  <c r="B175" i="36"/>
  <c r="B163" i="36"/>
  <c r="B174" i="36"/>
  <c r="B155" i="36"/>
  <c r="B166" i="36"/>
  <c r="B177" i="36"/>
  <c r="B156" i="36"/>
  <c r="B154" i="36"/>
  <c r="B173" i="36"/>
  <c r="C52" i="36"/>
  <c r="C57" i="36"/>
  <c r="C63" i="36"/>
  <c r="C49" i="36"/>
  <c r="C59" i="36"/>
  <c r="C48" i="36"/>
  <c r="C65" i="36"/>
  <c r="C56" i="36"/>
  <c r="C47" i="36"/>
  <c r="C46" i="36"/>
  <c r="C45" i="36"/>
  <c r="C44" i="36"/>
  <c r="C43" i="36"/>
  <c r="C64" i="36"/>
  <c r="C42" i="36"/>
  <c r="C51" i="36"/>
  <c r="C61" i="36"/>
  <c r="C66" i="36"/>
  <c r="C53" i="36"/>
  <c r="C41" i="36"/>
  <c r="B65" i="36"/>
  <c r="B52" i="36"/>
  <c r="B57" i="36"/>
  <c r="B59" i="36"/>
  <c r="B63" i="36"/>
  <c r="B49" i="36"/>
  <c r="B56" i="36"/>
  <c r="B48" i="36"/>
  <c r="B47" i="36"/>
  <c r="B46" i="36"/>
  <c r="B45" i="36"/>
  <c r="B44" i="36"/>
  <c r="B43" i="36"/>
  <c r="B51" i="36"/>
  <c r="B61" i="36"/>
  <c r="B64" i="36"/>
  <c r="B42" i="36"/>
  <c r="B66" i="36"/>
  <c r="B53" i="36"/>
  <c r="B41" i="36"/>
  <c r="I373" i="28"/>
  <c r="I392" i="28"/>
  <c r="I388" i="28"/>
  <c r="I378" i="28"/>
  <c r="I381" i="28"/>
  <c r="I366" i="28"/>
  <c r="I372" i="28"/>
  <c r="I390" i="28"/>
  <c r="I374" i="28"/>
  <c r="I387" i="28"/>
  <c r="I380" i="28"/>
  <c r="I376" i="28"/>
  <c r="I382" i="28"/>
  <c r="I393" i="28"/>
  <c r="I367" i="28"/>
  <c r="I391" i="28"/>
  <c r="I384" i="28"/>
  <c r="I377" i="28"/>
  <c r="I389" i="28"/>
  <c r="I386" i="28"/>
  <c r="H380" i="28"/>
  <c r="H376" i="28"/>
  <c r="H382" i="28"/>
  <c r="H372" i="28"/>
  <c r="H392" i="28"/>
  <c r="H366" i="28"/>
  <c r="H377" i="28"/>
  <c r="H389" i="28"/>
  <c r="H388" i="28"/>
  <c r="H381" i="28"/>
  <c r="H373" i="28"/>
  <c r="H393" i="28"/>
  <c r="H367" i="28"/>
  <c r="H384" i="28"/>
  <c r="H391" i="28"/>
  <c r="H390" i="28"/>
  <c r="H374" i="28"/>
  <c r="H378" i="28"/>
  <c r="H387" i="28"/>
  <c r="H386" i="28"/>
  <c r="G373" i="28"/>
  <c r="G372" i="28"/>
  <c r="G393" i="28"/>
  <c r="G380" i="28"/>
  <c r="G381" i="28"/>
  <c r="G366" i="28"/>
  <c r="G382" i="28"/>
  <c r="G392" i="28"/>
  <c r="G367" i="28"/>
  <c r="G384" i="28"/>
  <c r="G390" i="28"/>
  <c r="G387" i="28"/>
  <c r="G389" i="28"/>
  <c r="G376" i="28"/>
  <c r="G391" i="28"/>
  <c r="G374" i="28"/>
  <c r="G388" i="28"/>
  <c r="G378" i="28"/>
  <c r="G377" i="28"/>
  <c r="G386" i="28"/>
  <c r="F299" i="28"/>
  <c r="F308" i="28"/>
  <c r="F296" i="28"/>
  <c r="F311" i="28"/>
  <c r="F316" i="28"/>
  <c r="F305" i="28"/>
  <c r="F314" i="28"/>
  <c r="F319" i="28"/>
  <c r="F295" i="28"/>
  <c r="F309" i="28"/>
  <c r="F300" i="28"/>
  <c r="F318" i="28"/>
  <c r="F298" i="28"/>
  <c r="F297" i="28"/>
  <c r="F306" i="28"/>
  <c r="F315" i="28"/>
  <c r="F313" i="28"/>
  <c r="F302" i="28"/>
  <c r="F294" i="28"/>
  <c r="F293" i="28"/>
  <c r="E163" i="36" a="1"/>
  <c r="E168" i="36" a="1"/>
  <c r="F149" i="36" a="1"/>
  <c r="D175" i="36" a="1"/>
  <c r="F150" i="36" a="1"/>
  <c r="C168" i="36" a="1"/>
  <c r="F155" i="36" a="1"/>
  <c r="F163" i="36" a="1"/>
  <c r="F161" i="36" a="1"/>
  <c r="E162" i="36" a="1"/>
  <c r="C166" i="36" a="1"/>
  <c r="D171" i="36" a="1"/>
  <c r="E161" i="36" a="1"/>
  <c r="G168" i="36" a="1"/>
  <c r="G149" i="36" a="1"/>
  <c r="D164" i="36" a="1"/>
  <c r="E171" i="36" a="1"/>
  <c r="G171" i="36" a="1"/>
  <c r="G152" i="36" a="1"/>
  <c r="G174" i="36" a="1"/>
  <c r="D154" i="36" a="1"/>
  <c r="D162" i="36" a="1"/>
  <c r="G164" i="36" a="1"/>
  <c r="G151" i="36" a="1"/>
  <c r="E149" i="36" a="1"/>
  <c r="F166" i="36" a="1"/>
  <c r="C174" i="36" a="1"/>
  <c r="E150" i="36" a="1"/>
  <c r="G167" i="36" a="1"/>
  <c r="G161" i="36" a="1"/>
  <c r="E154" i="36" a="1"/>
  <c r="D151" i="36" a="1"/>
  <c r="C157" i="36" a="1"/>
  <c r="E156" i="36" a="1"/>
  <c r="G175" i="36" a="1"/>
  <c r="C175" i="36" a="1"/>
  <c r="E164" i="36" a="1"/>
  <c r="F174" i="36" a="1"/>
  <c r="G155" i="36" a="1"/>
  <c r="F157" i="36" a="1"/>
  <c r="C163" i="36" a="1"/>
  <c r="E175" i="36" a="1"/>
  <c r="D152" i="36" a="1"/>
  <c r="C171" i="36" a="1"/>
  <c r="C161" i="36" a="1"/>
  <c r="C164" i="36" a="1"/>
  <c r="F171" i="36" a="1"/>
  <c r="F167" i="36" a="1"/>
  <c r="D155" i="36" a="1"/>
  <c r="G163" i="36" a="1"/>
  <c r="C162" i="36" a="1"/>
  <c r="D166" i="36" a="1"/>
  <c r="D163" i="36" a="1"/>
  <c r="C150" i="36" a="1"/>
  <c r="F164" i="36" a="1"/>
  <c r="C155" i="36" a="1"/>
  <c r="E153" i="36" a="1"/>
  <c r="D174" i="36" a="1"/>
  <c r="C154" i="36" a="1"/>
  <c r="D153" i="36" a="1"/>
  <c r="G157" i="36" a="1"/>
  <c r="E174" i="36" a="1"/>
  <c r="F175" i="36" a="1"/>
  <c r="G166" i="36" a="1"/>
  <c r="G156" i="36" a="1"/>
  <c r="G162" i="36" a="1"/>
  <c r="E157" i="36" a="1"/>
  <c r="G173" i="36" a="1"/>
  <c r="G153" i="36" a="1"/>
  <c r="C151" i="36" a="1"/>
  <c r="G154" i="36" a="1"/>
  <c r="D156" i="36" a="1"/>
  <c r="F152" i="36" a="1"/>
  <c r="D157" i="36" a="1"/>
  <c r="D168" i="36" a="1"/>
  <c r="G150" i="36" a="1"/>
  <c r="F162" i="36" a="1"/>
  <c r="B170" i="36" a="1"/>
  <c r="E173" i="36" a="1"/>
  <c r="E155" i="36" a="1"/>
  <c r="F151" i="36" a="1"/>
  <c r="C167" i="36" a="1"/>
  <c r="F153" i="36" a="1"/>
  <c r="D173" i="36" a="1"/>
  <c r="E167" i="36" a="1"/>
  <c r="F156" i="36" a="1"/>
  <c r="C156" i="36" a="1"/>
  <c r="C153" i="36" a="1"/>
  <c r="F173" i="36" a="1"/>
  <c r="E151" i="36" a="1"/>
  <c r="C149" i="36" a="1"/>
  <c r="D149" i="36" a="1"/>
  <c r="F168" i="36" a="1"/>
  <c r="D167" i="36" a="1"/>
  <c r="C173" i="36" a="1"/>
  <c r="E152" i="36" a="1"/>
  <c r="D150" i="36" a="1"/>
  <c r="F154" i="36" a="1"/>
  <c r="E166" i="36" a="1"/>
  <c r="D161" i="36" a="1"/>
  <c r="C152" i="36" a="1"/>
  <c r="B170" i="36" l="1"/>
  <c r="C166" i="36"/>
  <c r="C155" i="36"/>
  <c r="C174" i="36"/>
  <c r="C163" i="36"/>
  <c r="C175" i="36"/>
  <c r="C164" i="36"/>
  <c r="C157" i="36"/>
  <c r="C167" i="36"/>
  <c r="C168" i="36"/>
  <c r="C171" i="36"/>
  <c r="C161" i="36"/>
  <c r="C149" i="36"/>
  <c r="C150" i="36"/>
  <c r="C162" i="36"/>
  <c r="C151" i="36"/>
  <c r="C173" i="36"/>
  <c r="C154" i="36"/>
  <c r="C152" i="36"/>
  <c r="C156" i="36"/>
  <c r="C153" i="36"/>
  <c r="G171" i="36"/>
  <c r="G174" i="36"/>
  <c r="G151" i="36"/>
  <c r="G163" i="36"/>
  <c r="G167" i="36"/>
  <c r="G164" i="36"/>
  <c r="G175" i="36"/>
  <c r="G173" i="36"/>
  <c r="G155" i="36"/>
  <c r="G153" i="36"/>
  <c r="G157" i="36"/>
  <c r="G161" i="36"/>
  <c r="G168" i="36"/>
  <c r="G149" i="36"/>
  <c r="G154" i="36"/>
  <c r="G150" i="36"/>
  <c r="G152" i="36"/>
  <c r="G166" i="36"/>
  <c r="G162" i="36"/>
  <c r="G156" i="36"/>
  <c r="F167" i="36"/>
  <c r="F153" i="36"/>
  <c r="F164" i="36"/>
  <c r="F173" i="36"/>
  <c r="F155" i="36"/>
  <c r="F175" i="36"/>
  <c r="F157" i="36"/>
  <c r="F171" i="36"/>
  <c r="F174" i="36"/>
  <c r="F150" i="36"/>
  <c r="F161" i="36"/>
  <c r="F168" i="36"/>
  <c r="F152" i="36"/>
  <c r="F166" i="36"/>
  <c r="F149" i="36"/>
  <c r="F154" i="36"/>
  <c r="F162" i="36"/>
  <c r="F156" i="36"/>
  <c r="F151" i="36"/>
  <c r="F163" i="36"/>
  <c r="E167" i="36"/>
  <c r="E153" i="36"/>
  <c r="E164" i="36"/>
  <c r="E173" i="36"/>
  <c r="E155" i="36"/>
  <c r="E175" i="36"/>
  <c r="E157" i="36"/>
  <c r="E171" i="36"/>
  <c r="E174" i="36"/>
  <c r="E150" i="36"/>
  <c r="E161" i="36"/>
  <c r="E168" i="36"/>
  <c r="E152" i="36"/>
  <c r="E166" i="36"/>
  <c r="E149" i="36"/>
  <c r="E154" i="36"/>
  <c r="E162" i="36"/>
  <c r="E156" i="36"/>
  <c r="E151" i="36"/>
  <c r="E163" i="36"/>
  <c r="D167" i="36"/>
  <c r="D173" i="36"/>
  <c r="D155" i="36"/>
  <c r="D164" i="36"/>
  <c r="D175" i="36"/>
  <c r="D153" i="36"/>
  <c r="D157" i="36"/>
  <c r="D171" i="36"/>
  <c r="D174" i="36"/>
  <c r="D150" i="36"/>
  <c r="D161" i="36"/>
  <c r="D168" i="36"/>
  <c r="D152" i="36"/>
  <c r="D166" i="36"/>
  <c r="D149" i="36"/>
  <c r="D154" i="36"/>
  <c r="D162" i="36"/>
  <c r="D156" i="36"/>
  <c r="D151" i="36"/>
  <c r="D163" i="36"/>
  <c r="J390" i="28"/>
  <c r="J384" i="28"/>
  <c r="J372" i="28"/>
  <c r="J391" i="28"/>
  <c r="J376" i="28"/>
  <c r="J389" i="28"/>
  <c r="J367" i="28"/>
  <c r="J387" i="28"/>
  <c r="J374" i="28"/>
  <c r="J393" i="28"/>
  <c r="J392" i="28"/>
  <c r="J382" i="28"/>
  <c r="J366" i="28"/>
  <c r="J377" i="28"/>
  <c r="J381" i="28"/>
  <c r="J378" i="28"/>
  <c r="J380" i="28"/>
  <c r="J388" i="28"/>
  <c r="J373" i="28"/>
  <c r="J386" i="28"/>
  <c r="G170" i="36" a="1"/>
  <c r="D170" i="36" a="1"/>
  <c r="C170" i="36" a="1"/>
  <c r="F170" i="36" a="1"/>
  <c r="E170" i="36" a="1"/>
  <c r="D170" i="36" l="1"/>
  <c r="C170" i="36"/>
  <c r="G170" i="36"/>
  <c r="F170" i="36"/>
  <c r="E170" i="36"/>
  <c r="C67" i="36" a="1"/>
  <c r="B67" i="36" a="1"/>
  <c r="C67" i="36" l="1"/>
  <c r="B67" i="36"/>
  <c r="C177" i="36" a="1"/>
  <c r="E177" i="36" a="1"/>
  <c r="C177" i="36" l="1"/>
  <c r="E177" i="36"/>
  <c r="C12" i="87"/>
  <c r="D12" i="87"/>
  <c r="F12" i="87" s="1"/>
  <c r="E12" i="87"/>
  <c r="G12" i="87"/>
  <c r="H12" i="87"/>
  <c r="I12" i="87"/>
  <c r="P12" i="87"/>
  <c r="Q12" i="87"/>
  <c r="AN12" i="87"/>
  <c r="BH12" i="87"/>
  <c r="BI12" i="87"/>
  <c r="BJ12" i="87"/>
  <c r="BK12" i="87"/>
  <c r="DE12" i="87"/>
  <c r="DD12" i="87" s="1"/>
  <c r="EA12" i="87"/>
  <c r="EB12" i="87"/>
  <c r="ED12" i="87" s="1"/>
  <c r="EC12" i="87"/>
  <c r="EE12" i="87"/>
  <c r="EF12" i="87"/>
  <c r="EN12" i="87"/>
  <c r="EO12" i="87"/>
  <c r="FA12" i="87"/>
  <c r="EZ12" i="87" s="1"/>
  <c r="C13" i="87"/>
  <c r="D13" i="87"/>
  <c r="F13" i="87" s="1"/>
  <c r="E13" i="87"/>
  <c r="G13" i="87"/>
  <c r="H13" i="87"/>
  <c r="I13" i="87"/>
  <c r="P13" i="87"/>
  <c r="Q13" i="87"/>
  <c r="R13" i="87" s="1"/>
  <c r="AN13" i="87"/>
  <c r="BH13" i="87"/>
  <c r="BI13" i="87"/>
  <c r="BJ13" i="87"/>
  <c r="BK13" i="87"/>
  <c r="DE13" i="87"/>
  <c r="DD13" i="87" s="1"/>
  <c r="EA13" i="87"/>
  <c r="EB13" i="87"/>
  <c r="EC13" i="87"/>
  <c r="ED13" i="87"/>
  <c r="EE13" i="87"/>
  <c r="EF13" i="87"/>
  <c r="EN13" i="87"/>
  <c r="EO13" i="87"/>
  <c r="FA13" i="87"/>
  <c r="EZ13" i="87" s="1"/>
  <c r="C14" i="87"/>
  <c r="D14" i="87"/>
  <c r="E14" i="87"/>
  <c r="G14" i="87"/>
  <c r="H14" i="87"/>
  <c r="I14" i="87"/>
  <c r="P14" i="87"/>
  <c r="Q14" i="87"/>
  <c r="R14" i="87" s="1"/>
  <c r="AN14" i="87"/>
  <c r="BH14" i="87"/>
  <c r="BI14" i="87"/>
  <c r="BJ14" i="87"/>
  <c r="BK14" i="87"/>
  <c r="DE14" i="87"/>
  <c r="DD14" i="87" s="1"/>
  <c r="EA14" i="87"/>
  <c r="EB14" i="87"/>
  <c r="ED14" i="87" s="1"/>
  <c r="EC14" i="87"/>
  <c r="EE14" i="87"/>
  <c r="EF14" i="87"/>
  <c r="EN14" i="87"/>
  <c r="EO14" i="87"/>
  <c r="EP14" i="87" s="1"/>
  <c r="FA14" i="87"/>
  <c r="EZ14" i="87" s="1"/>
  <c r="C15" i="87"/>
  <c r="D15" i="87"/>
  <c r="F15" i="87" s="1"/>
  <c r="E15" i="87"/>
  <c r="G15" i="87"/>
  <c r="H15" i="87"/>
  <c r="I15" i="87"/>
  <c r="P15" i="87"/>
  <c r="Q15" i="87"/>
  <c r="AN15" i="87"/>
  <c r="BH15" i="87"/>
  <c r="BI15" i="87"/>
  <c r="BJ15" i="87"/>
  <c r="BK15" i="87"/>
  <c r="DE15" i="87"/>
  <c r="DD15" i="87" s="1"/>
  <c r="EA15" i="87"/>
  <c r="EB15" i="87"/>
  <c r="EC15" i="87"/>
  <c r="ED15" i="87"/>
  <c r="EE15" i="87"/>
  <c r="EF15" i="87"/>
  <c r="EN15" i="87"/>
  <c r="EO15" i="87"/>
  <c r="FA15" i="87"/>
  <c r="EZ15" i="87" s="1"/>
  <c r="C16" i="87"/>
  <c r="D16" i="87"/>
  <c r="F16" i="87" s="1"/>
  <c r="E16" i="87"/>
  <c r="G16" i="87"/>
  <c r="H16" i="87"/>
  <c r="I16" i="87"/>
  <c r="P16" i="87"/>
  <c r="Q16" i="87"/>
  <c r="R16" i="87" s="1"/>
  <c r="AN16" i="87"/>
  <c r="BH16" i="87"/>
  <c r="BI16" i="87"/>
  <c r="BJ16" i="87"/>
  <c r="BK16" i="87"/>
  <c r="DE16" i="87"/>
  <c r="DD16" i="87" s="1"/>
  <c r="EA16" i="87"/>
  <c r="EB16" i="87"/>
  <c r="ED16" i="87" s="1"/>
  <c r="EC16" i="87"/>
  <c r="EE16" i="87"/>
  <c r="EF16" i="87"/>
  <c r="EN16" i="87"/>
  <c r="EO16" i="87"/>
  <c r="FA16" i="87"/>
  <c r="EZ16" i="87" s="1"/>
  <c r="C17" i="87"/>
  <c r="D17" i="87"/>
  <c r="F17" i="87" s="1"/>
  <c r="E17" i="87"/>
  <c r="G17" i="87"/>
  <c r="H17" i="87"/>
  <c r="I17" i="87"/>
  <c r="P17" i="87"/>
  <c r="Q17" i="87"/>
  <c r="AN17" i="87"/>
  <c r="BH17" i="87"/>
  <c r="BI17" i="87"/>
  <c r="BJ17" i="87"/>
  <c r="BK17" i="87"/>
  <c r="DE17" i="87"/>
  <c r="DD17" i="87" s="1"/>
  <c r="EA17" i="87"/>
  <c r="EB17" i="87"/>
  <c r="ED17" i="87" s="1"/>
  <c r="EC17" i="87"/>
  <c r="EE17" i="87"/>
  <c r="EF17" i="87"/>
  <c r="EN17" i="87"/>
  <c r="EO17" i="87"/>
  <c r="FA17" i="87"/>
  <c r="EZ17" i="87" s="1"/>
  <c r="C18" i="87"/>
  <c r="D18" i="87"/>
  <c r="F18" i="87" s="1"/>
  <c r="E18" i="87"/>
  <c r="G18" i="87"/>
  <c r="H18" i="87"/>
  <c r="I18" i="87"/>
  <c r="P18" i="87"/>
  <c r="Q18" i="87"/>
  <c r="AN18" i="87"/>
  <c r="BH18" i="87"/>
  <c r="BI18" i="87"/>
  <c r="BJ18" i="87"/>
  <c r="BK18" i="87"/>
  <c r="DE18" i="87"/>
  <c r="DD18" i="87" s="1"/>
  <c r="EA18" i="87"/>
  <c r="EB18" i="87"/>
  <c r="ED18" i="87" s="1"/>
  <c r="EC18" i="87"/>
  <c r="EE18" i="87"/>
  <c r="EF18" i="87"/>
  <c r="EN18" i="87"/>
  <c r="EO18" i="87"/>
  <c r="FA18" i="87"/>
  <c r="EZ18" i="87" s="1"/>
  <c r="C19" i="87"/>
  <c r="D19" i="87"/>
  <c r="F19" i="87" s="1"/>
  <c r="E19" i="87"/>
  <c r="G19" i="87"/>
  <c r="H19" i="87"/>
  <c r="I19" i="87"/>
  <c r="P19" i="87"/>
  <c r="Q19" i="87"/>
  <c r="R19" i="87" s="1"/>
  <c r="AN19" i="87"/>
  <c r="BH19" i="87"/>
  <c r="BI19" i="87"/>
  <c r="BJ19" i="87"/>
  <c r="BK19" i="87"/>
  <c r="DE19" i="87"/>
  <c r="DD19" i="87" s="1"/>
  <c r="EA19" i="87"/>
  <c r="EB19" i="87"/>
  <c r="ED19" i="87" s="1"/>
  <c r="EC19" i="87"/>
  <c r="EE19" i="87"/>
  <c r="EF19" i="87"/>
  <c r="EN19" i="87"/>
  <c r="EO19" i="87"/>
  <c r="FA19" i="87"/>
  <c r="EZ19" i="87" s="1"/>
  <c r="C20" i="87"/>
  <c r="O20" i="87" s="1"/>
  <c r="D20" i="87"/>
  <c r="F20" i="87" s="1"/>
  <c r="E20" i="87"/>
  <c r="G20" i="87"/>
  <c r="H20" i="87"/>
  <c r="I20" i="87"/>
  <c r="P20" i="87"/>
  <c r="Q20" i="87"/>
  <c r="AN20" i="87"/>
  <c r="BH20" i="87"/>
  <c r="BI20" i="87"/>
  <c r="BJ20" i="87"/>
  <c r="BK20" i="87"/>
  <c r="DE20" i="87"/>
  <c r="DD20" i="87" s="1"/>
  <c r="EA20" i="87"/>
  <c r="EB20" i="87"/>
  <c r="ED20" i="87" s="1"/>
  <c r="EC20" i="87"/>
  <c r="EE20" i="87"/>
  <c r="EF20" i="87"/>
  <c r="EN20" i="87"/>
  <c r="EO20" i="87"/>
  <c r="EP20" i="87" s="1"/>
  <c r="FA20" i="87"/>
  <c r="EZ20" i="87" s="1"/>
  <c r="C21" i="87"/>
  <c r="D21" i="87"/>
  <c r="F21" i="87" s="1"/>
  <c r="E21" i="87"/>
  <c r="G21" i="87"/>
  <c r="H21" i="87"/>
  <c r="I21" i="87"/>
  <c r="P21" i="87"/>
  <c r="Q21" i="87"/>
  <c r="X21" i="87" s="1"/>
  <c r="AN21" i="87"/>
  <c r="BH21" i="87"/>
  <c r="BI21" i="87"/>
  <c r="BJ21" i="87"/>
  <c r="BK21" i="87"/>
  <c r="DE21" i="87"/>
  <c r="DD21" i="87" s="1"/>
  <c r="EA21" i="87"/>
  <c r="EB21" i="87"/>
  <c r="ED21" i="87" s="1"/>
  <c r="EC21" i="87"/>
  <c r="EE21" i="87"/>
  <c r="EF21" i="87"/>
  <c r="EN21" i="87"/>
  <c r="EO21" i="87"/>
  <c r="FA21" i="87"/>
  <c r="EZ21" i="87" s="1"/>
  <c r="C22" i="87"/>
  <c r="O12" i="87" s="1"/>
  <c r="D22" i="87"/>
  <c r="F22" i="87" s="1"/>
  <c r="E22" i="87"/>
  <c r="G22" i="87"/>
  <c r="H22" i="87"/>
  <c r="I22" i="87"/>
  <c r="K22" i="87"/>
  <c r="L22" i="87"/>
  <c r="M22" i="87"/>
  <c r="N22" i="87"/>
  <c r="P22" i="87"/>
  <c r="BS20" i="87" s="1"/>
  <c r="Q22" i="87"/>
  <c r="S22" i="87"/>
  <c r="T22" i="87"/>
  <c r="U22" i="87"/>
  <c r="V22" i="87"/>
  <c r="AN22" i="87"/>
  <c r="BH22" i="87"/>
  <c r="BI22" i="87"/>
  <c r="BJ22" i="87"/>
  <c r="BK22" i="87"/>
  <c r="BO22" i="87" s="1"/>
  <c r="CK22" i="87"/>
  <c r="CL22" i="87"/>
  <c r="CM22" i="87"/>
  <c r="CN22" i="87"/>
  <c r="CR22" i="87" s="1"/>
  <c r="DA22" i="87"/>
  <c r="DB22" i="87"/>
  <c r="DE22" i="87"/>
  <c r="DD22" i="87" s="1"/>
  <c r="EA22" i="87"/>
  <c r="EB22" i="87"/>
  <c r="ED22" i="87" s="1"/>
  <c r="EC22" i="87"/>
  <c r="EE22" i="87"/>
  <c r="EF22" i="87"/>
  <c r="EI22" i="87"/>
  <c r="EJ22" i="87"/>
  <c r="EK22" i="87"/>
  <c r="EL22" i="87"/>
  <c r="EN22" i="87"/>
  <c r="EO22" i="87"/>
  <c r="EQ22" i="87"/>
  <c r="ER22" i="87"/>
  <c r="ES22" i="87"/>
  <c r="ET22" i="87"/>
  <c r="FA22" i="87"/>
  <c r="EZ22" i="87" s="1"/>
  <c r="H379" i="28" a="1"/>
  <c r="C125" i="28" a="1"/>
  <c r="D136" i="28" a="1"/>
  <c r="C131" i="28" a="1"/>
  <c r="D128" i="28" a="1"/>
  <c r="D131" i="28" a="1"/>
  <c r="C122" i="28" a="1"/>
  <c r="D127" i="28" a="1"/>
  <c r="C123" i="28" a="1"/>
  <c r="G177" i="36" a="1"/>
  <c r="C136" i="28" a="1"/>
  <c r="F312" i="28" a="1"/>
  <c r="D138" i="28" a="1"/>
  <c r="C139" i="28" a="1"/>
  <c r="D122" i="28" a="1"/>
  <c r="D114" i="28" a="1"/>
  <c r="C113" i="28" a="1"/>
  <c r="C128" i="28" a="1"/>
  <c r="C124" i="28" a="1"/>
  <c r="D124" i="28" a="1"/>
  <c r="F177" i="36" a="1"/>
  <c r="D177" i="36" a="1"/>
  <c r="D125" i="28" a="1"/>
  <c r="D140" i="28" a="1"/>
  <c r="D139" i="28" a="1"/>
  <c r="D135" i="28" a="1"/>
  <c r="D116" i="28" a="1"/>
  <c r="C126" i="28" a="1"/>
  <c r="D134" i="28" a="1"/>
  <c r="D141" i="28" a="1"/>
  <c r="D126" i="28" a="1"/>
  <c r="C129" i="28" a="1"/>
  <c r="C134" i="28" a="1"/>
  <c r="C127" i="28" a="1"/>
  <c r="C114" i="28" a="1"/>
  <c r="C140" i="28" a="1"/>
  <c r="D137" i="28" a="1"/>
  <c r="D113" i="28" a="1"/>
  <c r="C116" i="28" a="1"/>
  <c r="C137" i="28" a="1"/>
  <c r="G379" i="28" a="1"/>
  <c r="C141" i="28" a="1"/>
  <c r="C135" i="28" a="1"/>
  <c r="C138" i="28" a="1"/>
  <c r="D129" i="28" a="1"/>
  <c r="D123" i="28" a="1"/>
  <c r="BL17" i="87" l="1"/>
  <c r="DC22" i="87"/>
  <c r="BO19" i="87"/>
  <c r="BO17" i="87"/>
  <c r="X22" i="87"/>
  <c r="Y19" i="87"/>
  <c r="AA21" i="87"/>
  <c r="R12" i="87"/>
  <c r="AB12" i="87"/>
  <c r="AC12" i="87" s="1"/>
  <c r="AB21" i="87"/>
  <c r="AC21" i="87" s="1"/>
  <c r="AA12" i="87"/>
  <c r="AB22" i="87"/>
  <c r="AC22" i="87" s="1"/>
  <c r="Z12" i="87"/>
  <c r="Y21" i="87"/>
  <c r="X15" i="87"/>
  <c r="Y12" i="87"/>
  <c r="AA14" i="87"/>
  <c r="Z14" i="87"/>
  <c r="BL22" i="87"/>
  <c r="BN20" i="87"/>
  <c r="X14" i="87"/>
  <c r="Y20" i="87"/>
  <c r="BM22" i="87"/>
  <c r="R15" i="87"/>
  <c r="CO22" i="87"/>
  <c r="BS18" i="87"/>
  <c r="BM21" i="87"/>
  <c r="R21" i="87"/>
  <c r="R20" i="87"/>
  <c r="BS19" i="87"/>
  <c r="BN16" i="87"/>
  <c r="BM15" i="87"/>
  <c r="BL21" i="87"/>
  <c r="EP19" i="87"/>
  <c r="EP18" i="87"/>
  <c r="BO18" i="87"/>
  <c r="AA18" i="87"/>
  <c r="AA19" i="87"/>
  <c r="Z18" i="87"/>
  <c r="BM17" i="87"/>
  <c r="W14" i="87"/>
  <c r="Y22" i="87"/>
  <c r="Z21" i="87"/>
  <c r="BM20" i="87"/>
  <c r="BN19" i="87"/>
  <c r="BL18" i="87"/>
  <c r="BN17" i="87"/>
  <c r="O16" i="87"/>
  <c r="O14" i="87"/>
  <c r="X13" i="87"/>
  <c r="EP22" i="87"/>
  <c r="CP22" i="87"/>
  <c r="W22" i="87"/>
  <c r="EM15" i="87"/>
  <c r="W13" i="87"/>
  <c r="Y13" i="87"/>
  <c r="FE22" i="87"/>
  <c r="BO20" i="87"/>
  <c r="X20" i="87"/>
  <c r="BL19" i="87"/>
  <c r="R17" i="87"/>
  <c r="O15" i="87"/>
  <c r="W19" i="87"/>
  <c r="AW19" i="87" s="1"/>
  <c r="R18" i="87"/>
  <c r="BS17" i="87"/>
  <c r="EP16" i="87"/>
  <c r="BO16" i="87"/>
  <c r="EM21" i="87"/>
  <c r="EW21" i="87"/>
  <c r="EV12" i="87"/>
  <c r="EM12" i="87"/>
  <c r="EU20" i="87"/>
  <c r="EM16" i="87"/>
  <c r="EV13" i="87"/>
  <c r="EW22" i="87"/>
  <c r="EV19" i="87"/>
  <c r="EM14" i="87"/>
  <c r="EU21" i="87"/>
  <c r="G379" i="28"/>
  <c r="D177" i="36"/>
  <c r="F177" i="36"/>
  <c r="F312" i="28"/>
  <c r="G177" i="36"/>
  <c r="H379" i="28"/>
  <c r="EP21" i="87"/>
  <c r="Y16" i="87"/>
  <c r="W15" i="87"/>
  <c r="AW15" i="87" s="1"/>
  <c r="F14" i="87"/>
  <c r="Y14" i="87" s="1"/>
  <c r="EW12" i="87"/>
  <c r="BD22" i="87"/>
  <c r="BS15" i="87"/>
  <c r="FC22" i="87"/>
  <c r="R22" i="87"/>
  <c r="EU19" i="87"/>
  <c r="BS16" i="87"/>
  <c r="Z13" i="87"/>
  <c r="W21" i="87"/>
  <c r="AH21" i="87" s="1"/>
  <c r="BN18" i="87"/>
  <c r="EP17" i="87"/>
  <c r="EU13" i="87"/>
  <c r="BS13" i="87"/>
  <c r="BO12" i="87"/>
  <c r="EU17" i="87"/>
  <c r="O17" i="87"/>
  <c r="BL14" i="87"/>
  <c r="EP13" i="87"/>
  <c r="O13" i="87"/>
  <c r="BN22" i="87"/>
  <c r="EW19" i="87"/>
  <c r="Z19" i="87"/>
  <c r="BM18" i="87"/>
  <c r="Y15" i="87"/>
  <c r="BL12" i="87"/>
  <c r="BN21" i="87"/>
  <c r="BL20" i="87"/>
  <c r="EM19" i="87"/>
  <c r="X19" i="87"/>
  <c r="BL16" i="87"/>
  <c r="BO21" i="87"/>
  <c r="O21" i="87"/>
  <c r="O19" i="87"/>
  <c r="BN15" i="87"/>
  <c r="EM13" i="87"/>
  <c r="EP12" i="87"/>
  <c r="X12" i="87"/>
  <c r="AH22" i="87"/>
  <c r="BM19" i="87"/>
  <c r="EU18" i="87"/>
  <c r="O18" i="87"/>
  <c r="BL15" i="87"/>
  <c r="BO13" i="87"/>
  <c r="EU12" i="87"/>
  <c r="EW20" i="87"/>
  <c r="AB18" i="87"/>
  <c r="AC18" i="87" s="1"/>
  <c r="BN13" i="87"/>
  <c r="W12" i="87"/>
  <c r="EV21" i="87"/>
  <c r="EM17" i="87"/>
  <c r="EV17" i="87"/>
  <c r="FD22" i="87"/>
  <c r="FH22" i="87" s="1"/>
  <c r="EU16" i="87"/>
  <c r="EU14" i="87"/>
  <c r="EW17" i="87"/>
  <c r="FB22" i="87"/>
  <c r="FF22" i="87" s="1"/>
  <c r="EV22" i="87"/>
  <c r="EM20" i="87"/>
  <c r="EM18" i="87"/>
  <c r="EW16" i="87"/>
  <c r="EV16" i="87"/>
  <c r="E136" i="28"/>
  <c r="E124" i="28"/>
  <c r="E135" i="28"/>
  <c r="E123" i="28"/>
  <c r="E134" i="28"/>
  <c r="E127" i="28"/>
  <c r="E138" i="28"/>
  <c r="E137" i="28"/>
  <c r="E125" i="28"/>
  <c r="C116" i="28"/>
  <c r="C114" i="28"/>
  <c r="C113" i="28"/>
  <c r="C131" i="28"/>
  <c r="C129" i="28"/>
  <c r="C140" i="28"/>
  <c r="C128" i="28"/>
  <c r="C139" i="28"/>
  <c r="C127" i="28"/>
  <c r="C126" i="28"/>
  <c r="C138" i="28"/>
  <c r="C137" i="28"/>
  <c r="C125" i="28"/>
  <c r="C141" i="28"/>
  <c r="C136" i="28"/>
  <c r="C124" i="28"/>
  <c r="C123" i="28"/>
  <c r="C134" i="28"/>
  <c r="C122" i="28"/>
  <c r="C135" i="28"/>
  <c r="D116" i="28"/>
  <c r="E116" i="28" s="1"/>
  <c r="D114" i="28"/>
  <c r="E114" i="28" s="1"/>
  <c r="D113" i="28"/>
  <c r="E113" i="28" s="1"/>
  <c r="D131" i="28"/>
  <c r="E131" i="28" s="1"/>
  <c r="D141" i="28"/>
  <c r="E141" i="28" s="1"/>
  <c r="D129" i="28"/>
  <c r="D140" i="28"/>
  <c r="E140" i="28" s="1"/>
  <c r="D128" i="28"/>
  <c r="E128" i="28" s="1"/>
  <c r="D139" i="28"/>
  <c r="E139" i="28" s="1"/>
  <c r="D127" i="28"/>
  <c r="D138" i="28"/>
  <c r="D126" i="28"/>
  <c r="B126" i="28" s="1"/>
  <c r="E126" i="28" s="1"/>
  <c r="D137" i="28"/>
  <c r="D125" i="28"/>
  <c r="D124" i="28"/>
  <c r="D136" i="28"/>
  <c r="D135" i="28"/>
  <c r="D123" i="28"/>
  <c r="D134" i="28"/>
  <c r="D122" i="28"/>
  <c r="B122" i="28" s="1"/>
  <c r="E122" i="28" s="1"/>
  <c r="EW15" i="87"/>
  <c r="AB14" i="87"/>
  <c r="AC14" i="87" s="1"/>
  <c r="EV15" i="87"/>
  <c r="Z22" i="87"/>
  <c r="AA22" i="87"/>
  <c r="Z20" i="87"/>
  <c r="BS21" i="87"/>
  <c r="BS12" i="87"/>
  <c r="CV22" i="87"/>
  <c r="W20" i="87"/>
  <c r="AA20" i="87"/>
  <c r="AW22" i="87"/>
  <c r="BM12" i="87"/>
  <c r="EW18" i="87"/>
  <c r="Y18" i="87"/>
  <c r="AB17" i="87"/>
  <c r="AC17" i="87" s="1"/>
  <c r="EW14" i="87"/>
  <c r="AG22" i="87"/>
  <c r="BG22" i="87" s="1"/>
  <c r="EV18" i="87"/>
  <c r="X18" i="87"/>
  <c r="AA17" i="87"/>
  <c r="EV14" i="87"/>
  <c r="AF22" i="87"/>
  <c r="BF22" i="87" s="1"/>
  <c r="W18" i="87"/>
  <c r="Z17" i="87"/>
  <c r="AB16" i="87"/>
  <c r="AC16" i="87" s="1"/>
  <c r="AH13" i="87"/>
  <c r="AJ13" i="87"/>
  <c r="AS13" i="87" s="1"/>
  <c r="EP15" i="87"/>
  <c r="EU15" i="87"/>
  <c r="BL13" i="87"/>
  <c r="CS22" i="87"/>
  <c r="CU22" i="87"/>
  <c r="AW13" i="87"/>
  <c r="CT22" i="87"/>
  <c r="BM13" i="87"/>
  <c r="AB20" i="87"/>
  <c r="AC20" i="87" s="1"/>
  <c r="W16" i="87"/>
  <c r="BN12" i="87"/>
  <c r="AH15" i="87"/>
  <c r="AJ15" i="87" s="1"/>
  <c r="AS15" i="87" s="1"/>
  <c r="AE22" i="87"/>
  <c r="Y17" i="87"/>
  <c r="AA16" i="87"/>
  <c r="AB13" i="87"/>
  <c r="AC13" i="87" s="1"/>
  <c r="AD22" i="87"/>
  <c r="X17" i="87"/>
  <c r="Z16" i="87"/>
  <c r="AB15" i="87"/>
  <c r="AC15" i="87" s="1"/>
  <c r="BO14" i="87"/>
  <c r="AA13" i="87"/>
  <c r="W17" i="87"/>
  <c r="AA15" i="87"/>
  <c r="BN14" i="87"/>
  <c r="EW13" i="87"/>
  <c r="EV20" i="87"/>
  <c r="AB19" i="87"/>
  <c r="AC19" i="87" s="1"/>
  <c r="X16" i="87"/>
  <c r="Z15" i="87"/>
  <c r="BM14" i="87"/>
  <c r="BS14" i="87"/>
  <c r="BM16" i="87"/>
  <c r="BO15" i="87"/>
  <c r="I379" i="28" a="1"/>
  <c r="AM14" i="130" a="1"/>
  <c r="G281" i="28" a="1"/>
  <c r="H281" i="28" a="1"/>
  <c r="B158" i="36" a="1"/>
  <c r="AM17" i="130" a="1"/>
  <c r="AM13" i="130" a="1"/>
  <c r="AM12" i="130" a="1"/>
  <c r="AM16" i="130" a="1"/>
  <c r="AM19" i="130" a="1"/>
  <c r="C117" i="28" a="1"/>
  <c r="AM20" i="130" a="1"/>
  <c r="AM22" i="130" a="1"/>
  <c r="AM18" i="130" a="1"/>
  <c r="J190" i="28" a="1"/>
  <c r="B281" i="28" a="1"/>
  <c r="AM21" i="130" a="1"/>
  <c r="AM15" i="130" a="1"/>
  <c r="EX22" i="87" l="1"/>
  <c r="EY13" i="87"/>
  <c r="AJ21" i="87"/>
  <c r="FG22" i="87"/>
  <c r="EY19" i="87"/>
  <c r="CQ22" i="87"/>
  <c r="AM20" i="130"/>
  <c r="AM12" i="130"/>
  <c r="AM14" i="130"/>
  <c r="AM16" i="130"/>
  <c r="AM19" i="130"/>
  <c r="AM21" i="130"/>
  <c r="AM15" i="130"/>
  <c r="AM18" i="130"/>
  <c r="AM13" i="130"/>
  <c r="AM17" i="130"/>
  <c r="H281" i="28"/>
  <c r="J190" i="28"/>
  <c r="AM22" i="130"/>
  <c r="G281" i="28"/>
  <c r="I281" i="28" s="1"/>
  <c r="EY12" i="87"/>
  <c r="AW14" i="87"/>
  <c r="AH19" i="87"/>
  <c r="AJ19" i="87" s="1"/>
  <c r="AS19" i="87" s="1"/>
  <c r="AW21" i="87"/>
  <c r="EY15" i="87"/>
  <c r="AK13" i="87"/>
  <c r="AT13" i="87" s="1"/>
  <c r="EY21" i="87"/>
  <c r="AJ22" i="87"/>
  <c r="AS22" i="87" s="1"/>
  <c r="AW12" i="87"/>
  <c r="EY14" i="87"/>
  <c r="AH14" i="87"/>
  <c r="C117" i="28"/>
  <c r="B281" i="28"/>
  <c r="I379" i="28"/>
  <c r="AK15" i="87"/>
  <c r="AT15" i="87" s="1"/>
  <c r="EY17" i="87"/>
  <c r="AH12" i="87"/>
  <c r="AJ12" i="87" s="1"/>
  <c r="AS12" i="87" s="1"/>
  <c r="CX22" i="87"/>
  <c r="B129" i="28"/>
  <c r="E129" i="28" s="1"/>
  <c r="J379" i="28"/>
  <c r="AJ14" i="87"/>
  <c r="AK14" i="87" s="1"/>
  <c r="AT14" i="87" s="1"/>
  <c r="EY16" i="87"/>
  <c r="B158" i="36"/>
  <c r="EY22" i="87"/>
  <c r="AS21" i="87"/>
  <c r="AK21" i="87"/>
  <c r="AT21" i="87" s="1"/>
  <c r="AH16" i="87"/>
  <c r="AJ16" i="87" s="1"/>
  <c r="AS16" i="87" s="1"/>
  <c r="EY20" i="87"/>
  <c r="CZ22" i="87"/>
  <c r="AH18" i="87"/>
  <c r="AJ18" i="87" s="1"/>
  <c r="AS18" i="87" s="1"/>
  <c r="CW22" i="87"/>
  <c r="AW18" i="87"/>
  <c r="AW16" i="87"/>
  <c r="AW20" i="87"/>
  <c r="AH20" i="87"/>
  <c r="AJ20" i="87" s="1"/>
  <c r="AS20" i="87" s="1"/>
  <c r="EY18" i="87"/>
  <c r="FI22" i="87"/>
  <c r="BE22" i="87"/>
  <c r="BP22" i="87"/>
  <c r="AH17" i="87"/>
  <c r="AJ17" i="87" s="1"/>
  <c r="AS17" i="87" s="1"/>
  <c r="AW17" i="87"/>
  <c r="D158" i="36" a="1"/>
  <c r="G158" i="36" a="1"/>
  <c r="F158" i="36" a="1"/>
  <c r="E158" i="36" a="1"/>
  <c r="C158" i="36" a="1"/>
  <c r="D117" i="28" a="1"/>
  <c r="AL13" i="87" l="1"/>
  <c r="AU13" i="87" s="1"/>
  <c r="AK18" i="87"/>
  <c r="AT18" i="87" s="1"/>
  <c r="AK12" i="87"/>
  <c r="AT12" i="87" s="1"/>
  <c r="AL12" i="87"/>
  <c r="AU12" i="87" s="1"/>
  <c r="CY22" i="87"/>
  <c r="AP18" i="130"/>
  <c r="AO18" i="130"/>
  <c r="AN18" i="130"/>
  <c r="AS14" i="87"/>
  <c r="AP17" i="130"/>
  <c r="AN17" i="130"/>
  <c r="AO17" i="130"/>
  <c r="AO21" i="130"/>
  <c r="AN21" i="130"/>
  <c r="AP21" i="130"/>
  <c r="AK19" i="87"/>
  <c r="AL19" i="87" s="1"/>
  <c r="AO12" i="130"/>
  <c r="AN12" i="130"/>
  <c r="AP12" i="130"/>
  <c r="AP13" i="130"/>
  <c r="AO13" i="130"/>
  <c r="AN13" i="130"/>
  <c r="AO15" i="130"/>
  <c r="AN15" i="130"/>
  <c r="AP15" i="130"/>
  <c r="AP19" i="130"/>
  <c r="AO19" i="130"/>
  <c r="AN19" i="130"/>
  <c r="AP16" i="130"/>
  <c r="AO16" i="130"/>
  <c r="AN16" i="130"/>
  <c r="AK22" i="87"/>
  <c r="AP14" i="130"/>
  <c r="AN14" i="130"/>
  <c r="AO14" i="130"/>
  <c r="AL15" i="87"/>
  <c r="AU15" i="87" s="1"/>
  <c r="AP20" i="130"/>
  <c r="AO20" i="130"/>
  <c r="AN20" i="130"/>
  <c r="AK16" i="87"/>
  <c r="AT16" i="87" s="1"/>
  <c r="D117" i="28"/>
  <c r="E117" i="28" s="1"/>
  <c r="AM13" i="87"/>
  <c r="AM15" i="87"/>
  <c r="G158" i="36"/>
  <c r="E158" i="36"/>
  <c r="F158" i="36"/>
  <c r="C158" i="36"/>
  <c r="D158" i="36"/>
  <c r="AK17" i="87"/>
  <c r="AL17" i="87" s="1"/>
  <c r="AU17" i="87" s="1"/>
  <c r="BR22" i="87"/>
  <c r="BQ22" i="87"/>
  <c r="AL18" i="87"/>
  <c r="AU18" i="87" s="1"/>
  <c r="AM12" i="87"/>
  <c r="AV12" i="87" s="1"/>
  <c r="AK20" i="87"/>
  <c r="AL14" i="87"/>
  <c r="AL21" i="87"/>
  <c r="B58" i="36" a="1"/>
  <c r="C58" i="36" a="1"/>
  <c r="AN22" i="130" l="1"/>
  <c r="AN24" i="130" s="1"/>
  <c r="AO22" i="130"/>
  <c r="AP22" i="130"/>
  <c r="AT19" i="87"/>
  <c r="AT22" i="87"/>
  <c r="AL22" i="87"/>
  <c r="AL16" i="87"/>
  <c r="AU16" i="87" s="1"/>
  <c r="C58" i="36"/>
  <c r="B58" i="36"/>
  <c r="AV15" i="87"/>
  <c r="AO15" i="87"/>
  <c r="AX15" i="87" s="1"/>
  <c r="AV13" i="87"/>
  <c r="AO13" i="87"/>
  <c r="AM18" i="87"/>
  <c r="AV18" i="87" s="1"/>
  <c r="AU19" i="87"/>
  <c r="AM19" i="87"/>
  <c r="AV19" i="87" s="1"/>
  <c r="AU14" i="87"/>
  <c r="AM14" i="87"/>
  <c r="AV14" i="87" s="1"/>
  <c r="AO18" i="87"/>
  <c r="AX18" i="87" s="1"/>
  <c r="AU21" i="87"/>
  <c r="AM21" i="87"/>
  <c r="AV21" i="87" s="1"/>
  <c r="AT17" i="87"/>
  <c r="AM17" i="87"/>
  <c r="AV17" i="87" s="1"/>
  <c r="AO12" i="87"/>
  <c r="AX12" i="87" s="1"/>
  <c r="AT20" i="87"/>
  <c r="AL20" i="87"/>
  <c r="AU20" i="87" s="1"/>
  <c r="B197" i="36" a="1"/>
  <c r="AM16" i="87" l="1"/>
  <c r="AV16" i="87" s="1"/>
  <c r="AO16" i="87"/>
  <c r="AX16" i="87" s="1"/>
  <c r="AU22" i="87"/>
  <c r="AM22" i="87"/>
  <c r="AO22" i="87" s="1"/>
  <c r="AX22" i="87" s="1"/>
  <c r="AO26" i="130"/>
  <c r="AO28" i="130"/>
  <c r="AP28" i="130"/>
  <c r="AP26" i="130"/>
  <c r="B197" i="36"/>
  <c r="AX13" i="87"/>
  <c r="AI13" i="87"/>
  <c r="AI15" i="87"/>
  <c r="AI18" i="87"/>
  <c r="AO14" i="87"/>
  <c r="AI12" i="87"/>
  <c r="AO21" i="87"/>
  <c r="AO19" i="87"/>
  <c r="AX19" i="87" s="1"/>
  <c r="AO17" i="87"/>
  <c r="AX17" i="87" s="1"/>
  <c r="AM20" i="87"/>
  <c r="AI16" i="87"/>
  <c r="D11" i="165" a="1"/>
  <c r="H11" i="165" a="1"/>
  <c r="G11" i="165" a="1"/>
  <c r="E11" i="165" a="1"/>
  <c r="G189" i="36" a="1"/>
  <c r="C197" i="36" a="1"/>
  <c r="C55" i="36" a="1"/>
  <c r="B55" i="36" a="1"/>
  <c r="E11" i="165" l="1"/>
  <c r="G11" i="165"/>
  <c r="H11" i="165"/>
  <c r="D11" i="165"/>
  <c r="AI19" i="87"/>
  <c r="AV22" i="87"/>
  <c r="AI22" i="87"/>
  <c r="C197" i="36"/>
  <c r="G189" i="36"/>
  <c r="AI17" i="87"/>
  <c r="AP17" i="87" s="1"/>
  <c r="AY17" i="87" s="1"/>
  <c r="AP13" i="87"/>
  <c r="AY13" i="87" s="1"/>
  <c r="AR13" i="87"/>
  <c r="AR15" i="87"/>
  <c r="AP15" i="87"/>
  <c r="AY15" i="87" s="1"/>
  <c r="B55" i="36"/>
  <c r="C55" i="36"/>
  <c r="AP12" i="87"/>
  <c r="AY12" i="87" s="1"/>
  <c r="AR12" i="87"/>
  <c r="AP18" i="87"/>
  <c r="AY18" i="87" s="1"/>
  <c r="AR18" i="87"/>
  <c r="AP19" i="87"/>
  <c r="AY19" i="87" s="1"/>
  <c r="AR19" i="87"/>
  <c r="AX14" i="87"/>
  <c r="AI14" i="87"/>
  <c r="AV20" i="87"/>
  <c r="AO20" i="87"/>
  <c r="AX20" i="87" s="1"/>
  <c r="AI20" i="87"/>
  <c r="AR16" i="87"/>
  <c r="AP16" i="87"/>
  <c r="AY16" i="87" s="1"/>
  <c r="AX21" i="87"/>
  <c r="AI21" i="87"/>
  <c r="AP22" i="87" l="1"/>
  <c r="AY22" i="87" s="1"/>
  <c r="AR22" i="87"/>
  <c r="I189" i="36"/>
  <c r="H189" i="36"/>
  <c r="AR17" i="87"/>
  <c r="AP21" i="87"/>
  <c r="AY21" i="87" s="1"/>
  <c r="AR21" i="87"/>
  <c r="AP20" i="87"/>
  <c r="AY20" i="87" s="1"/>
  <c r="AR20" i="87"/>
  <c r="AR14" i="87"/>
  <c r="AP14" i="87"/>
  <c r="AY14" i="87" s="1"/>
  <c r="B160" i="36" a="1"/>
  <c r="B160" i="36" l="1"/>
  <c r="G160" i="36" a="1"/>
  <c r="D160" i="36" a="1"/>
  <c r="E160" i="36" a="1"/>
  <c r="C160" i="36" a="1"/>
  <c r="F160" i="36" a="1"/>
  <c r="C160" i="36" l="1"/>
  <c r="G160" i="36"/>
  <c r="D160" i="36"/>
  <c r="E160" i="36"/>
  <c r="F160" i="36"/>
  <c r="B54" i="36" a="1"/>
  <c r="C54" i="36" a="1"/>
  <c r="B54" i="36" l="1"/>
  <c r="C54" i="36"/>
  <c r="B122" i="36" a="1"/>
  <c r="B98" i="36" a="1"/>
  <c r="B137" i="36" a="1"/>
  <c r="B128" i="36" a="1"/>
  <c r="B92" i="36" a="1"/>
  <c r="B119" i="36" a="1"/>
  <c r="B124" i="36" a="1"/>
  <c r="B85" i="36" a="1"/>
  <c r="B141" i="36" a="1"/>
  <c r="B133" i="36" a="1"/>
  <c r="B138" i="36" a="1"/>
  <c r="B86" i="36" a="1"/>
  <c r="B130" i="36" a="1"/>
  <c r="B102" i="36" a="1"/>
  <c r="G365" i="28" a="1"/>
  <c r="B140" i="36" a="1"/>
  <c r="B134" i="36" a="1"/>
  <c r="B126" i="36" a="1"/>
  <c r="B135" i="36" a="1"/>
  <c r="B136" i="36" a="1"/>
  <c r="B116" i="36" a="1"/>
  <c r="B87" i="36" a="1"/>
  <c r="B84" i="36" a="1"/>
  <c r="B82" i="36" a="1"/>
  <c r="H365" i="28" a="1"/>
  <c r="B123" i="36" a="1"/>
  <c r="B120" i="36" a="1"/>
  <c r="F321" i="28" a="1"/>
  <c r="B101" i="36" a="1"/>
  <c r="B100" i="36" a="1"/>
  <c r="B93" i="36" a="1"/>
  <c r="B80" i="36" a="1"/>
  <c r="B139" i="36" a="1"/>
  <c r="B118" i="36" a="1"/>
  <c r="B282" i="28" a="1"/>
  <c r="B129" i="36" a="1"/>
  <c r="B104" i="36" a="1"/>
  <c r="B99" i="36" a="1"/>
  <c r="B94" i="36" a="1"/>
  <c r="B91" i="36" a="1"/>
  <c r="B121" i="36" a="1"/>
  <c r="B114" i="36" a="1"/>
  <c r="B105" i="36" a="1"/>
  <c r="B78" i="36" a="1"/>
  <c r="B103" i="36" a="1"/>
  <c r="B96" i="36" a="1"/>
  <c r="I365" i="28" a="1"/>
  <c r="B88" i="36" a="1"/>
  <c r="B81" i="36" a="1"/>
  <c r="C121" i="28" a="1"/>
  <c r="H365" i="28" l="1"/>
  <c r="F321" i="28"/>
  <c r="I282" i="28"/>
  <c r="B282" i="28"/>
  <c r="I365" i="28"/>
  <c r="C121" i="28"/>
  <c r="G365" i="28"/>
  <c r="B129" i="36"/>
  <c r="B121" i="36"/>
  <c r="B124" i="36"/>
  <c r="B130" i="36"/>
  <c r="B135" i="36"/>
  <c r="B134" i="36"/>
  <c r="B114" i="36"/>
  <c r="B133" i="36"/>
  <c r="B141" i="36"/>
  <c r="B119" i="36"/>
  <c r="B140" i="36"/>
  <c r="B139" i="36"/>
  <c r="B138" i="36"/>
  <c r="B137" i="36"/>
  <c r="B123" i="36"/>
  <c r="B116" i="36"/>
  <c r="B136" i="36"/>
  <c r="B126" i="36"/>
  <c r="B128" i="36"/>
  <c r="B122" i="36"/>
  <c r="B120" i="36"/>
  <c r="B118" i="36"/>
  <c r="B86" i="36"/>
  <c r="B103" i="36"/>
  <c r="B102" i="36"/>
  <c r="B80" i="36"/>
  <c r="B93" i="36"/>
  <c r="B104" i="36"/>
  <c r="B101" i="36"/>
  <c r="B91" i="36"/>
  <c r="B92" i="36"/>
  <c r="B96" i="36"/>
  <c r="B99" i="36"/>
  <c r="B81" i="36"/>
  <c r="B85" i="36"/>
  <c r="B94" i="36"/>
  <c r="B105" i="36"/>
  <c r="B98" i="36"/>
  <c r="B87" i="36"/>
  <c r="B84" i="36"/>
  <c r="B78" i="36"/>
  <c r="B100" i="36"/>
  <c r="B88" i="36"/>
  <c r="B82" i="36"/>
  <c r="F136" i="36" a="1"/>
  <c r="F103" i="36" a="1"/>
  <c r="F93" i="36" a="1"/>
  <c r="G78" i="36" a="1"/>
  <c r="E120" i="36" a="1"/>
  <c r="D140" i="36" a="1"/>
  <c r="D101" i="36" a="1"/>
  <c r="F80" i="36" a="1"/>
  <c r="E80" i="36" a="1"/>
  <c r="F124" i="36" a="1"/>
  <c r="D103" i="36" a="1"/>
  <c r="F78" i="36" a="1"/>
  <c r="D126" i="36" a="1"/>
  <c r="G91" i="36" a="1"/>
  <c r="D121" i="36" a="1"/>
  <c r="D120" i="36" a="1"/>
  <c r="G82" i="36" a="1"/>
  <c r="D136" i="36" a="1"/>
  <c r="G96" i="36" a="1"/>
  <c r="D98" i="36" a="1"/>
  <c r="F94" i="36" a="1"/>
  <c r="D88" i="36" a="1"/>
  <c r="D81" i="36" a="1"/>
  <c r="G85" i="36" a="1"/>
  <c r="F105" i="36" a="1"/>
  <c r="G48" i="36" a="1"/>
  <c r="G123" i="36" a="1"/>
  <c r="D78" i="36" a="1"/>
  <c r="G120" i="36" a="1"/>
  <c r="F140" i="36" a="1"/>
  <c r="E138" i="36" a="1"/>
  <c r="G68" i="36" a="1"/>
  <c r="F129" i="36" a="1"/>
  <c r="G139" i="36" a="1"/>
  <c r="G44" i="36" a="1"/>
  <c r="E133" i="36" a="1"/>
  <c r="G88" i="36" a="1"/>
  <c r="G66" i="36" a="1"/>
  <c r="G116" i="36" a="1"/>
  <c r="E87" i="36" a="1"/>
  <c r="G65" i="36" a="1"/>
  <c r="G55" i="36" a="1"/>
  <c r="D93" i="36" a="1"/>
  <c r="D82" i="36" a="1"/>
  <c r="G100" i="36" a="1"/>
  <c r="D96" i="36" a="1"/>
  <c r="G99" i="36" a="1"/>
  <c r="E135" i="36" a="1"/>
  <c r="E126" i="36" a="1"/>
  <c r="G128" i="36" a="1"/>
  <c r="G58" i="36" a="1"/>
  <c r="G86" i="36" a="1"/>
  <c r="D138" i="36" a="1"/>
  <c r="F82" i="36" a="1"/>
  <c r="D121" i="28" a="1"/>
  <c r="E101" i="36" a="1"/>
  <c r="D135" i="36" a="1"/>
  <c r="G80" i="36" a="1"/>
  <c r="E123" i="36" a="1"/>
  <c r="D119" i="36" a="1"/>
  <c r="D100" i="36" a="1"/>
  <c r="G62" i="36" a="1"/>
  <c r="F91" i="36" a="1"/>
  <c r="G54" i="36" a="1"/>
  <c r="G119" i="36" a="1"/>
  <c r="D134" i="36" a="1"/>
  <c r="E105" i="36" a="1"/>
  <c r="D129" i="36" a="1"/>
  <c r="F122" i="36" a="1"/>
  <c r="F100" i="36" a="1"/>
  <c r="E100" i="36" a="1"/>
  <c r="E104" i="36" a="1"/>
  <c r="E139" i="36" a="1"/>
  <c r="E121" i="36" a="1"/>
  <c r="D118" i="36" a="1"/>
  <c r="F135" i="36" a="1"/>
  <c r="G64" i="36" a="1"/>
  <c r="E141" i="36" a="1"/>
  <c r="D139" i="36" a="1"/>
  <c r="F137" i="36" a="1"/>
  <c r="F126" i="36" a="1"/>
  <c r="F86" i="36" a="1"/>
  <c r="G121" i="36" a="1"/>
  <c r="G134" i="36" a="1"/>
  <c r="F92" i="36" a="1"/>
  <c r="F141" i="36" a="1"/>
  <c r="G81" i="36" a="1"/>
  <c r="E91" i="36" a="1"/>
  <c r="D137" i="36" a="1"/>
  <c r="F84" i="36" a="1"/>
  <c r="G137" i="36" a="1"/>
  <c r="D141" i="36" a="1"/>
  <c r="G63" i="36" a="1"/>
  <c r="F139" i="36" a="1"/>
  <c r="E118" i="36" a="1"/>
  <c r="G141" i="36" a="1"/>
  <c r="E86" i="36" a="1"/>
  <c r="G60" i="36" a="1"/>
  <c r="E94" i="36" a="1"/>
  <c r="G118" i="36" a="1"/>
  <c r="D123" i="36" a="1"/>
  <c r="D122" i="36" a="1"/>
  <c r="F98" i="36" a="1"/>
  <c r="D104" i="36" a="1"/>
  <c r="E82" i="36" a="1"/>
  <c r="D84" i="36" a="1"/>
  <c r="D92" i="36" a="1"/>
  <c r="F96" i="36" a="1"/>
  <c r="F119" i="36" a="1"/>
  <c r="E84" i="36" a="1"/>
  <c r="D86" i="36" a="1"/>
  <c r="D99" i="36" a="1"/>
  <c r="E116" i="36" a="1"/>
  <c r="E93" i="36" a="1"/>
  <c r="F85" i="36" a="1"/>
  <c r="G94" i="36" a="1"/>
  <c r="F87" i="36" a="1"/>
  <c r="G103" i="36" a="1"/>
  <c r="D91" i="36" a="1"/>
  <c r="F138" i="36" a="1"/>
  <c r="E78" i="36" a="1"/>
  <c r="G124" i="36" a="1"/>
  <c r="D80" i="36" a="1"/>
  <c r="G67" i="36" a="1"/>
  <c r="E140" i="36" a="1"/>
  <c r="G130" i="36" a="1"/>
  <c r="G122" i="36" a="1"/>
  <c r="E98" i="36" a="1"/>
  <c r="G51" i="36" a="1"/>
  <c r="E81" i="36" a="1"/>
  <c r="D94" i="36" a="1"/>
  <c r="G93" i="36" a="1"/>
  <c r="G92" i="36" a="1"/>
  <c r="F114" i="36" a="1"/>
  <c r="E130" i="36" a="1"/>
  <c r="G101" i="36" a="1"/>
  <c r="E137" i="36" a="1"/>
  <c r="G84" i="36" a="1"/>
  <c r="G129" i="36" a="1"/>
  <c r="D133" i="36" a="1"/>
  <c r="G43" i="36" a="1"/>
  <c r="G104" i="36" a="1"/>
  <c r="G135" i="36" a="1"/>
  <c r="E103" i="36" a="1"/>
  <c r="D116" i="36" a="1"/>
  <c r="G45" i="36" a="1"/>
  <c r="D102" i="36" a="1"/>
  <c r="G105" i="36" a="1"/>
  <c r="D124" i="36" a="1"/>
  <c r="E136" i="36" a="1"/>
  <c r="F120" i="36" a="1"/>
  <c r="E96" i="36" a="1"/>
  <c r="F81" i="36" a="1"/>
  <c r="E134" i="36" a="1"/>
  <c r="G98" i="36" a="1"/>
  <c r="F99" i="36" a="1"/>
  <c r="G52" i="36" a="1"/>
  <c r="D114" i="36" a="1"/>
  <c r="E119" i="36" a="1"/>
  <c r="G136" i="36" a="1"/>
  <c r="G50" i="36" a="1"/>
  <c r="E99" i="36" a="1"/>
  <c r="F123" i="36" a="1"/>
  <c r="F121" i="36" a="1"/>
  <c r="E114" i="36" a="1"/>
  <c r="G133" i="36" a="1"/>
  <c r="E128" i="36" a="1"/>
  <c r="F104" i="36" a="1"/>
  <c r="D128" i="36" a="1"/>
  <c r="F101" i="36" a="1"/>
  <c r="E92" i="36" a="1"/>
  <c r="D130" i="36" a="1"/>
  <c r="D87" i="36" a="1"/>
  <c r="G69" i="36" a="1"/>
  <c r="G102" i="36" a="1"/>
  <c r="G87" i="36" a="1"/>
  <c r="F128" i="36" a="1"/>
  <c r="G47" i="36" a="1"/>
  <c r="F134" i="36" a="1"/>
  <c r="F88" i="36" a="1"/>
  <c r="G126" i="36" a="1"/>
  <c r="E122" i="36" a="1"/>
  <c r="F130" i="36" a="1"/>
  <c r="E124" i="36" a="1"/>
  <c r="D105" i="36" a="1"/>
  <c r="F102" i="36" a="1"/>
  <c r="G114" i="36" a="1"/>
  <c r="G49" i="36" a="1"/>
  <c r="G138" i="36" a="1"/>
  <c r="E88" i="36" a="1"/>
  <c r="G57" i="36" a="1"/>
  <c r="F116" i="36" a="1"/>
  <c r="D85" i="36" a="1"/>
  <c r="G140" i="36" a="1"/>
  <c r="E102" i="36" a="1"/>
  <c r="F118" i="36" a="1"/>
  <c r="F133" i="36" a="1"/>
  <c r="E129" i="36" a="1"/>
  <c r="E85" i="36" a="1"/>
  <c r="D121" i="28" l="1"/>
  <c r="E121" i="28" s="1"/>
  <c r="J365" i="28"/>
  <c r="G140" i="36"/>
  <c r="G138" i="36"/>
  <c r="G141" i="36"/>
  <c r="G133" i="36"/>
  <c r="G119" i="36"/>
  <c r="G118" i="36"/>
  <c r="G120" i="36"/>
  <c r="G122" i="36"/>
  <c r="G114" i="36"/>
  <c r="G139" i="36"/>
  <c r="G126" i="36"/>
  <c r="G135" i="36"/>
  <c r="G136" i="36"/>
  <c r="G130" i="36"/>
  <c r="G116" i="36"/>
  <c r="G124" i="36"/>
  <c r="G123" i="36"/>
  <c r="G121" i="36"/>
  <c r="G128" i="36"/>
  <c r="G134" i="36"/>
  <c r="G137" i="36"/>
  <c r="G129" i="36"/>
  <c r="F140" i="36"/>
  <c r="F141" i="36"/>
  <c r="F120" i="36"/>
  <c r="F138" i="36"/>
  <c r="F119" i="36"/>
  <c r="F114" i="36"/>
  <c r="F128" i="36"/>
  <c r="F134" i="36"/>
  <c r="F136" i="36"/>
  <c r="F130" i="36"/>
  <c r="F122" i="36"/>
  <c r="F135" i="36"/>
  <c r="F124" i="36"/>
  <c r="F123" i="36"/>
  <c r="F121" i="36"/>
  <c r="F139" i="36"/>
  <c r="F133" i="36"/>
  <c r="F118" i="36"/>
  <c r="F126" i="36"/>
  <c r="F116" i="36"/>
  <c r="F137" i="36"/>
  <c r="F129" i="36"/>
  <c r="E139" i="36"/>
  <c r="E140" i="36"/>
  <c r="E118" i="36"/>
  <c r="E120" i="36"/>
  <c r="E122" i="36"/>
  <c r="E114" i="36"/>
  <c r="E128" i="36"/>
  <c r="E134" i="36"/>
  <c r="E138" i="36"/>
  <c r="E126" i="36"/>
  <c r="E135" i="36"/>
  <c r="E136" i="36"/>
  <c r="E130" i="36"/>
  <c r="E119" i="36"/>
  <c r="E133" i="36"/>
  <c r="E116" i="36"/>
  <c r="E124" i="36"/>
  <c r="E141" i="36"/>
  <c r="E123" i="36"/>
  <c r="E121" i="36"/>
  <c r="E137" i="36"/>
  <c r="E129" i="36"/>
  <c r="D140" i="36"/>
  <c r="D133" i="36"/>
  <c r="D138" i="36"/>
  <c r="D139" i="36"/>
  <c r="D119" i="36"/>
  <c r="D141" i="36"/>
  <c r="D118" i="36"/>
  <c r="D120" i="36"/>
  <c r="D114" i="36"/>
  <c r="D126" i="36"/>
  <c r="D135" i="36"/>
  <c r="D122" i="36"/>
  <c r="D128" i="36"/>
  <c r="D136" i="36"/>
  <c r="D130" i="36"/>
  <c r="D116" i="36"/>
  <c r="D124" i="36"/>
  <c r="D134" i="36"/>
  <c r="D123" i="36"/>
  <c r="D121" i="36"/>
  <c r="D137" i="36"/>
  <c r="D129" i="36"/>
  <c r="C129" i="36"/>
  <c r="C118" i="36"/>
  <c r="C124" i="36"/>
  <c r="C122" i="36"/>
  <c r="C119" i="36"/>
  <c r="C121" i="36"/>
  <c r="C130" i="36"/>
  <c r="C137" i="36"/>
  <c r="C136" i="36"/>
  <c r="C120" i="36"/>
  <c r="C140" i="36"/>
  <c r="C133" i="36"/>
  <c r="C123" i="36"/>
  <c r="C116" i="36"/>
  <c r="C114" i="36"/>
  <c r="C138" i="36"/>
  <c r="C126" i="36"/>
  <c r="C135" i="36"/>
  <c r="C134" i="36"/>
  <c r="C141" i="36"/>
  <c r="C128" i="36"/>
  <c r="C139" i="36"/>
  <c r="G85" i="36"/>
  <c r="G92" i="36"/>
  <c r="G104" i="36"/>
  <c r="G82" i="36"/>
  <c r="G93" i="36"/>
  <c r="G105" i="36"/>
  <c r="G99" i="36"/>
  <c r="G80" i="36"/>
  <c r="G94" i="36"/>
  <c r="G81" i="36"/>
  <c r="G96" i="36"/>
  <c r="G91" i="36"/>
  <c r="G101" i="36"/>
  <c r="G88" i="36"/>
  <c r="G100" i="36"/>
  <c r="G78" i="36"/>
  <c r="G102" i="36"/>
  <c r="G84" i="36"/>
  <c r="G87" i="36"/>
  <c r="G103" i="36"/>
  <c r="G98" i="36"/>
  <c r="G86" i="36"/>
  <c r="F78" i="36"/>
  <c r="F102" i="36"/>
  <c r="F84" i="36"/>
  <c r="F82" i="36"/>
  <c r="F93" i="36"/>
  <c r="F88" i="36"/>
  <c r="F100" i="36"/>
  <c r="F87" i="36"/>
  <c r="F103" i="36"/>
  <c r="F104" i="36"/>
  <c r="F80" i="36"/>
  <c r="F98" i="36"/>
  <c r="F86" i="36"/>
  <c r="F105" i="36"/>
  <c r="F94" i="36"/>
  <c r="F99" i="36"/>
  <c r="F96" i="36"/>
  <c r="F92" i="36"/>
  <c r="F85" i="36"/>
  <c r="F81" i="36"/>
  <c r="F91" i="36"/>
  <c r="F101" i="36"/>
  <c r="E81" i="36"/>
  <c r="E92" i="36"/>
  <c r="E91" i="36"/>
  <c r="E86" i="36"/>
  <c r="E105" i="36"/>
  <c r="E94" i="36"/>
  <c r="E99" i="36"/>
  <c r="E96" i="36"/>
  <c r="E101" i="36"/>
  <c r="E87" i="36"/>
  <c r="E85" i="36"/>
  <c r="E104" i="36"/>
  <c r="E88" i="36"/>
  <c r="E100" i="36"/>
  <c r="E103" i="36"/>
  <c r="E98" i="36"/>
  <c r="E82" i="36"/>
  <c r="E93" i="36"/>
  <c r="E80" i="36"/>
  <c r="E78" i="36"/>
  <c r="E102" i="36"/>
  <c r="E84" i="36"/>
  <c r="D100" i="36"/>
  <c r="D78" i="36"/>
  <c r="D102" i="36"/>
  <c r="D93" i="36"/>
  <c r="D88" i="36"/>
  <c r="D84" i="36"/>
  <c r="D87" i="36"/>
  <c r="D98" i="36"/>
  <c r="D86" i="36"/>
  <c r="D103" i="36"/>
  <c r="D105" i="36"/>
  <c r="D99" i="36"/>
  <c r="D96" i="36"/>
  <c r="D91" i="36"/>
  <c r="D101" i="36"/>
  <c r="D104" i="36"/>
  <c r="D82" i="36"/>
  <c r="D80" i="36"/>
  <c r="D94" i="36"/>
  <c r="D85" i="36"/>
  <c r="D81" i="36"/>
  <c r="D92" i="36"/>
  <c r="C100" i="36"/>
  <c r="C78" i="36"/>
  <c r="C102" i="36"/>
  <c r="C93" i="36"/>
  <c r="C88" i="36"/>
  <c r="C84" i="36"/>
  <c r="C87" i="36"/>
  <c r="C98" i="36"/>
  <c r="C86" i="36"/>
  <c r="C103" i="36"/>
  <c r="C105" i="36"/>
  <c r="C99" i="36"/>
  <c r="C96" i="36"/>
  <c r="C91" i="36"/>
  <c r="C101" i="36"/>
  <c r="C104" i="36"/>
  <c r="C82" i="36"/>
  <c r="C80" i="36"/>
  <c r="C94" i="36"/>
  <c r="C85" i="36"/>
  <c r="C81" i="36"/>
  <c r="C92" i="36"/>
  <c r="G60" i="36"/>
  <c r="G43" i="36"/>
  <c r="G48" i="36"/>
  <c r="G47" i="36"/>
  <c r="G58" i="36"/>
  <c r="G69" i="36"/>
  <c r="G51" i="36"/>
  <c r="G68" i="36"/>
  <c r="G45" i="36"/>
  <c r="G67" i="36"/>
  <c r="G55" i="36"/>
  <c r="G49" i="36"/>
  <c r="G66" i="36"/>
  <c r="G65" i="36"/>
  <c r="G64" i="36"/>
  <c r="G63" i="36"/>
  <c r="G52" i="36"/>
  <c r="G44" i="36"/>
  <c r="G54" i="36"/>
  <c r="G50" i="36"/>
  <c r="G57" i="36"/>
  <c r="G62" i="36"/>
  <c r="B117" i="36" a="1"/>
  <c r="B169" i="36" a="1"/>
  <c r="B131" i="36" a="1"/>
  <c r="B125" i="36" a="1"/>
  <c r="B159" i="36" a="1"/>
  <c r="B165" i="36" a="1"/>
  <c r="B159" i="36" l="1"/>
  <c r="B125" i="36"/>
  <c r="B165" i="36"/>
  <c r="I51" i="36"/>
  <c r="H51" i="36"/>
  <c r="I69" i="36"/>
  <c r="H69" i="36"/>
  <c r="I58" i="36"/>
  <c r="H58" i="36"/>
  <c r="I47" i="36"/>
  <c r="H47" i="36"/>
  <c r="I48" i="36"/>
  <c r="H48" i="36"/>
  <c r="I43" i="36"/>
  <c r="H43" i="36"/>
  <c r="I60" i="36"/>
  <c r="H60" i="36"/>
  <c r="I62" i="36"/>
  <c r="H62" i="36"/>
  <c r="I57" i="36"/>
  <c r="H57" i="36"/>
  <c r="I50" i="36"/>
  <c r="H50" i="36"/>
  <c r="I54" i="36"/>
  <c r="H54" i="36"/>
  <c r="I44" i="36"/>
  <c r="H44" i="36"/>
  <c r="I52" i="36"/>
  <c r="H52" i="36"/>
  <c r="I63" i="36"/>
  <c r="H63" i="36"/>
  <c r="I64" i="36"/>
  <c r="H64" i="36"/>
  <c r="I65" i="36"/>
  <c r="H65" i="36"/>
  <c r="I66" i="36"/>
  <c r="H66" i="36"/>
  <c r="I49" i="36"/>
  <c r="H49" i="36"/>
  <c r="I55" i="36"/>
  <c r="H55" i="36"/>
  <c r="I67" i="36"/>
  <c r="H67" i="36"/>
  <c r="I45" i="36"/>
  <c r="H45" i="36"/>
  <c r="I68" i="36"/>
  <c r="H68" i="36"/>
  <c r="B169" i="36"/>
  <c r="B117" i="36"/>
  <c r="B131" i="36"/>
  <c r="G159" i="36" a="1"/>
  <c r="D165" i="36" a="1"/>
  <c r="G375" i="28" a="1"/>
  <c r="G169" i="36" a="1"/>
  <c r="B172" i="36" a="1"/>
  <c r="D117" i="36" a="1"/>
  <c r="E159" i="36" a="1"/>
  <c r="I375" i="28" a="1"/>
  <c r="F165" i="36" a="1"/>
  <c r="E165" i="36" a="1"/>
  <c r="G117" i="36" a="1"/>
  <c r="E125" i="36" a="1"/>
  <c r="F307" i="28" a="1"/>
  <c r="F117" i="36" a="1"/>
  <c r="B127" i="36" a="1"/>
  <c r="E117" i="36" a="1"/>
  <c r="D159" i="36" a="1"/>
  <c r="D125" i="36" a="1"/>
  <c r="F159" i="36" a="1"/>
  <c r="F131" i="36" a="1"/>
  <c r="B272" i="28" a="1"/>
  <c r="C132" i="28" a="1"/>
  <c r="C169" i="36" a="1"/>
  <c r="G125" i="36" a="1"/>
  <c r="C159" i="36" a="1"/>
  <c r="B113" i="36" a="1"/>
  <c r="D131" i="36" a="1"/>
  <c r="F125" i="36" a="1"/>
  <c r="F169" i="36" a="1"/>
  <c r="C165" i="36" a="1"/>
  <c r="G165" i="36" a="1"/>
  <c r="G131" i="36" a="1"/>
  <c r="D169" i="36" a="1"/>
  <c r="E169" i="36" a="1"/>
  <c r="E131" i="36" a="1"/>
  <c r="H375" i="28" a="1"/>
  <c r="G159" i="36" l="1"/>
  <c r="F307" i="28"/>
  <c r="E159" i="36"/>
  <c r="B272" i="28"/>
  <c r="I271" i="28"/>
  <c r="I375" i="28"/>
  <c r="C132" i="28"/>
  <c r="G375" i="28"/>
  <c r="F159" i="36"/>
  <c r="H375" i="28"/>
  <c r="C159" i="36"/>
  <c r="F165" i="36"/>
  <c r="D165" i="36"/>
  <c r="E165" i="36"/>
  <c r="G165" i="36"/>
  <c r="C165" i="36"/>
  <c r="D125" i="36"/>
  <c r="G125" i="36"/>
  <c r="E125" i="36"/>
  <c r="F125" i="36"/>
  <c r="D159" i="36"/>
  <c r="C125" i="36"/>
  <c r="B127" i="36"/>
  <c r="C127" i="36" s="1"/>
  <c r="B172" i="36"/>
  <c r="F169" i="36"/>
  <c r="D169" i="36"/>
  <c r="G169" i="36"/>
  <c r="E169" i="36"/>
  <c r="C169" i="36"/>
  <c r="B113" i="36"/>
  <c r="G131" i="36"/>
  <c r="F131" i="36"/>
  <c r="D131" i="36"/>
  <c r="E131" i="36"/>
  <c r="F117" i="36"/>
  <c r="E117" i="36"/>
  <c r="D117" i="36"/>
  <c r="G117" i="36"/>
  <c r="C131" i="36"/>
  <c r="C117" i="36"/>
  <c r="C172" i="36" a="1"/>
  <c r="D132" i="28" a="1"/>
  <c r="E113" i="36" a="1"/>
  <c r="D172" i="36" a="1"/>
  <c r="G127" i="36" a="1"/>
  <c r="G172" i="36" a="1"/>
  <c r="E172" i="36" a="1"/>
  <c r="E127" i="36" a="1"/>
  <c r="F172" i="36" a="1"/>
  <c r="D127" i="36" a="1"/>
  <c r="D113" i="36" a="1"/>
  <c r="G113" i="36" a="1"/>
  <c r="F113" i="36" a="1"/>
  <c r="F127" i="36" a="1"/>
  <c r="B83" i="36" a="1"/>
  <c r="D132" i="28" l="1"/>
  <c r="E132" i="28" s="1"/>
  <c r="J375" i="28"/>
  <c r="F172" i="36"/>
  <c r="E172" i="36"/>
  <c r="C172" i="36"/>
  <c r="D172" i="36"/>
  <c r="G172" i="36"/>
  <c r="D127" i="36"/>
  <c r="F127" i="36"/>
  <c r="E127" i="36"/>
  <c r="G127" i="36"/>
  <c r="B83" i="36"/>
  <c r="C83" i="36" s="1"/>
  <c r="D113" i="36"/>
  <c r="E113" i="36"/>
  <c r="F113" i="36"/>
  <c r="G113" i="36"/>
  <c r="C113" i="36"/>
  <c r="B90" i="36" a="1"/>
  <c r="F83" i="36" a="1"/>
  <c r="B89" i="36" a="1"/>
  <c r="D83" i="36" a="1"/>
  <c r="B97" i="36" a="1"/>
  <c r="B77" i="36" a="1"/>
  <c r="E83" i="36" a="1"/>
  <c r="G83" i="36" a="1"/>
  <c r="B90" i="36" l="1"/>
  <c r="C90" i="36" s="1"/>
  <c r="B97" i="36"/>
  <c r="E83" i="36"/>
  <c r="B89" i="36"/>
  <c r="F83" i="36"/>
  <c r="D83" i="36"/>
  <c r="G83" i="36"/>
  <c r="B77" i="36"/>
  <c r="C77" i="36" s="1"/>
  <c r="E77" i="36" a="1"/>
  <c r="G90" i="36" a="1"/>
  <c r="D77" i="36" a="1"/>
  <c r="F89" i="36" a="1"/>
  <c r="D89" i="36" a="1"/>
  <c r="G46" i="36" a="1"/>
  <c r="G77" i="36" a="1"/>
  <c r="C68" i="36" a="1"/>
  <c r="E89" i="36" a="1"/>
  <c r="C50" i="36" a="1"/>
  <c r="E90" i="36" a="1"/>
  <c r="G89" i="36" a="1"/>
  <c r="D97" i="36" a="1"/>
  <c r="F77" i="36" a="1"/>
  <c r="F90" i="36" a="1"/>
  <c r="D90" i="36" a="1"/>
  <c r="B200" i="36" a="1"/>
  <c r="B50" i="36" a="1"/>
  <c r="G97" i="36" a="1"/>
  <c r="E97" i="36" a="1"/>
  <c r="B68" i="36" a="1"/>
  <c r="F97" i="36" a="1"/>
  <c r="B200" i="36" l="1"/>
  <c r="C50" i="36"/>
  <c r="B50" i="36"/>
  <c r="C68" i="36"/>
  <c r="B68" i="36"/>
  <c r="E77" i="36"/>
  <c r="G46" i="36"/>
  <c r="E90" i="36"/>
  <c r="D90" i="36"/>
  <c r="G89" i="36"/>
  <c r="D89" i="36"/>
  <c r="E89" i="36"/>
  <c r="F89" i="36"/>
  <c r="D77" i="36"/>
  <c r="G90" i="36"/>
  <c r="G77" i="36"/>
  <c r="F90" i="36"/>
  <c r="F77" i="36"/>
  <c r="E97" i="36"/>
  <c r="D97" i="36"/>
  <c r="F97" i="36"/>
  <c r="G97" i="36"/>
  <c r="C89" i="36"/>
  <c r="C97" i="36"/>
  <c r="C69" i="36" a="1"/>
  <c r="C60" i="36" a="1"/>
  <c r="G56" i="36" a="1"/>
  <c r="C200" i="36" a="1"/>
  <c r="G53" i="36" a="1"/>
  <c r="G198" i="36" a="1"/>
  <c r="B69" i="36" a="1"/>
  <c r="B60" i="36" a="1"/>
  <c r="G198" i="36" l="1"/>
  <c r="C200" i="36"/>
  <c r="B69" i="36"/>
  <c r="C69" i="36"/>
  <c r="B60" i="36"/>
  <c r="C60" i="36"/>
  <c r="I46" i="36"/>
  <c r="H46" i="36"/>
  <c r="G53" i="36"/>
  <c r="G56" i="36"/>
  <c r="G41" i="36" a="1"/>
  <c r="G59" i="36" a="1"/>
  <c r="H198" i="36" l="1"/>
  <c r="I198" i="36"/>
  <c r="I56" i="36"/>
  <c r="H56" i="36"/>
  <c r="I53" i="36"/>
  <c r="H53" i="36"/>
  <c r="G41" i="36"/>
  <c r="G59" i="36"/>
  <c r="I59" i="36" l="1"/>
  <c r="H59" i="36"/>
  <c r="I41" i="36"/>
  <c r="H41" i="36"/>
  <c r="F317" i="28" a="1"/>
  <c r="G368" i="28" a="1"/>
  <c r="I368" i="28" a="1"/>
  <c r="H368" i="28" a="1"/>
  <c r="C120" i="28" a="1"/>
  <c r="B279" i="28" a="1"/>
  <c r="G368" i="28" l="1"/>
  <c r="B279" i="28"/>
  <c r="I280" i="28"/>
  <c r="I368" i="28"/>
  <c r="C120" i="28"/>
  <c r="H368" i="28"/>
  <c r="F317" i="28"/>
  <c r="J368" i="28" l="1"/>
  <c r="D120" i="28" a="1"/>
  <c r="B132" i="36" a="1"/>
  <c r="B176" i="36" a="1"/>
  <c r="B176" i="36" l="1"/>
  <c r="D120" i="28"/>
  <c r="E120" i="28" s="1"/>
  <c r="B132" i="36"/>
  <c r="G176" i="36" a="1"/>
  <c r="F132" i="36" a="1"/>
  <c r="F176" i="36" a="1"/>
  <c r="D176" i="36" a="1"/>
  <c r="D132" i="36" a="1"/>
  <c r="E176" i="36" a="1"/>
  <c r="G132" i="36" a="1"/>
  <c r="C176" i="36" a="1"/>
  <c r="E132" i="36" a="1"/>
  <c r="G176" i="36" l="1"/>
  <c r="F176" i="36"/>
  <c r="D176" i="36"/>
  <c r="C176" i="36"/>
  <c r="E176" i="36"/>
  <c r="G132" i="36"/>
  <c r="F132" i="36"/>
  <c r="D132" i="36"/>
  <c r="E132" i="36"/>
  <c r="C132" i="36"/>
  <c r="B95" i="36" a="1"/>
  <c r="B95" i="36" l="1"/>
  <c r="C95" i="36" s="1"/>
  <c r="F95" i="36" a="1"/>
  <c r="G95" i="36" a="1"/>
  <c r="D95" i="36" a="1"/>
  <c r="E95" i="36" a="1"/>
  <c r="F95" i="36" l="1"/>
  <c r="D95" i="36"/>
  <c r="E95" i="36"/>
  <c r="G95" i="36"/>
  <c r="C62" i="36" a="1"/>
  <c r="B62" i="36" a="1"/>
  <c r="B62" i="36" l="1"/>
  <c r="C62" i="36"/>
  <c r="G61" i="36" a="1"/>
  <c r="G61" i="36" l="1"/>
  <c r="I61" i="36" l="1"/>
  <c r="H61" i="36"/>
  <c r="G369" i="28" a="1"/>
  <c r="F304" i="28" a="1"/>
  <c r="H369" i="28" a="1"/>
  <c r="F304" i="28" l="1"/>
  <c r="G369" i="28"/>
  <c r="H369" i="28"/>
  <c r="B278" i="28" a="1"/>
  <c r="C118" i="28" a="1"/>
  <c r="I369" i="28" a="1"/>
  <c r="B278" i="28" l="1"/>
  <c r="I276" i="28"/>
  <c r="I369" i="28"/>
  <c r="C118" i="28"/>
  <c r="J369" i="28"/>
  <c r="D118" i="28" a="1"/>
  <c r="D118" i="28" l="1"/>
  <c r="E118" i="28" s="1"/>
  <c r="B372" i="28"/>
  <c r="B389" i="28"/>
  <c r="B366" i="28"/>
  <c r="C381" i="28"/>
  <c r="B368" i="28"/>
  <c r="C368" i="28"/>
  <c r="B370" i="28"/>
  <c r="C391" i="28"/>
  <c r="B371" i="28"/>
  <c r="C367" i="28"/>
  <c r="C369" i="28"/>
  <c r="C371" i="28"/>
  <c r="B374" i="28"/>
  <c r="C366" i="28"/>
  <c r="C383" i="28"/>
  <c r="C388" i="28"/>
  <c r="B388" i="28"/>
  <c r="B390" i="28"/>
  <c r="B115" i="36" a="1"/>
  <c r="B369" i="28"/>
  <c r="C379" i="28"/>
  <c r="C374" i="28"/>
  <c r="B385" i="28"/>
  <c r="C370" i="28"/>
  <c r="C382" i="28"/>
  <c r="B383" i="28"/>
  <c r="C372" i="28"/>
  <c r="B367" i="28"/>
  <c r="C390" i="28"/>
  <c r="B391" i="28"/>
  <c r="B365" i="28"/>
  <c r="B380" i="28"/>
  <c r="B379" i="28"/>
  <c r="B393" i="28"/>
  <c r="C365" i="28"/>
  <c r="C380" i="28"/>
  <c r="C385" i="28"/>
  <c r="C393" i="28"/>
  <c r="C392" i="28"/>
  <c r="B382" i="28"/>
  <c r="B381" i="28"/>
  <c r="B392" i="28"/>
  <c r="C389" i="28"/>
  <c r="B115" i="36" l="1"/>
  <c r="D385" i="28"/>
  <c r="D390" i="28"/>
  <c r="D391" i="28"/>
  <c r="D379" i="28"/>
  <c r="D369" i="28"/>
  <c r="D380" i="28"/>
  <c r="D368" i="28"/>
  <c r="D372" i="28"/>
  <c r="D381" i="28"/>
  <c r="D367" i="28"/>
  <c r="D371" i="28"/>
  <c r="D393" i="28"/>
  <c r="D382" i="28"/>
  <c r="D383" i="28"/>
  <c r="D366" i="28"/>
  <c r="D370" i="28"/>
  <c r="D392" i="28"/>
  <c r="D389" i="28"/>
  <c r="D365" i="28"/>
  <c r="D388" i="28"/>
  <c r="D374" i="28"/>
  <c r="E115" i="36" a="1"/>
  <c r="D115" i="36" a="1"/>
  <c r="G115" i="36" a="1"/>
  <c r="F115" i="36" a="1"/>
  <c r="E115" i="36" l="1"/>
  <c r="G115" i="36"/>
  <c r="D115" i="36"/>
  <c r="F115" i="36"/>
  <c r="C115" i="36"/>
  <c r="G42" i="36" a="1"/>
  <c r="B79" i="36" a="1"/>
  <c r="B79" i="36" l="1"/>
  <c r="G42" i="36"/>
  <c r="D79" i="36" a="1"/>
  <c r="F79" i="36" a="1"/>
  <c r="G79" i="36" a="1"/>
  <c r="E79" i="36" a="1"/>
  <c r="I42" i="36" l="1"/>
  <c r="H42" i="36"/>
  <c r="G79" i="36"/>
  <c r="F79" i="36"/>
  <c r="D79" i="36"/>
  <c r="E79" i="36"/>
  <c r="C79" i="36"/>
  <c r="F301" i="28" a="1"/>
  <c r="G385" i="28" a="1"/>
  <c r="H385" i="28" a="1"/>
  <c r="H385" i="28" l="1"/>
  <c r="F301" i="28"/>
  <c r="G385" i="28"/>
  <c r="C375" i="28"/>
  <c r="C115" i="28" a="1"/>
  <c r="B266" i="28" a="1"/>
  <c r="I385" i="28" a="1"/>
  <c r="B375" i="28"/>
  <c r="J385" i="28" l="1"/>
  <c r="I266" i="28"/>
  <c r="B266" i="28"/>
  <c r="I385" i="28"/>
  <c r="C115" i="28"/>
  <c r="D375" i="28"/>
  <c r="D115" i="28" a="1"/>
  <c r="D115" i="28" l="1"/>
  <c r="B115" i="28" s="1"/>
  <c r="E115" i="28" l="1"/>
  <c r="I341" i="28" a="1"/>
  <c r="C279" i="28" a="1"/>
  <c r="I338" i="28" a="1"/>
  <c r="C342" i="28" a="1"/>
  <c r="E334" i="28" a="1"/>
  <c r="C339" i="28" a="1"/>
  <c r="I331" i="28" a="1"/>
  <c r="C348" i="28" a="1"/>
  <c r="I334" i="28" a="1"/>
  <c r="C331" i="28" a="1"/>
  <c r="C333" i="28" a="1"/>
  <c r="E355" i="28" a="1"/>
  <c r="C329" i="28" a="1"/>
  <c r="C270" i="28" a="1"/>
  <c r="I333" i="28" a="1"/>
  <c r="I354" i="28" a="1"/>
  <c r="I345" i="28" a="1"/>
  <c r="E330" i="28" a="1"/>
  <c r="E352" i="28" a="1"/>
  <c r="C272" i="28" a="1"/>
  <c r="I329" i="28" a="1"/>
  <c r="I339" i="28" a="1"/>
  <c r="E331" i="28" a="1"/>
  <c r="C349" i="28" a="1"/>
  <c r="E342" i="28" a="1"/>
  <c r="I351" i="28" a="1"/>
  <c r="C354" i="28" a="1"/>
  <c r="C336" i="28" a="1"/>
  <c r="E349" i="28" a="1"/>
  <c r="C278" i="28" a="1"/>
  <c r="I330" i="28" a="1"/>
  <c r="C258" i="28" a="1"/>
  <c r="C277" i="28" a="1"/>
  <c r="E346" i="28" a="1"/>
  <c r="I356" i="28" a="1"/>
  <c r="E354" i="28" a="1"/>
  <c r="I350" i="28" a="1"/>
  <c r="C276" i="28" a="1"/>
  <c r="I343" i="28" a="1"/>
  <c r="E332" i="28" a="1"/>
  <c r="C273" i="28" a="1"/>
  <c r="C280" i="28" a="1"/>
  <c r="I357" i="28" a="1"/>
  <c r="C282" i="28" a="1"/>
  <c r="C263" i="28" a="1"/>
  <c r="C260" i="28" a="1"/>
  <c r="I342" i="28" a="1"/>
  <c r="C262" i="28" a="1"/>
  <c r="C334" i="28" a="1"/>
  <c r="E335" i="28" a="1"/>
  <c r="I346" i="28" a="1"/>
  <c r="C344" i="28" a="1"/>
  <c r="C337" i="28" a="1"/>
  <c r="C269" i="28" a="1"/>
  <c r="I335" i="28" a="1"/>
  <c r="E347" i="28" a="1"/>
  <c r="I336" i="28" a="1"/>
  <c r="C285" i="28" a="1"/>
  <c r="E348" i="28" a="1"/>
  <c r="C335" i="28" a="1"/>
  <c r="C284" i="28" a="1"/>
  <c r="C346" i="28" a="1"/>
  <c r="I347" i="28" a="1"/>
  <c r="E329" i="28" a="1"/>
  <c r="E340" i="28" a="1"/>
  <c r="E350" i="28" a="1"/>
  <c r="C257" i="28" a="1"/>
  <c r="C265" i="28" a="1"/>
  <c r="C330" i="28" a="1"/>
  <c r="C332" i="28" a="1"/>
  <c r="E337" i="28" a="1"/>
  <c r="E339" i="28" a="1"/>
  <c r="I349" i="28" a="1"/>
  <c r="C355" i="28" a="1"/>
  <c r="C266" i="28" a="1"/>
  <c r="C341" i="28" a="1"/>
  <c r="C259" i="28" a="1"/>
  <c r="E345" i="28" a="1"/>
  <c r="C347" i="28" a="1"/>
  <c r="I332" i="28" a="1"/>
  <c r="E333" i="28" a="1"/>
  <c r="E344" i="28" a="1"/>
  <c r="E341" i="28" a="1"/>
  <c r="I337" i="28" a="1"/>
  <c r="C261" i="28" a="1"/>
  <c r="C345" i="28" a="1"/>
  <c r="C350" i="28" a="1"/>
  <c r="E336" i="28" a="1"/>
  <c r="C264" i="28" a="1"/>
  <c r="C340" i="28" a="1"/>
  <c r="I330" i="28" l="1"/>
  <c r="I337" i="28"/>
  <c r="I336" i="28"/>
  <c r="C341" i="28"/>
  <c r="C347" i="28"/>
  <c r="E352" i="28"/>
  <c r="C349" i="28"/>
  <c r="I338" i="28"/>
  <c r="C340" i="28"/>
  <c r="I357" i="28"/>
  <c r="E355" i="28"/>
  <c r="E350" i="28"/>
  <c r="E345" i="28"/>
  <c r="E354" i="28"/>
  <c r="E346" i="28"/>
  <c r="I341" i="28"/>
  <c r="C355" i="28"/>
  <c r="E336" i="28"/>
  <c r="C336" i="28"/>
  <c r="C348" i="28"/>
  <c r="E335" i="28"/>
  <c r="E348" i="28"/>
  <c r="C335" i="28"/>
  <c r="I343" i="28"/>
  <c r="E334" i="28"/>
  <c r="C345" i="28"/>
  <c r="I332" i="28"/>
  <c r="I339" i="28"/>
  <c r="E333" i="28"/>
  <c r="E344" i="28"/>
  <c r="C333" i="28"/>
  <c r="I354" i="28"/>
  <c r="I350" i="28"/>
  <c r="E332" i="28"/>
  <c r="C332" i="28"/>
  <c r="C354" i="28"/>
  <c r="I331" i="28"/>
  <c r="C331" i="28"/>
  <c r="E342" i="28"/>
  <c r="E341" i="28"/>
  <c r="C342" i="28"/>
  <c r="I356" i="28"/>
  <c r="C350" i="28"/>
  <c r="C344" i="28"/>
  <c r="C330" i="28"/>
  <c r="C339" i="28"/>
  <c r="C329" i="28"/>
  <c r="I334" i="28"/>
  <c r="E329" i="28"/>
  <c r="E340" i="28"/>
  <c r="E339" i="28"/>
  <c r="C334" i="28"/>
  <c r="I351" i="28"/>
  <c r="I333" i="28"/>
  <c r="E337" i="28"/>
  <c r="I347" i="28"/>
  <c r="I345" i="28"/>
  <c r="I346" i="28"/>
  <c r="E330" i="28"/>
  <c r="E347" i="28"/>
  <c r="C346" i="28"/>
  <c r="I349" i="28"/>
  <c r="E331" i="28"/>
  <c r="C337" i="28"/>
  <c r="I342" i="28"/>
  <c r="E349" i="28"/>
  <c r="I335" i="28"/>
  <c r="I329" i="28"/>
  <c r="C276" i="28"/>
  <c r="C266" i="28"/>
  <c r="C280" i="28"/>
  <c r="C277" i="28"/>
  <c r="C265" i="28"/>
  <c r="C279" i="28"/>
  <c r="C278" i="28"/>
  <c r="C264" i="28"/>
  <c r="C263" i="28"/>
  <c r="C262" i="28"/>
  <c r="C285" i="28"/>
  <c r="C261" i="28"/>
  <c r="C284" i="28"/>
  <c r="C273" i="28"/>
  <c r="C260" i="28"/>
  <c r="C272" i="28"/>
  <c r="C259" i="28"/>
  <c r="C282" i="28"/>
  <c r="C270" i="28"/>
  <c r="C258" i="28"/>
  <c r="C269" i="28"/>
  <c r="C257" i="28"/>
  <c r="C352" i="28" a="1"/>
  <c r="B376" i="28"/>
  <c r="C274" i="28" a="1"/>
  <c r="C376" i="28"/>
  <c r="D376" i="28" l="1"/>
  <c r="C274" i="28"/>
  <c r="C352" i="28"/>
  <c r="E356" i="28" a="1"/>
  <c r="I353" i="28" a="1"/>
  <c r="C281" i="28" a="1"/>
  <c r="E356" i="28" l="1"/>
  <c r="C281" i="28"/>
  <c r="I353" i="28"/>
  <c r="B378" i="28"/>
  <c r="C356" i="28" a="1"/>
  <c r="C378" i="28"/>
  <c r="C356" i="28" l="1"/>
  <c r="D378" i="28"/>
  <c r="I9" i="36" a="1"/>
  <c r="I11" i="36" a="1"/>
  <c r="F310" i="28" a="1"/>
  <c r="I8" i="36" a="1"/>
  <c r="I12" i="36" a="1"/>
  <c r="I17" i="36" a="1"/>
  <c r="I19" i="36" a="1"/>
  <c r="I28" i="36" a="1"/>
  <c r="I5" i="36" a="1"/>
  <c r="I27" i="36" a="1"/>
  <c r="G370" i="28" a="1"/>
  <c r="I14" i="36" a="1"/>
  <c r="I24" i="36" a="1"/>
  <c r="I6" i="36" a="1"/>
  <c r="G371" i="28" a="1"/>
  <c r="H370" i="28" a="1"/>
  <c r="I20" i="36" a="1"/>
  <c r="I21" i="36" a="1"/>
  <c r="I340" i="28" a="1"/>
  <c r="H371" i="28" a="1"/>
  <c r="I32" i="36" a="1"/>
  <c r="I25" i="36" a="1"/>
  <c r="I10" i="36" a="1"/>
  <c r="I18" i="36" a="1"/>
  <c r="I348" i="28" a="1"/>
  <c r="F320" i="28" a="1"/>
  <c r="I26" i="36" a="1"/>
  <c r="I33" i="36" a="1"/>
  <c r="I30" i="36" a="1"/>
  <c r="I29" i="36" a="1"/>
  <c r="E351" i="28" a="1"/>
  <c r="I7" i="36" a="1"/>
  <c r="I13" i="36" a="1"/>
  <c r="H371" i="28" l="1"/>
  <c r="H370" i="28"/>
  <c r="F320" i="28"/>
  <c r="F310" i="28"/>
  <c r="G371" i="28"/>
  <c r="G370" i="28"/>
  <c r="I348" i="28"/>
  <c r="E351" i="28"/>
  <c r="I340" i="28"/>
  <c r="I28" i="36"/>
  <c r="I27" i="36"/>
  <c r="I26" i="36"/>
  <c r="I14" i="36"/>
  <c r="I13" i="36"/>
  <c r="I12" i="36"/>
  <c r="I11" i="36"/>
  <c r="I24" i="36"/>
  <c r="I10" i="36"/>
  <c r="I33" i="36"/>
  <c r="I21" i="36"/>
  <c r="I9" i="36"/>
  <c r="I32" i="36"/>
  <c r="I20" i="36"/>
  <c r="I8" i="36"/>
  <c r="I7" i="36"/>
  <c r="I6" i="36"/>
  <c r="I25" i="36"/>
  <c r="I19" i="36"/>
  <c r="I18" i="36"/>
  <c r="I30" i="36"/>
  <c r="I29" i="36"/>
  <c r="I17" i="36"/>
  <c r="I5" i="36"/>
  <c r="C387" i="28"/>
  <c r="E338" i="28" a="1"/>
  <c r="B386" i="28"/>
  <c r="I15" i="36" a="1"/>
  <c r="B329" i="28" a="1"/>
  <c r="B275" i="28" a="1"/>
  <c r="I371" i="28" a="1"/>
  <c r="C267" i="28" a="1"/>
  <c r="C133" i="28" a="1"/>
  <c r="B267" i="28" a="1"/>
  <c r="C386" i="28"/>
  <c r="C130" i="28" a="1"/>
  <c r="I23" i="36" a="1"/>
  <c r="I370" i="28" a="1"/>
  <c r="C275" i="28" a="1"/>
  <c r="B387" i="28"/>
  <c r="J371" i="28" l="1"/>
  <c r="I267" i="28"/>
  <c r="B267" i="28"/>
  <c r="I371" i="28"/>
  <c r="C130" i="28"/>
  <c r="B275" i="28"/>
  <c r="I275" i="28"/>
  <c r="I370" i="28"/>
  <c r="C133" i="28"/>
  <c r="J370" i="28"/>
  <c r="I23" i="36"/>
  <c r="C267" i="28"/>
  <c r="E338" i="28"/>
  <c r="C275" i="28"/>
  <c r="D386" i="28"/>
  <c r="D387" i="28"/>
  <c r="I15" i="36"/>
  <c r="B329" i="28"/>
  <c r="C351" i="28" a="1"/>
  <c r="C338" i="28" a="1"/>
  <c r="D133" i="28" a="1"/>
  <c r="D338" i="28" a="1"/>
  <c r="D130" i="28" a="1"/>
  <c r="D133" i="28" l="1"/>
  <c r="E133" i="28" s="1"/>
  <c r="D130" i="28"/>
  <c r="E130" i="28" s="1"/>
  <c r="C338" i="28"/>
  <c r="C351" i="28"/>
  <c r="D338" i="28"/>
  <c r="F12" i="45" a="1"/>
  <c r="H21" i="45" a="1"/>
  <c r="E21" i="45" a="1"/>
  <c r="H26" i="45" a="1"/>
  <c r="G28" i="45" a="1"/>
  <c r="G10" i="45" a="1"/>
  <c r="E20" i="45" a="1"/>
  <c r="D19" i="45" a="1"/>
  <c r="D12" i="45" a="1"/>
  <c r="F19" i="45" a="1"/>
  <c r="H20" i="45" a="1"/>
  <c r="D16" i="45" a="1"/>
  <c r="G21" i="45" a="1"/>
  <c r="F27" i="45" a="1"/>
  <c r="F11" i="45" a="1"/>
  <c r="G20" i="45" a="1"/>
  <c r="D24" i="45" a="1"/>
  <c r="H25" i="45" a="1"/>
  <c r="D17" i="45" a="1"/>
  <c r="G27" i="45" a="1"/>
  <c r="E13" i="45" a="1"/>
  <c r="G24" i="45" a="1"/>
  <c r="F24" i="45" a="1"/>
  <c r="F28" i="45" a="1"/>
  <c r="G9" i="45" a="1"/>
  <c r="G22" i="45" a="1"/>
  <c r="H24" i="45" a="1"/>
  <c r="D11" i="45" a="1"/>
  <c r="H17" i="45" a="1"/>
  <c r="D13" i="45" a="1"/>
  <c r="G17" i="45" a="1"/>
  <c r="D22" i="45" a="1"/>
  <c r="H22" i="45" a="1"/>
  <c r="H9" i="45" a="1"/>
  <c r="H13" i="45" a="1"/>
  <c r="E25" i="45" a="1"/>
  <c r="H15" i="45" a="1"/>
  <c r="E19" i="45" a="1"/>
  <c r="E22" i="45" a="1"/>
  <c r="G15" i="45" a="1"/>
  <c r="H11" i="45" a="1"/>
  <c r="E28" i="45" a="1"/>
  <c r="D27" i="45" a="1"/>
  <c r="F21" i="45" a="1"/>
  <c r="D20" i="45" a="1"/>
  <c r="H12" i="45" a="1"/>
  <c r="G26" i="45" a="1"/>
  <c r="F20" i="45" a="1"/>
  <c r="H10" i="45" a="1"/>
  <c r="D28" i="45" a="1"/>
  <c r="F15" i="45" a="1"/>
  <c r="F13" i="45" a="1"/>
  <c r="E12" i="45" a="1"/>
  <c r="E11" i="45" a="1"/>
  <c r="G13" i="45" a="1"/>
  <c r="G25" i="45" a="1"/>
  <c r="D9" i="45" a="1"/>
  <c r="H27" i="45" a="1"/>
  <c r="G11" i="45" a="1"/>
  <c r="D18" i="45" a="1"/>
  <c r="G12" i="45" a="1"/>
  <c r="G18" i="45" a="1"/>
  <c r="F26" i="45" a="1"/>
  <c r="D25" i="45" a="1"/>
  <c r="F9" i="45" a="1"/>
  <c r="D10" i="45" a="1"/>
  <c r="H28" i="45" a="1"/>
  <c r="G19" i="45" a="1"/>
  <c r="D15" i="45" a="1"/>
  <c r="F18" i="45" a="1"/>
  <c r="H19" i="45" a="1"/>
  <c r="E15" i="45" a="1"/>
  <c r="D26" i="45" a="1"/>
  <c r="E10" i="45" a="1"/>
  <c r="E9" i="45" a="1"/>
  <c r="E18" i="45" a="1"/>
  <c r="E17" i="45" a="1"/>
  <c r="E26" i="45" a="1"/>
  <c r="F25" i="45" a="1"/>
  <c r="E27" i="45" a="1"/>
  <c r="E24" i="45" a="1"/>
  <c r="H18" i="45" a="1"/>
  <c r="D21" i="45" a="1"/>
  <c r="F22" i="45" a="1"/>
  <c r="F10" i="45" a="1"/>
  <c r="F17" i="45" a="1"/>
  <c r="E24" i="45" l="1"/>
  <c r="E9" i="45"/>
  <c r="F26" i="45"/>
  <c r="F21" i="45"/>
  <c r="F11" i="45"/>
  <c r="G28" i="45"/>
  <c r="G18" i="45"/>
  <c r="E11" i="45"/>
  <c r="H25" i="45"/>
  <c r="H20" i="45"/>
  <c r="H15" i="45"/>
  <c r="H10" i="45"/>
  <c r="E28" i="45"/>
  <c r="E18" i="45"/>
  <c r="G10" i="45"/>
  <c r="H27" i="45"/>
  <c r="F20" i="45"/>
  <c r="H12" i="45"/>
  <c r="E10" i="45"/>
  <c r="G26" i="45"/>
  <c r="G21" i="45"/>
  <c r="E19" i="45"/>
  <c r="G11" i="45"/>
  <c r="H28" i="45"/>
  <c r="H18" i="45"/>
  <c r="H13" i="45"/>
  <c r="E26" i="45"/>
  <c r="E21" i="45"/>
  <c r="G13" i="45"/>
  <c r="F28" i="45"/>
  <c r="F18" i="45"/>
  <c r="F13" i="45"/>
  <c r="G25" i="45"/>
  <c r="G20" i="45"/>
  <c r="G15" i="45"/>
  <c r="E13" i="45"/>
  <c r="F25" i="45"/>
  <c r="H22" i="45"/>
  <c r="H17" i="45"/>
  <c r="F15" i="45"/>
  <c r="F10" i="45"/>
  <c r="G27" i="45"/>
  <c r="E25" i="45"/>
  <c r="G22" i="45"/>
  <c r="E20" i="45"/>
  <c r="G17" i="45"/>
  <c r="E15" i="45"/>
  <c r="G12" i="45"/>
  <c r="F27" i="45"/>
  <c r="H24" i="45"/>
  <c r="F22" i="45"/>
  <c r="H19" i="45"/>
  <c r="F17" i="45"/>
  <c r="F12" i="45"/>
  <c r="H9" i="45"/>
  <c r="E27" i="45"/>
  <c r="G24" i="45"/>
  <c r="E22" i="45"/>
  <c r="G19" i="45"/>
  <c r="E17" i="45"/>
  <c r="E12" i="45"/>
  <c r="G9" i="45"/>
  <c r="H26" i="45"/>
  <c r="F24" i="45"/>
  <c r="H21" i="45"/>
  <c r="F19" i="45"/>
  <c r="H11" i="45"/>
  <c r="F9" i="45"/>
  <c r="D19" i="45"/>
  <c r="D28" i="45"/>
  <c r="D27" i="45"/>
  <c r="D26" i="45"/>
  <c r="D25" i="45"/>
  <c r="D13" i="45"/>
  <c r="D12" i="45"/>
  <c r="D21" i="45"/>
  <c r="D9" i="45"/>
  <c r="D18" i="45"/>
  <c r="D17" i="45"/>
  <c r="D16" i="45"/>
  <c r="D15" i="45"/>
  <c r="D24" i="45"/>
  <c r="D22" i="45"/>
  <c r="D11" i="45"/>
  <c r="D20" i="45"/>
  <c r="D10" i="45"/>
  <c r="E16" i="45" a="1"/>
  <c r="H16" i="45" a="1"/>
  <c r="G16" i="45" a="1"/>
  <c r="F16" i="45" a="1"/>
  <c r="H16" i="45" l="1"/>
  <c r="E16" i="45"/>
  <c r="F16" i="45"/>
  <c r="G16" i="45"/>
  <c r="I344" i="28" a="1"/>
  <c r="E23" i="45" a="1"/>
  <c r="I344" i="28" l="1"/>
  <c r="E23" i="45"/>
  <c r="H336" i="28" a="1"/>
  <c r="D306" i="28" a="1"/>
  <c r="D330" i="28" a="1"/>
  <c r="B335" i="28" a="1"/>
  <c r="D293" i="28" a="1"/>
  <c r="D352" i="28" a="1"/>
  <c r="H349" i="28" a="1"/>
  <c r="B355" i="28" a="1"/>
  <c r="C317" i="28" a="1"/>
  <c r="H331" i="28" a="1"/>
  <c r="H344" i="28" a="1"/>
  <c r="B342" i="28" a="1"/>
  <c r="D341" i="28" a="1"/>
  <c r="E301" i="28" a="1"/>
  <c r="B357" i="28" a="1"/>
  <c r="D274" i="28" a="1"/>
  <c r="D278" i="28" a="1"/>
  <c r="B333" i="28" a="1"/>
  <c r="C309" i="28" a="1"/>
  <c r="C310" i="28" a="1"/>
  <c r="H334" i="28" a="1"/>
  <c r="C315" i="28" a="1"/>
  <c r="H353" i="28" a="1"/>
  <c r="E313" i="28" a="1"/>
  <c r="C321" i="28" a="1"/>
  <c r="C312" i="28" a="1"/>
  <c r="D342" i="28" a="1"/>
  <c r="D281" i="28" a="1"/>
  <c r="B346" i="28" a="1"/>
  <c r="D284" i="28" a="1"/>
  <c r="D296" i="28" a="1"/>
  <c r="E310" i="28" a="1"/>
  <c r="F23" i="45" a="1"/>
  <c r="H346" i="28" a="1"/>
  <c r="D302" i="28" a="1"/>
  <c r="H338" i="28" a="1"/>
  <c r="D295" i="28" a="1"/>
  <c r="E307" i="28" a="1"/>
  <c r="B330" i="28" a="1"/>
  <c r="D316" i="28" a="1"/>
  <c r="B334" i="28" a="1"/>
  <c r="E299" i="28" a="1"/>
  <c r="H356" i="28" a="1"/>
  <c r="D257" i="28" a="1"/>
  <c r="E298" i="28" a="1"/>
  <c r="B352" i="28" a="1"/>
  <c r="B339" i="28" a="1"/>
  <c r="D260" i="28" a="1"/>
  <c r="C316" i="28" a="1"/>
  <c r="C384" i="28"/>
  <c r="B351" i="28" a="1"/>
  <c r="C307" i="28" a="1"/>
  <c r="H332" i="28" a="1"/>
  <c r="D335" i="28" a="1"/>
  <c r="D354" i="28" a="1"/>
  <c r="E297" i="28" a="1"/>
  <c r="D314" i="28" a="1"/>
  <c r="D347" i="28" a="1"/>
  <c r="E295" i="28" a="1"/>
  <c r="D282" i="28" a="1"/>
  <c r="B331" i="28" a="1"/>
  <c r="D308" i="28" a="1"/>
  <c r="D349" i="28" a="1"/>
  <c r="E311" i="28" a="1"/>
  <c r="D331" i="28" a="1"/>
  <c r="D264" i="28" a="1"/>
  <c r="D275" i="28" a="1"/>
  <c r="C319" i="28" a="1"/>
  <c r="C299" i="28" a="1"/>
  <c r="E314" i="28" a="1"/>
  <c r="B338" i="28" a="1"/>
  <c r="D311" i="28" a="1"/>
  <c r="H347" i="28" a="1"/>
  <c r="H350" i="28" a="1"/>
  <c r="D305" i="28" a="1"/>
  <c r="H340" i="28" a="1"/>
  <c r="E294" i="28" a="1"/>
  <c r="E306" i="28" a="1"/>
  <c r="C300" i="28" a="1"/>
  <c r="D285" i="28" a="1"/>
  <c r="E300" i="28" a="1"/>
  <c r="C296" i="28" a="1"/>
  <c r="B345" i="28" a="1"/>
  <c r="D345" i="28" a="1"/>
  <c r="C306" i="28" a="1"/>
  <c r="H342" i="28" a="1"/>
  <c r="H333" i="28" a="1"/>
  <c r="D258" i="28" a="1"/>
  <c r="C304" i="28" a="1"/>
  <c r="D297" i="28" a="1"/>
  <c r="H357" i="28" a="1"/>
  <c r="D280" i="28" a="1"/>
  <c r="D348" i="28" a="1"/>
  <c r="C302" i="28" a="1"/>
  <c r="C283" i="28" a="1"/>
  <c r="D276" i="28" a="1"/>
  <c r="B344" i="28" a="1"/>
  <c r="E315" i="28" a="1"/>
  <c r="D265" i="28" a="1"/>
  <c r="D329" i="28" a="1"/>
  <c r="E357" i="28" a="1"/>
  <c r="H337" i="28" a="1"/>
  <c r="D320" i="28" a="1"/>
  <c r="D313" i="28" a="1"/>
  <c r="D337" i="28" a="1"/>
  <c r="D298" i="28" a="1"/>
  <c r="D23" i="45" a="1"/>
  <c r="D339" i="28" a="1"/>
  <c r="D269" i="28" a="1"/>
  <c r="H351" i="28" a="1"/>
  <c r="B384" i="28"/>
  <c r="E302" i="28" a="1"/>
  <c r="H329" i="28" a="1"/>
  <c r="B341" i="28" a="1"/>
  <c r="D315" i="28" a="1"/>
  <c r="B354" i="28" a="1"/>
  <c r="D336" i="28" a="1"/>
  <c r="E304" i="28" a="1"/>
  <c r="D301" i="28" a="1"/>
  <c r="C298" i="28" a="1"/>
  <c r="B340" i="28" a="1"/>
  <c r="E308" i="28" a="1"/>
  <c r="D356" i="28" a="1"/>
  <c r="D340" i="28" a="1"/>
  <c r="H23" i="45" a="1"/>
  <c r="C301" i="28" a="1"/>
  <c r="D321" i="28" a="1"/>
  <c r="D332" i="28" a="1"/>
  <c r="D300" i="28" a="1"/>
  <c r="D279" i="28" a="1"/>
  <c r="D259" i="28" a="1"/>
  <c r="D309" i="28" a="1"/>
  <c r="D261" i="28" a="1"/>
  <c r="D355" i="28" a="1"/>
  <c r="H343" i="28" a="1"/>
  <c r="C297" i="28" a="1"/>
  <c r="D319" i="28" a="1"/>
  <c r="D272" i="28" a="1"/>
  <c r="C294" i="28" a="1"/>
  <c r="C357" i="28" a="1"/>
  <c r="D351" i="28" a="1"/>
  <c r="D310" i="28" a="1"/>
  <c r="H330" i="28" a="1"/>
  <c r="B347" i="28" a="1"/>
  <c r="D346" i="28" a="1"/>
  <c r="C308" i="28" a="1"/>
  <c r="D334" i="28" a="1"/>
  <c r="E293" i="28" a="1"/>
  <c r="D273" i="28" a="1"/>
  <c r="C293" i="28" a="1"/>
  <c r="E320" i="28" a="1"/>
  <c r="D333" i="28" a="1"/>
  <c r="C320" i="28" a="1"/>
  <c r="D350" i="28" a="1"/>
  <c r="B349" i="28" a="1"/>
  <c r="C313" i="28" a="1"/>
  <c r="D263" i="28" a="1"/>
  <c r="C311" i="28" a="1"/>
  <c r="D299" i="28" a="1"/>
  <c r="D262" i="28" a="1"/>
  <c r="B350" i="28" a="1"/>
  <c r="B337" i="28" a="1"/>
  <c r="B332" i="28" a="1"/>
  <c r="E316" i="28" a="1"/>
  <c r="D294" i="28" a="1"/>
  <c r="E305" i="28" a="1"/>
  <c r="C305" i="28" a="1"/>
  <c r="D283" i="28" a="1"/>
  <c r="D267" i="28" a="1"/>
  <c r="B348" i="28" a="1"/>
  <c r="D312" i="28" a="1"/>
  <c r="E309" i="28" a="1"/>
  <c r="H354" i="28" a="1"/>
  <c r="D270" i="28" a="1"/>
  <c r="G23" i="45" a="1"/>
  <c r="E312" i="28" a="1"/>
  <c r="H341" i="28" a="1"/>
  <c r="B336" i="28" a="1"/>
  <c r="D266" i="28" a="1"/>
  <c r="D307" i="28" a="1"/>
  <c r="I31" i="36" a="1"/>
  <c r="E296" i="28" a="1"/>
  <c r="D304" i="28" a="1"/>
  <c r="D277" i="28" a="1"/>
  <c r="C314" i="28" a="1"/>
  <c r="H335" i="28" a="1"/>
  <c r="H339" i="28" a="1"/>
  <c r="E317" i="28" a="1"/>
  <c r="D344" i="28" a="1"/>
  <c r="H348" i="28" a="1"/>
  <c r="E321" i="28" a="1"/>
  <c r="B356" i="28" a="1"/>
  <c r="E319" i="28" a="1"/>
  <c r="C295" i="28" a="1"/>
  <c r="H345" i="28" a="1"/>
  <c r="D317" i="28" a="1"/>
  <c r="E357" i="28" l="1"/>
  <c r="C283" i="28"/>
  <c r="C357" i="28"/>
  <c r="D384" i="28"/>
  <c r="I31" i="36"/>
  <c r="G23" i="45"/>
  <c r="H23" i="45"/>
  <c r="D23" i="45"/>
  <c r="F23" i="45"/>
  <c r="C317" i="28"/>
  <c r="C320" i="28"/>
  <c r="D342" i="28"/>
  <c r="D317" i="28"/>
  <c r="D348" i="28"/>
  <c r="D259" i="28"/>
  <c r="B339" i="28"/>
  <c r="D309" i="28"/>
  <c r="H351" i="28"/>
  <c r="C306" i="28"/>
  <c r="E315" i="28"/>
  <c r="C308" i="28"/>
  <c r="D260" i="28"/>
  <c r="H343" i="28"/>
  <c r="E296" i="28"/>
  <c r="C310" i="28"/>
  <c r="E313" i="28"/>
  <c r="B345" i="28"/>
  <c r="D306" i="28"/>
  <c r="D267" i="28"/>
  <c r="D262" i="28"/>
  <c r="D319" i="28"/>
  <c r="D333" i="28"/>
  <c r="D341" i="28"/>
  <c r="D272" i="28"/>
  <c r="E316" i="28"/>
  <c r="C295" i="28"/>
  <c r="C319" i="28"/>
  <c r="E317" i="28"/>
  <c r="H336" i="28"/>
  <c r="D314" i="28"/>
  <c r="C293" i="28"/>
  <c r="D308" i="28"/>
  <c r="B347" i="28"/>
  <c r="E297" i="28"/>
  <c r="B341" i="28"/>
  <c r="H356" i="28"/>
  <c r="D297" i="28"/>
  <c r="B331" i="28"/>
  <c r="H350" i="28"/>
  <c r="E320" i="28"/>
  <c r="D299" i="28"/>
  <c r="E295" i="28"/>
  <c r="E307" i="28"/>
  <c r="B354" i="28"/>
  <c r="H332" i="28"/>
  <c r="B357" i="28"/>
  <c r="C321" i="28"/>
  <c r="C302" i="28"/>
  <c r="B349" i="28"/>
  <c r="D274" i="28"/>
  <c r="E309" i="28"/>
  <c r="D284" i="28"/>
  <c r="D305" i="28"/>
  <c r="D265" i="28"/>
  <c r="D349" i="28"/>
  <c r="E312" i="28"/>
  <c r="D351" i="28"/>
  <c r="C311" i="28"/>
  <c r="D315" i="28"/>
  <c r="C305" i="28"/>
  <c r="B332" i="28"/>
  <c r="D346" i="28"/>
  <c r="C304" i="28"/>
  <c r="C316" i="28"/>
  <c r="C312" i="28"/>
  <c r="D278" i="28"/>
  <c r="D285" i="28"/>
  <c r="B337" i="28"/>
  <c r="D344" i="28"/>
  <c r="D280" i="28"/>
  <c r="D356" i="28"/>
  <c r="B346" i="28"/>
  <c r="H337" i="28"/>
  <c r="C294" i="28"/>
  <c r="B344" i="28"/>
  <c r="H344" i="28"/>
  <c r="B351" i="28"/>
  <c r="C297" i="28"/>
  <c r="G297" i="28" s="1"/>
  <c r="E299" i="28"/>
  <c r="B340" i="28"/>
  <c r="H338" i="28"/>
  <c r="H339" i="28"/>
  <c r="C300" i="28"/>
  <c r="H329" i="28"/>
  <c r="D279" i="28"/>
  <c r="B350" i="28"/>
  <c r="H349" i="28"/>
  <c r="D332" i="28"/>
  <c r="D337" i="28"/>
  <c r="D294" i="28"/>
  <c r="D354" i="28"/>
  <c r="C313" i="28"/>
  <c r="E310" i="28"/>
  <c r="D266" i="28"/>
  <c r="D257" i="28"/>
  <c r="D335" i="28"/>
  <c r="D352" i="28"/>
  <c r="D313" i="28"/>
  <c r="H341" i="28"/>
  <c r="E300" i="28"/>
  <c r="D263" i="28"/>
  <c r="E308" i="28"/>
  <c r="H342" i="28"/>
  <c r="D350" i="28"/>
  <c r="B338" i="28"/>
  <c r="C298" i="28"/>
  <c r="H334" i="28"/>
  <c r="D340" i="28"/>
  <c r="E302" i="28"/>
  <c r="B336" i="28"/>
  <c r="D311" i="28"/>
  <c r="D316" i="28"/>
  <c r="D321" i="28"/>
  <c r="B335" i="28"/>
  <c r="E311" i="28"/>
  <c r="H353" i="28"/>
  <c r="C309" i="28"/>
  <c r="E301" i="28"/>
  <c r="D334" i="28"/>
  <c r="B334" i="28"/>
  <c r="E294" i="28"/>
  <c r="D312" i="28"/>
  <c r="H330" i="28"/>
  <c r="D304" i="28"/>
  <c r="B333" i="28"/>
  <c r="D283" i="28"/>
  <c r="D301" i="28"/>
  <c r="D298" i="28"/>
  <c r="D273" i="28"/>
  <c r="D302" i="28"/>
  <c r="D261" i="28"/>
  <c r="D264" i="28"/>
  <c r="D293" i="28"/>
  <c r="H333" i="28"/>
  <c r="D329" i="28"/>
  <c r="D282" i="28"/>
  <c r="B356" i="28"/>
  <c r="D320" i="28"/>
  <c r="C315" i="28"/>
  <c r="H340" i="28"/>
  <c r="D296" i="28"/>
  <c r="D300" i="28"/>
  <c r="D339" i="28"/>
  <c r="D310" i="28"/>
  <c r="E293" i="28"/>
  <c r="H347" i="28"/>
  <c r="E298" i="28"/>
  <c r="D269" i="28"/>
  <c r="H331" i="28"/>
  <c r="B355" i="28"/>
  <c r="D277" i="28"/>
  <c r="E306" i="28"/>
  <c r="D276" i="28"/>
  <c r="B342" i="28"/>
  <c r="B330" i="28"/>
  <c r="D307" i="28"/>
  <c r="H335" i="28"/>
  <c r="E321" i="28"/>
  <c r="D355" i="28"/>
  <c r="D275" i="28"/>
  <c r="D331" i="28"/>
  <c r="D295" i="28"/>
  <c r="C307" i="28"/>
  <c r="C314" i="28"/>
  <c r="H345" i="28"/>
  <c r="C301" i="28"/>
  <c r="H346" i="28"/>
  <c r="B352" i="28"/>
  <c r="E304" i="28"/>
  <c r="D270" i="28"/>
  <c r="C296" i="28"/>
  <c r="G296" i="28" s="1"/>
  <c r="B348" i="28"/>
  <c r="E314" i="28"/>
  <c r="E319" i="28"/>
  <c r="D281" i="28"/>
  <c r="D345" i="28"/>
  <c r="D347" i="28"/>
  <c r="C299" i="28"/>
  <c r="G299" i="28" s="1"/>
  <c r="H354" i="28"/>
  <c r="D336" i="28"/>
  <c r="H348" i="28"/>
  <c r="D258" i="28"/>
  <c r="D330" i="28"/>
  <c r="E305" i="28"/>
  <c r="H357" i="28"/>
  <c r="G298" i="28" l="1"/>
  <c r="G300" i="28"/>
  <c r="G294" i="28"/>
  <c r="G293" i="28"/>
  <c r="G295" i="28"/>
  <c r="G312" i="28"/>
  <c r="G311" i="28"/>
  <c r="G314" i="28"/>
  <c r="G315" i="28"/>
  <c r="G320" i="28"/>
  <c r="G307" i="28"/>
  <c r="G302" i="28"/>
  <c r="G309" i="28"/>
  <c r="G304" i="28"/>
  <c r="G308" i="28"/>
  <c r="G316" i="28"/>
  <c r="G305" i="28"/>
  <c r="G310" i="28"/>
  <c r="G306" i="28"/>
  <c r="G313" i="28"/>
  <c r="G321" i="28"/>
  <c r="G319" i="28"/>
  <c r="G317" i="28"/>
  <c r="G301" i="28"/>
  <c r="D357" i="28" a="1"/>
  <c r="D357" i="28" l="1"/>
  <c r="I2" i="29" l="1"/>
  <c r="I268" i="28" l="1"/>
  <c r="E44" i="28" a="1"/>
  <c r="G383" i="28" a="1"/>
  <c r="S21" i="40" a="1"/>
  <c r="B210" i="28" a="1"/>
  <c r="M10" i="38" a="1"/>
  <c r="C19" i="36" a="1"/>
  <c r="T16" i="40" a="1"/>
  <c r="F187" i="28" a="1"/>
  <c r="D21" i="38" a="1"/>
  <c r="F197" i="28" a="1"/>
  <c r="H8" i="45" a="1"/>
  <c r="D85" i="28" a="1"/>
  <c r="G14" i="28" a="1"/>
  <c r="EB15" i="29" a="1"/>
  <c r="F22" i="38" a="1"/>
  <c r="H15" i="38" a="1"/>
  <c r="N21" i="38" a="1"/>
  <c r="F241" i="28" a="1"/>
  <c r="BH20" i="29" a="1"/>
  <c r="P19" i="29" a="1"/>
  <c r="D7" i="36" a="1"/>
  <c r="AA12" i="40" a="1"/>
  <c r="M24" i="40" a="1"/>
  <c r="B228" i="28" a="1"/>
  <c r="D16" i="38" a="1"/>
  <c r="V24" i="40" a="1"/>
  <c r="J15" i="28" a="1"/>
  <c r="D186" i="28" a="1"/>
  <c r="E188" i="28" a="1"/>
  <c r="R18" i="40" a="1"/>
  <c r="V7" i="40" a="1"/>
  <c r="D92" i="28" a="1"/>
  <c r="P12" i="40" a="1"/>
  <c r="J21" i="28" a="1"/>
  <c r="E29" i="28" a="1"/>
  <c r="E64" i="28" a="1"/>
  <c r="E53" i="28" a="1"/>
  <c r="B150" i="28" a="1"/>
  <c r="G14" i="40" a="1"/>
  <c r="E151" i="28" a="1"/>
  <c r="C343" i="28" a="1"/>
  <c r="EB21" i="29" a="1"/>
  <c r="B212" i="28" a="1"/>
  <c r="J17" i="40" a="1"/>
  <c r="F16" i="38" a="1"/>
  <c r="H102" i="28" a="1"/>
  <c r="H17" i="38" a="1"/>
  <c r="C246" i="28" a="1"/>
  <c r="Q20" i="29" a="1"/>
  <c r="P18" i="40" a="1"/>
  <c r="R20" i="40" a="1"/>
  <c r="C23" i="36" a="1"/>
  <c r="E208" i="28" a="1"/>
  <c r="C167" i="28" a="1"/>
  <c r="E65" i="28" a="1"/>
  <c r="AA18" i="40" a="1"/>
  <c r="E77" i="28" a="1"/>
  <c r="D171" i="28" a="1"/>
  <c r="K11" i="40" a="1"/>
  <c r="AA21" i="40" a="1"/>
  <c r="G91" i="28" a="1"/>
  <c r="J12" i="28" a="1"/>
  <c r="J13" i="38" a="1"/>
  <c r="E221" i="28" a="1"/>
  <c r="O26" i="38" a="1"/>
  <c r="D17" i="36" a="1"/>
  <c r="H27" i="40" a="1"/>
  <c r="C353" i="28" a="1"/>
  <c r="B236" i="28" a="1"/>
  <c r="T26" i="40" a="1"/>
  <c r="H78" i="28" a="1"/>
  <c r="C32" i="28" a="1"/>
  <c r="Z7" i="40" a="1"/>
  <c r="C55" i="28" a="1"/>
  <c r="B172" i="28" a="1"/>
  <c r="D83" i="28" a="1"/>
  <c r="C205" i="28" a="1"/>
  <c r="X8" i="40" a="1"/>
  <c r="E191" i="28" a="1"/>
  <c r="FA16" i="29" a="1"/>
  <c r="E23" i="40" a="1"/>
  <c r="B169" i="28" a="1"/>
  <c r="M8" i="38" a="1"/>
  <c r="M20" i="40" a="1"/>
  <c r="V26" i="40" a="1"/>
  <c r="F88" i="28" a="1"/>
  <c r="BH12" i="29" a="1"/>
  <c r="C235" i="28" a="1"/>
  <c r="E5" i="28" a="1"/>
  <c r="F195" i="28" a="1"/>
  <c r="CN22" i="29" a="1"/>
  <c r="B58" i="28" a="1"/>
  <c r="Z24" i="40" a="1"/>
  <c r="L17" i="38" a="1"/>
  <c r="H12" i="38" a="1"/>
  <c r="EQ22" i="29" a="1"/>
  <c r="EF17" i="29" a="1"/>
  <c r="M16" i="38" a="1"/>
  <c r="F11" i="28" a="1"/>
  <c r="F238" i="28" a="1"/>
  <c r="C92" i="28" a="1"/>
  <c r="I26" i="28" a="1"/>
  <c r="AA9" i="40" a="1"/>
  <c r="B50" i="28" a="1"/>
  <c r="L25" i="38" a="1"/>
  <c r="K18" i="40" a="1"/>
  <c r="G8" i="38" a="1"/>
  <c r="BB22" i="29" a="1"/>
  <c r="D161" i="28" a="1"/>
  <c r="C243" i="28" a="1"/>
  <c r="B85" i="28" a="1"/>
  <c r="F12" i="28" a="1"/>
  <c r="F18" i="28" a="1"/>
  <c r="E212" i="28" a="1"/>
  <c r="E85" i="28" a="1"/>
  <c r="D102" i="28" a="1"/>
  <c r="C101" i="28" a="1"/>
  <c r="B8" i="28" a="1"/>
  <c r="B175" i="28" a="1"/>
  <c r="P15" i="29" a="1"/>
  <c r="J14" i="29" a="1"/>
  <c r="P12" i="29" a="1"/>
  <c r="L8" i="38" a="1"/>
  <c r="H10" i="40" a="1"/>
  <c r="G95" i="28" a="1"/>
  <c r="AA10" i="40" a="1"/>
  <c r="J8" i="38" a="1"/>
  <c r="I19" i="38" a="1"/>
  <c r="G197" i="28" a="1"/>
  <c r="F13" i="40" a="1"/>
  <c r="BK16" i="29" a="1"/>
  <c r="C7" i="36" a="1"/>
  <c r="C169" i="28" a="1"/>
  <c r="H9" i="38" a="1"/>
  <c r="Z25" i="40" a="1"/>
  <c r="Q9" i="40" a="1"/>
  <c r="C153" i="28" a="1"/>
  <c r="F21" i="29" a="1"/>
  <c r="D188" i="28" a="1"/>
  <c r="X17" i="40" a="1"/>
  <c r="S11" i="40" a="1"/>
  <c r="C24" i="36" a="1"/>
  <c r="L10" i="40" a="1"/>
  <c r="U18" i="40" a="1"/>
  <c r="C236" i="28" a="1"/>
  <c r="E233" i="28" a="1"/>
  <c r="E9" i="28" a="1"/>
  <c r="Q24" i="40" a="1"/>
  <c r="AA11" i="40" a="1"/>
  <c r="R25" i="40" a="1"/>
  <c r="F17" i="28" a="1"/>
  <c r="H94" i="28" a="1"/>
  <c r="J18" i="28" a="1"/>
  <c r="D11" i="28" a="1"/>
  <c r="H77" i="28" a="1"/>
  <c r="T23" i="40" a="1"/>
  <c r="J23" i="28" a="1"/>
  <c r="I355" i="28" a="1"/>
  <c r="G20" i="40" a="1"/>
  <c r="DE14" i="29" a="1"/>
  <c r="I21" i="29" a="1"/>
  <c r="AZ22" i="29" a="1"/>
  <c r="R8" i="40" a="1"/>
  <c r="O25" i="38" a="1"/>
  <c r="C12" i="36" a="1"/>
  <c r="H19" i="29" a="1"/>
  <c r="I13" i="40" a="1"/>
  <c r="J26" i="28" a="1"/>
  <c r="G201" i="28" a="1"/>
  <c r="S17" i="40" a="1"/>
  <c r="D18" i="40" a="1"/>
  <c r="H22" i="29" a="1"/>
  <c r="M22" i="40" a="1"/>
  <c r="EE17" i="29" a="1"/>
  <c r="D23" i="38" a="1"/>
  <c r="J19" i="40" a="1"/>
  <c r="E162" i="28" a="1"/>
  <c r="O11" i="38" a="1"/>
  <c r="E150" i="28" a="1"/>
  <c r="B196" i="28" a="1"/>
  <c r="I11" i="28" a="1"/>
  <c r="C245" i="28" a="1"/>
  <c r="D303" i="28" a="1"/>
  <c r="EO20" i="29" a="1"/>
  <c r="G192" i="28" a="1"/>
  <c r="E99" i="28" a="1"/>
  <c r="B105" i="28" a="1"/>
  <c r="W9" i="40" a="1"/>
  <c r="D98" i="28" a="1"/>
  <c r="Q15" i="40" a="1"/>
  <c r="E234" i="28" a="1"/>
  <c r="B373" i="28"/>
  <c r="H92" i="28" a="1"/>
  <c r="Q16" i="29" a="1"/>
  <c r="C234" i="28" a="1"/>
  <c r="F27" i="40" a="1"/>
  <c r="F223" i="28" a="1"/>
  <c r="D23" i="40" a="1"/>
  <c r="F5" i="28" a="1"/>
  <c r="BK13" i="29" a="1"/>
  <c r="H101" i="28" a="1"/>
  <c r="R21" i="40" a="1"/>
  <c r="G97" i="28" a="1"/>
  <c r="C8" i="36" a="1"/>
  <c r="P13" i="29" a="1"/>
  <c r="M10" i="40" a="1"/>
  <c r="K14" i="40" a="1"/>
  <c r="L17" i="40" a="1"/>
  <c r="E7" i="28" a="1"/>
  <c r="G14" i="38" a="1"/>
  <c r="C44" i="28" a="1"/>
  <c r="N15" i="38" a="1"/>
  <c r="E155" i="28" a="1"/>
  <c r="E42" i="28" a="1"/>
  <c r="G210" i="28" a="1"/>
  <c r="G195" i="28" a="1"/>
  <c r="H26" i="40" a="1"/>
  <c r="D17" i="28" a="1"/>
  <c r="F190" i="28" a="1"/>
  <c r="G18" i="40" a="1"/>
  <c r="B56" i="28" a="1"/>
  <c r="D119" i="28" a="1"/>
  <c r="FA17" i="29" a="1"/>
  <c r="B82" i="28" a="1"/>
  <c r="E81" i="28" a="1"/>
  <c r="B222" i="28" a="1"/>
  <c r="E16" i="28" a="1"/>
  <c r="R13" i="40" a="1"/>
  <c r="D87" i="28" a="1"/>
  <c r="G19" i="28" a="1"/>
  <c r="W15" i="40" a="1"/>
  <c r="I24" i="38" a="1"/>
  <c r="G90" i="28" a="1"/>
  <c r="E186" i="28" a="1"/>
  <c r="F99" i="28" a="1"/>
  <c r="O7" i="40" a="1"/>
  <c r="O12" i="40" a="1"/>
  <c r="C18" i="28" a="1"/>
  <c r="G12" i="28" a="1"/>
  <c r="D8" i="45" a="1"/>
  <c r="C8" i="28" a="1"/>
  <c r="I7" i="40" a="1"/>
  <c r="X16" i="40" a="1"/>
  <c r="AA7" i="40" a="1"/>
  <c r="P20" i="40" a="1"/>
  <c r="ED16" i="29" a="1"/>
  <c r="B249" i="28" a="1"/>
  <c r="B60" i="28" a="1"/>
  <c r="BI15" i="29" a="1"/>
  <c r="D12" i="28" a="1"/>
  <c r="EJ22" i="29" a="1"/>
  <c r="L8" i="40" a="1"/>
  <c r="AA15" i="40" a="1"/>
  <c r="G19" i="38" a="1"/>
  <c r="F8" i="38" a="1"/>
  <c r="ER22" i="29" a="1"/>
  <c r="R26" i="40" a="1"/>
  <c r="G30" i="28" a="1"/>
  <c r="H83" i="28" a="1"/>
  <c r="P23" i="40" a="1"/>
  <c r="EB12" i="29" a="1"/>
  <c r="B24" i="28" a="1"/>
  <c r="B9" i="36" a="1"/>
  <c r="P25" i="40" a="1"/>
  <c r="B198" i="28" a="1"/>
  <c r="G208" i="28" a="1"/>
  <c r="I12" i="28" a="1"/>
  <c r="W12" i="40" a="1"/>
  <c r="B237" i="28" a="1"/>
  <c r="P16" i="40" a="1"/>
  <c r="D65" i="28" a="1"/>
  <c r="Q26" i="40" a="1"/>
  <c r="G13" i="28" a="1"/>
  <c r="DB22" i="29" a="1"/>
  <c r="BI21" i="29" a="1"/>
  <c r="DA22" i="29" a="1"/>
  <c r="L22" i="38" a="1"/>
  <c r="D20" i="40" a="1"/>
  <c r="C57" i="28" a="1"/>
  <c r="M26" i="38" a="1"/>
  <c r="C17" i="36" a="1"/>
  <c r="O23" i="38" a="1"/>
  <c r="R11" i="40" a="1"/>
  <c r="V13" i="40" a="1"/>
  <c r="Q27" i="40" a="1"/>
  <c r="C31" i="28" a="1"/>
  <c r="G32" i="28" a="1"/>
  <c r="C80" i="28" a="1"/>
  <c r="D153" i="28" a="1"/>
  <c r="BV22" i="29" a="1"/>
  <c r="I22" i="40" a="1"/>
  <c r="G14" i="45" a="1"/>
  <c r="D175" i="28" a="1"/>
  <c r="EC16" i="29" a="1"/>
  <c r="H87" i="28" a="1"/>
  <c r="B51" i="28" a="1"/>
  <c r="G10" i="28" a="1"/>
  <c r="E90" i="28" a="1"/>
  <c r="N20" i="38" a="1"/>
  <c r="D195" i="28" a="1"/>
  <c r="E160" i="28" a="1"/>
  <c r="C158" i="28" a="1"/>
  <c r="E14" i="29" a="1"/>
  <c r="B195" i="28" a="1"/>
  <c r="C43" i="28" a="1"/>
  <c r="C49" i="28" a="1"/>
  <c r="G26" i="28" a="1"/>
  <c r="F80" i="28" a="1"/>
  <c r="G198" i="28" a="1"/>
  <c r="B164" i="28" a="1"/>
  <c r="I383" i="28" a="1"/>
  <c r="U12" i="40" a="1"/>
  <c r="B11" i="28" a="1"/>
  <c r="D28" i="28" a="1"/>
  <c r="B19" i="28" a="1"/>
  <c r="H18" i="40" a="1"/>
  <c r="C12" i="29" a="1"/>
  <c r="D18" i="28" a="1"/>
  <c r="Q14" i="29" a="1"/>
  <c r="R7" i="40" a="1"/>
  <c r="J23" i="38" a="1"/>
  <c r="F245" i="28" a="1"/>
  <c r="O9" i="40" a="1"/>
  <c r="V21" i="40" a="1"/>
  <c r="G81" i="28" a="1"/>
  <c r="C25" i="28" a="1"/>
  <c r="F229" i="28" a="1"/>
  <c r="B163" i="28" a="1"/>
  <c r="E203" i="28" a="1"/>
  <c r="F202" i="28" a="1"/>
  <c r="J14" i="40" a="1"/>
  <c r="P16" i="29" a="1"/>
  <c r="D19" i="40" a="1"/>
  <c r="D6" i="36" a="1"/>
  <c r="E97" i="28" a="1"/>
  <c r="S10" i="40" a="1"/>
  <c r="C5" i="36" a="1"/>
  <c r="C203" i="28" a="1"/>
  <c r="C206" i="28" a="1"/>
  <c r="C91" i="28" a="1"/>
  <c r="C65" i="28" a="1"/>
  <c r="F12" i="40" a="1"/>
  <c r="Z18" i="40" a="1"/>
  <c r="H86" i="28" a="1"/>
  <c r="D45" i="28" a="1"/>
  <c r="C199" i="28" a="1"/>
  <c r="E100" i="28" a="1"/>
  <c r="D202" i="28" a="1"/>
  <c r="ED12" i="29" a="1"/>
  <c r="B30" i="28" a="1"/>
  <c r="G209" i="28" a="1"/>
  <c r="AA19" i="40" a="1"/>
  <c r="C12" i="28" a="1"/>
  <c r="F236" i="28" a="1"/>
  <c r="C28" i="36" a="1"/>
  <c r="D50" i="28" a="1"/>
  <c r="C171" i="28" a="1"/>
  <c r="T10" i="40" a="1"/>
  <c r="ED15" i="29" a="1"/>
  <c r="EA15" i="29" a="1"/>
  <c r="F15" i="29" a="1"/>
  <c r="C18" i="36" a="1"/>
  <c r="EC15" i="29" a="1"/>
  <c r="Z9" i="40" a="1"/>
  <c r="F240" i="28" a="1"/>
  <c r="G15" i="38" a="1"/>
  <c r="B353" i="28" a="1"/>
  <c r="D66" i="28" a="1"/>
  <c r="C30" i="28" a="1"/>
  <c r="D57" i="28" a="1"/>
  <c r="L15" i="38" a="1"/>
  <c r="B27" i="28" a="1"/>
  <c r="B187" i="28" a="1"/>
  <c r="E23" i="28" a="1"/>
  <c r="E21" i="28" a="1"/>
  <c r="E17" i="28" a="1"/>
  <c r="H21" i="29" a="1"/>
  <c r="F79" i="28" a="1"/>
  <c r="C213" i="28" a="1"/>
  <c r="F23" i="40" a="1"/>
  <c r="B248" i="28" a="1"/>
  <c r="C14" i="29" a="1"/>
  <c r="BK19" i="29" a="1"/>
  <c r="O19" i="38" a="1"/>
  <c r="Z19" i="40" a="1"/>
  <c r="I15" i="28" a="1"/>
  <c r="I15" i="29" a="1"/>
  <c r="F77" i="28" a="1"/>
  <c r="B77" i="28" a="1"/>
  <c r="K8" i="40" a="1"/>
  <c r="T27" i="40" a="1"/>
  <c r="O21" i="38" a="1"/>
  <c r="H18" i="38" a="1"/>
  <c r="V12" i="40" a="1"/>
  <c r="T19" i="40" a="1"/>
  <c r="G21" i="28" a="1"/>
  <c r="E14" i="45" a="1"/>
  <c r="C15" i="29" a="1"/>
  <c r="X15" i="40" a="1"/>
  <c r="D343" i="28" a="1"/>
  <c r="F191" i="28" a="1"/>
  <c r="B10" i="36" a="1"/>
  <c r="B22" i="28" a="1"/>
  <c r="B42" i="28" a="1"/>
  <c r="BI12" i="29" a="1"/>
  <c r="I29" i="28" a="1"/>
  <c r="I13" i="28" a="1"/>
  <c r="D201" i="28" a="1"/>
  <c r="B102" i="28" a="1"/>
  <c r="C175" i="28" a="1"/>
  <c r="E46" i="28" a="1"/>
  <c r="EL22" i="29" a="1"/>
  <c r="D26" i="40" a="1"/>
  <c r="J13" i="28" a="1"/>
  <c r="C161" i="28" a="1"/>
  <c r="I10" i="28" a="1"/>
  <c r="B194" i="28" a="1"/>
  <c r="B29" i="28" a="1"/>
  <c r="G206" i="28" a="1"/>
  <c r="E245" i="28" a="1"/>
  <c r="D25" i="28" a="1"/>
  <c r="E45" i="28" a="1"/>
  <c r="D206" i="28" a="1"/>
  <c r="EE12" i="29" a="1"/>
  <c r="C11" i="28" a="1"/>
  <c r="D43" i="28" a="1"/>
  <c r="B306" i="28" a="1"/>
  <c r="H25" i="40" a="1"/>
  <c r="K15" i="40" a="1"/>
  <c r="G84" i="28" a="1"/>
  <c r="G28" i="38" a="1"/>
  <c r="N22" i="38" a="1"/>
  <c r="EN16" i="29" a="1"/>
  <c r="F201" i="28" a="1"/>
  <c r="EG19" i="29" a="1"/>
  <c r="H8" i="40" a="1"/>
  <c r="B99" i="28" a="1"/>
  <c r="B153" i="28" a="1"/>
  <c r="E235" i="28" a="1"/>
  <c r="H13" i="29" a="1"/>
  <c r="J27" i="40" a="1"/>
  <c r="B66" i="28" a="1"/>
  <c r="D159" i="28" a="1"/>
  <c r="C174" i="28" a="1"/>
  <c r="B6" i="28" a="1"/>
  <c r="T7" i="40" a="1"/>
  <c r="B246" i="28" a="1"/>
  <c r="B312" i="28" a="1"/>
  <c r="G7" i="40" a="1"/>
  <c r="J11" i="38" a="1"/>
  <c r="H15" i="29" a="1"/>
  <c r="C51" i="28" a="1"/>
  <c r="D12" i="29" a="1"/>
  <c r="E236" i="28" a="1"/>
  <c r="M25" i="38" a="1"/>
  <c r="E78" i="28" a="1"/>
  <c r="G18" i="28" a="1"/>
  <c r="D18" i="38" a="1"/>
  <c r="M21" i="38" a="1"/>
  <c r="E89" i="28" a="1"/>
  <c r="H95" i="28" a="1"/>
  <c r="EO17" i="29" a="1"/>
  <c r="D33" i="36" a="1"/>
  <c r="C149" i="28" a="1"/>
  <c r="D90" i="28" a="1"/>
  <c r="F25" i="38" a="1"/>
  <c r="H352" i="28" a="1"/>
  <c r="F212" i="28" a="1"/>
  <c r="E206" i="28" a="1"/>
  <c r="Q19" i="40" a="1"/>
  <c r="E7" i="40" a="1"/>
  <c r="L28" i="38" a="1"/>
  <c r="E199" i="28" a="1"/>
  <c r="G26" i="38" a="1"/>
  <c r="I25" i="40" a="1"/>
  <c r="EB22" i="29" a="1"/>
  <c r="EB20" i="29" a="1"/>
  <c r="C90" i="28" a="1"/>
  <c r="D24" i="28" a="1"/>
  <c r="Z15" i="40" a="1"/>
  <c r="B243" i="28" a="1"/>
  <c r="I10" i="40" a="1"/>
  <c r="EF14" i="29" a="1"/>
  <c r="C63" i="28" a="1"/>
  <c r="W8" i="40" a="1"/>
  <c r="E87" i="28" a="1"/>
  <c r="M12" i="40" a="1"/>
  <c r="L24" i="38" a="1"/>
  <c r="F26" i="40" a="1"/>
  <c r="D15" i="36" a="1"/>
  <c r="E17" i="40" a="1"/>
  <c r="D12" i="36" a="1"/>
  <c r="H19" i="40" a="1"/>
  <c r="X22" i="40" a="1"/>
  <c r="EF12" i="29" a="1"/>
  <c r="ED17" i="29" a="1"/>
  <c r="B65" i="28" a="1"/>
  <c r="BI18" i="29" a="1"/>
  <c r="B20" i="36" a="1"/>
  <c r="EN22" i="29" a="1"/>
  <c r="C162" i="28" a="1"/>
  <c r="M15" i="38" a="1"/>
  <c r="B23" i="36" a="1"/>
  <c r="G23" i="28" a="1"/>
  <c r="C226" i="28" a="1"/>
  <c r="H105" i="28" a="1"/>
  <c r="D88" i="28" a="1"/>
  <c r="E187" i="28" a="1"/>
  <c r="J19" i="29" a="1"/>
  <c r="B24" i="36" a="1"/>
  <c r="D27" i="28" a="1"/>
  <c r="C232" i="28" a="1"/>
  <c r="C221" i="28" a="1"/>
  <c r="B53" i="28" a="1"/>
  <c r="J17" i="38" a="1"/>
  <c r="J10" i="40" a="1"/>
  <c r="F30" i="28" a="1"/>
  <c r="C21" i="36" a="1"/>
  <c r="B64" i="28" a="1"/>
  <c r="E200" i="28" a="1"/>
  <c r="M20" i="38" a="1"/>
  <c r="E94" i="28" a="1"/>
  <c r="P17" i="40" a="1"/>
  <c r="F7" i="40" a="1"/>
  <c r="J29" i="28" a="1"/>
  <c r="M15" i="40" a="1"/>
  <c r="I17" i="28" a="1"/>
  <c r="F17" i="38" a="1"/>
  <c r="B229" i="28" a="1"/>
  <c r="S9" i="40" a="1"/>
  <c r="G15" i="40" a="1"/>
  <c r="I18" i="29" a="1"/>
  <c r="G14" i="29" a="1"/>
  <c r="J6" i="28" a="1"/>
  <c r="B90" i="28" a="1"/>
  <c r="B152" i="28" a="1"/>
  <c r="W21" i="40" a="1"/>
  <c r="B11" i="36" a="1"/>
  <c r="G23" i="38" a="1"/>
  <c r="N16" i="38" a="1"/>
  <c r="B245" i="28" a="1"/>
  <c r="E17" i="29" a="1"/>
  <c r="B13" i="36" a="1"/>
  <c r="G6" i="28" a="1"/>
  <c r="B211" i="28" a="1"/>
  <c r="D189" i="28" a="1"/>
  <c r="C30" i="36" a="1"/>
  <c r="EN17" i="29" a="1"/>
  <c r="EB13" i="29" a="1"/>
  <c r="U16" i="40" a="1"/>
  <c r="Q7" i="40" a="1"/>
  <c r="D51" i="28" a="1"/>
  <c r="D80" i="28" a="1"/>
  <c r="J15" i="29" a="1"/>
  <c r="I26" i="40" a="1"/>
  <c r="E98" i="28" a="1"/>
  <c r="B155" i="28" a="1"/>
  <c r="B91" i="28" a="1"/>
  <c r="C150" i="28" a="1"/>
  <c r="E303" i="28" a="1"/>
  <c r="D21" i="28" a="1"/>
  <c r="D162" i="28" a="1"/>
  <c r="E67" i="28" a="1"/>
  <c r="G102" i="28" a="1"/>
  <c r="U22" i="40" a="1"/>
  <c r="H84" i="28" a="1"/>
  <c r="E226" i="28" a="1"/>
  <c r="F29" i="28" a="1"/>
  <c r="J26" i="38" a="1"/>
  <c r="M13" i="40" a="1"/>
  <c r="B205" i="28" a="1"/>
  <c r="E31" i="28" a="1"/>
  <c r="F84" i="28" a="1"/>
  <c r="X10" i="40" a="1"/>
  <c r="B173" i="28" a="1"/>
  <c r="B12" i="28" a="1"/>
  <c r="E353" i="28" a="1"/>
  <c r="Q20" i="40" a="1"/>
  <c r="B43" i="28" a="1"/>
  <c r="P21" i="40" a="1"/>
  <c r="I32" i="28" a="1"/>
  <c r="I21" i="28" a="1"/>
  <c r="C7" i="28" a="1"/>
  <c r="T22" i="29" a="1"/>
  <c r="D10" i="40" a="1"/>
  <c r="K17" i="40" a="1"/>
  <c r="E207" i="28" a="1"/>
  <c r="E161" i="28" a="1"/>
  <c r="AA16" i="40" a="1"/>
  <c r="P14" i="40" a="1"/>
  <c r="J15" i="38" a="1"/>
  <c r="EE21" i="29" a="1"/>
  <c r="F237" i="28" a="1"/>
  <c r="G83" i="28" a="1"/>
  <c r="J18" i="38" a="1"/>
  <c r="H14" i="45" a="1"/>
  <c r="G16" i="28" a="1"/>
  <c r="BJ13" i="29" a="1"/>
  <c r="D187" i="28" a="1"/>
  <c r="I17" i="29" a="1"/>
  <c r="EK22" i="29" a="1"/>
  <c r="B32" i="28" a="1"/>
  <c r="C201" i="28" a="1"/>
  <c r="D29" i="36" a="1"/>
  <c r="I8" i="40" a="1"/>
  <c r="E91" i="28" a="1"/>
  <c r="I23" i="28" a="1"/>
  <c r="EA13" i="29" a="1"/>
  <c r="F9" i="40" a="1"/>
  <c r="H23" i="38" a="1"/>
  <c r="D166" i="28" a="1"/>
  <c r="C17" i="29" a="1"/>
  <c r="D176" i="28" a="1"/>
  <c r="D25" i="38" a="1"/>
  <c r="E79" i="28" a="1"/>
  <c r="E204" i="28" a="1"/>
  <c r="ES22" i="29" a="1"/>
  <c r="D59" i="28" a="1"/>
  <c r="E159" i="28" a="1"/>
  <c r="H80" i="28" a="1"/>
  <c r="S25" i="40" a="1"/>
  <c r="B81" i="28" a="1"/>
  <c r="J16" i="40" a="1"/>
  <c r="G205" i="28" a="1"/>
  <c r="J21" i="29" a="1"/>
  <c r="B230" i="28" a="1"/>
  <c r="I7" i="28" a="1"/>
  <c r="F230" i="28" a="1"/>
  <c r="L11" i="38" a="1"/>
  <c r="D14" i="28" a="1"/>
  <c r="FA15" i="29" a="1"/>
  <c r="E60" i="28" a="1"/>
  <c r="N19" i="38" a="1"/>
  <c r="F303" i="28" a="1"/>
  <c r="D152" i="28" a="1"/>
  <c r="EC22" i="29" a="1"/>
  <c r="J8" i="28" a="1"/>
  <c r="C204" i="28" a="1"/>
  <c r="Z20" i="40" a="1"/>
  <c r="U8" i="40" a="1"/>
  <c r="F232" i="28" a="1"/>
  <c r="F192" i="28" a="1"/>
  <c r="EF13" i="29" a="1"/>
  <c r="D173" i="28" a="1"/>
  <c r="E21" i="40" a="1"/>
  <c r="O25" i="40" a="1"/>
  <c r="N27" i="38" a="1"/>
  <c r="D10" i="36" a="1"/>
  <c r="R27" i="40" a="1"/>
  <c r="F19" i="40" a="1"/>
  <c r="B321" i="28" a="1"/>
  <c r="H27" i="38" a="1"/>
  <c r="G10" i="38" a="1"/>
  <c r="I352" i="28" a="1"/>
  <c r="B158" i="28" a="1"/>
  <c r="C24" i="28" a="1"/>
  <c r="M19" i="38" a="1"/>
  <c r="E27" i="28" a="1"/>
  <c r="EB16" i="29" a="1"/>
  <c r="B304" i="28" a="1"/>
  <c r="U19" i="40" a="1"/>
  <c r="F33" i="28" a="1"/>
  <c r="ED13" i="29" a="1"/>
  <c r="B206" i="28" a="1"/>
  <c r="L16" i="40" a="1"/>
  <c r="ET22" i="29" a="1"/>
  <c r="O24" i="40" a="1"/>
  <c r="U21" i="40" a="1"/>
  <c r="U25" i="40" a="1"/>
  <c r="H103" i="28" a="1"/>
  <c r="B167" i="28" a="1"/>
  <c r="G94" i="28" a="1"/>
  <c r="C9" i="36" a="1"/>
  <c r="K12" i="40" a="1"/>
  <c r="C60" i="28" a="1"/>
  <c r="F198" i="28" a="1"/>
  <c r="F96" i="28" a="1"/>
  <c r="F91" i="28" a="1"/>
  <c r="E19" i="29" a="1"/>
  <c r="AA26" i="40" a="1"/>
  <c r="K9" i="40" a="1"/>
  <c r="C208" i="28" a="1"/>
  <c r="H20" i="29" a="1"/>
  <c r="R16" i="40" a="1"/>
  <c r="C159" i="28" a="1"/>
  <c r="U9" i="40" a="1"/>
  <c r="F86" i="28" a="1"/>
  <c r="BJ12" i="29" a="1"/>
  <c r="E166" i="28" a="1"/>
  <c r="B294" i="28" a="1"/>
  <c r="B204" i="28" a="1"/>
  <c r="BJ21" i="29" a="1"/>
  <c r="F104" i="28" a="1"/>
  <c r="O26" i="40" a="1"/>
  <c r="D20" i="36" a="1"/>
  <c r="C85" i="28" a="1"/>
  <c r="O18" i="38" a="1"/>
  <c r="E8" i="40" a="1"/>
  <c r="D5" i="36" a="1"/>
  <c r="Z21" i="40" a="1"/>
  <c r="U15" i="40" a="1"/>
  <c r="N24" i="38" a="1"/>
  <c r="I11" i="38" a="1"/>
  <c r="B7" i="28" a="1"/>
  <c r="D155" i="28" a="1"/>
  <c r="EF21" i="29" a="1"/>
  <c r="H22" i="38" a="1"/>
  <c r="E15" i="40" a="1"/>
  <c r="F228" i="28" a="1"/>
  <c r="O15" i="38" a="1"/>
  <c r="D8" i="36" a="1"/>
  <c r="M16" i="40" a="1"/>
  <c r="E21" i="29" a="1"/>
  <c r="B197" i="28" a="1"/>
  <c r="B104" i="28" a="1"/>
  <c r="F9" i="38" a="1"/>
  <c r="F89" i="28" a="1"/>
  <c r="B48" i="28" a="1"/>
  <c r="E93" i="28" a="1"/>
  <c r="AA20" i="40" a="1"/>
  <c r="E14" i="40" a="1"/>
  <c r="D17" i="38" a="1"/>
  <c r="P14" i="29" a="1"/>
  <c r="E18" i="40" a="1"/>
  <c r="O28" i="38" a="1"/>
  <c r="O12" i="38" a="1"/>
  <c r="B233" i="28" a="1"/>
  <c r="B27" i="36" a="1"/>
  <c r="S26" i="40" a="1"/>
  <c r="G82" i="28" a="1"/>
  <c r="F186" i="28" a="1"/>
  <c r="C42" i="28" a="1"/>
  <c r="H28" i="38" a="1"/>
  <c r="Q18" i="29" a="1"/>
  <c r="C189" i="28" a="1"/>
  <c r="E80" i="28" a="1"/>
  <c r="B296" i="28" a="1"/>
  <c r="B171" i="28" a="1"/>
  <c r="D150" i="28" a="1"/>
  <c r="G213" i="28" a="1"/>
  <c r="V20" i="40" a="1"/>
  <c r="C13" i="28" a="1"/>
  <c r="AA22" i="40" a="1"/>
  <c r="C16" i="29" a="1"/>
  <c r="D54" i="28" a="1"/>
  <c r="G24" i="28" a="1"/>
  <c r="B157" i="28" a="1"/>
  <c r="D30" i="28" a="1"/>
  <c r="R17" i="40" a="1"/>
  <c r="I9" i="38" a="1"/>
  <c r="E209" i="28" a="1"/>
  <c r="B320" i="28" a="1"/>
  <c r="O10" i="38" a="1"/>
  <c r="D79" i="28" a="1"/>
  <c r="B200" i="28" a="1"/>
  <c r="H9" i="40" a="1"/>
  <c r="B67" i="28" a="1"/>
  <c r="G100" i="28" a="1"/>
  <c r="W23" i="40" a="1"/>
  <c r="I13" i="29" a="1"/>
  <c r="F16" i="29" a="1"/>
  <c r="H355" i="28" a="1"/>
  <c r="E63" i="28" a="1"/>
  <c r="C98" i="28" a="1"/>
  <c r="H24" i="38" a="1"/>
  <c r="G22" i="38" a="1"/>
  <c r="D19" i="29" a="1"/>
  <c r="F22" i="29" a="1"/>
  <c r="Z10" i="40" a="1"/>
  <c r="C22" i="29" a="1"/>
  <c r="F98" i="28" a="1"/>
  <c r="D44" i="28" a="1"/>
  <c r="F12" i="38" a="1"/>
  <c r="D14" i="38" a="1"/>
  <c r="J12" i="40" a="1"/>
  <c r="B6" i="36" a="1"/>
  <c r="M23" i="38" a="1"/>
  <c r="T9" i="40" a="1"/>
  <c r="G16" i="40" a="1"/>
  <c r="H12" i="29" a="1"/>
  <c r="E61" i="28" a="1"/>
  <c r="D7" i="28" a="1"/>
  <c r="J16" i="29" a="1"/>
  <c r="K19" i="40" a="1"/>
  <c r="C230" i="28" a="1"/>
  <c r="M7" i="40" a="1"/>
  <c r="D25" i="40" a="1"/>
  <c r="B305" i="28" a="1"/>
  <c r="E249" i="28" a="1"/>
  <c r="I21" i="38" a="1"/>
  <c r="C318" i="28" a="1"/>
  <c r="C154" i="28" a="1"/>
  <c r="W20" i="40" a="1"/>
  <c r="O27" i="40" a="1"/>
  <c r="E242" i="28" a="1"/>
  <c r="F203" i="28" a="1"/>
  <c r="R9" i="40" a="1"/>
  <c r="E62" i="28" a="1"/>
  <c r="EA14" i="29" a="1"/>
  <c r="FA14" i="29" a="1"/>
  <c r="F13" i="28" a="1"/>
  <c r="B19" i="36" a="1"/>
  <c r="C62" i="28" a="1"/>
  <c r="O18" i="40" a="1"/>
  <c r="F6" i="28" a="1"/>
  <c r="E225" i="28" a="1"/>
  <c r="E24" i="28" a="1"/>
  <c r="E18" i="28" a="1"/>
  <c r="F23" i="38" a="1"/>
  <c r="B156" i="28" a="1"/>
  <c r="H96" i="28" a="1"/>
  <c r="S8" i="40" a="1"/>
  <c r="B25" i="36" a="1"/>
  <c r="E41" i="28" a="1"/>
  <c r="BH16" i="29" a="1"/>
  <c r="N11" i="38" a="1"/>
  <c r="BJ22" i="29" a="1"/>
  <c r="N8" i="38" a="1"/>
  <c r="C168" i="28" a="1"/>
  <c r="B303" i="28" a="1"/>
  <c r="O8" i="38" a="1"/>
  <c r="B193" i="28" a="1"/>
  <c r="F11" i="40" a="1"/>
  <c r="F19" i="38" a="1"/>
  <c r="C20" i="36" a="1"/>
  <c r="Q25" i="40" a="1"/>
  <c r="C95" i="28" a="1"/>
  <c r="F222" i="28" a="1"/>
  <c r="Q11" i="40" a="1"/>
  <c r="J17" i="29" a="1"/>
  <c r="C194" i="28" a="1"/>
  <c r="D353" i="28" a="1"/>
  <c r="G15" i="29" a="1"/>
  <c r="P24" i="40" a="1"/>
  <c r="C211" i="28" a="1"/>
  <c r="G7" i="28" a="1"/>
  <c r="J12" i="38" a="1"/>
  <c r="Z8" i="40" a="1"/>
  <c r="W22" i="40" a="1"/>
  <c r="Z17" i="40" a="1"/>
  <c r="C233" i="28" a="1"/>
  <c r="F25" i="28" a="1"/>
  <c r="B209" i="28" a="1"/>
  <c r="D190" i="28" a="1"/>
  <c r="B213" i="28" a="1"/>
  <c r="B208" i="28" a="1"/>
  <c r="Q17" i="29" a="1"/>
  <c r="B5" i="28" a="1"/>
  <c r="F244" i="28" a="1"/>
  <c r="E30" i="28" a="1"/>
  <c r="R12" i="40" a="1"/>
  <c r="F249" i="28" a="1"/>
  <c r="B199" i="28" a="1"/>
  <c r="G17" i="28" a="1"/>
  <c r="J19" i="28" a="1"/>
  <c r="EG18" i="29" a="1"/>
  <c r="D167" i="28" a="1"/>
  <c r="F95" i="28" a="1"/>
  <c r="D156" i="28" a="1"/>
  <c r="E22" i="28" a="1"/>
  <c r="E33" i="28" a="1"/>
  <c r="D19" i="28" a="1"/>
  <c r="F213" i="28" a="1"/>
  <c r="J9" i="40" a="1"/>
  <c r="FA20" i="29" a="1"/>
  <c r="AA25" i="40" a="1"/>
  <c r="F19" i="28" a="1"/>
  <c r="EG14" i="29" a="1"/>
  <c r="D14" i="36" a="1"/>
  <c r="J22" i="29" a="1"/>
  <c r="P17" i="29" a="1"/>
  <c r="J11" i="28" a="1"/>
  <c r="BH22" i="29" a="1"/>
  <c r="V25" i="40" a="1"/>
  <c r="J15" i="40" a="1"/>
  <c r="B227" i="28" a="1"/>
  <c r="E25" i="40" a="1"/>
  <c r="D19" i="38" a="1"/>
  <c r="C166" i="28" a="1"/>
  <c r="G11" i="38" a="1"/>
  <c r="B238" i="28" a="1"/>
  <c r="N17" i="38" a="1"/>
  <c r="E50" i="28" a="1"/>
  <c r="Z26" i="40" a="1"/>
  <c r="L19" i="38" a="1"/>
  <c r="G204" i="28" a="1"/>
  <c r="F211" i="28" a="1"/>
  <c r="C11" i="36" a="1"/>
  <c r="I23" i="40" a="1"/>
  <c r="EF16" i="29" a="1"/>
  <c r="B307" i="28" a="1"/>
  <c r="B166" i="28" a="1"/>
  <c r="B317" i="28" a="1"/>
  <c r="H100" i="28" a="1"/>
  <c r="C19" i="28" a="1"/>
  <c r="O13" i="38" a="1"/>
  <c r="E57" i="28" a="1"/>
  <c r="G189" i="28" a="1"/>
  <c r="C229" i="28" a="1"/>
  <c r="BI14" i="29" a="1"/>
  <c r="D8" i="40" a="1"/>
  <c r="D17" i="29" a="1"/>
  <c r="Q12" i="40" a="1"/>
  <c r="D9" i="40" a="1"/>
  <c r="AA27" i="40" a="1"/>
  <c r="C27" i="28" a="1"/>
  <c r="G8" i="45" a="1"/>
  <c r="C225" i="28" a="1"/>
  <c r="C238" i="28" a="1"/>
  <c r="B301" i="28" a="1"/>
  <c r="Q14" i="40" a="1"/>
  <c r="X9" i="40" a="1"/>
  <c r="I16" i="29" a="1"/>
  <c r="N28" i="38" a="1"/>
  <c r="G12" i="29" a="1"/>
  <c r="J20" i="40" a="1"/>
  <c r="B89" i="28" a="1"/>
  <c r="D78" i="28" a="1"/>
  <c r="F15" i="40" a="1"/>
  <c r="L18" i="40" a="1"/>
  <c r="W11" i="40" a="1"/>
  <c r="B32" i="36" a="1"/>
  <c r="EN18" i="29" a="1"/>
  <c r="J26" i="40" a="1"/>
  <c r="M18" i="40" a="1"/>
  <c r="R14" i="40" a="1"/>
  <c r="L7" i="40" a="1"/>
  <c r="B57" i="28" a="1"/>
  <c r="B313" i="28" a="1"/>
  <c r="I14" i="38" a="1"/>
  <c r="D93" i="28" a="1"/>
  <c r="G196" i="28" a="1"/>
  <c r="F210" i="28" a="1"/>
  <c r="E170" i="28" a="1"/>
  <c r="P22" i="29" a="1"/>
  <c r="B192" i="28" a="1"/>
  <c r="B20" i="28" a="1"/>
  <c r="G92" i="28" a="1"/>
  <c r="G89" i="28" a="1"/>
  <c r="J7" i="28" a="1"/>
  <c r="W16" i="40" a="1"/>
  <c r="X23" i="40" a="1"/>
  <c r="C22" i="28" a="1"/>
  <c r="B268" i="28" a="1"/>
  <c r="V19" i="40" a="1"/>
  <c r="F24" i="38" a="1"/>
  <c r="B168" i="28" a="1"/>
  <c r="I31" i="28" a="1"/>
  <c r="P21" i="29" a="1"/>
  <c r="H19" i="38" a="1"/>
  <c r="G27" i="38" a="1"/>
  <c r="S14" i="40" a="1"/>
  <c r="H20" i="38" a="1"/>
  <c r="BI19" i="29" a="1"/>
  <c r="G199" i="28" a="1"/>
  <c r="G20" i="28" a="1"/>
  <c r="X27" i="40" a="1"/>
  <c r="V9" i="40" a="1"/>
  <c r="T17" i="40" a="1"/>
  <c r="D12" i="38" a="1"/>
  <c r="B29" i="36" a="1"/>
  <c r="G21" i="29" a="1"/>
  <c r="D199" i="28" a="1"/>
  <c r="DE15" i="29" a="1"/>
  <c r="O11" i="40" a="1"/>
  <c r="C28" i="28" a="1"/>
  <c r="BK12" i="29" a="1"/>
  <c r="H23" i="40" a="1"/>
  <c r="BK20" i="29" a="1"/>
  <c r="D49" i="28" a="1"/>
  <c r="G24" i="40" a="1"/>
  <c r="F227" i="28" a="1"/>
  <c r="H13" i="38" a="1"/>
  <c r="J18" i="40" a="1"/>
  <c r="D69" i="28" a="1"/>
  <c r="C202" i="28" a="1"/>
  <c r="C237" i="28" a="1"/>
  <c r="J9" i="28" a="1"/>
  <c r="D15" i="28" a="1"/>
  <c r="G187" i="28" a="1"/>
  <c r="B295" i="28" a="1"/>
  <c r="BA22" i="29" a="1"/>
  <c r="H14" i="40" a="1"/>
  <c r="J22" i="38" a="1"/>
  <c r="S23" i="40" a="1"/>
  <c r="B33" i="28" a="1"/>
  <c r="E229" i="28" a="1"/>
  <c r="J24" i="38" a="1"/>
  <c r="M18" i="38" a="1"/>
  <c r="E185" i="28" a="1"/>
  <c r="C160" i="28" a="1"/>
  <c r="B223" i="28" a="1"/>
  <c r="B310" i="28" a="1"/>
  <c r="F208" i="28" a="1"/>
  <c r="F101" i="28" a="1"/>
  <c r="E6" i="28" a="1"/>
  <c r="F189" i="28" a="1"/>
  <c r="B5" i="36" a="1"/>
  <c r="D16" i="29" a="1"/>
  <c r="E12" i="28" a="1"/>
  <c r="N23" i="38" a="1"/>
  <c r="C50" i="28" a="1"/>
  <c r="G191" i="28" a="1"/>
  <c r="B14" i="28" a="1"/>
  <c r="AA24" i="40" a="1"/>
  <c r="F103" i="28" a="1"/>
  <c r="G186" i="28" a="1"/>
  <c r="E15" i="28" a="1"/>
  <c r="B87" i="28" a="1"/>
  <c r="S16" i="40" a="1"/>
  <c r="BH13" i="29" a="1"/>
  <c r="D21" i="29" a="1"/>
  <c r="E24" i="40" a="1"/>
  <c r="C52" i="28" a="1"/>
  <c r="E55" i="28" a="1"/>
  <c r="O8" i="40" a="1"/>
  <c r="E173" i="28" a="1"/>
  <c r="V11" i="40" a="1"/>
  <c r="D158" i="28" a="1"/>
  <c r="Q19" i="29" a="1"/>
  <c r="C242" i="28" a="1"/>
  <c r="EO19" i="29" a="1"/>
  <c r="BJ17" i="29" a="1"/>
  <c r="F97" i="28" a="1"/>
  <c r="W7" i="40" a="1"/>
  <c r="U11" i="40" a="1"/>
  <c r="B16" i="28" a="1"/>
  <c r="K20" i="40" a="1"/>
  <c r="R19" i="40" a="1"/>
  <c r="E169" i="28" a="1"/>
  <c r="D100" i="28" a="1"/>
  <c r="N9" i="38" a="1"/>
  <c r="I20" i="38" a="1"/>
  <c r="P27" i="40" a="1"/>
  <c r="D209" i="28" a="1"/>
  <c r="E69" i="28" a="1"/>
  <c r="J28" i="38" a="1"/>
  <c r="R10" i="40" a="1"/>
  <c r="B225" i="28" a="1"/>
  <c r="D211" i="28" a="1"/>
  <c r="H14" i="38" a="1"/>
  <c r="B319" i="28" a="1"/>
  <c r="C223" i="28" a="1"/>
  <c r="J30" i="28" a="1"/>
  <c r="D21" i="36" a="1"/>
  <c r="P9" i="40" a="1"/>
  <c r="F82" i="28" a="1"/>
  <c r="E189" i="28" a="1"/>
  <c r="B185" i="28" a="1"/>
  <c r="C198" i="28" a="1"/>
  <c r="M12" i="38" a="1"/>
  <c r="E318" i="28" a="1"/>
  <c r="J13" i="29" a="1"/>
  <c r="AA23" i="40" a="1"/>
  <c r="I27" i="40" a="1"/>
  <c r="D13" i="29" a="1"/>
  <c r="C18" i="29" a="1"/>
  <c r="K10" i="40" a="1"/>
  <c r="J14" i="28" a="1"/>
  <c r="D41" i="28" a="1"/>
  <c r="K25" i="40" a="1"/>
  <c r="D27" i="38" a="1"/>
  <c r="F248" i="28" a="1"/>
  <c r="EC19" i="29" a="1"/>
  <c r="L20" i="38" a="1"/>
  <c r="M17" i="38" a="1"/>
  <c r="C190" i="28" a="1"/>
  <c r="B226" i="28" a="1"/>
  <c r="G8" i="40" a="1"/>
  <c r="B188" i="28" a="1"/>
  <c r="C248" i="28" a="1"/>
  <c r="C26" i="36" a="1"/>
  <c r="C231" i="28" a="1"/>
  <c r="I18" i="28" a="1"/>
  <c r="E231" i="28" a="1"/>
  <c r="G21" i="38" a="1"/>
  <c r="J5" i="28" a="1"/>
  <c r="I8" i="28" a="1"/>
  <c r="M24" i="38" a="1"/>
  <c r="C87" i="28" a="1"/>
  <c r="H18" i="29" a="1"/>
  <c r="G78" i="28" a="1"/>
  <c r="C13" i="29" a="1"/>
  <c r="B28" i="28" a="1"/>
  <c r="F225" i="28" a="1"/>
  <c r="B207" i="28" a="1"/>
  <c r="C185" i="28" a="1"/>
  <c r="D9" i="38" a="1"/>
  <c r="G29" i="28" a="1"/>
  <c r="F90" i="28" a="1"/>
  <c r="C21" i="28" a="1"/>
  <c r="F26" i="38" a="1"/>
  <c r="C46" i="28" a="1"/>
  <c r="B316" i="28" a="1"/>
  <c r="C15" i="36" a="1"/>
  <c r="C19" i="29" a="1"/>
  <c r="D10" i="38" a="1"/>
  <c r="J28" i="28" a="1"/>
  <c r="I22" i="29" a="1"/>
  <c r="D28" i="36" a="1"/>
  <c r="L13" i="40" a="1"/>
  <c r="D16" i="40" a="1"/>
  <c r="X12" i="40" a="1"/>
  <c r="K24" i="40" a="1"/>
  <c r="L14" i="38" a="1"/>
  <c r="J10" i="28" a="1"/>
  <c r="B44" i="28" a="1"/>
  <c r="F239" i="28" a="1"/>
  <c r="E12" i="40" a="1"/>
  <c r="O13" i="40" a="1"/>
  <c r="T11" i="40" a="1"/>
  <c r="F10" i="40" a="1"/>
  <c r="J17" i="28" a="1"/>
  <c r="E26" i="28" a="1"/>
  <c r="C209" i="28" a="1"/>
  <c r="N10" i="38" a="1"/>
  <c r="M8" i="40" a="1"/>
  <c r="L27" i="40" a="1"/>
  <c r="C210" i="28" a="1"/>
  <c r="EG12" i="29" a="1"/>
  <c r="U14" i="40" a="1"/>
  <c r="C22" i="36" a="1"/>
  <c r="I16" i="28" a="1"/>
  <c r="H99" i="28" a="1"/>
  <c r="C212" i="28" a="1"/>
  <c r="F20" i="40" a="1"/>
  <c r="C69" i="28" a="1"/>
  <c r="DE18" i="29" a="1"/>
  <c r="B22" i="36" a="1"/>
  <c r="B177" i="28" a="1"/>
  <c r="B79" i="28" a="1"/>
  <c r="C176" i="28" a="1"/>
  <c r="S19" i="40" a="1"/>
  <c r="X14" i="40" a="1"/>
  <c r="BH14" i="29" a="1"/>
  <c r="S22" i="40" a="1"/>
  <c r="C26" i="28" a="1"/>
  <c r="G77" i="28" a="1"/>
  <c r="D14" i="29" a="1"/>
  <c r="D24" i="36" a="1"/>
  <c r="U23" i="40" a="1"/>
  <c r="E8" i="29" a="1"/>
  <c r="J27" i="28" a="1"/>
  <c r="R23" i="40" a="1"/>
  <c r="F28" i="28" a="1"/>
  <c r="B100" i="28" a="1"/>
  <c r="F194" i="28" a="1"/>
  <c r="V8" i="40" a="1"/>
  <c r="M27" i="38" a="1"/>
  <c r="B33" i="36" a="1"/>
  <c r="C14" i="36" a="1"/>
  <c r="BI16" i="29" a="1"/>
  <c r="V22" i="40" a="1"/>
  <c r="J27" i="38" a="1"/>
  <c r="Q10" i="40" a="1"/>
  <c r="L27" i="38" a="1"/>
  <c r="G80" i="28" a="1"/>
  <c r="D53" i="28" a="1"/>
  <c r="G17" i="38" a="1"/>
  <c r="D15" i="40" a="1"/>
  <c r="D94" i="28" a="1"/>
  <c r="E11" i="28" a="1"/>
  <c r="B160" i="28" a="1"/>
  <c r="D208" i="28" a="1"/>
  <c r="O22" i="40" a="1"/>
  <c r="G25" i="28" a="1"/>
  <c r="EN14" i="29" a="1"/>
  <c r="F185" i="28" a="1"/>
  <c r="E86" i="28" a="1"/>
  <c r="F15" i="38" a="1"/>
  <c r="F231" i="28" a="1"/>
  <c r="G16" i="29" a="1"/>
  <c r="EC14" i="29" a="1"/>
  <c r="V23" i="40" a="1"/>
  <c r="D204" i="28" a="1"/>
  <c r="C6" i="28" a="1"/>
  <c r="U27" i="40" a="1"/>
  <c r="C13" i="36" a="1"/>
  <c r="I25" i="38" a="1"/>
  <c r="B14" i="36" a="1"/>
  <c r="EN15" i="29" a="1"/>
  <c r="BC22" i="29" a="1"/>
  <c r="D86" i="28" a="1"/>
  <c r="F10" i="38" a="1"/>
  <c r="F243" i="28" a="1"/>
  <c r="C77" i="28" a="1"/>
  <c r="B151" i="28" a="1"/>
  <c r="B31" i="28" a="1"/>
  <c r="I16" i="38" a="1"/>
  <c r="C249" i="28" a="1"/>
  <c r="F235" i="28" a="1"/>
  <c r="I26" i="38" a="1"/>
  <c r="D177" i="28" a="1"/>
  <c r="EB19" i="29" a="1"/>
  <c r="DE16" i="29" a="1"/>
  <c r="F100" i="28" a="1"/>
  <c r="G28" i="28" a="1"/>
  <c r="B88" i="28" a="1"/>
  <c r="CL22" i="29" a="1"/>
  <c r="B311" i="28" a="1"/>
  <c r="H88" i="28" a="1"/>
  <c r="L11" i="40" a="1"/>
  <c r="C96" i="28" a="1"/>
  <c r="M26" i="40" a="1"/>
  <c r="O17" i="38" a="1"/>
  <c r="Q8" i="40" a="1"/>
  <c r="D97" i="28" a="1"/>
  <c r="C27" i="36" a="1"/>
  <c r="F247" i="28" a="1"/>
  <c r="E68" i="28" a="1"/>
  <c r="C271" i="28" a="1"/>
  <c r="K21" i="40" a="1"/>
  <c r="I11" i="40" a="1"/>
  <c r="I27" i="38" a="1"/>
  <c r="E84" i="28" a="1"/>
  <c r="I22" i="36" a="1"/>
  <c r="C94" i="28" a="1"/>
  <c r="F11" i="38" a="1"/>
  <c r="D62" i="28" a="1"/>
  <c r="E105" i="28" a="1"/>
  <c r="D20" i="29" a="1"/>
  <c r="D52" i="28" a="1"/>
  <c r="D25" i="36" a="1"/>
  <c r="P7" i="40" a="1"/>
  <c r="E20" i="29" a="1"/>
  <c r="ED19" i="29" a="1"/>
  <c r="E82" i="28" a="1"/>
  <c r="T21" i="40" a="1"/>
  <c r="P18" i="29" a="1"/>
  <c r="P11" i="40" a="1"/>
  <c r="C84" i="28" a="1"/>
  <c r="H16" i="40" a="1"/>
  <c r="G26" i="40" a="1"/>
  <c r="F24" i="28" a="1"/>
  <c r="I13" i="38" a="1"/>
  <c r="T18" i="40" a="1"/>
  <c r="H14" i="29" a="1"/>
  <c r="I25" i="28" a="1"/>
  <c r="F14" i="38" a="1"/>
  <c r="M22" i="29" a="1"/>
  <c r="F105" i="28" a="1"/>
  <c r="EN12" i="29" a="1"/>
  <c r="E56" i="28" a="1"/>
  <c r="O16" i="40" a="1"/>
  <c r="EA17" i="29" a="1"/>
  <c r="D318" i="28" a="1"/>
  <c r="EO18" i="29" a="1"/>
  <c r="B202" i="28" a="1"/>
  <c r="D16" i="28" a="1"/>
  <c r="V10" i="40" a="1"/>
  <c r="J32" i="28" a="1"/>
  <c r="E232" i="28" a="1"/>
  <c r="B47" i="28" a="1"/>
  <c r="J8" i="40" a="1"/>
  <c r="E19" i="40" a="1"/>
  <c r="I20" i="28" a="1"/>
  <c r="D160" i="28" a="1"/>
  <c r="W25" i="40" a="1"/>
  <c r="E18" i="29" a="1"/>
  <c r="J21" i="40" a="1"/>
  <c r="S22" i="29" a="1"/>
  <c r="D268" i="28" a="1"/>
  <c r="D103" i="28" a="1"/>
  <c r="G19" i="40" a="1"/>
  <c r="B95" i="28" a="1"/>
  <c r="B17" i="28" a="1"/>
  <c r="V15" i="40" a="1"/>
  <c r="I8" i="38" a="1"/>
  <c r="G13" i="38" a="1"/>
  <c r="C10" i="28" a="1"/>
  <c r="F87" i="28" a="1"/>
  <c r="B15" i="36" a="1"/>
  <c r="Q17" i="40" a="1"/>
  <c r="E32" i="28" a="1"/>
  <c r="D165" i="28" a="1"/>
  <c r="B170" i="28" a="1"/>
  <c r="J21" i="38" a="1"/>
  <c r="C165" i="28" a="1"/>
  <c r="DE21" i="29" a="1"/>
  <c r="J20" i="28" a="1"/>
  <c r="H26" i="38" a="1"/>
  <c r="E223" i="28" a="1"/>
  <c r="E54" i="28" a="1"/>
  <c r="E49" i="28" a="1"/>
  <c r="F26" i="28" a="1"/>
  <c r="F234" i="28" a="1"/>
  <c r="I30" i="28" a="1"/>
  <c r="H79" i="28" a="1"/>
  <c r="G96" i="28" a="1"/>
  <c r="C240" i="28" a="1"/>
  <c r="D22" i="29" a="1"/>
  <c r="B165" i="28" a="1"/>
  <c r="E16" i="29" a="1"/>
  <c r="F18" i="40" a="1"/>
  <c r="BJ19" i="29" a="1"/>
  <c r="H15" i="40" a="1"/>
  <c r="F19" i="29" a="1"/>
  <c r="F94" i="28" a="1"/>
  <c r="C25" i="36" a="1"/>
  <c r="F23" i="28" a="1"/>
  <c r="J7" i="40" a="1"/>
  <c r="FA22" i="29" a="1"/>
  <c r="C247" i="28" a="1"/>
  <c r="Z11" i="40" a="1"/>
  <c r="I9" i="40" a="1"/>
  <c r="G18" i="29" a="1"/>
  <c r="E174" i="28" a="1"/>
  <c r="B101" i="28" a="1"/>
  <c r="O15" i="40" a="1"/>
  <c r="F8" i="45" a="1"/>
  <c r="F200" i="28" a="1"/>
  <c r="D8" i="28" a="1"/>
  <c r="X19" i="40" a="1"/>
  <c r="B9" i="28" a="1"/>
  <c r="C23" i="28" a="1"/>
  <c r="D30" i="36" a="1"/>
  <c r="C377" i="28"/>
  <c r="Z13" i="40" a="1"/>
  <c r="L13" i="38" a="1"/>
  <c r="H16" i="29" a="1"/>
  <c r="E102" i="28" a="1"/>
  <c r="B52" i="28" a="1"/>
  <c r="D191" i="28" a="1"/>
  <c r="X24" i="40" a="1"/>
  <c r="CM22" i="29" a="1"/>
  <c r="G203" i="28" a="1"/>
  <c r="G104" i="28" a="1"/>
  <c r="O17" i="40" a="1"/>
  <c r="C21" i="29" a="1"/>
  <c r="B80" i="28" a="1"/>
  <c r="C68" i="28" a="1"/>
  <c r="D22" i="38" a="1"/>
  <c r="P8" i="40" a="1"/>
  <c r="X18" i="40" a="1"/>
  <c r="Z14" i="40" a="1"/>
  <c r="C45" i="28" a="1"/>
  <c r="BH18" i="29" a="1"/>
  <c r="B176" i="28" a="1"/>
  <c r="C187" i="28" a="1"/>
  <c r="D91" i="28" a="1"/>
  <c r="I18" i="40" a="1"/>
  <c r="B298" i="28" a="1"/>
  <c r="E172" i="28" a="1"/>
  <c r="D14" i="40" a="1"/>
  <c r="D27" i="36" a="1"/>
  <c r="D56" i="28" a="1"/>
  <c r="F14" i="29" a="1"/>
  <c r="G27" i="40" a="1"/>
  <c r="T25" i="40" a="1"/>
  <c r="X13" i="40" a="1"/>
  <c r="Q13" i="29" a="1"/>
  <c r="B10" i="28" a="1"/>
  <c r="C303" i="28" a="1"/>
  <c r="L9" i="40" a="1"/>
  <c r="L19" i="40" a="1"/>
  <c r="D11" i="36" a="1"/>
  <c r="H17" i="40" a="1"/>
  <c r="F188" i="28" a="1"/>
  <c r="O20" i="40" a="1"/>
  <c r="Z22" i="40" a="1"/>
  <c r="C188" i="28" a="1"/>
  <c r="B83" i="28" a="1"/>
  <c r="BI17" i="29" a="1"/>
  <c r="D8" i="38" a="1"/>
  <c r="L26" i="38" a="1"/>
  <c r="F85" i="28" a="1"/>
  <c r="E58" i="28" a="1"/>
  <c r="B221" i="28" a="1"/>
  <c r="EG13" i="29" a="1"/>
  <c r="T8" i="40" a="1"/>
  <c r="EA12" i="29" a="1"/>
  <c r="D10" i="28" a="1"/>
  <c r="Z27" i="40" a="1"/>
  <c r="X21" i="40" a="1"/>
  <c r="U7" i="40" a="1"/>
  <c r="B343" i="28" a="1"/>
  <c r="B94" i="28" a="1"/>
  <c r="H81" i="28" a="1"/>
  <c r="E66" i="28" a="1"/>
  <c r="F25" i="40" a="1"/>
  <c r="D151" i="28" a="1"/>
  <c r="G212" i="28" a="1"/>
  <c r="C16" i="28" a="1"/>
  <c r="L16" i="38" a="1"/>
  <c r="D32" i="36" a="1"/>
  <c r="D9" i="28" a="1"/>
  <c r="D47" i="28" a="1"/>
  <c r="F83" i="28" a="1"/>
  <c r="E177" i="28" a="1"/>
  <c r="D82" i="28" a="1"/>
  <c r="L26" i="40" a="1"/>
  <c r="P15" i="40" a="1"/>
  <c r="F12" i="29" a="1"/>
  <c r="C151" i="28" a="1"/>
  <c r="E10" i="40" a="1"/>
  <c r="L9" i="38" a="1"/>
  <c r="C16" i="36" a="1"/>
  <c r="D169" i="28" a="1"/>
  <c r="I17" i="38" a="1"/>
  <c r="E202" i="28" a="1"/>
  <c r="D84" i="28" a="1"/>
  <c r="G87" i="28" a="1"/>
  <c r="F20" i="29" a="1"/>
  <c r="L22" i="29" a="1"/>
  <c r="D11" i="40" a="1"/>
  <c r="C103" i="28" a="1"/>
  <c r="F27" i="28" a="1"/>
  <c r="BJ16" i="29" a="1"/>
  <c r="I33" i="28" a="1"/>
  <c r="U17" i="40" a="1"/>
  <c r="Q22" i="29" a="1"/>
  <c r="BW22" i="29" a="1"/>
  <c r="E16" i="40" a="1"/>
  <c r="F207" i="28" a="1"/>
  <c r="F102" i="28" a="1"/>
  <c r="C41" i="28" a="1"/>
  <c r="BH17" i="29" a="1"/>
  <c r="F78" i="28" a="1"/>
  <c r="U26" i="40" a="1"/>
  <c r="O24" i="38" a="1"/>
  <c r="EC20" i="29" a="1"/>
  <c r="B49" i="28" a="1"/>
  <c r="H85" i="28" a="1"/>
  <c r="FA18" i="29" a="1"/>
  <c r="E196" i="28" a="1"/>
  <c r="O19" i="40" a="1"/>
  <c r="U13" i="40" a="1"/>
  <c r="B7" i="36" a="1"/>
  <c r="G98" i="28" a="1"/>
  <c r="I14" i="29" a="1"/>
  <c r="E8" i="45" a="1"/>
  <c r="D15" i="38" a="1"/>
  <c r="J13" i="40" a="1"/>
  <c r="O14" i="40" a="1"/>
  <c r="D28" i="38" a="1"/>
  <c r="G22" i="28" a="1"/>
  <c r="M11" i="40" a="1"/>
  <c r="F205" i="28" a="1"/>
  <c r="D19" i="36" a="1"/>
  <c r="H11" i="40" a="1"/>
  <c r="D42" i="28" a="1"/>
  <c r="D101" i="28" a="1"/>
  <c r="G33" i="28" a="1"/>
  <c r="D207" i="28" a="1"/>
  <c r="W19" i="40" a="1"/>
  <c r="E19" i="28" a="1"/>
  <c r="D205" i="28" a="1"/>
  <c r="C100" i="28" a="1"/>
  <c r="E153" i="28" a="1"/>
  <c r="C195" i="28" a="1"/>
  <c r="I9" i="28" a="1"/>
  <c r="G93" i="28" a="1"/>
  <c r="E201" i="28" a="1"/>
  <c r="EG16" i="29" a="1"/>
  <c r="G22" i="29" a="1"/>
  <c r="E343" i="28" a="1"/>
  <c r="D5" i="28" a="1"/>
  <c r="N26" i="38" a="1"/>
  <c r="H21" i="38" a="1"/>
  <c r="G25" i="40" a="1"/>
  <c r="C172" i="28" a="1"/>
  <c r="B377" i="28"/>
  <c r="E239" i="28" a="1"/>
  <c r="C9" i="28" a="1"/>
  <c r="D174" i="28" a="1"/>
  <c r="BI13" i="29" a="1"/>
  <c r="F221" i="28" a="1"/>
  <c r="F8" i="28" a="1"/>
  <c r="N18" i="38" a="1"/>
  <c r="E171" i="28" a="1"/>
  <c r="E211" i="28" a="1"/>
  <c r="D104" i="28" a="1"/>
  <c r="D168" i="28" a="1"/>
  <c r="E238" i="28" a="1"/>
  <c r="C192" i="28" a="1"/>
  <c r="EA20" i="29" a="1"/>
  <c r="H93" i="28" a="1"/>
  <c r="B17" i="36" a="1"/>
  <c r="BJ18" i="29" a="1"/>
  <c r="K7" i="40" a="1"/>
  <c r="J9" i="38" a="1"/>
  <c r="F226" i="28" a="1"/>
  <c r="C244" i="28" a="1"/>
  <c r="AA13" i="40" a="1"/>
  <c r="D210" i="28" a="1"/>
  <c r="EF22" i="29" a="1"/>
  <c r="B299" i="28" a="1"/>
  <c r="C61" i="28" a="1"/>
  <c r="B21" i="28" a="1"/>
  <c r="E195" i="28" a="1"/>
  <c r="G27" i="28" a="1"/>
  <c r="E149" i="28" a="1"/>
  <c r="K22" i="40" a="1"/>
  <c r="J24" i="28" a="1"/>
  <c r="C20" i="28" a="1"/>
  <c r="K16" i="40" a="1"/>
  <c r="Q15" i="29" a="1"/>
  <c r="C31" i="36" a="1"/>
  <c r="O20" i="38" a="1"/>
  <c r="BK17" i="29" a="1"/>
  <c r="B30" i="36" a="1"/>
  <c r="H16" i="38" a="1"/>
  <c r="F7" i="28" a="1"/>
  <c r="Z12" i="40" a="1"/>
  <c r="EI22" i="29" a="1"/>
  <c r="B18" i="36" a="1"/>
  <c r="J25" i="28" a="1"/>
  <c r="F21" i="40" a="1"/>
  <c r="E101" i="28" a="1"/>
  <c r="D18" i="29" a="1"/>
  <c r="J22" i="28" a="1"/>
  <c r="CK22" i="29" a="1"/>
  <c r="D32" i="28" a="1"/>
  <c r="I21" i="40" a="1"/>
  <c r="G101" i="28" a="1"/>
  <c r="F17" i="40" a="1"/>
  <c r="D13" i="28" a="1"/>
  <c r="EF20" i="29" a="1"/>
  <c r="B25" i="28" a="1"/>
  <c r="G22" i="40" a="1"/>
  <c r="G193" i="28" a="1"/>
  <c r="C97" i="28" a="1"/>
  <c r="C89" i="28" a="1"/>
  <c r="C102" i="28" a="1"/>
  <c r="C99" i="28" a="1"/>
  <c r="Q21" i="29" a="1"/>
  <c r="E163" i="28" a="1"/>
  <c r="I28" i="38" a="1"/>
  <c r="G86" i="28" a="1"/>
  <c r="B203" i="28" a="1"/>
  <c r="O16" i="38" a="1"/>
  <c r="K13" i="40" a="1"/>
  <c r="S13" i="40" a="1"/>
  <c r="G19" i="29" a="1"/>
  <c r="E47" i="28" a="1"/>
  <c r="F204" i="28" a="1"/>
  <c r="F193" i="28" a="1"/>
  <c r="F10" i="28" a="1"/>
  <c r="C17" i="28" a="1"/>
  <c r="W18" i="40" a="1"/>
  <c r="F233" i="28" a="1"/>
  <c r="G190" i="28" a="1"/>
  <c r="B318" i="28" a="1"/>
  <c r="G13" i="29" a="1"/>
  <c r="EE13" i="29" a="1"/>
  <c r="C79" i="28" a="1"/>
  <c r="M25" i="40" a="1"/>
  <c r="C15" i="28" a="1"/>
  <c r="B78" i="28" a="1"/>
  <c r="D26" i="36" a="1"/>
  <c r="E205" i="28" a="1"/>
  <c r="E164" i="28" a="1"/>
  <c r="E190" i="28" a="1"/>
  <c r="W24" i="40" a="1"/>
  <c r="B103" i="28" a="1"/>
  <c r="I22" i="38" a="1"/>
  <c r="F209" i="28" a="1"/>
  <c r="D212" i="28" a="1"/>
  <c r="J31" i="28" a="1"/>
  <c r="EA19" i="29" a="1"/>
  <c r="L14" i="40" a="1"/>
  <c r="F27" i="38" a="1"/>
  <c r="B201" i="28" a="1"/>
  <c r="EC21" i="29" a="1"/>
  <c r="D271" i="28" a="1"/>
  <c r="L24" i="40" a="1"/>
  <c r="G24" i="38" a="1"/>
  <c r="C196" i="28" a="1"/>
  <c r="E198" i="28" a="1"/>
  <c r="BK18" i="29" a="1"/>
  <c r="E11" i="40" a="1"/>
  <c r="F31" i="28" a="1"/>
  <c r="BK15" i="29" a="1"/>
  <c r="G16" i="38" a="1"/>
  <c r="F92" i="28" a="1"/>
  <c r="EG17" i="29" a="1"/>
  <c r="D27" i="40" a="1"/>
  <c r="B232" i="28" a="1"/>
  <c r="B302" i="28" a="1"/>
  <c r="BT22" i="29" a="1"/>
  <c r="EE19" i="29" a="1"/>
  <c r="F13" i="29" a="1"/>
  <c r="W10" i="40" a="1"/>
  <c r="G9" i="38" a="1"/>
  <c r="S27" i="40" a="1"/>
  <c r="EN20" i="29" a="1"/>
  <c r="I20" i="29" a="1"/>
  <c r="C48" i="28" a="1"/>
  <c r="J16" i="38" a="1"/>
  <c r="D196" i="28" a="1"/>
  <c r="E26" i="40" a="1"/>
  <c r="D200" i="28" a="1"/>
  <c r="E22" i="29" a="1"/>
  <c r="I20" i="40" a="1"/>
  <c r="J22" i="40" a="1"/>
  <c r="B240" i="28" a="1"/>
  <c r="D67" i="28" a="1"/>
  <c r="I5" i="28" a="1"/>
  <c r="D105" i="28" a="1"/>
  <c r="I12" i="40" a="1"/>
  <c r="G15" i="28" a="1"/>
  <c r="B247" i="28" a="1"/>
  <c r="R15" i="40" a="1"/>
  <c r="F32" i="28" a="1"/>
  <c r="B96" i="28" a="1"/>
  <c r="O14" i="38" a="1"/>
  <c r="B244" i="28" a="1"/>
  <c r="B300" i="28" a="1"/>
  <c r="F206" i="28" a="1"/>
  <c r="H97" i="28" a="1"/>
  <c r="T13" i="40" a="1"/>
  <c r="I10" i="38" a="1"/>
  <c r="AA8" i="40" a="1"/>
  <c r="I16" i="40" a="1"/>
  <c r="J19" i="38" a="1"/>
  <c r="W27" i="40" a="1"/>
  <c r="H89" i="28" a="1"/>
  <c r="G202" i="28" a="1"/>
  <c r="C66" i="28" a="1"/>
  <c r="B242" i="28" a="1"/>
  <c r="Q21" i="40" a="1"/>
  <c r="G8" i="28" a="1"/>
  <c r="G17" i="29" a="1"/>
  <c r="D198" i="28" a="1"/>
  <c r="I12" i="29" a="1"/>
  <c r="F242" i="28" a="1"/>
  <c r="F15" i="28" a="1"/>
  <c r="E25" i="28" a="1"/>
  <c r="DE22" i="29" a="1"/>
  <c r="P19" i="40" a="1"/>
  <c r="FA12" i="29" a="1"/>
  <c r="S15" i="40" a="1"/>
  <c r="K26" i="40" a="1"/>
  <c r="K23" i="40" a="1"/>
  <c r="B234" i="28" a="1"/>
  <c r="EO12" i="29" a="1"/>
  <c r="C93" i="28" a="1"/>
  <c r="D164" i="28" a="1"/>
  <c r="EO15" i="29" a="1"/>
  <c r="U10" i="40" a="1"/>
  <c r="L21" i="40" a="1"/>
  <c r="C47" i="28" a="1"/>
  <c r="H10" i="38" a="1"/>
  <c r="D7" i="40" a="1"/>
  <c r="B92" i="28" a="1"/>
  <c r="I14" i="28" a="1"/>
  <c r="X26" i="40" a="1"/>
  <c r="C373" i="28"/>
  <c r="BK14" i="29" a="1"/>
  <c r="B23" i="28" a="1"/>
  <c r="W13" i="40" a="1"/>
  <c r="E241" i="28" a="1"/>
  <c r="H91" i="28" a="1"/>
  <c r="N12" i="38" a="1"/>
  <c r="ED22" i="29" a="1"/>
  <c r="E28" i="28" a="1"/>
  <c r="EF19" i="29" a="1"/>
  <c r="F20" i="38" a="1"/>
  <c r="S12" i="40" a="1"/>
  <c r="E9" i="40" a="1"/>
  <c r="H98" i="28" a="1"/>
  <c r="H13" i="40" a="1"/>
  <c r="S20" i="40" a="1"/>
  <c r="Z23" i="40" a="1"/>
  <c r="J24" i="40" a="1"/>
  <c r="E168" i="28" a="1"/>
  <c r="I16" i="36" a="1"/>
  <c r="B26" i="36" a="1"/>
  <c r="EB14" i="29" a="1"/>
  <c r="J10" i="38" a="1"/>
  <c r="G10" i="40" a="1"/>
  <c r="G20" i="38" a="1"/>
  <c r="C29" i="36" a="1"/>
  <c r="C58" i="28" a="1"/>
  <c r="B93" i="28" a="1"/>
  <c r="Q16" i="40" a="1"/>
  <c r="D23" i="36" a="1"/>
  <c r="D99" i="28" a="1"/>
  <c r="D13" i="36" a="1"/>
  <c r="D26" i="28" a="1"/>
  <c r="G185" i="28" a="1"/>
  <c r="W14" i="40" a="1"/>
  <c r="H17" i="29" a="1"/>
  <c r="D193" i="28" a="1"/>
  <c r="C200" i="28" a="1"/>
  <c r="C53" i="28" a="1"/>
  <c r="B224" i="28" a="1"/>
  <c r="BH21" i="29" a="1"/>
  <c r="D20" i="38" a="1"/>
  <c r="P22" i="40" a="1"/>
  <c r="G12" i="40" a="1"/>
  <c r="C173" i="28" a="1"/>
  <c r="J18" i="29" a="1"/>
  <c r="B26" i="28" a="1"/>
  <c r="B69" i="28" a="1"/>
  <c r="D21" i="40" a="1"/>
  <c r="J33" i="28" a="1"/>
  <c r="E96" i="28" a="1"/>
  <c r="EC17" i="29" a="1"/>
  <c r="B315" i="28" a="1"/>
  <c r="FA19" i="29" a="1"/>
  <c r="D185" i="28" a="1"/>
  <c r="B68" i="28" a="1"/>
  <c r="L12" i="40" a="1"/>
  <c r="E210" i="28" a="1"/>
  <c r="I19" i="28" a="1"/>
  <c r="EN21" i="29" a="1"/>
  <c r="B59" i="28" a="1"/>
  <c r="B97" i="28" a="1"/>
  <c r="D95" i="28" a="1"/>
  <c r="B191" i="28" a="1"/>
  <c r="D24" i="38" a="1"/>
  <c r="C29" i="28" a="1"/>
  <c r="E104" i="28" a="1"/>
  <c r="C241" i="28" a="1"/>
  <c r="J11" i="40" a="1"/>
  <c r="B13" i="28" a="1"/>
  <c r="C33" i="36" a="1"/>
  <c r="J12" i="29" a="1"/>
  <c r="I19" i="40" a="1"/>
  <c r="EB18" i="29" a="1"/>
  <c r="B235" i="28" a="1"/>
  <c r="D33" i="28" a="1"/>
  <c r="B62" i="28" a="1"/>
  <c r="B28" i="36" a="1"/>
  <c r="C20" i="29" a="1"/>
  <c r="B54" i="28" a="1"/>
  <c r="C64" i="28" a="1"/>
  <c r="C191" i="28" a="1"/>
  <c r="D163" i="28" a="1"/>
  <c r="G99" i="28" a="1"/>
  <c r="C83" i="28" a="1"/>
  <c r="E165" i="28" a="1"/>
  <c r="B16" i="36" a="1"/>
  <c r="M22" i="38" a="1"/>
  <c r="D194" i="28" a="1"/>
  <c r="AA17" i="40" a="1"/>
  <c r="EE15" i="29" a="1"/>
  <c r="FA21" i="29" a="1"/>
  <c r="Q22" i="40" a="1"/>
  <c r="P13" i="40" a="1"/>
  <c r="B186" i="28" a="1"/>
  <c r="E243" i="28" a="1"/>
  <c r="C86" i="28" a="1"/>
  <c r="D18" i="36" a="1"/>
  <c r="EE14" i="29" a="1"/>
  <c r="J23" i="40" a="1"/>
  <c r="I28" i="28" a="1"/>
  <c r="BH19" i="29" a="1"/>
  <c r="C155" i="28" a="1"/>
  <c r="L12" i="38" a="1"/>
  <c r="C163" i="28" a="1"/>
  <c r="L21" i="38" a="1"/>
  <c r="E13" i="28" a="1"/>
  <c r="H8" i="38" a="1"/>
  <c r="DE17" i="29" a="1"/>
  <c r="F21" i="28" a="1"/>
  <c r="ED14" i="29" a="1"/>
  <c r="J16" i="28" a="1"/>
  <c r="C197" i="28" a="1"/>
  <c r="B241" i="28" a="1"/>
  <c r="F14" i="40" a="1"/>
  <c r="H383" i="28" a="1"/>
  <c r="D170" i="28" a="1"/>
  <c r="D81" i="28" a="1"/>
  <c r="V14" i="40" a="1"/>
  <c r="E227" i="28" a="1"/>
  <c r="O27" i="38" a="1"/>
  <c r="I19" i="29" a="1"/>
  <c r="D31" i="36" a="1"/>
  <c r="EC13" i="29" a="1"/>
  <c r="F224" i="28" a="1"/>
  <c r="G12" i="38" a="1"/>
  <c r="BK22" i="29" a="1"/>
  <c r="C82" i="28" a="1"/>
  <c r="D26" i="38" a="1"/>
  <c r="C32" i="36" a="1"/>
  <c r="EE16" i="29" a="1"/>
  <c r="X25" i="40" a="1"/>
  <c r="G207" i="28" a="1"/>
  <c r="B174" i="28" a="1"/>
  <c r="D31" i="28" a="1"/>
  <c r="EO16" i="29" a="1"/>
  <c r="C81" i="28" a="1"/>
  <c r="B84" i="28" a="1"/>
  <c r="D58" i="28" a="1"/>
  <c r="F21" i="38" a="1"/>
  <c r="O9" i="38" a="1"/>
  <c r="E244" i="28" a="1"/>
  <c r="D9" i="36" a="1"/>
  <c r="D6" i="28" a="1"/>
  <c r="I22" i="28" a="1"/>
  <c r="I6" i="28" a="1"/>
  <c r="T20" i="40" a="1"/>
  <c r="E152" i="28" a="1"/>
  <c r="EF15" i="29" a="1"/>
  <c r="D203" i="28" a="1"/>
  <c r="O21" i="40" a="1"/>
  <c r="E175" i="28" a="1"/>
  <c r="C54" i="28" a="1"/>
  <c r="G18" i="38" a="1"/>
  <c r="F81" i="28" a="1"/>
  <c r="M11" i="38" a="1"/>
  <c r="EG22" i="29" a="1"/>
  <c r="B55" i="28" a="1"/>
  <c r="C10" i="36" a="1"/>
  <c r="P10" i="40" a="1"/>
  <c r="H7" i="40" a="1"/>
  <c r="C193" i="28" a="1"/>
  <c r="O22" i="38" a="1"/>
  <c r="E247" i="28" a="1"/>
  <c r="C224" i="28" a="1"/>
  <c r="E156" i="28" a="1"/>
  <c r="C14" i="28" a="1"/>
  <c r="B45" i="28" a="1"/>
  <c r="B12" i="36" a="1"/>
  <c r="D63" i="28" a="1"/>
  <c r="E176" i="28" a="1"/>
  <c r="EC12" i="29" a="1"/>
  <c r="D46" i="28" a="1"/>
  <c r="D89" i="28" a="1"/>
  <c r="X11" i="40" a="1"/>
  <c r="G9" i="28" a="1"/>
  <c r="C152" i="28" a="1"/>
  <c r="L23" i="38" a="1"/>
  <c r="L20" i="40" a="1"/>
  <c r="G103" i="28" a="1"/>
  <c r="BK21" i="29" a="1"/>
  <c r="H21" i="40" a="1"/>
  <c r="E230" i="28" a="1"/>
  <c r="M28" i="38" a="1"/>
  <c r="E13" i="40" a="1"/>
  <c r="N13" i="38" a="1"/>
  <c r="BJ14" i="29" a="1"/>
  <c r="C59" i="28" a="1"/>
  <c r="EF18" i="29" a="1"/>
  <c r="C119" i="28" a="1"/>
  <c r="K22" i="29" a="1"/>
  <c r="G31" i="28" a="1"/>
  <c r="E20" i="28" a="1"/>
  <c r="B189" i="28" a="1"/>
  <c r="E27" i="40" a="1"/>
  <c r="G11" i="28" a="1"/>
  <c r="E48" i="28" a="1"/>
  <c r="U22" i="29" a="1"/>
  <c r="F199" i="28" a="1"/>
  <c r="D22" i="36" a="1"/>
  <c r="I27" i="28" a="1"/>
  <c r="G88" i="28" a="1"/>
  <c r="G20" i="29" a="1"/>
  <c r="D20" i="28" a="1"/>
  <c r="H20" i="40" a="1"/>
  <c r="ED20" i="29" a="1"/>
  <c r="BI22" i="29" a="1"/>
  <c r="G194" i="28" a="1"/>
  <c r="B154" i="28" a="1"/>
  <c r="DE20" i="29" a="1"/>
  <c r="C164" i="28" a="1"/>
  <c r="S24" i="40" a="1"/>
  <c r="E20" i="40" a="1"/>
  <c r="E43" i="28" a="1"/>
  <c r="M27" i="40" a="1"/>
  <c r="I17" i="40" a="1"/>
  <c r="F14" i="45" a="1"/>
  <c r="D60" i="28" a="1"/>
  <c r="J20" i="29" a="1"/>
  <c r="C6" i="36" a="1"/>
  <c r="AA14" i="40" a="1"/>
  <c r="E59" i="28" a="1"/>
  <c r="F20" i="28" a="1"/>
  <c r="FA13" i="29" a="1"/>
  <c r="F18" i="38" a="1"/>
  <c r="DE12" i="29" a="1"/>
  <c r="EC18" i="29" a="1"/>
  <c r="B98" i="28" a="1"/>
  <c r="P20" i="29" a="1"/>
  <c r="F9" i="28" a="1"/>
  <c r="B190" i="28" a="1"/>
  <c r="J25" i="40" a="1"/>
  <c r="F22" i="28" a="1"/>
  <c r="N25" i="38" a="1"/>
  <c r="C104" i="28" a="1"/>
  <c r="E154" i="28" a="1"/>
  <c r="F18" i="29" a="1"/>
  <c r="M19" i="40" a="1"/>
  <c r="BH15" i="29" a="1"/>
  <c r="EE22" i="29" a="1"/>
  <c r="EA16" i="29" a="1"/>
  <c r="E248" i="28" a="1"/>
  <c r="BJ20" i="29" a="1"/>
  <c r="U20" i="40" a="1"/>
  <c r="B159" i="28" a="1"/>
  <c r="E13" i="29" a="1"/>
  <c r="M17" i="40" a="1"/>
  <c r="E92" i="28" a="1"/>
  <c r="C33" i="28" a="1"/>
  <c r="D157" i="28" a="1"/>
  <c r="J25" i="38" a="1"/>
  <c r="N14" i="38" a="1"/>
  <c r="N22" i="29" a="1"/>
  <c r="B308" i="28" a="1"/>
  <c r="M21" i="40" a="1"/>
  <c r="D213" i="28" a="1"/>
  <c r="E222" i="28" a="1"/>
  <c r="E193" i="28" a="1"/>
  <c r="W26" i="40" a="1"/>
  <c r="E51" i="28" a="1"/>
  <c r="T15" i="40" a="1"/>
  <c r="D22" i="28" a="1"/>
  <c r="EE20" i="29" a="1"/>
  <c r="B162" i="28" a="1"/>
  <c r="E10" i="28" a="1"/>
  <c r="EN19" i="29" a="1"/>
  <c r="C88" i="28" a="1"/>
  <c r="EA22" i="29" a="1"/>
  <c r="R22" i="40" a="1"/>
  <c r="C67" i="28" a="1"/>
  <c r="G85" i="28" a="1"/>
  <c r="B18" i="28" a="1"/>
  <c r="D11" i="38" a="1"/>
  <c r="F22" i="40" a="1"/>
  <c r="O23" i="40" a="1"/>
  <c r="D64" i="28" a="1"/>
  <c r="B46" i="28" a="1"/>
  <c r="P26" i="40" a="1"/>
  <c r="D55" i="28" a="1"/>
  <c r="G79" i="28" a="1"/>
  <c r="C156" i="28" a="1"/>
  <c r="Q12" i="29" a="1"/>
  <c r="J14" i="38" a="1"/>
  <c r="E14" i="28" a="1"/>
  <c r="E224" i="28" a="1"/>
  <c r="L10" i="38" a="1"/>
  <c r="ED21" i="29" a="1"/>
  <c r="D16" i="36" a="1"/>
  <c r="E88" i="28" a="1"/>
  <c r="V22" i="29" a="1"/>
  <c r="B21" i="36" a="1"/>
  <c r="E157" i="28" a="1"/>
  <c r="B161" i="28" a="1"/>
  <c r="B149" i="28" a="1"/>
  <c r="C186" i="28" a="1"/>
  <c r="E158" i="28" a="1"/>
  <c r="T12" i="40" a="1"/>
  <c r="W17" i="40" a="1"/>
  <c r="F14" i="28" a="1"/>
  <c r="G200" i="28" a="1"/>
  <c r="H90" i="28" a="1"/>
  <c r="I24" i="28" a="1"/>
  <c r="D14" i="45" a="1"/>
  <c r="O10" i="40" a="1"/>
  <c r="M13" i="38" a="1"/>
  <c r="M14" i="40" a="1"/>
  <c r="H104" i="28" a="1"/>
  <c r="E95" i="28" a="1"/>
  <c r="I18" i="38" a="1"/>
  <c r="B61" i="28" a="1"/>
  <c r="D13" i="40" a="1"/>
  <c r="F196" i="28" a="1"/>
  <c r="L18" i="38" a="1"/>
  <c r="Z16" i="40" a="1"/>
  <c r="E12" i="29" a="1"/>
  <c r="E213" i="28" a="1"/>
  <c r="E15" i="29" a="1"/>
  <c r="D149" i="28" a="1"/>
  <c r="L23" i="40" a="1"/>
  <c r="E52" i="28" a="1"/>
  <c r="F13" i="38" a="1"/>
  <c r="D48" i="28" a="1"/>
  <c r="EG15" i="29" a="1"/>
  <c r="BU22" i="29" a="1"/>
  <c r="L25" i="40" a="1"/>
  <c r="B41" i="28" a="1"/>
  <c r="G5" i="28" a="1"/>
  <c r="T24" i="40" a="1"/>
  <c r="E22" i="40" a="1"/>
  <c r="B63" i="28" a="1"/>
  <c r="H25" i="38" a="1"/>
  <c r="C78" i="28" a="1"/>
  <c r="EB17" i="29" a="1"/>
  <c r="ED18" i="29" a="1"/>
  <c r="H22" i="40" a="1"/>
  <c r="EN13" i="29" a="1"/>
  <c r="E237" i="28" a="1"/>
  <c r="E228" i="28" a="1"/>
  <c r="E83" i="28" a="1"/>
  <c r="E194" i="28" a="1"/>
  <c r="V16" i="40" a="1"/>
  <c r="S7" i="40" a="1"/>
  <c r="Q18" i="40" a="1"/>
  <c r="H82" i="28" a="1"/>
  <c r="D23" i="28" a="1"/>
  <c r="B8" i="36" a="1"/>
  <c r="J20" i="38" a="1"/>
  <c r="C222" i="28" a="1"/>
  <c r="G188" i="28" a="1"/>
  <c r="M23" i="40" a="1"/>
  <c r="C170" i="28" a="1"/>
  <c r="C207" i="28" a="1"/>
  <c r="I15" i="38" a="1"/>
  <c r="G25" i="38" a="1"/>
  <c r="C239" i="28" a="1"/>
  <c r="C228" i="28" a="1"/>
  <c r="B15" i="28" a="1"/>
  <c r="Q13" i="40" a="1"/>
  <c r="EO14" i="29" a="1"/>
  <c r="K27" i="40" a="1"/>
  <c r="G21" i="40" a="1"/>
  <c r="H11" i="38" a="1"/>
  <c r="G211" i="28" a="1"/>
  <c r="I14" i="40" a="1"/>
  <c r="EA18" i="29" a="1"/>
  <c r="G23" i="40" a="1"/>
  <c r="D15" i="29" a="1"/>
  <c r="M9" i="38" a="1"/>
  <c r="S18" i="40" a="1"/>
  <c r="EE18" i="29" a="1"/>
  <c r="V17" i="40" a="1"/>
  <c r="EO21" i="29" a="1"/>
  <c r="F246" i="28" a="1"/>
  <c r="G105" i="28" a="1"/>
  <c r="F16" i="40" a="1"/>
  <c r="D17" i="40" a="1"/>
  <c r="G11" i="40" a="1"/>
  <c r="BI20" i="29" a="1"/>
  <c r="D192" i="28" a="1"/>
  <c r="E167" i="28" a="1"/>
  <c r="F8" i="40" a="1"/>
  <c r="F16" i="28" a="1"/>
  <c r="I23" i="38" a="1"/>
  <c r="EA21" i="29" a="1"/>
  <c r="D13" i="38" a="1"/>
  <c r="C177" i="28" a="1"/>
  <c r="V18" i="40" a="1"/>
  <c r="I12" i="38" a="1"/>
  <c r="H24" i="40" a="1"/>
  <c r="X7" i="40" a="1"/>
  <c r="F28" i="38" a="1"/>
  <c r="B239" i="28" a="1"/>
  <c r="T22" i="40" a="1"/>
  <c r="U24" i="40" a="1"/>
  <c r="B31" i="36" a="1"/>
  <c r="D96" i="28" a="1"/>
  <c r="G9" i="40" a="1"/>
  <c r="M14" i="38" a="1"/>
  <c r="H12" i="40" a="1"/>
  <c r="F93" i="28" a="1"/>
  <c r="B231" i="28" a="1"/>
  <c r="C56" i="28" a="1"/>
  <c r="F24" i="40" a="1"/>
  <c r="D22" i="40" a="1"/>
  <c r="I15" i="40" a="1"/>
  <c r="E197" i="28" a="1"/>
  <c r="C5" i="28" a="1"/>
  <c r="D61" i="28" a="1"/>
  <c r="F17" i="29" a="1"/>
  <c r="E103" i="28" a="1"/>
  <c r="T14" i="40" a="1"/>
  <c r="R24" i="40" a="1"/>
  <c r="B309" i="28" a="1"/>
  <c r="L22" i="40" a="1"/>
  <c r="V27" i="40" a="1"/>
  <c r="D12" i="40" a="1"/>
  <c r="D154" i="28" a="1"/>
  <c r="DE13" i="29" a="1"/>
  <c r="B293" i="28" a="1"/>
  <c r="X20" i="40" a="1"/>
  <c r="C105" i="28" a="1"/>
  <c r="E246" i="28" a="1"/>
  <c r="D172" i="28" a="1"/>
  <c r="D24" i="40" a="1"/>
  <c r="B297" i="28" a="1"/>
  <c r="D197" i="28" a="1"/>
  <c r="EO22" i="29" a="1"/>
  <c r="C157" i="28" a="1"/>
  <c r="D77" i="28" a="1"/>
  <c r="EG21" i="29" a="1"/>
  <c r="C268" i="28" a="1"/>
  <c r="G17" i="40" a="1"/>
  <c r="EG20" i="29" a="1"/>
  <c r="D29" i="28" a="1"/>
  <c r="I24" i="40" a="1"/>
  <c r="B86" i="28" a="1"/>
  <c r="BJ15" i="29" a="1"/>
  <c r="L15" i="40" a="1"/>
  <c r="DE19" i="29" a="1"/>
  <c r="D68" i="28" a="1"/>
  <c r="G13" i="40" a="1"/>
  <c r="E240" i="28" a="1"/>
  <c r="EO13" i="29" a="1"/>
  <c r="C227" i="28" a="1"/>
  <c r="B314" i="28" a="1"/>
  <c r="Q23" i="40" a="1"/>
  <c r="E192" i="28" a="1"/>
  <c r="M9" i="40" a="1"/>
  <c r="E8" i="28" a="1"/>
  <c r="BH21" i="29" l="1"/>
  <c r="M27" i="38"/>
  <c r="L27" i="45" s="1"/>
  <c r="D58" i="28"/>
  <c r="D24" i="36"/>
  <c r="C82" i="28"/>
  <c r="C97" i="28"/>
  <c r="S8" i="40"/>
  <c r="X13" i="40"/>
  <c r="E8" i="28"/>
  <c r="B10" i="28"/>
  <c r="R11" i="40"/>
  <c r="W27" i="40"/>
  <c r="EF14" i="29"/>
  <c r="B224" i="28"/>
  <c r="G7" i="28"/>
  <c r="D17" i="28"/>
  <c r="C239" i="28"/>
  <c r="U19" i="40"/>
  <c r="I16" i="36"/>
  <c r="EG22" i="29"/>
  <c r="F13" i="28"/>
  <c r="E61" i="28"/>
  <c r="H18" i="29"/>
  <c r="C64" i="28"/>
  <c r="B85" i="28"/>
  <c r="Z12" i="40"/>
  <c r="H16" i="38"/>
  <c r="C21" i="28"/>
  <c r="P14" i="40"/>
  <c r="W7" i="40"/>
  <c r="F8" i="38"/>
  <c r="H13" i="38"/>
  <c r="G23" i="38"/>
  <c r="EG16" i="29"/>
  <c r="C19" i="29"/>
  <c r="C173" i="28"/>
  <c r="C18" i="28"/>
  <c r="B308" i="28"/>
  <c r="D22" i="40"/>
  <c r="Q13" i="40"/>
  <c r="B47" i="28"/>
  <c r="K7" i="40"/>
  <c r="C63" i="28"/>
  <c r="G209" i="28"/>
  <c r="E149" i="28"/>
  <c r="BI12" i="29"/>
  <c r="W20" i="40"/>
  <c r="F8" i="45"/>
  <c r="B17" i="28"/>
  <c r="H77" i="28"/>
  <c r="O22" i="38"/>
  <c r="N22" i="45" s="1"/>
  <c r="B165" i="28"/>
  <c r="C228" i="28"/>
  <c r="BJ18" i="29"/>
  <c r="B304" i="28"/>
  <c r="E199" i="28"/>
  <c r="D57" i="28"/>
  <c r="B61" i="28"/>
  <c r="F103" i="28"/>
  <c r="EB12" i="29"/>
  <c r="BU22" i="29"/>
  <c r="T22" i="40"/>
  <c r="F23" i="40"/>
  <c r="H98" i="28"/>
  <c r="B300" i="28"/>
  <c r="J16" i="38"/>
  <c r="X25" i="40"/>
  <c r="B99" i="28"/>
  <c r="C49" i="28"/>
  <c r="G16" i="29"/>
  <c r="C241" i="28"/>
  <c r="B14" i="36"/>
  <c r="B24" i="36"/>
  <c r="F207" i="28"/>
  <c r="N9" i="38"/>
  <c r="M9" i="45" s="1"/>
  <c r="ED12" i="29"/>
  <c r="C12" i="29"/>
  <c r="E14" i="29"/>
  <c r="D25" i="28"/>
  <c r="D17" i="38"/>
  <c r="J17" i="45" s="1"/>
  <c r="E29" i="28"/>
  <c r="F78" i="28"/>
  <c r="EE14" i="29"/>
  <c r="E85" i="28"/>
  <c r="B24" i="28"/>
  <c r="C23" i="36"/>
  <c r="K8" i="40"/>
  <c r="D22" i="38"/>
  <c r="J22" i="45" s="1"/>
  <c r="C171" i="28"/>
  <c r="D28" i="36"/>
  <c r="F90" i="28"/>
  <c r="B235" i="28"/>
  <c r="J21" i="28"/>
  <c r="K14" i="40"/>
  <c r="H24" i="38"/>
  <c r="C159" i="28"/>
  <c r="C7" i="36"/>
  <c r="BK14" i="29"/>
  <c r="F231" i="28"/>
  <c r="BH17" i="29"/>
  <c r="F105" i="28"/>
  <c r="C41" i="28"/>
  <c r="J15" i="28"/>
  <c r="W19" i="40"/>
  <c r="U8" i="40"/>
  <c r="F203" i="28"/>
  <c r="M18" i="40"/>
  <c r="D201" i="28"/>
  <c r="I28" i="38"/>
  <c r="B296" i="28"/>
  <c r="D92" i="28"/>
  <c r="G14" i="28"/>
  <c r="G383" i="28"/>
  <c r="H10" i="40"/>
  <c r="M13" i="40"/>
  <c r="B22" i="28"/>
  <c r="I352" i="28"/>
  <c r="D7" i="36"/>
  <c r="F15" i="40"/>
  <c r="E19" i="40"/>
  <c r="G24" i="28"/>
  <c r="E189" i="28"/>
  <c r="C62" i="28"/>
  <c r="B21" i="36"/>
  <c r="E89" i="28"/>
  <c r="R10" i="40"/>
  <c r="E53" i="28"/>
  <c r="G196" i="28"/>
  <c r="G15" i="28"/>
  <c r="E239" i="28"/>
  <c r="D31" i="28"/>
  <c r="O20" i="40"/>
  <c r="F212" i="28"/>
  <c r="G198" i="28"/>
  <c r="B50" i="28"/>
  <c r="G19" i="38"/>
  <c r="X26" i="40"/>
  <c r="M22" i="38"/>
  <c r="L22" i="45" s="1"/>
  <c r="E24" i="40"/>
  <c r="V18" i="40"/>
  <c r="F241" i="28"/>
  <c r="B41" i="28"/>
  <c r="M24" i="40"/>
  <c r="B177" i="28"/>
  <c r="C45" i="28"/>
  <c r="F30" i="28"/>
  <c r="X9" i="40"/>
  <c r="U12" i="40"/>
  <c r="Q8" i="40"/>
  <c r="C80" i="28"/>
  <c r="EC21" i="29"/>
  <c r="B19" i="28"/>
  <c r="B63" i="28"/>
  <c r="D51" i="28"/>
  <c r="B45" i="28"/>
  <c r="D150" i="28"/>
  <c r="F101" i="28"/>
  <c r="F199" i="28"/>
  <c r="H96" i="28"/>
  <c r="B42" i="28"/>
  <c r="F196" i="28"/>
  <c r="I14" i="29"/>
  <c r="J22" i="40"/>
  <c r="D98" i="28"/>
  <c r="C119" i="28"/>
  <c r="E233" i="28"/>
  <c r="E17" i="28"/>
  <c r="B232" i="28"/>
  <c r="I11" i="38"/>
  <c r="P12" i="29"/>
  <c r="AA26" i="40"/>
  <c r="AA8" i="40"/>
  <c r="AA19" i="40"/>
  <c r="I9" i="28"/>
  <c r="J12" i="28"/>
  <c r="D198" i="28"/>
  <c r="F26" i="40"/>
  <c r="D18" i="38"/>
  <c r="J18" i="45" s="1"/>
  <c r="D82" i="28"/>
  <c r="B28" i="36"/>
  <c r="G14" i="40"/>
  <c r="H17" i="40"/>
  <c r="M25" i="38"/>
  <c r="L25" i="45" s="1"/>
  <c r="Q12" i="40"/>
  <c r="G20" i="40"/>
  <c r="G96" i="28"/>
  <c r="F246" i="28"/>
  <c r="H15" i="29"/>
  <c r="E26" i="40"/>
  <c r="B26" i="28"/>
  <c r="C20" i="28"/>
  <c r="D30" i="36"/>
  <c r="D17" i="36"/>
  <c r="E92" i="28"/>
  <c r="B248" i="28"/>
  <c r="N19" i="38"/>
  <c r="M19" i="45" s="1"/>
  <c r="E102" i="28"/>
  <c r="E22" i="29"/>
  <c r="D162" i="28"/>
  <c r="C240" i="28"/>
  <c r="D48" i="28"/>
  <c r="G83" i="28"/>
  <c r="G194" i="28"/>
  <c r="BK13" i="29"/>
  <c r="Q20" i="29"/>
  <c r="F79" i="28"/>
  <c r="C18" i="29"/>
  <c r="E172" i="28"/>
  <c r="C230" i="28"/>
  <c r="EA22" i="29"/>
  <c r="D9" i="38"/>
  <c r="J9" i="45" s="1"/>
  <c r="F104" i="28"/>
  <c r="EA15" i="29"/>
  <c r="L18" i="40"/>
  <c r="W11" i="40"/>
  <c r="I383" i="28"/>
  <c r="E201" i="28"/>
  <c r="C14" i="29"/>
  <c r="V23" i="40"/>
  <c r="D166" i="28"/>
  <c r="E101" i="28"/>
  <c r="V16" i="40"/>
  <c r="C94" i="28"/>
  <c r="C249" i="28"/>
  <c r="D95" i="28"/>
  <c r="F25" i="40"/>
  <c r="D17" i="29"/>
  <c r="C27" i="36"/>
  <c r="C24" i="28"/>
  <c r="C33" i="36"/>
  <c r="L13" i="38"/>
  <c r="K13" i="45" s="1"/>
  <c r="C104" i="28"/>
  <c r="E155" i="28"/>
  <c r="I26" i="40"/>
  <c r="C10" i="28"/>
  <c r="J6" i="28"/>
  <c r="C30" i="28"/>
  <c r="U21" i="40"/>
  <c r="I16" i="38"/>
  <c r="B227" i="28"/>
  <c r="BH15" i="29"/>
  <c r="P19" i="40"/>
  <c r="G210" i="28"/>
  <c r="C169" i="28"/>
  <c r="I13" i="28"/>
  <c r="W8" i="40"/>
  <c r="EG17" i="29"/>
  <c r="I18" i="29"/>
  <c r="U9" i="40"/>
  <c r="M14" i="40"/>
  <c r="H85" i="28"/>
  <c r="AA18" i="40"/>
  <c r="T17" i="40"/>
  <c r="J21" i="38"/>
  <c r="B105" i="28"/>
  <c r="B221" i="28"/>
  <c r="W18" i="40"/>
  <c r="D69" i="28"/>
  <c r="C198" i="28"/>
  <c r="O16" i="38"/>
  <c r="N16" i="45" s="1"/>
  <c r="D20" i="36"/>
  <c r="E237" i="28"/>
  <c r="C268" i="28"/>
  <c r="C160" i="28"/>
  <c r="EE13" i="29"/>
  <c r="R17" i="40"/>
  <c r="W12" i="40"/>
  <c r="B320" i="28"/>
  <c r="P17" i="29"/>
  <c r="D5" i="36"/>
  <c r="K23" i="40"/>
  <c r="C81" i="28"/>
  <c r="D60" i="28"/>
  <c r="E69" i="28"/>
  <c r="C318" i="28"/>
  <c r="BK17" i="29"/>
  <c r="D79" i="28"/>
  <c r="H8" i="40"/>
  <c r="EA20" i="29"/>
  <c r="Z13" i="40"/>
  <c r="R26" i="40"/>
  <c r="H91" i="28"/>
  <c r="W26" i="40"/>
  <c r="F17" i="40"/>
  <c r="E17" i="29"/>
  <c r="F14" i="28"/>
  <c r="K25" i="40"/>
  <c r="C105" i="28"/>
  <c r="L14" i="40"/>
  <c r="E231" i="28"/>
  <c r="M19" i="40"/>
  <c r="D8" i="36"/>
  <c r="I21" i="38"/>
  <c r="G10" i="38"/>
  <c r="EA14" i="29"/>
  <c r="L23" i="40"/>
  <c r="G22" i="40"/>
  <c r="B30" i="36"/>
  <c r="D203" i="28"/>
  <c r="E186" i="28"/>
  <c r="E21" i="29"/>
  <c r="B245" i="28"/>
  <c r="B27" i="36"/>
  <c r="ED21" i="29"/>
  <c r="F185" i="28"/>
  <c r="P16" i="29"/>
  <c r="FA19" i="29"/>
  <c r="EZ19" i="29" s="1"/>
  <c r="L19" i="40"/>
  <c r="B32" i="28"/>
  <c r="F248" i="28"/>
  <c r="E33" i="28"/>
  <c r="B166" i="28"/>
  <c r="D32" i="28"/>
  <c r="G192" i="28"/>
  <c r="Q16" i="40"/>
  <c r="C61" i="28"/>
  <c r="F21" i="40"/>
  <c r="E19" i="29"/>
  <c r="EF17" i="29"/>
  <c r="V19" i="40"/>
  <c r="O14" i="38"/>
  <c r="I24" i="38"/>
  <c r="B62" i="28"/>
  <c r="B317" i="28"/>
  <c r="J13" i="38"/>
  <c r="B225" i="28"/>
  <c r="B194" i="28"/>
  <c r="F13" i="40"/>
  <c r="C5" i="36"/>
  <c r="E210" i="28"/>
  <c r="O25" i="38"/>
  <c r="N25" i="45" s="1"/>
  <c r="F19" i="28"/>
  <c r="J20" i="28"/>
  <c r="C83" i="28"/>
  <c r="C224" i="28"/>
  <c r="D224" i="28" s="1"/>
  <c r="C47" i="28"/>
  <c r="C43" i="28"/>
  <c r="H16" i="29"/>
  <c r="H92" i="28"/>
  <c r="L27" i="40"/>
  <c r="G98" i="28"/>
  <c r="K22" i="40"/>
  <c r="C213" i="28"/>
  <c r="EF15" i="29"/>
  <c r="F77" i="28"/>
  <c r="E161" i="28"/>
  <c r="G206" i="28"/>
  <c r="H383" i="28"/>
  <c r="G26" i="38"/>
  <c r="L10" i="40"/>
  <c r="V22" i="29"/>
  <c r="E20" i="28"/>
  <c r="E50" i="28"/>
  <c r="B313" i="28"/>
  <c r="C89" i="28"/>
  <c r="E176" i="28"/>
  <c r="G88" i="28"/>
  <c r="I32" i="28"/>
  <c r="C5" i="28"/>
  <c r="F9" i="28"/>
  <c r="I10" i="28"/>
  <c r="B46" i="28"/>
  <c r="E10" i="28"/>
  <c r="F26" i="28"/>
  <c r="U10" i="40"/>
  <c r="G94" i="28"/>
  <c r="H90" i="28"/>
  <c r="F27" i="40"/>
  <c r="E94" i="28"/>
  <c r="M10" i="38"/>
  <c r="L10" i="45" s="1"/>
  <c r="R27" i="40"/>
  <c r="B6" i="36"/>
  <c r="BK22" i="29"/>
  <c r="V8" i="40"/>
  <c r="C14" i="28"/>
  <c r="B234" i="28"/>
  <c r="C166" i="28"/>
  <c r="I27" i="40"/>
  <c r="D165" i="28"/>
  <c r="C155" i="28"/>
  <c r="DE17" i="29"/>
  <c r="DD17" i="29" s="1"/>
  <c r="C69" i="28"/>
  <c r="Q9" i="40"/>
  <c r="D84" i="28"/>
  <c r="B307" i="28"/>
  <c r="D89" i="28"/>
  <c r="F11" i="38"/>
  <c r="H12" i="29"/>
  <c r="I19" i="38"/>
  <c r="BK16" i="29"/>
  <c r="B31" i="36"/>
  <c r="G15" i="29"/>
  <c r="F9" i="38"/>
  <c r="C17" i="29"/>
  <c r="O11" i="38"/>
  <c r="N11" i="45" s="1"/>
  <c r="D81" i="28"/>
  <c r="E23" i="28"/>
  <c r="F20" i="28"/>
  <c r="M24" i="38"/>
  <c r="L24" i="45" s="1"/>
  <c r="F205" i="28"/>
  <c r="EE16" i="29"/>
  <c r="B168" i="28"/>
  <c r="D188" i="28"/>
  <c r="H80" i="28"/>
  <c r="E202" i="28"/>
  <c r="F19" i="40"/>
  <c r="F247" i="28"/>
  <c r="F238" i="28"/>
  <c r="Q20" i="40"/>
  <c r="F21" i="29"/>
  <c r="E60" i="28"/>
  <c r="E22" i="28"/>
  <c r="D27" i="38"/>
  <c r="J27" i="45" s="1"/>
  <c r="D26" i="36"/>
  <c r="B64" i="28"/>
  <c r="B56" i="28"/>
  <c r="H24" i="40"/>
  <c r="C235" i="28"/>
  <c r="E96" i="28"/>
  <c r="C164" i="28"/>
  <c r="EG14" i="29"/>
  <c r="D176" i="28"/>
  <c r="O26" i="40"/>
  <c r="H104" i="28"/>
  <c r="EF20" i="29"/>
  <c r="D87" i="28"/>
  <c r="J28" i="38"/>
  <c r="G8" i="28"/>
  <c r="N22" i="38"/>
  <c r="M22" i="45" s="1"/>
  <c r="H26" i="38"/>
  <c r="B302" i="28"/>
  <c r="B60" i="28"/>
  <c r="F197" i="28"/>
  <c r="G104" i="28"/>
  <c r="EG15" i="29"/>
  <c r="D202" i="28"/>
  <c r="K27" i="40"/>
  <c r="EN13" i="29"/>
  <c r="J24" i="38"/>
  <c r="I23" i="38"/>
  <c r="C222" i="28"/>
  <c r="G9" i="38"/>
  <c r="EE21" i="29"/>
  <c r="P15" i="40"/>
  <c r="J20" i="40"/>
  <c r="E163" i="28"/>
  <c r="G20" i="38"/>
  <c r="O18" i="40"/>
  <c r="L15" i="40"/>
  <c r="F22" i="38"/>
  <c r="F190" i="28"/>
  <c r="E13" i="40"/>
  <c r="N15" i="38"/>
  <c r="M15" i="45" s="1"/>
  <c r="W9" i="40"/>
  <c r="B81" i="28"/>
  <c r="T25" i="40"/>
  <c r="J14" i="38"/>
  <c r="E248" i="28"/>
  <c r="Q14" i="40"/>
  <c r="D14" i="45"/>
  <c r="J21" i="40"/>
  <c r="J24" i="28"/>
  <c r="B301" i="28"/>
  <c r="D9" i="28"/>
  <c r="C53" i="28"/>
  <c r="F202" i="28"/>
  <c r="M27" i="40"/>
  <c r="E20" i="40"/>
  <c r="B89" i="28"/>
  <c r="EO17" i="29"/>
  <c r="E14" i="40"/>
  <c r="J19" i="38"/>
  <c r="W24" i="40"/>
  <c r="B309" i="28"/>
  <c r="EE20" i="29"/>
  <c r="C234" i="28"/>
  <c r="G91" i="28"/>
  <c r="F221" i="28"/>
  <c r="J14" i="29"/>
  <c r="AN14" i="29" s="1"/>
  <c r="F100" i="28"/>
  <c r="F31" i="28"/>
  <c r="AA22" i="40"/>
  <c r="EO21" i="29"/>
  <c r="G191" i="28"/>
  <c r="D19" i="36"/>
  <c r="EO14" i="29"/>
  <c r="EK22" i="29"/>
  <c r="J32" i="28"/>
  <c r="EQ22" i="29"/>
  <c r="E100" i="28"/>
  <c r="S22" i="29"/>
  <c r="F14" i="38"/>
  <c r="G27" i="38"/>
  <c r="E192" i="28"/>
  <c r="D54" i="28"/>
  <c r="B18" i="36"/>
  <c r="G19" i="40"/>
  <c r="B28" i="28"/>
  <c r="B5" i="28"/>
  <c r="H88" i="28"/>
  <c r="FA12" i="29"/>
  <c r="EZ12" i="29" s="1"/>
  <c r="J27" i="40"/>
  <c r="ED18" i="29"/>
  <c r="B92" i="28"/>
  <c r="D7" i="40"/>
  <c r="C91" i="28"/>
  <c r="BT22" i="29"/>
  <c r="O12" i="40"/>
  <c r="H16" i="40"/>
  <c r="D161" i="28"/>
  <c r="B163" i="28"/>
  <c r="J31" i="28"/>
  <c r="B316" i="28"/>
  <c r="E206" i="28"/>
  <c r="EB14" i="29"/>
  <c r="X16" i="40"/>
  <c r="D30" i="28"/>
  <c r="T10" i="40"/>
  <c r="B83" i="28"/>
  <c r="D169" i="28"/>
  <c r="Z11" i="40"/>
  <c r="AA12" i="40"/>
  <c r="O17" i="40"/>
  <c r="M26" i="40"/>
  <c r="G87" i="28"/>
  <c r="D15" i="36"/>
  <c r="I27" i="28"/>
  <c r="Z20" i="40"/>
  <c r="F9" i="40"/>
  <c r="D32" i="36"/>
  <c r="D21" i="29"/>
  <c r="M22" i="40"/>
  <c r="CL22" i="29"/>
  <c r="C17" i="28"/>
  <c r="D15" i="29"/>
  <c r="L8" i="38"/>
  <c r="C205" i="28"/>
  <c r="E158" i="28"/>
  <c r="D16" i="36"/>
  <c r="E81" i="28"/>
  <c r="M18" i="38"/>
  <c r="L18" i="45" s="1"/>
  <c r="E243" i="28"/>
  <c r="DE21" i="29"/>
  <c r="DD21" i="29" s="1"/>
  <c r="D195" i="28"/>
  <c r="R22" i="40"/>
  <c r="B69" i="28"/>
  <c r="F24" i="28"/>
  <c r="AA13" i="40"/>
  <c r="T22" i="29"/>
  <c r="I13" i="38"/>
  <c r="E87" i="28"/>
  <c r="E236" i="28"/>
  <c r="E27" i="28"/>
  <c r="F97" i="28"/>
  <c r="EN21" i="29"/>
  <c r="C186" i="28"/>
  <c r="P20" i="40"/>
  <c r="B268" i="28"/>
  <c r="F187" i="28"/>
  <c r="C22" i="36"/>
  <c r="G13" i="29"/>
  <c r="G13" i="40"/>
  <c r="N12" i="38"/>
  <c r="M12" i="45" s="1"/>
  <c r="D47" i="28"/>
  <c r="L21" i="38"/>
  <c r="K21" i="45" s="1"/>
  <c r="F303" i="28"/>
  <c r="F22" i="29"/>
  <c r="B172" i="28"/>
  <c r="E188" i="28"/>
  <c r="C101" i="28"/>
  <c r="B16" i="36"/>
  <c r="O17" i="38"/>
  <c r="N17" i="45" s="1"/>
  <c r="E213" i="28"/>
  <c r="J13" i="40"/>
  <c r="F6" i="28"/>
  <c r="G16" i="38"/>
  <c r="O15" i="38"/>
  <c r="N15" i="45" s="1"/>
  <c r="H83" i="28"/>
  <c r="N22" i="29"/>
  <c r="C85" i="28"/>
  <c r="V22" i="40"/>
  <c r="E7" i="28"/>
  <c r="BH22" i="29"/>
  <c r="EG13" i="29"/>
  <c r="E14" i="45"/>
  <c r="P13" i="40"/>
  <c r="G103" i="28"/>
  <c r="EA12" i="29"/>
  <c r="W10" i="40"/>
  <c r="F24" i="38"/>
  <c r="J26" i="40"/>
  <c r="D191" i="28"/>
  <c r="I26" i="28"/>
  <c r="C204" i="28"/>
  <c r="H14" i="40"/>
  <c r="D10" i="38"/>
  <c r="J10" i="45" s="1"/>
  <c r="C353" i="28"/>
  <c r="E30" i="28"/>
  <c r="Z24" i="40"/>
  <c r="T20" i="40"/>
  <c r="B88" i="28"/>
  <c r="C52" i="28"/>
  <c r="G8" i="45"/>
  <c r="F23" i="28"/>
  <c r="D11" i="36"/>
  <c r="I22" i="40"/>
  <c r="D104" i="28"/>
  <c r="S24" i="40"/>
  <c r="E212" i="28"/>
  <c r="P24" i="40"/>
  <c r="E150" i="28"/>
  <c r="G79" i="28"/>
  <c r="B233" i="28"/>
  <c r="EF13" i="29"/>
  <c r="G8" i="38"/>
  <c r="E21" i="28"/>
  <c r="AA23" i="40"/>
  <c r="B100" i="28"/>
  <c r="D77" i="28"/>
  <c r="T7" i="40"/>
  <c r="EE12" i="29"/>
  <c r="B102" i="28"/>
  <c r="E6" i="28"/>
  <c r="M7" i="40"/>
  <c r="L22" i="40"/>
  <c r="H14" i="29"/>
  <c r="I15" i="28"/>
  <c r="G11" i="28"/>
  <c r="J11" i="28"/>
  <c r="C157" i="28"/>
  <c r="F82" i="28"/>
  <c r="B59" i="28"/>
  <c r="D33" i="36"/>
  <c r="K10" i="40"/>
  <c r="M10" i="40"/>
  <c r="J18" i="28"/>
  <c r="J10" i="28"/>
  <c r="G202" i="28"/>
  <c r="Q18" i="40"/>
  <c r="H8" i="38"/>
  <c r="L7" i="40"/>
  <c r="C156" i="28"/>
  <c r="M17" i="38"/>
  <c r="L17" i="45" s="1"/>
  <c r="FA18" i="29"/>
  <c r="EZ18" i="29" s="1"/>
  <c r="D19" i="40"/>
  <c r="I13" i="29"/>
  <c r="P11" i="40"/>
  <c r="E23" i="40"/>
  <c r="B150" i="28"/>
  <c r="G77" i="28"/>
  <c r="C243" i="28"/>
  <c r="H103" i="28"/>
  <c r="E246" i="28"/>
  <c r="D187" i="28"/>
  <c r="V26" i="40"/>
  <c r="D8" i="40"/>
  <c r="H15" i="40"/>
  <c r="E164" i="28"/>
  <c r="X19" i="40"/>
  <c r="B187" i="28"/>
  <c r="F237" i="28"/>
  <c r="D11" i="38"/>
  <c r="J11" i="45" s="1"/>
  <c r="D45" i="28"/>
  <c r="BB22" i="29"/>
  <c r="S11" i="40"/>
  <c r="C9" i="28"/>
  <c r="EC20" i="29"/>
  <c r="E208" i="28"/>
  <c r="E177" i="28"/>
  <c r="F84" i="28"/>
  <c r="H99" i="28"/>
  <c r="E244" i="28"/>
  <c r="D8" i="45"/>
  <c r="B207" i="28"/>
  <c r="H22" i="29"/>
  <c r="O24" i="38"/>
  <c r="N24" i="45" s="1"/>
  <c r="E223" i="28"/>
  <c r="BI20" i="29"/>
  <c r="B44" i="28"/>
  <c r="G23" i="28"/>
  <c r="E318" i="28"/>
  <c r="C56" i="28"/>
  <c r="C48" i="28"/>
  <c r="B176" i="28"/>
  <c r="F19" i="38"/>
  <c r="J21" i="29"/>
  <c r="AN21" i="29" s="1"/>
  <c r="CN22" i="29"/>
  <c r="EN12" i="29"/>
  <c r="C195" i="28"/>
  <c r="F19" i="29"/>
  <c r="C24" i="36"/>
  <c r="B306" i="28"/>
  <c r="V21" i="40"/>
  <c r="G25" i="28"/>
  <c r="V15" i="40"/>
  <c r="D12" i="36"/>
  <c r="AA25" i="40"/>
  <c r="I11" i="40"/>
  <c r="P26" i="40"/>
  <c r="D91" i="28"/>
  <c r="B95" i="28"/>
  <c r="L16" i="40"/>
  <c r="D197" i="28"/>
  <c r="D15" i="38"/>
  <c r="J15" i="45" s="1"/>
  <c r="D64" i="28"/>
  <c r="G21" i="29"/>
  <c r="B79" i="28"/>
  <c r="Z18" i="40"/>
  <c r="D153" i="28"/>
  <c r="C163" i="28"/>
  <c r="F195" i="28"/>
  <c r="B228" i="28"/>
  <c r="D99" i="28"/>
  <c r="B16" i="28"/>
  <c r="EC18" i="29"/>
  <c r="E79" i="28"/>
  <c r="S23" i="40"/>
  <c r="E55" i="28"/>
  <c r="J27" i="28"/>
  <c r="D208" i="28"/>
  <c r="DE12" i="29"/>
  <c r="DD12" i="29" s="1"/>
  <c r="I21" i="29"/>
  <c r="H14" i="38"/>
  <c r="Q15" i="29"/>
  <c r="D21" i="36"/>
  <c r="C226" i="28"/>
  <c r="C25" i="36"/>
  <c r="F235" i="28"/>
  <c r="ER22" i="29"/>
  <c r="BJ21" i="29"/>
  <c r="E82" i="28"/>
  <c r="B249" i="28"/>
  <c r="D10" i="40"/>
  <c r="L18" i="38"/>
  <c r="K18" i="45" s="1"/>
  <c r="H28" i="38"/>
  <c r="C154" i="28"/>
  <c r="K16" i="40"/>
  <c r="B193" i="28"/>
  <c r="Q19" i="40"/>
  <c r="B51" i="28"/>
  <c r="C77" i="28"/>
  <c r="E20" i="29"/>
  <c r="B77" i="28"/>
  <c r="Q14" i="29"/>
  <c r="B8" i="28"/>
  <c r="F98" i="28"/>
  <c r="BJ19" i="29"/>
  <c r="H21" i="38"/>
  <c r="EN22" i="29"/>
  <c r="B31" i="28"/>
  <c r="K19" i="40"/>
  <c r="EN14" i="29"/>
  <c r="D19" i="28"/>
  <c r="U23" i="40"/>
  <c r="E165" i="28"/>
  <c r="C238" i="28"/>
  <c r="C66" i="28"/>
  <c r="C12" i="28"/>
  <c r="EO19" i="29"/>
  <c r="E103" i="28"/>
  <c r="E22" i="40"/>
  <c r="O24" i="40"/>
  <c r="G7" i="40"/>
  <c r="I19" i="29"/>
  <c r="C242" i="28"/>
  <c r="B43" i="28"/>
  <c r="B174" i="28"/>
  <c r="B96" i="28"/>
  <c r="D27" i="28"/>
  <c r="H11" i="40"/>
  <c r="D55" i="28"/>
  <c r="C20" i="29"/>
  <c r="U7" i="40"/>
  <c r="H20" i="29"/>
  <c r="EC17" i="29"/>
  <c r="D56" i="28"/>
  <c r="B97" i="28"/>
  <c r="C50" i="28"/>
  <c r="C194" i="28"/>
  <c r="D173" i="28"/>
  <c r="E43" i="28"/>
  <c r="Z22" i="40"/>
  <c r="B13" i="36"/>
  <c r="F14" i="45"/>
  <c r="B57" i="28"/>
  <c r="G22" i="38"/>
  <c r="X27" i="40"/>
  <c r="B14" i="28"/>
  <c r="B237" i="28"/>
  <c r="C343" i="28"/>
  <c r="E211" i="28"/>
  <c r="C208" i="28"/>
  <c r="P8" i="40"/>
  <c r="I7" i="28"/>
  <c r="B15" i="28"/>
  <c r="D14" i="38"/>
  <c r="D151" i="28"/>
  <c r="AA14" i="40"/>
  <c r="G213" i="28"/>
  <c r="B206" i="28"/>
  <c r="G92" i="28"/>
  <c r="W15" i="40"/>
  <c r="L11" i="38"/>
  <c r="K11" i="45" s="1"/>
  <c r="I25" i="40"/>
  <c r="C271" i="28"/>
  <c r="E195" i="28"/>
  <c r="E11" i="28"/>
  <c r="F28" i="38"/>
  <c r="E247" i="28"/>
  <c r="G17" i="40"/>
  <c r="G12" i="38"/>
  <c r="AA27" i="40"/>
  <c r="Q24" i="40"/>
  <c r="B192" i="28"/>
  <c r="G12" i="28"/>
  <c r="C87" i="28"/>
  <c r="BI17" i="29"/>
  <c r="L17" i="40"/>
  <c r="H7" i="40"/>
  <c r="EB16" i="29"/>
  <c r="E63" i="28"/>
  <c r="E57" i="28"/>
  <c r="S12" i="40"/>
  <c r="G12" i="29"/>
  <c r="E15" i="29"/>
  <c r="G23" i="40"/>
  <c r="E58" i="28"/>
  <c r="E41" i="28"/>
  <c r="B353" i="28"/>
  <c r="B208" i="28"/>
  <c r="D149" i="28"/>
  <c r="C33" i="28"/>
  <c r="D163" i="28"/>
  <c r="B65" i="28"/>
  <c r="B152" i="28"/>
  <c r="F22" i="28"/>
  <c r="C248" i="28"/>
  <c r="D248" i="28" s="1"/>
  <c r="E14" i="28"/>
  <c r="V14" i="40"/>
  <c r="J26" i="38"/>
  <c r="G22" i="28"/>
  <c r="B90" i="28"/>
  <c r="C32" i="28"/>
  <c r="F7" i="40"/>
  <c r="F234" i="28"/>
  <c r="C99" i="28"/>
  <c r="E205" i="28"/>
  <c r="F200" i="28"/>
  <c r="E90" i="28"/>
  <c r="F88" i="28"/>
  <c r="I10" i="38"/>
  <c r="F18" i="29"/>
  <c r="D23" i="40"/>
  <c r="C103" i="28"/>
  <c r="B159" i="28"/>
  <c r="D103" i="28"/>
  <c r="C207" i="28"/>
  <c r="B7" i="36"/>
  <c r="E7" i="36" s="1"/>
  <c r="D6" i="36"/>
  <c r="I24" i="28"/>
  <c r="C32" i="36"/>
  <c r="B171" i="28"/>
  <c r="C21" i="36"/>
  <c r="D373" i="28"/>
  <c r="I31" i="28"/>
  <c r="I10" i="40"/>
  <c r="F13" i="29"/>
  <c r="X15" i="40"/>
  <c r="S14" i="40"/>
  <c r="G21" i="38"/>
  <c r="C151" i="28"/>
  <c r="K20" i="40"/>
  <c r="D18" i="40"/>
  <c r="B185" i="28"/>
  <c r="C31" i="28"/>
  <c r="I21" i="40"/>
  <c r="S13" i="40"/>
  <c r="E12" i="29"/>
  <c r="H8" i="45"/>
  <c r="H19" i="29"/>
  <c r="EC12" i="29"/>
  <c r="Z8" i="40"/>
  <c r="F21" i="28"/>
  <c r="L12" i="40"/>
  <c r="L26" i="40"/>
  <c r="D52" i="28"/>
  <c r="C7" i="28"/>
  <c r="H13" i="29"/>
  <c r="F192" i="28"/>
  <c r="O23" i="40"/>
  <c r="O9" i="40"/>
  <c r="J15" i="40"/>
  <c r="B13" i="28"/>
  <c r="F81" i="28"/>
  <c r="EA13" i="29"/>
  <c r="I23" i="28"/>
  <c r="D167" i="28"/>
  <c r="D61" i="28"/>
  <c r="B55" i="28"/>
  <c r="S25" i="40"/>
  <c r="H21" i="29"/>
  <c r="I9" i="38"/>
  <c r="EN16" i="29"/>
  <c r="B154" i="28"/>
  <c r="L12" i="38"/>
  <c r="K12" i="45" s="1"/>
  <c r="J30" i="28"/>
  <c r="N23" i="38"/>
  <c r="M23" i="45" s="1"/>
  <c r="E62" i="28"/>
  <c r="EA21" i="29"/>
  <c r="Z17" i="40"/>
  <c r="D21" i="40"/>
  <c r="E160" i="28"/>
  <c r="I18" i="38"/>
  <c r="G17" i="38"/>
  <c r="D318" i="28"/>
  <c r="M16" i="40"/>
  <c r="H20" i="38"/>
  <c r="D119" i="28"/>
  <c r="E119" i="28" s="1"/>
  <c r="K26" i="40"/>
  <c r="G25" i="40"/>
  <c r="V20" i="40"/>
  <c r="P13" i="29"/>
  <c r="B11" i="28"/>
  <c r="E105" i="28"/>
  <c r="J27" i="38"/>
  <c r="B21" i="28"/>
  <c r="O10" i="40"/>
  <c r="F92" i="28"/>
  <c r="D18" i="36"/>
  <c r="F17" i="38"/>
  <c r="R12" i="40"/>
  <c r="L25" i="38"/>
  <c r="K25" i="45" s="1"/>
  <c r="C152" i="28"/>
  <c r="F8" i="40"/>
  <c r="D28" i="28"/>
  <c r="B80" i="28"/>
  <c r="E194" i="28"/>
  <c r="H14" i="45"/>
  <c r="DE18" i="29"/>
  <c r="DD18" i="29" s="1"/>
  <c r="S27" i="40"/>
  <c r="F17" i="29"/>
  <c r="FA16" i="29"/>
  <c r="EZ16" i="29" s="1"/>
  <c r="G11" i="40"/>
  <c r="O8" i="40"/>
  <c r="J8" i="40"/>
  <c r="R25" i="40"/>
  <c r="O7" i="40"/>
  <c r="E240" i="28"/>
  <c r="O27" i="38"/>
  <c r="N27" i="45" s="1"/>
  <c r="I33" i="28"/>
  <c r="E86" i="28"/>
  <c r="C168" i="28"/>
  <c r="T11" i="40"/>
  <c r="E78" i="28"/>
  <c r="U14" i="40"/>
  <c r="B9" i="28"/>
  <c r="AZ22" i="29"/>
  <c r="E156" i="28"/>
  <c r="X8" i="40"/>
  <c r="B203" i="28"/>
  <c r="DE22" i="29"/>
  <c r="DD22" i="29" s="1"/>
  <c r="C23" i="28"/>
  <c r="N17" i="38"/>
  <c r="M17" i="45" s="1"/>
  <c r="B15" i="36"/>
  <c r="U20" i="40"/>
  <c r="C211" i="28"/>
  <c r="G89" i="28"/>
  <c r="H25" i="38"/>
  <c r="D14" i="28"/>
  <c r="N13" i="38"/>
  <c r="M13" i="45" s="1"/>
  <c r="Z9" i="40"/>
  <c r="B94" i="28"/>
  <c r="H25" i="40"/>
  <c r="E303" i="28"/>
  <c r="C10" i="36"/>
  <c r="C16" i="36"/>
  <c r="U13" i="40"/>
  <c r="EE18" i="29"/>
  <c r="B82" i="28"/>
  <c r="L28" i="38"/>
  <c r="K28" i="45" s="1"/>
  <c r="R8" i="40"/>
  <c r="U22" i="40"/>
  <c r="G12" i="40"/>
  <c r="G208" i="28"/>
  <c r="C245" i="28"/>
  <c r="L26" i="38"/>
  <c r="K26" i="45" s="1"/>
  <c r="Z21" i="40"/>
  <c r="V24" i="40"/>
  <c r="B236" i="28"/>
  <c r="D41" i="28"/>
  <c r="M23" i="38"/>
  <c r="L23" i="45" s="1"/>
  <c r="G102" i="28"/>
  <c r="F233" i="28"/>
  <c r="G233" i="28" s="1"/>
  <c r="D46" i="28"/>
  <c r="G100" i="28"/>
  <c r="BI19" i="29"/>
  <c r="I17" i="28"/>
  <c r="M20" i="38"/>
  <c r="L20" i="45" s="1"/>
  <c r="L25" i="40"/>
  <c r="P9" i="40"/>
  <c r="L8" i="40"/>
  <c r="E16" i="29"/>
  <c r="D68" i="28"/>
  <c r="E95" i="28"/>
  <c r="T27" i="40"/>
  <c r="C212" i="28"/>
  <c r="D26" i="40"/>
  <c r="F14" i="29"/>
  <c r="F191" i="28"/>
  <c r="B238" i="28"/>
  <c r="D13" i="36"/>
  <c r="T21" i="40"/>
  <c r="BJ22" i="29"/>
  <c r="D97" i="28"/>
  <c r="G28" i="28"/>
  <c r="D18" i="29"/>
  <c r="S22" i="40"/>
  <c r="T8" i="40"/>
  <c r="H22" i="38"/>
  <c r="Q26" i="40"/>
  <c r="R19" i="40"/>
  <c r="X24" i="40"/>
  <c r="D62" i="28"/>
  <c r="G14" i="45"/>
  <c r="G16" i="40"/>
  <c r="B311" i="28"/>
  <c r="B202" i="28"/>
  <c r="D177" i="28"/>
  <c r="D11" i="40"/>
  <c r="J23" i="28"/>
  <c r="C15" i="28"/>
  <c r="F16" i="28"/>
  <c r="M9" i="38"/>
  <c r="L9" i="45" s="1"/>
  <c r="D7" i="28"/>
  <c r="EB18" i="29"/>
  <c r="G193" i="28"/>
  <c r="C18" i="36"/>
  <c r="D185" i="28"/>
  <c r="CM22" i="29"/>
  <c r="K9" i="40"/>
  <c r="E67" i="28"/>
  <c r="C22" i="29"/>
  <c r="M25" i="40"/>
  <c r="P7" i="40"/>
  <c r="G205" i="28"/>
  <c r="F12" i="40"/>
  <c r="EJ22" i="29"/>
  <c r="EG21" i="29"/>
  <c r="F83" i="28"/>
  <c r="J12" i="38"/>
  <c r="FA20" i="29"/>
  <c r="EZ20" i="29" s="1"/>
  <c r="K12" i="40"/>
  <c r="X11" i="40"/>
  <c r="E168" i="28"/>
  <c r="G25" i="38"/>
  <c r="B103" i="28"/>
  <c r="N20" i="38"/>
  <c r="M20" i="45" s="1"/>
  <c r="C14" i="36"/>
  <c r="C201" i="28"/>
  <c r="H9" i="40"/>
  <c r="U22" i="29"/>
  <c r="F226" i="28"/>
  <c r="F5" i="28"/>
  <c r="EB21" i="29"/>
  <c r="B58" i="28"/>
  <c r="F80" i="28"/>
  <c r="DB22" i="29"/>
  <c r="D17" i="40"/>
  <c r="N11" i="38"/>
  <c r="M11" i="45" s="1"/>
  <c r="O8" i="38"/>
  <c r="F204" i="28"/>
  <c r="X18" i="40"/>
  <c r="D101" i="28"/>
  <c r="U27" i="40"/>
  <c r="S7" i="40"/>
  <c r="DE19" i="29"/>
  <c r="DD19" i="29" s="1"/>
  <c r="I14" i="28"/>
  <c r="B205" i="28"/>
  <c r="B230" i="28"/>
  <c r="J13" i="29"/>
  <c r="AN13" i="29" s="1"/>
  <c r="D31" i="36"/>
  <c r="E98" i="28"/>
  <c r="E197" i="28"/>
  <c r="B27" i="28"/>
  <c r="J13" i="28"/>
  <c r="G20" i="29"/>
  <c r="D23" i="28"/>
  <c r="P15" i="29"/>
  <c r="EG18" i="29"/>
  <c r="BI18" i="29"/>
  <c r="O27" i="40"/>
  <c r="C28" i="36"/>
  <c r="C177" i="28"/>
  <c r="D25" i="40"/>
  <c r="D156" i="28"/>
  <c r="F16" i="40"/>
  <c r="B23" i="36"/>
  <c r="O20" i="38"/>
  <c r="N20" i="45" s="1"/>
  <c r="H93" i="28"/>
  <c r="J5" i="28"/>
  <c r="G33" i="28"/>
  <c r="F201" i="28"/>
  <c r="B201" i="28"/>
  <c r="C88" i="28"/>
  <c r="G204" i="28"/>
  <c r="F20" i="29"/>
  <c r="I13" i="40"/>
  <c r="F22" i="40"/>
  <c r="I18" i="28"/>
  <c r="F93" i="28"/>
  <c r="D158" i="28"/>
  <c r="U15" i="40"/>
  <c r="BI16" i="29"/>
  <c r="C29" i="28"/>
  <c r="B169" i="28"/>
  <c r="W17" i="40"/>
  <c r="B157" i="28"/>
  <c r="E152" i="28"/>
  <c r="X22" i="40"/>
  <c r="E162" i="28"/>
  <c r="G195" i="28"/>
  <c r="EC13" i="29"/>
  <c r="C15" i="36"/>
  <c r="B26" i="36"/>
  <c r="G27" i="28"/>
  <c r="H84" i="28"/>
  <c r="I355" i="28"/>
  <c r="R13" i="40"/>
  <c r="P18" i="29"/>
  <c r="J19" i="29"/>
  <c r="AN19" i="29" s="1"/>
  <c r="BK19" i="29"/>
  <c r="E175" i="28"/>
  <c r="G93" i="28"/>
  <c r="B158" i="28"/>
  <c r="R20" i="40"/>
  <c r="E11" i="40"/>
  <c r="J7" i="28"/>
  <c r="O13" i="40"/>
  <c r="E7" i="40"/>
  <c r="G80" i="28"/>
  <c r="S17" i="40"/>
  <c r="I9" i="40"/>
  <c r="G31" i="28"/>
  <c r="EN18" i="29"/>
  <c r="B25" i="36"/>
  <c r="E193" i="28"/>
  <c r="J15" i="38"/>
  <c r="E154" i="28"/>
  <c r="G203" i="28"/>
  <c r="M11" i="38"/>
  <c r="L11" i="45" s="1"/>
  <c r="C175" i="28"/>
  <c r="EN20" i="29"/>
  <c r="D199" i="28"/>
  <c r="B312" i="28"/>
  <c r="E167" i="28"/>
  <c r="E242" i="28"/>
  <c r="C57" i="28"/>
  <c r="E80" i="28"/>
  <c r="F87" i="28"/>
  <c r="J26" i="28"/>
  <c r="D20" i="38"/>
  <c r="J20" i="45" s="1"/>
  <c r="E5" i="28"/>
  <c r="B242" i="28"/>
  <c r="C202" i="28"/>
  <c r="B22" i="36"/>
  <c r="I12" i="29"/>
  <c r="H9" i="38"/>
  <c r="C93" i="28"/>
  <c r="F27" i="38"/>
  <c r="BK18" i="29"/>
  <c r="F228" i="28"/>
  <c r="V12" i="40"/>
  <c r="C303" i="28"/>
  <c r="B33" i="36"/>
  <c r="T14" i="40"/>
  <c r="K15" i="40"/>
  <c r="G27" i="40"/>
  <c r="B231" i="28"/>
  <c r="V13" i="40"/>
  <c r="J24" i="40"/>
  <c r="I17" i="38"/>
  <c r="O19" i="38"/>
  <c r="N19" i="45" s="1"/>
  <c r="L21" i="40"/>
  <c r="S9" i="40"/>
  <c r="I19" i="40"/>
  <c r="E234" i="28"/>
  <c r="E200" i="28"/>
  <c r="B299" i="28"/>
  <c r="D18" i="28"/>
  <c r="G95" i="28"/>
  <c r="D22" i="28"/>
  <c r="BH18" i="29"/>
  <c r="G10" i="40"/>
  <c r="B29" i="36"/>
  <c r="R9" i="40"/>
  <c r="B294" i="28"/>
  <c r="H18" i="40"/>
  <c r="D42" i="28"/>
  <c r="C233" i="28"/>
  <c r="D175" i="28"/>
  <c r="B160" i="28"/>
  <c r="C161" i="28"/>
  <c r="I25" i="38"/>
  <c r="C244" i="28"/>
  <c r="D12" i="38"/>
  <c r="J12" i="45" s="1"/>
  <c r="G29" i="28"/>
  <c r="C92" i="28"/>
  <c r="D44" i="28"/>
  <c r="B222" i="28"/>
  <c r="I11" i="28"/>
  <c r="B98" i="28"/>
  <c r="B53" i="28"/>
  <c r="D207" i="28"/>
  <c r="K11" i="40"/>
  <c r="I20" i="28"/>
  <c r="H23" i="38"/>
  <c r="O11" i="40"/>
  <c r="C29" i="36"/>
  <c r="E64" i="28"/>
  <c r="B23" i="28"/>
  <c r="R15" i="40"/>
  <c r="B10" i="36"/>
  <c r="L27" i="38"/>
  <c r="K27" i="45" s="1"/>
  <c r="BI13" i="29"/>
  <c r="M23" i="40"/>
  <c r="I5" i="28"/>
  <c r="D27" i="36"/>
  <c r="J22" i="28"/>
  <c r="BH14" i="29"/>
  <c r="EB22" i="29"/>
  <c r="E15" i="40"/>
  <c r="V25" i="40"/>
  <c r="B32" i="36"/>
  <c r="G9" i="28"/>
  <c r="P17" i="40"/>
  <c r="L23" i="38"/>
  <c r="K23" i="45" s="1"/>
  <c r="C229" i="28"/>
  <c r="O16" i="40"/>
  <c r="D83" i="28"/>
  <c r="D13" i="40"/>
  <c r="E42" i="28"/>
  <c r="J11" i="40"/>
  <c r="E166" i="28"/>
  <c r="EA17" i="29"/>
  <c r="EM17" i="29" s="1"/>
  <c r="F23" i="38"/>
  <c r="T15" i="40"/>
  <c r="H82" i="28"/>
  <c r="G21" i="28"/>
  <c r="EL22" i="29"/>
  <c r="U11" i="40"/>
  <c r="Z15" i="40"/>
  <c r="L15" i="38"/>
  <c r="K15" i="45" s="1"/>
  <c r="ED17" i="29"/>
  <c r="E46" i="28"/>
  <c r="F13" i="38"/>
  <c r="B12" i="36"/>
  <c r="B212" i="28"/>
  <c r="H27" i="38"/>
  <c r="D13" i="38"/>
  <c r="J13" i="45" s="1"/>
  <c r="S20" i="40"/>
  <c r="G18" i="29"/>
  <c r="EB17" i="29"/>
  <c r="B30" i="28"/>
  <c r="Q15" i="40"/>
  <c r="E84" i="28"/>
  <c r="W23" i="40"/>
  <c r="I21" i="28"/>
  <c r="B167" i="28"/>
  <c r="C44" i="28"/>
  <c r="D206" i="28"/>
  <c r="N18" i="38"/>
  <c r="M18" i="45" s="1"/>
  <c r="BC22" i="29"/>
  <c r="H86" i="28"/>
  <c r="EN19" i="29"/>
  <c r="B305" i="28"/>
  <c r="D211" i="28"/>
  <c r="I15" i="29"/>
  <c r="B156" i="28"/>
  <c r="O18" i="38"/>
  <c r="N18" i="45" s="1"/>
  <c r="N26" i="38"/>
  <c r="M26" i="45" s="1"/>
  <c r="BK20" i="29"/>
  <c r="E9" i="28"/>
  <c r="D377" i="28"/>
  <c r="G11" i="38"/>
  <c r="C28" i="28"/>
  <c r="E99" i="28"/>
  <c r="D65" i="28"/>
  <c r="D85" i="28"/>
  <c r="O21" i="38"/>
  <c r="N21" i="45" s="1"/>
  <c r="ED16" i="29"/>
  <c r="E10" i="40"/>
  <c r="I26" i="38"/>
  <c r="J17" i="40"/>
  <c r="X14" i="40"/>
  <c r="D93" i="28"/>
  <c r="D20" i="40"/>
  <c r="G9" i="40"/>
  <c r="Q19" i="29"/>
  <c r="G90" i="28"/>
  <c r="I29" i="28"/>
  <c r="J19" i="28"/>
  <c r="D353" i="28"/>
  <c r="F189" i="28"/>
  <c r="F18" i="38"/>
  <c r="O23" i="38"/>
  <c r="N23" i="45" s="1"/>
  <c r="W25" i="40"/>
  <c r="E27" i="40"/>
  <c r="D100" i="28"/>
  <c r="L22" i="38"/>
  <c r="K22" i="45" s="1"/>
  <c r="E238" i="28"/>
  <c r="Q23" i="40"/>
  <c r="G32" i="28"/>
  <c r="H18" i="38"/>
  <c r="K18" i="40"/>
  <c r="EN15" i="29"/>
  <c r="B164" i="28"/>
  <c r="FA14" i="29"/>
  <c r="EZ14" i="29" s="1"/>
  <c r="I17" i="40"/>
  <c r="F224" i="28"/>
  <c r="F193" i="28"/>
  <c r="C25" i="28"/>
  <c r="B303" i="28"/>
  <c r="D268" i="28"/>
  <c r="BH13" i="29"/>
  <c r="C167" i="28"/>
  <c r="F17" i="28"/>
  <c r="B161" i="28"/>
  <c r="D212" i="28"/>
  <c r="E65" i="28"/>
  <c r="G185" i="28"/>
  <c r="E15" i="28"/>
  <c r="S21" i="40"/>
  <c r="D9" i="40"/>
  <c r="F225" i="28"/>
  <c r="BI22" i="29"/>
  <c r="M12" i="40"/>
  <c r="D189" i="28"/>
  <c r="L16" i="38"/>
  <c r="K16" i="45" s="1"/>
  <c r="G197" i="28"/>
  <c r="Q11" i="40"/>
  <c r="Q10" i="40"/>
  <c r="F208" i="28"/>
  <c r="H78" i="28"/>
  <c r="D59" i="28"/>
  <c r="J18" i="38"/>
  <c r="C158" i="28"/>
  <c r="E26" i="28"/>
  <c r="G24" i="38"/>
  <c r="E225" i="28"/>
  <c r="V7" i="40"/>
  <c r="I8" i="28"/>
  <c r="D160" i="28"/>
  <c r="EO12" i="29"/>
  <c r="C90" i="28"/>
  <c r="Q13" i="29"/>
  <c r="C227" i="28"/>
  <c r="D227" i="28" s="1"/>
  <c r="P10" i="40"/>
  <c r="D164" i="28"/>
  <c r="H352" i="28"/>
  <c r="B93" i="28"/>
  <c r="B191" i="28"/>
  <c r="D20" i="29"/>
  <c r="P27" i="40"/>
  <c r="D14" i="36"/>
  <c r="DA22" i="29"/>
  <c r="AA16" i="40"/>
  <c r="ED13" i="29"/>
  <c r="F222" i="28"/>
  <c r="F12" i="38"/>
  <c r="P16" i="40"/>
  <c r="AA10" i="40"/>
  <c r="M22" i="29"/>
  <c r="F194" i="28"/>
  <c r="P14" i="29"/>
  <c r="N24" i="38"/>
  <c r="M24" i="45" s="1"/>
  <c r="F24" i="40"/>
  <c r="H89" i="28"/>
  <c r="J9" i="40"/>
  <c r="B343" i="28"/>
  <c r="M13" i="38"/>
  <c r="L13" i="45" s="1"/>
  <c r="H20" i="40"/>
  <c r="G211" i="28"/>
  <c r="T12" i="40"/>
  <c r="P12" i="40"/>
  <c r="K17" i="40"/>
  <c r="H15" i="38"/>
  <c r="V11" i="40"/>
  <c r="F20" i="40"/>
  <c r="G22" i="29"/>
  <c r="H12" i="38"/>
  <c r="I7" i="40"/>
  <c r="D16" i="28"/>
  <c r="B149" i="28"/>
  <c r="C42" i="28"/>
  <c r="E104" i="28"/>
  <c r="B315" i="28"/>
  <c r="G13" i="28"/>
  <c r="M14" i="38"/>
  <c r="G19" i="29"/>
  <c r="E226" i="28"/>
  <c r="C98" i="28"/>
  <c r="I25" i="28"/>
  <c r="H355" i="28"/>
  <c r="M26" i="38"/>
  <c r="L26" i="45" s="1"/>
  <c r="Z16" i="40"/>
  <c r="I18" i="40"/>
  <c r="D23" i="38"/>
  <c r="J23" i="45" s="1"/>
  <c r="F89" i="28"/>
  <c r="G24" i="40"/>
  <c r="I19" i="28"/>
  <c r="EN17" i="29"/>
  <c r="EU17" i="29" s="1"/>
  <c r="C209" i="28"/>
  <c r="O19" i="40"/>
  <c r="I22" i="38"/>
  <c r="P21" i="40"/>
  <c r="C200" i="28"/>
  <c r="D204" i="28"/>
  <c r="B67" i="28"/>
  <c r="C84" i="28"/>
  <c r="Z27" i="40"/>
  <c r="EO15" i="29"/>
  <c r="Z10" i="40"/>
  <c r="H87" i="28"/>
  <c r="J16" i="28"/>
  <c r="J17" i="38"/>
  <c r="FA13" i="29"/>
  <c r="EZ13" i="29" s="1"/>
  <c r="B17" i="36"/>
  <c r="E17" i="36" s="1"/>
  <c r="B188" i="28"/>
  <c r="L17" i="38"/>
  <c r="K17" i="45" s="1"/>
  <c r="C102" i="28"/>
  <c r="B7" i="28"/>
  <c r="G187" i="28"/>
  <c r="E18" i="29"/>
  <c r="C19" i="28"/>
  <c r="E185" i="28"/>
  <c r="O26" i="38"/>
  <c r="N26" i="45" s="1"/>
  <c r="W13" i="40"/>
  <c r="E222" i="28"/>
  <c r="V9" i="40"/>
  <c r="C150" i="28"/>
  <c r="D24" i="40"/>
  <c r="J14" i="40"/>
  <c r="C51" i="28"/>
  <c r="I16" i="40"/>
  <c r="F229" i="28"/>
  <c r="N21" i="38"/>
  <c r="M21" i="45" s="1"/>
  <c r="X17" i="40"/>
  <c r="C192" i="28"/>
  <c r="E227" i="28"/>
  <c r="C55" i="28"/>
  <c r="B155" i="28"/>
  <c r="H21" i="40"/>
  <c r="V10" i="40"/>
  <c r="B246" i="28"/>
  <c r="C210" i="28"/>
  <c r="I8" i="38"/>
  <c r="B11" i="36"/>
  <c r="AA17" i="40"/>
  <c r="G20" i="28"/>
  <c r="AA21" i="40"/>
  <c r="G199" i="28"/>
  <c r="H23" i="40"/>
  <c r="G200" i="28"/>
  <c r="D16" i="40"/>
  <c r="M12" i="38"/>
  <c r="L12" i="45" s="1"/>
  <c r="O10" i="38"/>
  <c r="N10" i="45" s="1"/>
  <c r="D168" i="28"/>
  <c r="D213" i="28"/>
  <c r="B162" i="28"/>
  <c r="BI21" i="29"/>
  <c r="D67" i="28"/>
  <c r="C223" i="28"/>
  <c r="J20" i="29"/>
  <c r="AN20" i="29" s="1"/>
  <c r="G78" i="28"/>
  <c r="D78" i="28"/>
  <c r="J17" i="29"/>
  <c r="AN17" i="29" s="1"/>
  <c r="Q25" i="40"/>
  <c r="G97" i="28"/>
  <c r="C21" i="29"/>
  <c r="C58" i="28"/>
  <c r="EO13" i="29"/>
  <c r="EP13" i="29" s="1"/>
  <c r="I27" i="38"/>
  <c r="I14" i="40"/>
  <c r="J25" i="40"/>
  <c r="EC14" i="29"/>
  <c r="C86" i="28"/>
  <c r="D186" i="28"/>
  <c r="CK22" i="29"/>
  <c r="CO22" i="29" s="1"/>
  <c r="D26" i="38"/>
  <c r="J26" i="45" s="1"/>
  <c r="G15" i="38"/>
  <c r="H95" i="28"/>
  <c r="P22" i="29"/>
  <c r="Z19" i="40"/>
  <c r="EG19" i="29"/>
  <c r="D8" i="28"/>
  <c r="EF22" i="29"/>
  <c r="G99" i="28"/>
  <c r="C165" i="28"/>
  <c r="O12" i="38"/>
  <c r="N12" i="45" s="1"/>
  <c r="EC22" i="29"/>
  <c r="D105" i="28"/>
  <c r="D96" i="28"/>
  <c r="R23" i="40"/>
  <c r="D209" i="28"/>
  <c r="C11" i="28"/>
  <c r="F29" i="28"/>
  <c r="E191" i="28"/>
  <c r="C221" i="28"/>
  <c r="D221" i="28" s="1"/>
  <c r="D196" i="28"/>
  <c r="G18" i="40"/>
  <c r="G6" i="28"/>
  <c r="E196" i="28"/>
  <c r="BH20" i="29"/>
  <c r="F95" i="28"/>
  <c r="C13" i="29"/>
  <c r="C199" i="28"/>
  <c r="DE16" i="29"/>
  <c r="DD16" i="29" s="1"/>
  <c r="DE13" i="29"/>
  <c r="DD13" i="29" s="1"/>
  <c r="H22" i="40"/>
  <c r="M15" i="40"/>
  <c r="E54" i="28"/>
  <c r="G190" i="28"/>
  <c r="BW22" i="29"/>
  <c r="CB22" i="29" s="1"/>
  <c r="C246" i="28"/>
  <c r="J10" i="38"/>
  <c r="D210" i="28"/>
  <c r="K24" i="40"/>
  <c r="I20" i="38"/>
  <c r="M15" i="38"/>
  <c r="L15" i="45" s="1"/>
  <c r="D25" i="38"/>
  <c r="J25" i="45" s="1"/>
  <c r="D21" i="38"/>
  <c r="J21" i="45" s="1"/>
  <c r="BK21" i="29"/>
  <c r="F15" i="28"/>
  <c r="D11" i="28"/>
  <c r="G81" i="28"/>
  <c r="C191" i="28"/>
  <c r="F21" i="38"/>
  <c r="B318" i="28"/>
  <c r="C30" i="36"/>
  <c r="X21" i="40"/>
  <c r="G28" i="38"/>
  <c r="F10" i="28"/>
  <c r="J29" i="28"/>
  <c r="B295" i="28"/>
  <c r="F211" i="28"/>
  <c r="FA22" i="29"/>
  <c r="EZ22" i="29" s="1"/>
  <c r="E245" i="28"/>
  <c r="C78" i="28"/>
  <c r="P21" i="29"/>
  <c r="H17" i="38"/>
  <c r="B18" i="28"/>
  <c r="G5" i="28"/>
  <c r="B293" i="28"/>
  <c r="EC16" i="29"/>
  <c r="C65" i="28"/>
  <c r="C196" i="28"/>
  <c r="G13" i="38"/>
  <c r="B8" i="36"/>
  <c r="E8" i="36" s="1"/>
  <c r="B211" i="28"/>
  <c r="G18" i="38"/>
  <c r="R16" i="40"/>
  <c r="O22" i="40"/>
  <c r="C153" i="28"/>
  <c r="B189" i="28"/>
  <c r="R14" i="40"/>
  <c r="D5" i="28"/>
  <c r="B209" i="28"/>
  <c r="B297" i="28"/>
  <c r="D194" i="28"/>
  <c r="G207" i="28"/>
  <c r="E241" i="28"/>
  <c r="B20" i="36"/>
  <c r="E20" i="36" s="1"/>
  <c r="E31" i="28"/>
  <c r="B229" i="28"/>
  <c r="BI14" i="29"/>
  <c r="ES22" i="29"/>
  <c r="Q21" i="29"/>
  <c r="F8" i="28"/>
  <c r="C162" i="28"/>
  <c r="E12" i="40"/>
  <c r="E207" i="28"/>
  <c r="D12" i="40"/>
  <c r="C79" i="28"/>
  <c r="B170" i="28"/>
  <c r="E229" i="28"/>
  <c r="C16" i="29"/>
  <c r="S26" i="40"/>
  <c r="B20" i="28"/>
  <c r="L9" i="38"/>
  <c r="K9" i="45" s="1"/>
  <c r="B200" i="28"/>
  <c r="D15" i="28"/>
  <c r="F26" i="38"/>
  <c r="C17" i="36"/>
  <c r="L22" i="29"/>
  <c r="C197" i="28"/>
  <c r="E66" i="28"/>
  <c r="D205" i="28"/>
  <c r="ET22" i="29"/>
  <c r="P25" i="40"/>
  <c r="E44" i="28"/>
  <c r="E18" i="40"/>
  <c r="D19" i="29"/>
  <c r="U18" i="40"/>
  <c r="L20" i="40"/>
  <c r="C193" i="28"/>
  <c r="H13" i="40"/>
  <c r="G30" i="28"/>
  <c r="C20" i="36"/>
  <c r="G19" i="28"/>
  <c r="F20" i="38"/>
  <c r="ED14" i="29"/>
  <c r="F11" i="40"/>
  <c r="E93" i="28"/>
  <c r="T9" i="40"/>
  <c r="Q21" i="40"/>
  <c r="F96" i="28"/>
  <c r="F223" i="28"/>
  <c r="G223" i="28" s="1"/>
  <c r="C13" i="28"/>
  <c r="J9" i="28"/>
  <c r="D271" i="28"/>
  <c r="G189" i="28"/>
  <c r="G18" i="28"/>
  <c r="D27" i="40"/>
  <c r="E228" i="28"/>
  <c r="G188" i="28"/>
  <c r="L20" i="38"/>
  <c r="K20" i="45" s="1"/>
  <c r="H12" i="40"/>
  <c r="M21" i="40"/>
  <c r="I16" i="28"/>
  <c r="B9" i="36"/>
  <c r="I8" i="40"/>
  <c r="E19" i="28"/>
  <c r="C187" i="28"/>
  <c r="B49" i="28"/>
  <c r="J19" i="40"/>
  <c r="E52" i="28"/>
  <c r="F249" i="28"/>
  <c r="I20" i="40"/>
  <c r="L14" i="38"/>
  <c r="B6" i="28"/>
  <c r="R18" i="40"/>
  <c r="X12" i="40"/>
  <c r="D26" i="28"/>
  <c r="D66" i="28"/>
  <c r="BV22" i="29"/>
  <c r="B5" i="36"/>
  <c r="E5" i="36" s="1"/>
  <c r="H19" i="38"/>
  <c r="E56" i="28"/>
  <c r="C46" i="28"/>
  <c r="D12" i="28"/>
  <c r="E21" i="40"/>
  <c r="E353" i="28"/>
  <c r="EF18" i="29"/>
  <c r="C19" i="36"/>
  <c r="G8" i="40"/>
  <c r="K22" i="29"/>
  <c r="F33" i="28"/>
  <c r="E171" i="28"/>
  <c r="F28" i="28"/>
  <c r="J17" i="28"/>
  <c r="J25" i="28"/>
  <c r="W22" i="40"/>
  <c r="F86" i="28"/>
  <c r="B244" i="28"/>
  <c r="B223" i="28"/>
  <c r="U16" i="40"/>
  <c r="V27" i="40"/>
  <c r="B186" i="28"/>
  <c r="E16" i="28"/>
  <c r="E187" i="28"/>
  <c r="F27" i="28"/>
  <c r="G15" i="40"/>
  <c r="EG12" i="29"/>
  <c r="E159" i="28"/>
  <c r="R21" i="40"/>
  <c r="BH16" i="29"/>
  <c r="D53" i="28"/>
  <c r="T16" i="40"/>
  <c r="D13" i="29"/>
  <c r="S19" i="40"/>
  <c r="EC19" i="29"/>
  <c r="E59" i="28"/>
  <c r="G105" i="28"/>
  <c r="C26" i="36"/>
  <c r="M17" i="40"/>
  <c r="E24" i="28"/>
  <c r="EB20" i="29"/>
  <c r="B68" i="28"/>
  <c r="J28" i="28"/>
  <c r="L24" i="38"/>
  <c r="K24" i="45" s="1"/>
  <c r="EC15" i="29"/>
  <c r="D8" i="38"/>
  <c r="I15" i="40"/>
  <c r="BJ16" i="29"/>
  <c r="N28" i="38"/>
  <c r="M28" i="45" s="1"/>
  <c r="B12" i="28"/>
  <c r="BJ12" i="29"/>
  <c r="EF21" i="29"/>
  <c r="C12" i="36"/>
  <c r="O13" i="38"/>
  <c r="N13" i="45" s="1"/>
  <c r="G101" i="28"/>
  <c r="U24" i="40"/>
  <c r="W21" i="40"/>
  <c r="Q27" i="40"/>
  <c r="B239" i="28"/>
  <c r="F99" i="28"/>
  <c r="C11" i="36"/>
  <c r="F18" i="40"/>
  <c r="K13" i="40"/>
  <c r="B243" i="28"/>
  <c r="EF16" i="29"/>
  <c r="E232" i="28"/>
  <c r="E249" i="28"/>
  <c r="B29" i="28"/>
  <c r="B151" i="28"/>
  <c r="N8" i="38"/>
  <c r="O14" i="40"/>
  <c r="F25" i="38"/>
  <c r="B25" i="28"/>
  <c r="D14" i="29"/>
  <c r="EF12" i="29"/>
  <c r="K21" i="40"/>
  <c r="F85" i="28"/>
  <c r="B199" i="28"/>
  <c r="AA7" i="40"/>
  <c r="Q17" i="29"/>
  <c r="R17" i="29" s="1"/>
  <c r="Z14" i="40"/>
  <c r="M8" i="40"/>
  <c r="E13" i="28"/>
  <c r="DE20" i="29"/>
  <c r="DD20" i="29" s="1"/>
  <c r="F25" i="28"/>
  <c r="C100" i="28"/>
  <c r="EB15" i="29"/>
  <c r="J22" i="38"/>
  <c r="H100" i="28"/>
  <c r="BJ14" i="29"/>
  <c r="B213" i="28"/>
  <c r="M8" i="38"/>
  <c r="F186" i="28"/>
  <c r="G186" i="28"/>
  <c r="J25" i="38"/>
  <c r="M19" i="38"/>
  <c r="L19" i="45" s="1"/>
  <c r="BJ17" i="29"/>
  <c r="B66" i="28"/>
  <c r="FA17" i="29"/>
  <c r="EZ17" i="29" s="1"/>
  <c r="Q18" i="29"/>
  <c r="J15" i="29"/>
  <c r="AN15" i="29" s="1"/>
  <c r="Q22" i="29"/>
  <c r="F239" i="28"/>
  <c r="G239" i="28" s="1"/>
  <c r="O28" i="38"/>
  <c r="N28" i="45" s="1"/>
  <c r="H102" i="28"/>
  <c r="B104" i="28"/>
  <c r="B78" i="28"/>
  <c r="D20" i="28"/>
  <c r="D193" i="28"/>
  <c r="C170" i="28"/>
  <c r="EO18" i="29"/>
  <c r="C231" i="28"/>
  <c r="F198" i="28"/>
  <c r="E88" i="28"/>
  <c r="E9" i="40"/>
  <c r="N14" i="38"/>
  <c r="Q7" i="40"/>
  <c r="U17" i="40"/>
  <c r="G14" i="29"/>
  <c r="C190" i="28"/>
  <c r="O25" i="40"/>
  <c r="I12" i="38"/>
  <c r="AA24" i="40"/>
  <c r="E25" i="28"/>
  <c r="G26" i="40"/>
  <c r="T26" i="40"/>
  <c r="D170" i="28"/>
  <c r="F206" i="28"/>
  <c r="D190" i="28"/>
  <c r="B241" i="28"/>
  <c r="B210" i="28"/>
  <c r="D49" i="28"/>
  <c r="D33" i="28"/>
  <c r="B153" i="28"/>
  <c r="L11" i="40"/>
  <c r="F240" i="28"/>
  <c r="G26" i="28"/>
  <c r="E68" i="28"/>
  <c r="D6" i="28"/>
  <c r="Q17" i="40"/>
  <c r="I30" i="28"/>
  <c r="EA19" i="29"/>
  <c r="EM19" i="29" s="1"/>
  <c r="F213" i="28"/>
  <c r="T13" i="40"/>
  <c r="B298" i="28"/>
  <c r="E83" i="28"/>
  <c r="F209" i="28"/>
  <c r="Z26" i="40"/>
  <c r="C59" i="28"/>
  <c r="EE17" i="29"/>
  <c r="U25" i="40"/>
  <c r="C225" i="28"/>
  <c r="D225" i="28" s="1"/>
  <c r="M21" i="38"/>
  <c r="L21" i="45" s="1"/>
  <c r="C237" i="28"/>
  <c r="E47" i="28"/>
  <c r="J8" i="38"/>
  <c r="D63" i="28"/>
  <c r="D157" i="28"/>
  <c r="D15" i="40"/>
  <c r="E8" i="40"/>
  <c r="F12" i="29"/>
  <c r="F230" i="28"/>
  <c r="FA21" i="29"/>
  <c r="EZ21" i="29" s="1"/>
  <c r="G86" i="28"/>
  <c r="X7" i="40"/>
  <c r="H19" i="40"/>
  <c r="E157" i="28"/>
  <c r="EO20" i="29"/>
  <c r="P20" i="29"/>
  <c r="H17" i="29"/>
  <c r="F7" i="28"/>
  <c r="J18" i="29"/>
  <c r="AN18" i="29" s="1"/>
  <c r="E8" i="45"/>
  <c r="K8" i="45" s="1"/>
  <c r="BJ20" i="29"/>
  <c r="E204" i="28"/>
  <c r="T23" i="40"/>
  <c r="I14" i="38"/>
  <c r="S10" i="40"/>
  <c r="G16" i="28"/>
  <c r="N16" i="38"/>
  <c r="M16" i="45" s="1"/>
  <c r="D200" i="28"/>
  <c r="E169" i="28"/>
  <c r="B197" i="28"/>
  <c r="D174" i="28"/>
  <c r="Z23" i="40"/>
  <c r="C54" i="28"/>
  <c r="D24" i="28"/>
  <c r="E209" i="28"/>
  <c r="EO16" i="29"/>
  <c r="B84" i="28"/>
  <c r="G85" i="28"/>
  <c r="F236" i="28"/>
  <c r="G236" i="28" s="1"/>
  <c r="F15" i="29"/>
  <c r="C22" i="28"/>
  <c r="E18" i="28"/>
  <c r="X23" i="40"/>
  <c r="I22" i="36"/>
  <c r="EI22" i="29"/>
  <c r="FB22" i="29" s="1"/>
  <c r="L24" i="40"/>
  <c r="E17" i="40"/>
  <c r="C8" i="36"/>
  <c r="G14" i="38"/>
  <c r="F244" i="28"/>
  <c r="G244" i="28" s="1"/>
  <c r="H10" i="38"/>
  <c r="D90" i="28"/>
  <c r="H26" i="40"/>
  <c r="B226" i="28"/>
  <c r="E343" i="28"/>
  <c r="EB19" i="29"/>
  <c r="M11" i="40"/>
  <c r="H94" i="28"/>
  <c r="J9" i="38"/>
  <c r="ED19" i="29"/>
  <c r="F10" i="40"/>
  <c r="H11" i="38"/>
  <c r="D22" i="29"/>
  <c r="BK15" i="29"/>
  <c r="P23" i="40"/>
  <c r="X10" i="40"/>
  <c r="F243" i="28"/>
  <c r="G243" i="28" s="1"/>
  <c r="R7" i="40"/>
  <c r="S15" i="40"/>
  <c r="E190" i="28"/>
  <c r="D10" i="36"/>
  <c r="J23" i="38"/>
  <c r="S16" i="40"/>
  <c r="E51" i="28"/>
  <c r="F12" i="28"/>
  <c r="C26" i="28"/>
  <c r="D10" i="28"/>
  <c r="J20" i="38"/>
  <c r="D19" i="38"/>
  <c r="J19" i="45" s="1"/>
  <c r="J18" i="40"/>
  <c r="E8" i="29"/>
  <c r="C31" i="36"/>
  <c r="D29" i="36"/>
  <c r="L10" i="38"/>
  <c r="K10" i="45" s="1"/>
  <c r="J23" i="40"/>
  <c r="I15" i="38"/>
  <c r="E151" i="28"/>
  <c r="B52" i="28"/>
  <c r="EF19" i="29"/>
  <c r="DE14" i="29"/>
  <c r="DD14" i="29" s="1"/>
  <c r="EB13" i="29"/>
  <c r="B54" i="28"/>
  <c r="C6" i="36"/>
  <c r="P19" i="29"/>
  <c r="W16" i="40"/>
  <c r="B48" i="28"/>
  <c r="M16" i="38"/>
  <c r="L16" i="45" s="1"/>
  <c r="F16" i="29"/>
  <c r="EE19" i="29"/>
  <c r="J22" i="29"/>
  <c r="AN22" i="29" s="1"/>
  <c r="C188" i="28"/>
  <c r="C60" i="28"/>
  <c r="D29" i="28"/>
  <c r="F188" i="28"/>
  <c r="G10" i="28"/>
  <c r="P22" i="40"/>
  <c r="S18" i="40"/>
  <c r="C185" i="28"/>
  <c r="I28" i="28"/>
  <c r="I6" i="28"/>
  <c r="I12" i="40"/>
  <c r="D86" i="28"/>
  <c r="C67" i="28"/>
  <c r="B240" i="28"/>
  <c r="E77" i="28"/>
  <c r="F227" i="28"/>
  <c r="I20" i="29"/>
  <c r="C149" i="28"/>
  <c r="D22" i="36"/>
  <c r="J10" i="40"/>
  <c r="I24" i="40"/>
  <c r="D94" i="28"/>
  <c r="M9" i="40"/>
  <c r="B101" i="28"/>
  <c r="I22" i="29"/>
  <c r="H79" i="28"/>
  <c r="P18" i="40"/>
  <c r="E224" i="28"/>
  <c r="Z25" i="40"/>
  <c r="E13" i="29"/>
  <c r="F102" i="28"/>
  <c r="M20" i="40"/>
  <c r="D88" i="28"/>
  <c r="F94" i="28"/>
  <c r="F11" i="28"/>
  <c r="E16" i="40"/>
  <c r="EA16" i="29"/>
  <c r="EM16" i="29" s="1"/>
  <c r="M28" i="38"/>
  <c r="L28" i="45" s="1"/>
  <c r="D343" i="28"/>
  <c r="F15" i="38"/>
  <c r="E235" i="28"/>
  <c r="H101" i="28"/>
  <c r="B175" i="28"/>
  <c r="D155" i="28"/>
  <c r="J7" i="40"/>
  <c r="C15" i="29"/>
  <c r="T19" i="40"/>
  <c r="F242" i="28"/>
  <c r="BA22" i="29"/>
  <c r="E32" i="28"/>
  <c r="B19" i="36"/>
  <c r="E19" i="36" s="1"/>
  <c r="I16" i="29"/>
  <c r="N10" i="38"/>
  <c r="M10" i="45" s="1"/>
  <c r="B319" i="28"/>
  <c r="ED20" i="29"/>
  <c r="J12" i="40"/>
  <c r="E174" i="28"/>
  <c r="G201" i="28"/>
  <c r="O9" i="38"/>
  <c r="N9" i="45" s="1"/>
  <c r="D21" i="28"/>
  <c r="I17" i="29"/>
  <c r="W14" i="40"/>
  <c r="E91" i="28"/>
  <c r="EE15" i="29"/>
  <c r="L9" i="40"/>
  <c r="I23" i="40"/>
  <c r="D12" i="29"/>
  <c r="H81" i="28"/>
  <c r="D303" i="28"/>
  <c r="J16" i="29"/>
  <c r="AN16" i="29" s="1"/>
  <c r="H27" i="40"/>
  <c r="BH19" i="29"/>
  <c r="G17" i="28"/>
  <c r="C206" i="28"/>
  <c r="EO22" i="29"/>
  <c r="EP22" i="29" s="1"/>
  <c r="F18" i="28"/>
  <c r="B195" i="28"/>
  <c r="C68" i="28"/>
  <c r="E173" i="28"/>
  <c r="E198" i="28"/>
  <c r="G82" i="28"/>
  <c r="AA15" i="40"/>
  <c r="E12" i="28"/>
  <c r="B196" i="28"/>
  <c r="D152" i="28"/>
  <c r="E221" i="28"/>
  <c r="B91" i="28"/>
  <c r="Q12" i="29"/>
  <c r="R12" i="29" s="1"/>
  <c r="G21" i="40"/>
  <c r="D43" i="28"/>
  <c r="B33" i="28"/>
  <c r="F232" i="28"/>
  <c r="C236" i="28"/>
  <c r="C27" i="28"/>
  <c r="X20" i="40"/>
  <c r="H97" i="28"/>
  <c r="AA20" i="40"/>
  <c r="B173" i="28"/>
  <c r="E48" i="28"/>
  <c r="B198" i="28"/>
  <c r="BJ15" i="29"/>
  <c r="E230" i="28"/>
  <c r="DE15" i="29"/>
  <c r="DD15" i="29" s="1"/>
  <c r="D16" i="29"/>
  <c r="BH12" i="29"/>
  <c r="D102" i="28"/>
  <c r="B310" i="28"/>
  <c r="D50" i="28"/>
  <c r="F14" i="40"/>
  <c r="F210" i="28"/>
  <c r="J12" i="29"/>
  <c r="AN12" i="29" s="1"/>
  <c r="Q16" i="29"/>
  <c r="R16" i="29" s="1"/>
  <c r="G17" i="29"/>
  <c r="E45" i="28"/>
  <c r="B247" i="28"/>
  <c r="C203" i="28"/>
  <c r="C247" i="28"/>
  <c r="F91" i="28"/>
  <c r="T18" i="40"/>
  <c r="BK12" i="29"/>
  <c r="E170" i="28"/>
  <c r="D154" i="28"/>
  <c r="U26" i="40"/>
  <c r="E49" i="28"/>
  <c r="Z7" i="40"/>
  <c r="I12" i="28"/>
  <c r="E203" i="28"/>
  <c r="D9" i="36"/>
  <c r="D25" i="36"/>
  <c r="C8" i="28"/>
  <c r="F16" i="38"/>
  <c r="AC16" i="38" s="1"/>
  <c r="F10" i="38"/>
  <c r="D24" i="38"/>
  <c r="J24" i="45" s="1"/>
  <c r="R24" i="40"/>
  <c r="D13" i="28"/>
  <c r="C174" i="28"/>
  <c r="F245" i="28"/>
  <c r="C9" i="36"/>
  <c r="I22" i="28"/>
  <c r="J11" i="38"/>
  <c r="C96" i="28"/>
  <c r="N27" i="38"/>
  <c r="M27" i="45" s="1"/>
  <c r="Q22" i="40"/>
  <c r="B86" i="28"/>
  <c r="E153" i="28"/>
  <c r="N25" i="38"/>
  <c r="M25" i="45" s="1"/>
  <c r="O21" i="40"/>
  <c r="J33" i="28"/>
  <c r="G212" i="28"/>
  <c r="C189" i="28"/>
  <c r="D28" i="38"/>
  <c r="J28" i="45" s="1"/>
  <c r="B204" i="28"/>
  <c r="D171" i="28"/>
  <c r="D23" i="36"/>
  <c r="G84" i="28"/>
  <c r="B190" i="28"/>
  <c r="J8" i="28"/>
  <c r="ED15" i="29"/>
  <c r="C13" i="36"/>
  <c r="D159" i="28"/>
  <c r="BI15" i="29"/>
  <c r="V17" i="40"/>
  <c r="H105" i="28"/>
  <c r="BJ13" i="29"/>
  <c r="AA11" i="40"/>
  <c r="B87" i="28"/>
  <c r="EA18" i="29"/>
  <c r="EM18" i="29" s="1"/>
  <c r="D80" i="28"/>
  <c r="J16" i="40"/>
  <c r="D16" i="38"/>
  <c r="J16" i="45" s="1"/>
  <c r="C172" i="28"/>
  <c r="E97" i="28"/>
  <c r="J14" i="28"/>
  <c r="O15" i="40"/>
  <c r="D14" i="40"/>
  <c r="D192" i="28"/>
  <c r="FA15" i="29"/>
  <c r="EZ15" i="29" s="1"/>
  <c r="F32" i="28"/>
  <c r="ED22" i="29"/>
  <c r="C95" i="28"/>
  <c r="T24" i="40"/>
  <c r="L13" i="40"/>
  <c r="L19" i="38"/>
  <c r="K19" i="45" s="1"/>
  <c r="EE22" i="29"/>
  <c r="E25" i="40"/>
  <c r="AA9" i="40"/>
  <c r="D172" i="28"/>
  <c r="C16" i="28"/>
  <c r="C6" i="28"/>
  <c r="E28" i="28"/>
  <c r="B314" i="28"/>
  <c r="C232" i="28"/>
  <c r="D232" i="28" s="1"/>
  <c r="B321" i="28"/>
  <c r="C176" i="28"/>
  <c r="EG20" i="29"/>
  <c r="G240" i="28" l="1"/>
  <c r="D237" i="28"/>
  <c r="I79" i="28"/>
  <c r="EM13" i="29"/>
  <c r="I95" i="28"/>
  <c r="D236" i="28"/>
  <c r="D245" i="28"/>
  <c r="E11" i="36"/>
  <c r="I92" i="28"/>
  <c r="I98" i="28"/>
  <c r="I103" i="28"/>
  <c r="I100" i="28"/>
  <c r="I87" i="28"/>
  <c r="I105" i="28"/>
  <c r="I86" i="28"/>
  <c r="I83" i="28"/>
  <c r="I77" i="28"/>
  <c r="I89" i="28"/>
  <c r="I93" i="28"/>
  <c r="I101" i="28"/>
  <c r="I102" i="28"/>
  <c r="I104" i="28"/>
  <c r="I78" i="28"/>
  <c r="I90" i="28"/>
  <c r="I81" i="28"/>
  <c r="I94" i="28"/>
  <c r="I99" i="28"/>
  <c r="I80" i="28"/>
  <c r="I97" i="28"/>
  <c r="I84" i="28"/>
  <c r="I82" i="28"/>
  <c r="I85" i="28"/>
  <c r="I96" i="28"/>
  <c r="I91" i="28"/>
  <c r="I88" i="28"/>
  <c r="O15" i="29"/>
  <c r="BX22" i="29"/>
  <c r="EM12" i="29"/>
  <c r="AC21" i="38"/>
  <c r="EP20" i="29"/>
  <c r="O16" i="29"/>
  <c r="EU19" i="29"/>
  <c r="EP16" i="29"/>
  <c r="BN17" i="29"/>
  <c r="BL19" i="29"/>
  <c r="G242" i="28"/>
  <c r="E12" i="36"/>
  <c r="O21" i="29"/>
  <c r="EP12" i="29"/>
  <c r="R18" i="29"/>
  <c r="EU15" i="29"/>
  <c r="E33" i="36"/>
  <c r="N14" i="45"/>
  <c r="EW14" i="29"/>
  <c r="R13" i="29"/>
  <c r="O13" i="29"/>
  <c r="E15" i="36"/>
  <c r="D235" i="28"/>
  <c r="EP18" i="29"/>
  <c r="E24" i="36"/>
  <c r="CR22" i="29"/>
  <c r="EM20" i="29"/>
  <c r="FC22" i="29"/>
  <c r="X13" i="29"/>
  <c r="E26" i="36"/>
  <c r="E32" i="36"/>
  <c r="D246" i="28"/>
  <c r="Y15" i="29"/>
  <c r="AD22" i="29"/>
  <c r="BE22" i="29" s="1"/>
  <c r="E30" i="36"/>
  <c r="BN13" i="29"/>
  <c r="Z14" i="29"/>
  <c r="W14" i="29"/>
  <c r="D234" i="28"/>
  <c r="AC10" i="38"/>
  <c r="G248" i="28"/>
  <c r="D231" i="28"/>
  <c r="EW15" i="29"/>
  <c r="BS21" i="29"/>
  <c r="G227" i="28"/>
  <c r="AE22" i="29"/>
  <c r="AC26" i="38"/>
  <c r="EW19" i="29"/>
  <c r="EU20" i="29"/>
  <c r="D247" i="28"/>
  <c r="EP15" i="29"/>
  <c r="BO21" i="29"/>
  <c r="G232" i="28"/>
  <c r="BN16" i="29"/>
  <c r="R21" i="29"/>
  <c r="AF22" i="29"/>
  <c r="BF22" i="29" s="1"/>
  <c r="R22" i="29"/>
  <c r="D233" i="28"/>
  <c r="EM21" i="29"/>
  <c r="BM22" i="29"/>
  <c r="BO12" i="29"/>
  <c r="EV19" i="29"/>
  <c r="EV17" i="29"/>
  <c r="BO15" i="29"/>
  <c r="BL18" i="29"/>
  <c r="AC18" i="38"/>
  <c r="BO20" i="29"/>
  <c r="EW13" i="29"/>
  <c r="G245" i="28"/>
  <c r="EU18" i="29"/>
  <c r="Z17" i="29"/>
  <c r="BM14" i="29"/>
  <c r="EV13" i="29"/>
  <c r="BS19" i="29"/>
  <c r="E13" i="36"/>
  <c r="EM15" i="29"/>
  <c r="W13" i="29"/>
  <c r="EV21" i="29"/>
  <c r="G237" i="28"/>
  <c r="E9" i="36"/>
  <c r="D223" i="28"/>
  <c r="Z21" i="29"/>
  <c r="Y21" i="29"/>
  <c r="AA12" i="29"/>
  <c r="AB12" i="29" s="1"/>
  <c r="AC12" i="29" s="1"/>
  <c r="BM12" i="29"/>
  <c r="AA18" i="29"/>
  <c r="AB18" i="29" s="1"/>
  <c r="AC18" i="29" s="1"/>
  <c r="BS18" i="29"/>
  <c r="G226" i="28"/>
  <c r="CP22" i="29"/>
  <c r="CQ22" i="29" s="1"/>
  <c r="W18" i="29"/>
  <c r="BM19" i="29"/>
  <c r="BM17" i="29"/>
  <c r="O20" i="29"/>
  <c r="D226" i="28"/>
  <c r="AC11" i="38"/>
  <c r="BL16" i="29"/>
  <c r="BL20" i="29"/>
  <c r="BM21" i="29"/>
  <c r="G225" i="28"/>
  <c r="Y20" i="29"/>
  <c r="AC24" i="38"/>
  <c r="Y22" i="29"/>
  <c r="G221" i="28"/>
  <c r="AA16" i="29"/>
  <c r="AB16" i="29" s="1"/>
  <c r="AC16" i="29" s="1"/>
  <c r="BS17" i="29"/>
  <c r="G230" i="28"/>
  <c r="G303" i="28"/>
  <c r="R15" i="29"/>
  <c r="G238" i="28"/>
  <c r="D249" i="28"/>
  <c r="D240" i="28"/>
  <c r="Y12" i="29"/>
  <c r="G229" i="28"/>
  <c r="Z19" i="29"/>
  <c r="E29" i="36"/>
  <c r="BN22" i="29"/>
  <c r="BN19" i="29"/>
  <c r="G247" i="28"/>
  <c r="Z18" i="29"/>
  <c r="D229" i="28"/>
  <c r="G228" i="28"/>
  <c r="EU16" i="29"/>
  <c r="EW12" i="29"/>
  <c r="BM20" i="29"/>
  <c r="X22" i="29"/>
  <c r="BN12" i="29"/>
  <c r="BM15" i="29"/>
  <c r="AC25" i="38"/>
  <c r="W19" i="29"/>
  <c r="BS14" i="29"/>
  <c r="BO18" i="29"/>
  <c r="EV18" i="29"/>
  <c r="AA19" i="29"/>
  <c r="AB19" i="29" s="1"/>
  <c r="AC19" i="29" s="1"/>
  <c r="EW16" i="29"/>
  <c r="N8" i="45"/>
  <c r="R14" i="29"/>
  <c r="K14" i="45"/>
  <c r="AC22" i="38"/>
  <c r="EW21" i="29"/>
  <c r="D239" i="28"/>
  <c r="AC27" i="38"/>
  <c r="E25" i="36"/>
  <c r="BS13" i="29"/>
  <c r="AA21" i="29"/>
  <c r="AB21" i="29" s="1"/>
  <c r="AC21" i="29" s="1"/>
  <c r="X12" i="29"/>
  <c r="D242" i="28"/>
  <c r="Z13" i="29"/>
  <c r="E18" i="36"/>
  <c r="W12" i="29"/>
  <c r="Y16" i="29"/>
  <c r="CA22" i="29"/>
  <c r="BY22" i="29"/>
  <c r="X20" i="29"/>
  <c r="AA22" i="29"/>
  <c r="AB22" i="29" s="1"/>
  <c r="AC22" i="29" s="1"/>
  <c r="D243" i="28"/>
  <c r="BL22" i="29"/>
  <c r="BL15" i="29"/>
  <c r="O14" i="29"/>
  <c r="BS12" i="29"/>
  <c r="Y17" i="29"/>
  <c r="AC28" i="38"/>
  <c r="EV14" i="29"/>
  <c r="EP17" i="29"/>
  <c r="X17" i="29"/>
  <c r="EV12" i="29"/>
  <c r="BN14" i="29"/>
  <c r="AC12" i="38"/>
  <c r="AC13" i="38"/>
  <c r="E23" i="36"/>
  <c r="Y14" i="29"/>
  <c r="Y18" i="29"/>
  <c r="J8" i="45"/>
  <c r="AA14" i="29"/>
  <c r="AB14" i="29" s="1"/>
  <c r="AC14" i="29" s="1"/>
  <c r="M8" i="45"/>
  <c r="BS16" i="29"/>
  <c r="AC15" i="38"/>
  <c r="G222" i="28"/>
  <c r="BL13" i="29"/>
  <c r="E22" i="36"/>
  <c r="L14" i="45"/>
  <c r="AC14" i="38"/>
  <c r="E21" i="36"/>
  <c r="O19" i="29"/>
  <c r="EV22" i="29"/>
  <c r="EW18" i="29"/>
  <c r="AG22" i="29"/>
  <c r="BG22" i="29" s="1"/>
  <c r="EV15" i="29"/>
  <c r="R19" i="29"/>
  <c r="BL14" i="29"/>
  <c r="EP19" i="29"/>
  <c r="W15" i="29"/>
  <c r="E27" i="36"/>
  <c r="BL17" i="29"/>
  <c r="X14" i="29"/>
  <c r="BN20" i="29"/>
  <c r="EV20" i="29"/>
  <c r="Z22" i="29"/>
  <c r="EU21" i="29"/>
  <c r="BO22" i="29"/>
  <c r="AA15" i="29"/>
  <c r="AB15" i="29" s="1"/>
  <c r="AC15" i="29" s="1"/>
  <c r="G231" i="28"/>
  <c r="O12" i="29"/>
  <c r="EW22" i="29"/>
  <c r="X15" i="29"/>
  <c r="D222" i="28"/>
  <c r="E6" i="36"/>
  <c r="X21" i="29"/>
  <c r="G246" i="28"/>
  <c r="BO14" i="29"/>
  <c r="BN18" i="29"/>
  <c r="AC8" i="38"/>
  <c r="BL12" i="29"/>
  <c r="G249" i="28"/>
  <c r="X18" i="29"/>
  <c r="G224" i="28"/>
  <c r="FE22" i="29"/>
  <c r="M14" i="45"/>
  <c r="Z12" i="29"/>
  <c r="Y19" i="29"/>
  <c r="EW20" i="29"/>
  <c r="FD22" i="29"/>
  <c r="G241" i="28"/>
  <c r="D228" i="28"/>
  <c r="W16" i="29"/>
  <c r="D244" i="28"/>
  <c r="BM16" i="29"/>
  <c r="X16" i="29"/>
  <c r="D238" i="28"/>
  <c r="W21" i="29"/>
  <c r="EP14" i="29"/>
  <c r="O17" i="29"/>
  <c r="D230" i="28"/>
  <c r="AA17" i="29"/>
  <c r="AB17" i="29" s="1"/>
  <c r="AC17" i="29" s="1"/>
  <c r="BM18" i="29"/>
  <c r="G234" i="28"/>
  <c r="EU12" i="29"/>
  <c r="EU13" i="29"/>
  <c r="AC9" i="38"/>
  <c r="BO17" i="29"/>
  <c r="W20" i="29"/>
  <c r="BM13" i="29"/>
  <c r="DC22" i="29"/>
  <c r="Y13" i="29"/>
  <c r="Z15" i="29"/>
  <c r="G318" i="28"/>
  <c r="O18" i="29"/>
  <c r="BS20" i="29"/>
  <c r="CT22" i="29"/>
  <c r="CS22" i="29"/>
  <c r="BN15" i="29"/>
  <c r="AC20" i="38"/>
  <c r="AC23" i="38"/>
  <c r="BS15" i="29"/>
  <c r="EW17" i="29"/>
  <c r="BN21" i="29"/>
  <c r="E16" i="36"/>
  <c r="EP21" i="29"/>
  <c r="J14" i="45"/>
  <c r="E31" i="36"/>
  <c r="E14" i="36"/>
  <c r="W22" i="29"/>
  <c r="E10" i="36"/>
  <c r="AA13" i="29"/>
  <c r="AB13" i="29" s="1"/>
  <c r="AC13" i="29" s="1"/>
  <c r="EV16" i="29"/>
  <c r="EU14" i="29"/>
  <c r="AC19" i="38"/>
  <c r="BO16" i="29"/>
  <c r="X19" i="29"/>
  <c r="CU22" i="29"/>
  <c r="CV22" i="29"/>
  <c r="R20" i="29"/>
  <c r="D241" i="28"/>
  <c r="L8" i="45"/>
  <c r="BO19" i="29"/>
  <c r="Z20" i="29"/>
  <c r="AC17" i="38"/>
  <c r="AA20" i="29"/>
  <c r="AB20" i="29" s="1"/>
  <c r="AC20" i="29" s="1"/>
  <c r="G235" i="28"/>
  <c r="EM14" i="29"/>
  <c r="W17" i="29"/>
  <c r="BO13" i="29"/>
  <c r="E28" i="36"/>
  <c r="J383" i="28"/>
  <c r="Z16" i="29"/>
  <c r="BL21" i="29"/>
  <c r="AM14" i="115" a="1"/>
  <c r="AM19" i="115" a="1"/>
  <c r="AM16" i="115" a="1"/>
  <c r="AM21" i="115" a="1"/>
  <c r="AM12" i="115" a="1"/>
  <c r="AM15" i="115" a="1"/>
  <c r="AM18" i="115" a="1"/>
  <c r="AM13" i="115" a="1"/>
  <c r="AM22" i="115" a="1"/>
  <c r="AM20" i="115" a="1"/>
  <c r="AM17" i="115" a="1"/>
  <c r="BZ22" i="29" l="1"/>
  <c r="AM20" i="115"/>
  <c r="AM17" i="115"/>
  <c r="AM18" i="115"/>
  <c r="AM15" i="115"/>
  <c r="AM14" i="115"/>
  <c r="AM22" i="115"/>
  <c r="AM13" i="115"/>
  <c r="AM12" i="115"/>
  <c r="AM19" i="115"/>
  <c r="AM21" i="115"/>
  <c r="AM16" i="115"/>
  <c r="AW14" i="29"/>
  <c r="AW13" i="29"/>
  <c r="EY18" i="29"/>
  <c r="FG22" i="29"/>
  <c r="AH14" i="29"/>
  <c r="AJ14" i="29" s="1"/>
  <c r="FF22" i="29"/>
  <c r="EY17" i="29"/>
  <c r="BP22" i="29"/>
  <c r="BR22" i="29" s="1"/>
  <c r="EX22" i="29"/>
  <c r="EY14" i="29"/>
  <c r="FI22" i="29"/>
  <c r="CZ22" i="29"/>
  <c r="EY21" i="29"/>
  <c r="EY16" i="29"/>
  <c r="FH22" i="29"/>
  <c r="EY22" i="29"/>
  <c r="AW17" i="29"/>
  <c r="EY13" i="29"/>
  <c r="EY20" i="29"/>
  <c r="AH13" i="29"/>
  <c r="AJ13" i="29" s="1"/>
  <c r="AH16" i="29"/>
  <c r="AJ16" i="29" s="1"/>
  <c r="AS16" i="29" s="1"/>
  <c r="AW20" i="29"/>
  <c r="AH20" i="29"/>
  <c r="AJ20" i="29" s="1"/>
  <c r="AS20" i="29" s="1"/>
  <c r="AH19" i="29"/>
  <c r="AJ19" i="29" s="1"/>
  <c r="AS19" i="29" s="1"/>
  <c r="EY12" i="29"/>
  <c r="AH22" i="29"/>
  <c r="BD22" i="29"/>
  <c r="AW16" i="29"/>
  <c r="EY19" i="29"/>
  <c r="AW18" i="29"/>
  <c r="AH18" i="29"/>
  <c r="AH15" i="29"/>
  <c r="AJ15" i="29" s="1"/>
  <c r="AS15" i="29" s="1"/>
  <c r="CX22" i="29"/>
  <c r="CW22" i="29"/>
  <c r="AW12" i="29"/>
  <c r="AH12" i="29"/>
  <c r="AJ12" i="29" s="1"/>
  <c r="AS12" i="29" s="1"/>
  <c r="AW21" i="29"/>
  <c r="AH21" i="29"/>
  <c r="AW22" i="29"/>
  <c r="AW19" i="29"/>
  <c r="AH17" i="29"/>
  <c r="AJ17" i="29" s="1"/>
  <c r="AS17" i="29" s="1"/>
  <c r="EY15" i="29"/>
  <c r="AW15" i="29"/>
  <c r="AK12" i="29" l="1"/>
  <c r="AT12" i="29" s="1"/>
  <c r="AL12" i="29"/>
  <c r="AO19" i="115"/>
  <c r="AN19" i="115"/>
  <c r="AP19" i="115"/>
  <c r="AO12" i="115"/>
  <c r="AP12" i="115"/>
  <c r="AN12" i="115"/>
  <c r="AP18" i="115"/>
  <c r="AO18" i="115"/>
  <c r="AN18" i="115"/>
  <c r="AO21" i="115"/>
  <c r="AP21" i="115"/>
  <c r="AN21" i="115"/>
  <c r="AP17" i="115"/>
  <c r="AO17" i="115"/>
  <c r="AN17" i="115"/>
  <c r="AO16" i="115"/>
  <c r="AN16" i="115"/>
  <c r="AP16" i="115"/>
  <c r="AN13" i="115"/>
  <c r="AO13" i="115"/>
  <c r="AP13" i="115"/>
  <c r="AP14" i="115"/>
  <c r="AO14" i="115"/>
  <c r="AN14" i="115"/>
  <c r="AP15" i="115"/>
  <c r="AO15" i="115"/>
  <c r="AN15" i="115"/>
  <c r="AO20" i="115"/>
  <c r="AN20" i="115"/>
  <c r="AP20" i="115"/>
  <c r="BQ22" i="29"/>
  <c r="AK19" i="29"/>
  <c r="AT19" i="29" s="1"/>
  <c r="AK20" i="29"/>
  <c r="AT20" i="29" s="1"/>
  <c r="AK15" i="29"/>
  <c r="AT15" i="29" s="1"/>
  <c r="AK17" i="29"/>
  <c r="AT17" i="29" s="1"/>
  <c r="AL19" i="29"/>
  <c r="AU19" i="29" s="1"/>
  <c r="AS13" i="29"/>
  <c r="AK13" i="29"/>
  <c r="AK16" i="29"/>
  <c r="AS14" i="29"/>
  <c r="CY22" i="29"/>
  <c r="AJ22" i="29"/>
  <c r="AK14" i="29"/>
  <c r="AL14" i="29" s="1"/>
  <c r="AU14" i="29" s="1"/>
  <c r="AJ21" i="29"/>
  <c r="AJ18" i="29"/>
  <c r="AL17" i="29" l="1"/>
  <c r="AU17" i="29" s="1"/>
  <c r="AU12" i="29"/>
  <c r="AM12" i="29"/>
  <c r="AV12" i="29" s="1"/>
  <c r="AO22" i="115"/>
  <c r="AP22" i="115"/>
  <c r="AN22" i="115"/>
  <c r="AN24" i="115" s="1"/>
  <c r="AL15" i="29"/>
  <c r="AU15" i="29" s="1"/>
  <c r="AL20" i="29"/>
  <c r="AU20" i="29" s="1"/>
  <c r="AS22" i="29"/>
  <c r="AK22" i="29"/>
  <c r="AT22" i="29" s="1"/>
  <c r="AS21" i="29"/>
  <c r="AK21" i="29"/>
  <c r="AL21" i="29" s="1"/>
  <c r="AU21" i="29" s="1"/>
  <c r="AT16" i="29"/>
  <c r="AL16" i="29"/>
  <c r="AU16" i="29" s="1"/>
  <c r="AT13" i="29"/>
  <c r="AL13" i="29"/>
  <c r="AM17" i="29"/>
  <c r="AM15" i="29"/>
  <c r="AM19" i="29"/>
  <c r="AS18" i="29"/>
  <c r="AK18" i="29"/>
  <c r="AL18" i="29" s="1"/>
  <c r="AU18" i="29" s="1"/>
  <c r="AT14" i="29"/>
  <c r="AM14" i="29"/>
  <c r="AV14" i="29" s="1"/>
  <c r="AO12" i="29" l="1"/>
  <c r="AP26" i="115"/>
  <c r="AP28" i="115"/>
  <c r="AO26" i="115"/>
  <c r="AO28" i="115"/>
  <c r="AM20" i="29"/>
  <c r="AV20" i="29" s="1"/>
  <c r="AL22" i="29"/>
  <c r="AM16" i="29"/>
  <c r="AV16" i="29" s="1"/>
  <c r="AO14" i="29"/>
  <c r="AX14" i="29" s="1"/>
  <c r="AU13" i="29"/>
  <c r="AV19" i="29"/>
  <c r="AO19" i="29"/>
  <c r="AV15" i="29"/>
  <c r="AO15" i="29"/>
  <c r="AX15" i="29" s="1"/>
  <c r="AT18" i="29"/>
  <c r="AM18" i="29"/>
  <c r="AV18" i="29" s="1"/>
  <c r="AV17" i="29"/>
  <c r="AO17" i="29"/>
  <c r="AX17" i="29" s="1"/>
  <c r="AT21" i="29"/>
  <c r="AM21" i="29"/>
  <c r="AM13" i="29"/>
  <c r="AV13" i="29" s="1"/>
  <c r="H7" i="165" a="1"/>
  <c r="G7" i="165" a="1"/>
  <c r="E7" i="165" a="1"/>
  <c r="D7" i="165" a="1"/>
  <c r="AX12" i="29" l="1"/>
  <c r="AI12" i="29"/>
  <c r="H7" i="165"/>
  <c r="G7" i="165"/>
  <c r="E7" i="165"/>
  <c r="D7" i="165"/>
  <c r="AI14" i="29"/>
  <c r="AO20" i="29"/>
  <c r="AU22" i="29"/>
  <c r="AM22" i="29"/>
  <c r="AO16" i="29"/>
  <c r="AO13" i="29"/>
  <c r="AX13" i="29" s="1"/>
  <c r="AO18" i="29"/>
  <c r="AX18" i="29" s="1"/>
  <c r="AI15" i="29"/>
  <c r="AP15" i="29" s="1"/>
  <c r="AY15" i="29" s="1"/>
  <c r="AX20" i="29"/>
  <c r="AI20" i="29"/>
  <c r="AV21" i="29"/>
  <c r="AO21" i="29"/>
  <c r="AX21" i="29" s="1"/>
  <c r="AI17" i="29"/>
  <c r="AX19" i="29"/>
  <c r="AI19" i="29"/>
  <c r="AI13" i="29"/>
  <c r="AP14" i="29"/>
  <c r="AY14" i="29" s="1"/>
  <c r="AR14" i="29"/>
  <c r="AP12" i="29" l="1"/>
  <c r="AY12" i="29" s="1"/>
  <c r="AR12" i="29"/>
  <c r="H28" i="165" a="1"/>
  <c r="H28" i="165" s="1"/>
  <c r="H29" i="165" a="1"/>
  <c r="H29" i="165" s="1"/>
  <c r="G28" i="165" a="1"/>
  <c r="G28" i="165" s="1"/>
  <c r="G29" i="165" a="1"/>
  <c r="G29" i="165" s="1"/>
  <c r="E28" i="165" a="1"/>
  <c r="E28" i="165" s="1"/>
  <c r="E29" i="165" a="1"/>
  <c r="E29" i="165" s="1"/>
  <c r="D28" i="165" a="1"/>
  <c r="D28" i="165" s="1"/>
  <c r="D29" i="165" a="1"/>
  <c r="D29" i="165" s="1"/>
  <c r="AR15" i="29"/>
  <c r="AI18" i="29"/>
  <c r="AR18" i="29" s="1"/>
  <c r="AV22" i="29"/>
  <c r="AO22" i="29"/>
  <c r="AX22" i="29" s="1"/>
  <c r="AX16" i="29"/>
  <c r="AI16" i="29"/>
  <c r="AI21" i="29"/>
  <c r="AP21" i="29" s="1"/>
  <c r="AY21" i="29" s="1"/>
  <c r="AR20" i="29"/>
  <c r="AP20" i="29"/>
  <c r="AY20" i="29" s="1"/>
  <c r="AR13" i="29"/>
  <c r="AP13" i="29"/>
  <c r="AY13" i="29" s="1"/>
  <c r="AP19" i="29"/>
  <c r="AY19" i="29" s="1"/>
  <c r="AR19" i="29"/>
  <c r="AR17" i="29"/>
  <c r="AP17" i="29"/>
  <c r="AY17" i="29" s="1"/>
  <c r="AP18" i="29" l="1"/>
  <c r="AY18" i="29" s="1"/>
  <c r="AR21" i="29"/>
  <c r="AI22" i="29"/>
  <c r="AR16" i="29"/>
  <c r="AP16" i="29"/>
  <c r="AY16" i="29" s="1"/>
  <c r="AP22" i="29" l="1"/>
  <c r="AY22" i="29" s="1"/>
  <c r="AR22" i="2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GARCIA MIRALLES, ESTEBAN</author>
    <author>tc={4E4D6969-348F-46FA-888E-59561B5A0965}</author>
    <author>tc={6F956D94-7628-48D4-B2C6-1E3938A69820}</author>
  </authors>
  <commentList>
    <comment ref="CC10" authorId="0" shapeId="0" xr:uid="{98B8FD06-F45A-4B74-96A1-1AE69F249AAD}">
      <text>
        <r>
          <rPr>
            <b/>
            <sz val="9"/>
            <color indexed="81"/>
            <rFont val="Tahoma"/>
            <family val="2"/>
          </rPr>
          <t>GARCIA MIRALLES, ESTEBAN:</t>
        </r>
        <r>
          <rPr>
            <sz val="9"/>
            <color indexed="81"/>
            <rFont val="Tahoma"/>
            <family val="2"/>
          </rPr>
          <t xml:space="preserve">
We do not report these. </t>
        </r>
      </text>
    </comment>
    <comment ref="EY13" authorId="1" shapeId="0" xr:uid="{4E4D6969-348F-46FA-888E-59561B5A0965}">
      <text>
        <t>[Comentario encadenado]
Su versión de Excel le permite leer este comentario encadenado; sin embargo, las ediciones que se apliquen se quitarán si el archivo se abre en una versión más reciente de Excel. Más información: https://go.microsoft.com/fwlink/?linkid=870924
Comentario:
    2022 change in negative tax deductible for children (+120% and more recipients) turns aggregate tax revenue in D2 negative</t>
      </text>
    </comment>
    <comment ref="FA13" authorId="2" shapeId="0" xr:uid="{6F956D94-7628-48D4-B2C6-1E3938A69820}">
      <text>
        <t>[Comentario encadenado]
Su versión de Excel le permite leer este comentario encadenado; sin embargo, las ediciones que se apliquen se quitarán si el archivo se abre en una versión más reciente de Excel. Más información: https://go.microsoft.com/fwlink/?linkid=870924
Comentario:
    This increases since this is calculated as (tin_s != 0) and the number of negative tax recipients increases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GARCIA MIRALLES, ESTEBAN</author>
    <author>tc={283FCA58-5E02-4961-A46A-08C81D9AA431}</author>
  </authors>
  <commentList>
    <comment ref="AK11" authorId="0" shapeId="0" xr:uid="{F6EFBD0E-A16F-4B59-82DA-98199145109C}">
      <text>
        <r>
          <rPr>
            <b/>
            <sz val="9"/>
            <color indexed="81"/>
            <rFont val="Tahoma"/>
            <family val="2"/>
          </rPr>
          <t>GARCIA MIRALLES, ESTEBAN:</t>
        </r>
        <r>
          <rPr>
            <sz val="9"/>
            <color indexed="81"/>
            <rFont val="Tahoma"/>
            <family val="2"/>
          </rPr>
          <t xml:space="preserve">
We revert indexation that has taken place between 2019 and 2023 back to 2019 levels</t>
        </r>
      </text>
    </comment>
    <comment ref="D30" authorId="1" shapeId="0" xr:uid="{283FCA58-5E02-4961-A46A-08C81D9AA431}">
      <text>
        <t>[Comentario encadenado]
Su versión de Excel le permite leer este comentario encadenado; sin embargo, las ediciones que se apliquen se quitarán si el archivo se abre en una versión más reciente de Excel. Más información: https://go.microsoft.com/fwlink/?linkid=870924
Comentario:
    This queries the aggregates below from our internal database, please ignore</t>
      </text>
    </comment>
    <comment ref="D32" authorId="0" shapeId="0" xr:uid="{D5293C36-A742-4DC0-A61E-5453CF9C1E22}">
      <text>
        <r>
          <rPr>
            <b/>
            <sz val="9"/>
            <color indexed="81"/>
            <rFont val="Tahoma"/>
            <family val="2"/>
          </rPr>
          <t>GARCIA MIRALLES, ESTEBAN:</t>
        </r>
        <r>
          <rPr>
            <sz val="9"/>
            <color indexed="81"/>
            <rFont val="Tahoma"/>
            <family val="2"/>
          </rPr>
          <t xml:space="preserve">
Read from provided data_GDP.xlsx</t>
        </r>
      </text>
    </comment>
    <comment ref="F32" authorId="0" shapeId="0" xr:uid="{A73AF534-35A1-4433-8C21-F5080B1C8164}">
      <text>
        <r>
          <rPr>
            <b/>
            <sz val="9"/>
            <color indexed="81"/>
            <rFont val="Tahoma"/>
            <family val="2"/>
          </rPr>
          <t>GARCIA MIRALLES, ESTEBAN:</t>
        </r>
        <r>
          <rPr>
            <sz val="9"/>
            <color indexed="81"/>
            <rFont val="Tahoma"/>
            <family val="2"/>
          </rPr>
          <t xml:space="preserve">
Read from provided numbers on slides or your prefered source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GARCIA MIRALLES, ESTEBAN</author>
  </authors>
  <commentList>
    <comment ref="CC10" authorId="0" shapeId="0" xr:uid="{C15234DA-4E44-4658-A919-AAB5B1EE0F8F}">
      <text>
        <r>
          <rPr>
            <b/>
            <sz val="9"/>
            <color indexed="81"/>
            <rFont val="Tahoma"/>
            <family val="2"/>
          </rPr>
          <t>GARCIA MIRALLES, ESTEBAN:</t>
        </r>
        <r>
          <rPr>
            <sz val="9"/>
            <color indexed="81"/>
            <rFont val="Tahoma"/>
            <family val="2"/>
          </rPr>
          <t xml:space="preserve">
We do not report these.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GARCIA MIRALLES, ESTEBAN</author>
  </authors>
  <commentList>
    <comment ref="AK11" authorId="0" shapeId="0" xr:uid="{93B5234F-666C-427B-9391-5FAABD2FE559}">
      <text>
        <r>
          <rPr>
            <b/>
            <sz val="9"/>
            <color indexed="81"/>
            <rFont val="Tahoma"/>
            <family val="2"/>
          </rPr>
          <t>GARCIA MIRALLES, ESTEBAN:</t>
        </r>
        <r>
          <rPr>
            <sz val="9"/>
            <color indexed="81"/>
            <rFont val="Tahoma"/>
            <family val="2"/>
          </rPr>
          <t xml:space="preserve">
We revert indexation that has taken place between 2019 and 2023 back to 2019 levels</t>
        </r>
      </text>
    </comment>
    <comment ref="D32" authorId="0" shapeId="0" xr:uid="{A5DD2E33-C8FA-46AD-86F0-9EE6E27DFC9D}">
      <text>
        <r>
          <rPr>
            <b/>
            <sz val="9"/>
            <color indexed="81"/>
            <rFont val="Tahoma"/>
            <family val="2"/>
          </rPr>
          <t>GARCIA MIRALLES, ESTEBAN:</t>
        </r>
        <r>
          <rPr>
            <sz val="9"/>
            <color indexed="81"/>
            <rFont val="Tahoma"/>
            <family val="2"/>
          </rPr>
          <t xml:space="preserve">
Read from provided data_GDP.xlsx</t>
        </r>
      </text>
    </comment>
    <comment ref="F32" authorId="0" shapeId="0" xr:uid="{6C8B4337-7E1A-41CC-9853-446A26DD4007}">
      <text>
        <r>
          <rPr>
            <b/>
            <sz val="9"/>
            <color indexed="81"/>
            <rFont val="Tahoma"/>
            <family val="2"/>
          </rPr>
          <t>GARCIA MIRALLES, ESTEBAN:</t>
        </r>
        <r>
          <rPr>
            <sz val="9"/>
            <color indexed="81"/>
            <rFont val="Tahoma"/>
            <family val="2"/>
          </rPr>
          <t xml:space="preserve">
Read from provided numbers on slides or your prefered source</t>
        </r>
      </text>
    </comment>
    <comment ref="E37" authorId="0" shapeId="0" xr:uid="{991D1F8B-3434-4E7B-80BD-67DABB5C2486}">
      <text>
        <r>
          <rPr>
            <b/>
            <sz val="9"/>
            <color indexed="81"/>
            <rFont val="Tahoma"/>
            <family val="2"/>
          </rPr>
          <t>GARCIA MIRALLES, ESTEBAN:</t>
        </r>
        <r>
          <rPr>
            <sz val="9"/>
            <color indexed="81"/>
            <rFont val="Tahoma"/>
            <family val="2"/>
          </rPr>
          <t xml:space="preserve">
This is not available from EUROSTAT at the moment. Use your best estimate (or the observed value if you have it, to fill cell F37 to the right). Ensure consistency with the series used for earlier years</t>
        </r>
      </text>
    </comment>
    <comment ref="F37" authorId="0" shapeId="0" xr:uid="{5C3D8484-CB8C-42E8-AA37-F228D4E810AE}">
      <text>
        <r>
          <rPr>
            <b/>
            <sz val="9"/>
            <color indexed="81"/>
            <rFont val="Tahoma"/>
            <family val="2"/>
          </rPr>
          <t>GARCIA MIRALLES, ESTEBAN:</t>
        </r>
        <r>
          <rPr>
            <sz val="9"/>
            <color indexed="81"/>
            <rFont val="Tahoma"/>
            <family val="2"/>
          </rPr>
          <t xml:space="preserve">
This is not available from EUROSTAT at the moment. Use your best estimate (or the observed value if you have it, to fill cell F37 to the right). Ensure consistency with the series used for earlier years</t>
        </r>
      </text>
    </comment>
    <comment ref="AJ41" authorId="0" shapeId="0" xr:uid="{1C1C215E-89B3-43D3-875E-F61FA5B26073}">
      <text>
        <r>
          <rPr>
            <b/>
            <sz val="9"/>
            <color indexed="81"/>
            <rFont val="Tahoma"/>
            <family val="2"/>
          </rPr>
          <t>GARCIA MIRALLES, ESTEBAN:</t>
        </r>
        <r>
          <rPr>
            <sz val="9"/>
            <color indexed="81"/>
            <rFont val="Tahoma"/>
            <family val="2"/>
          </rPr>
          <t xml:space="preserve">
Can be a negative contribution if "other reforms" increased revenues.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GARCIA MIRALLES, ESTEBAN</author>
  </authors>
  <commentList>
    <comment ref="CC10" authorId="0" shapeId="0" xr:uid="{06A3E9C1-60C8-4070-8A80-624BEEB247A0}">
      <text>
        <r>
          <rPr>
            <b/>
            <sz val="9"/>
            <color indexed="81"/>
            <rFont val="Tahoma"/>
            <family val="2"/>
          </rPr>
          <t>GARCIA MIRALLES, ESTEBAN:</t>
        </r>
        <r>
          <rPr>
            <sz val="9"/>
            <color indexed="81"/>
            <rFont val="Tahoma"/>
            <family val="2"/>
          </rPr>
          <t xml:space="preserve">
We do not report these.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GARCIA MIRALLES, ESTEBAN</author>
  </authors>
  <commentList>
    <comment ref="AK11" authorId="0" shapeId="0" xr:uid="{587C7E38-BB11-4BE9-A6DD-F7C3182BB8FF}">
      <text>
        <r>
          <rPr>
            <b/>
            <sz val="9"/>
            <color indexed="81"/>
            <rFont val="Tahoma"/>
            <family val="2"/>
          </rPr>
          <t>GARCIA MIRALLES, ESTEBAN:</t>
        </r>
        <r>
          <rPr>
            <sz val="9"/>
            <color indexed="81"/>
            <rFont val="Tahoma"/>
            <family val="2"/>
          </rPr>
          <t xml:space="preserve">
We revert indexation that has taken place between 2019 and 2023 back to 2019 levels</t>
        </r>
      </text>
    </comment>
    <comment ref="D32" authorId="0" shapeId="0" xr:uid="{092EB6A7-41E0-40F6-8590-A2B610F422A2}">
      <text>
        <r>
          <rPr>
            <b/>
            <sz val="9"/>
            <color indexed="81"/>
            <rFont val="Tahoma"/>
            <family val="2"/>
          </rPr>
          <t>GARCIA MIRALLES, ESTEBAN:</t>
        </r>
        <r>
          <rPr>
            <sz val="9"/>
            <color indexed="81"/>
            <rFont val="Tahoma"/>
            <family val="2"/>
          </rPr>
          <t xml:space="preserve">
Read from provided data_GDP.xlsx</t>
        </r>
      </text>
    </comment>
    <comment ref="F32" authorId="0" shapeId="0" xr:uid="{F810224E-4991-47A4-9BCD-52DA7E002088}">
      <text>
        <r>
          <rPr>
            <b/>
            <sz val="9"/>
            <color indexed="81"/>
            <rFont val="Tahoma"/>
            <family val="2"/>
          </rPr>
          <t>GARCIA MIRALLES, ESTEBAN:</t>
        </r>
        <r>
          <rPr>
            <sz val="9"/>
            <color indexed="81"/>
            <rFont val="Tahoma"/>
            <family val="2"/>
          </rPr>
          <t xml:space="preserve">
Read from provided numbers on slides or your prefered source</t>
        </r>
      </text>
    </comment>
    <comment ref="E37" authorId="0" shapeId="0" xr:uid="{93A8F807-A8F4-44CF-81EA-A0B2B074E52B}">
      <text>
        <r>
          <rPr>
            <b/>
            <sz val="9"/>
            <color indexed="81"/>
            <rFont val="Tahoma"/>
            <family val="2"/>
          </rPr>
          <t>GARCIA MIRALLES, ESTEBAN:</t>
        </r>
        <r>
          <rPr>
            <sz val="9"/>
            <color indexed="81"/>
            <rFont val="Tahoma"/>
            <family val="2"/>
          </rPr>
          <t xml:space="preserve">
This is not available from EUROSTAT at the moment. Use your best estimate (or the observed value if you have it, to fill cell F37 to the right). Ensure consistency with the series used for earlier years
</t>
        </r>
        <r>
          <rPr>
            <b/>
            <sz val="9"/>
            <color indexed="81"/>
            <rFont val="Tahoma"/>
            <family val="2"/>
            <charset val="161"/>
          </rPr>
          <t xml:space="preserve">Maria F: </t>
        </r>
        <r>
          <rPr>
            <sz val="9"/>
            <color indexed="81"/>
            <rFont val="Tahoma"/>
            <family val="2"/>
          </rPr>
          <t>Available for CY (as well as for some other countries in updated EUROSTAT site).</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GARCIA MIRALLES, ESTEBAN</author>
  </authors>
  <commentList>
    <comment ref="CC10" authorId="0" shapeId="0" xr:uid="{0521FC85-7743-445C-85B2-3DC913AB7711}">
      <text>
        <r>
          <rPr>
            <b/>
            <sz val="9"/>
            <color indexed="81"/>
            <rFont val="Tahoma"/>
            <family val="2"/>
          </rPr>
          <t>GARCIA MIRALLES, ESTEBAN:</t>
        </r>
        <r>
          <rPr>
            <sz val="9"/>
            <color indexed="81"/>
            <rFont val="Tahoma"/>
            <family val="2"/>
          </rPr>
          <t xml:space="preserve">
We do not report these.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GARCIA MIRALLES, ESTEBAN</author>
  </authors>
  <commentList>
    <comment ref="AK11" authorId="0" shapeId="0" xr:uid="{B07C4B57-D9EF-4C0B-B270-68DF3331259E}">
      <text>
        <r>
          <rPr>
            <b/>
            <sz val="9"/>
            <color indexed="81"/>
            <rFont val="Tahoma"/>
            <family val="2"/>
          </rPr>
          <t>GARCIA MIRALLES, ESTEBAN:</t>
        </r>
        <r>
          <rPr>
            <sz val="9"/>
            <color indexed="81"/>
            <rFont val="Tahoma"/>
            <family val="2"/>
          </rPr>
          <t xml:space="preserve">
We revert indexation that has taken place between 2019 and 2023 back to 2019 levels</t>
        </r>
      </text>
    </comment>
    <comment ref="D32" authorId="0" shapeId="0" xr:uid="{B5C7F9C5-C10A-4BC9-A04B-A620CD1C18EF}">
      <text>
        <r>
          <rPr>
            <b/>
            <sz val="9"/>
            <color indexed="81"/>
            <rFont val="Tahoma"/>
            <family val="2"/>
          </rPr>
          <t>GARCIA MIRALLES, ESTEBAN:</t>
        </r>
        <r>
          <rPr>
            <sz val="9"/>
            <color indexed="81"/>
            <rFont val="Tahoma"/>
            <family val="2"/>
          </rPr>
          <t xml:space="preserve">
Read from provided data_GDP.xlsx</t>
        </r>
      </text>
    </comment>
    <comment ref="F32" authorId="0" shapeId="0" xr:uid="{1B6C9D8E-5526-4A69-8C22-73547F72C352}">
      <text>
        <r>
          <rPr>
            <b/>
            <sz val="9"/>
            <color indexed="81"/>
            <rFont val="Tahoma"/>
            <family val="2"/>
          </rPr>
          <t>GARCIA MIRALLES, ESTEBAN:</t>
        </r>
        <r>
          <rPr>
            <sz val="9"/>
            <color indexed="81"/>
            <rFont val="Tahoma"/>
            <family val="2"/>
          </rPr>
          <t xml:space="preserve">
Read from provided numbers on slides or your prefered source</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GARCIA MIRALLES, ESTEBAN</author>
  </authors>
  <commentList>
    <comment ref="CC10" authorId="0" shapeId="0" xr:uid="{00000000-0006-0000-0000-000003000000}">
      <text>
        <r>
          <rPr>
            <b/>
            <sz val="9"/>
            <color indexed="81"/>
            <rFont val="Tahoma"/>
            <family val="2"/>
          </rPr>
          <t>GARCIA MIRALLES, ESTEBAN:</t>
        </r>
        <r>
          <rPr>
            <sz val="9"/>
            <color indexed="81"/>
            <rFont val="Tahoma"/>
            <family val="2"/>
          </rPr>
          <t xml:space="preserve">
We do not report these.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GARCIA MIRALLES, ESTEBAN</author>
  </authors>
  <commentList>
    <comment ref="AK11" authorId="0" shapeId="0" xr:uid="{C3B5460A-53C1-4C77-81B1-786903DBA606}">
      <text>
        <r>
          <rPr>
            <b/>
            <sz val="9"/>
            <color indexed="81"/>
            <rFont val="Tahoma"/>
            <family val="2"/>
          </rPr>
          <t>GARCIA MIRALLES, ESTEBAN:</t>
        </r>
        <r>
          <rPr>
            <sz val="9"/>
            <color indexed="81"/>
            <rFont val="Tahoma"/>
            <family val="2"/>
          </rPr>
          <t xml:space="preserve">
We revert indexation that has taken place between 2019 and 2023 back to 2019 levels</t>
        </r>
      </text>
    </comment>
    <comment ref="D32" authorId="0" shapeId="0" xr:uid="{A0B99D8D-A3C1-414E-9DDD-0F1418F5E122}">
      <text>
        <r>
          <rPr>
            <b/>
            <sz val="9"/>
            <color indexed="81"/>
            <rFont val="Tahoma"/>
            <family val="2"/>
          </rPr>
          <t>GARCIA MIRALLES, ESTEBAN:</t>
        </r>
        <r>
          <rPr>
            <sz val="9"/>
            <color indexed="81"/>
            <rFont val="Tahoma"/>
            <family val="2"/>
          </rPr>
          <t xml:space="preserve">
Read from provided data_GDP.xlsx</t>
        </r>
      </text>
    </comment>
    <comment ref="F32" authorId="0" shapeId="0" xr:uid="{55CC9B02-933C-4B19-BFFB-35A8A0C96078}">
      <text>
        <r>
          <rPr>
            <b/>
            <sz val="9"/>
            <color indexed="81"/>
            <rFont val="Tahoma"/>
            <family val="2"/>
          </rPr>
          <t>GARCIA MIRALLES, ESTEBAN:</t>
        </r>
        <r>
          <rPr>
            <sz val="9"/>
            <color indexed="81"/>
            <rFont val="Tahoma"/>
            <family val="2"/>
          </rPr>
          <t xml:space="preserve">
Read from provided numbers on slides or your prefered source</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GARCIA MIRALLES, ESTEBAN</author>
  </authors>
  <commentList>
    <comment ref="CC10" authorId="0" shapeId="0" xr:uid="{885BC1B3-F432-42AD-B6EF-E85358C58DA0}">
      <text>
        <r>
          <rPr>
            <b/>
            <sz val="9"/>
            <color indexed="81"/>
            <rFont val="Tahoma"/>
            <family val="2"/>
          </rPr>
          <t>GARCIA MIRALLES, ESTEBAN:</t>
        </r>
        <r>
          <rPr>
            <sz val="9"/>
            <color indexed="81"/>
            <rFont val="Tahoma"/>
            <family val="2"/>
          </rPr>
          <t xml:space="preserve">
We do not report these. </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GARCIA MIRALLES, ESTEBAN</author>
  </authors>
  <commentList>
    <comment ref="AK11" authorId="0" shapeId="0" xr:uid="{0AC85C9B-EE56-4C49-8FF3-6E0967AAEF85}">
      <text>
        <r>
          <rPr>
            <b/>
            <sz val="9"/>
            <color indexed="81"/>
            <rFont val="Tahoma"/>
            <family val="2"/>
          </rPr>
          <t>GARCIA MIRALLES, ESTEBAN:</t>
        </r>
        <r>
          <rPr>
            <sz val="9"/>
            <color indexed="81"/>
            <rFont val="Tahoma"/>
            <family val="2"/>
          </rPr>
          <t xml:space="preserve">
We revert indexation that has taken place between 2019 and 2023 back to 2019 levels</t>
        </r>
      </text>
    </comment>
    <comment ref="D32" authorId="0" shapeId="0" xr:uid="{B301B141-CA72-4F33-BFB9-0EB334F26D22}">
      <text>
        <r>
          <rPr>
            <b/>
            <sz val="9"/>
            <color indexed="81"/>
            <rFont val="Tahoma"/>
            <family val="2"/>
          </rPr>
          <t>GARCIA MIRALLES, ESTEBAN:</t>
        </r>
        <r>
          <rPr>
            <sz val="9"/>
            <color indexed="81"/>
            <rFont val="Tahoma"/>
            <family val="2"/>
          </rPr>
          <t xml:space="preserve">
Read from provided data_GDP.xlsx</t>
        </r>
      </text>
    </comment>
    <comment ref="F32" authorId="0" shapeId="0" xr:uid="{EAFCDBBE-9B0D-4A89-A533-6A3B1F9FD026}">
      <text>
        <r>
          <rPr>
            <b/>
            <sz val="9"/>
            <color indexed="81"/>
            <rFont val="Tahoma"/>
            <family val="2"/>
          </rPr>
          <t>GARCIA MIRALLES, ESTEBAN:</t>
        </r>
        <r>
          <rPr>
            <sz val="9"/>
            <color indexed="81"/>
            <rFont val="Tahoma"/>
            <family val="2"/>
          </rPr>
          <t xml:space="preserve">
Read from provided numbers on slides or your prefered source</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GARCIA MIRALLES, ESTEBAN</author>
  </authors>
  <commentList>
    <comment ref="CC10" authorId="0" shapeId="0" xr:uid="{CE14B687-D03A-4B75-B644-89280F09D5A4}">
      <text>
        <r>
          <rPr>
            <b/>
            <sz val="9"/>
            <color indexed="81"/>
            <rFont val="Tahoma"/>
            <family val="2"/>
          </rPr>
          <t>GARCIA MIRALLES, ESTEBAN:</t>
        </r>
        <r>
          <rPr>
            <sz val="9"/>
            <color indexed="81"/>
            <rFont val="Tahoma"/>
            <family val="2"/>
          </rPr>
          <t xml:space="preserve">
We do not report these. </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GARCIA MIRALLES, ESTEBAN</author>
  </authors>
  <commentList>
    <comment ref="AK11" authorId="0" shapeId="0" xr:uid="{6BAE16CC-0843-4839-AC4E-9FA25C30618A}">
      <text>
        <r>
          <rPr>
            <b/>
            <sz val="9"/>
            <color indexed="81"/>
            <rFont val="Tahoma"/>
            <family val="2"/>
          </rPr>
          <t>GARCIA MIRALLES, ESTEBAN:</t>
        </r>
        <r>
          <rPr>
            <sz val="9"/>
            <color indexed="81"/>
            <rFont val="Tahoma"/>
            <family val="2"/>
          </rPr>
          <t xml:space="preserve">
We revert indexation that has taken place between 2019 and 2023 back to 2019 levels</t>
        </r>
      </text>
    </comment>
    <comment ref="D32" authorId="0" shapeId="0" xr:uid="{2EB0054E-5C31-48FF-AFDF-220E20EFB380}">
      <text>
        <r>
          <rPr>
            <b/>
            <sz val="9"/>
            <color indexed="81"/>
            <rFont val="Tahoma"/>
            <family val="2"/>
          </rPr>
          <t>GARCIA MIRALLES, ESTEBAN:</t>
        </r>
        <r>
          <rPr>
            <sz val="9"/>
            <color indexed="81"/>
            <rFont val="Tahoma"/>
            <family val="2"/>
          </rPr>
          <t xml:space="preserve">
Read from provided data_GDP.xlsx</t>
        </r>
      </text>
    </comment>
    <comment ref="F32" authorId="0" shapeId="0" xr:uid="{30C58677-4546-4FE3-9782-F806A85E57A4}">
      <text>
        <r>
          <rPr>
            <b/>
            <sz val="9"/>
            <color indexed="81"/>
            <rFont val="Tahoma"/>
            <family val="2"/>
          </rPr>
          <t>GARCIA MIRALLES, ESTEBAN:</t>
        </r>
        <r>
          <rPr>
            <sz val="9"/>
            <color indexed="81"/>
            <rFont val="Tahoma"/>
            <family val="2"/>
          </rPr>
          <t xml:space="preserve">
Read from provided numbers on slides or your prefered source</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GARCIA MIRALLES, ESTEBAN</author>
  </authors>
  <commentList>
    <comment ref="CC10" authorId="0" shapeId="0" xr:uid="{3A9EAC39-D9BF-425A-960F-A8FC0B9BAD3F}">
      <text>
        <r>
          <rPr>
            <b/>
            <sz val="9"/>
            <color indexed="81"/>
            <rFont val="Tahoma"/>
            <family val="2"/>
          </rPr>
          <t>GARCIA MIRALLES, ESTEBAN:</t>
        </r>
        <r>
          <rPr>
            <sz val="9"/>
            <color indexed="81"/>
            <rFont val="Tahoma"/>
            <family val="2"/>
          </rPr>
          <t xml:space="preserve">
We do not report these. </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GARCIA MIRALLES, ESTEBAN</author>
  </authors>
  <commentList>
    <comment ref="AK11" authorId="0" shapeId="0" xr:uid="{86D0101C-6D1C-4BD2-BDDB-8E04B511969B}">
      <text>
        <r>
          <rPr>
            <b/>
            <sz val="9"/>
            <color indexed="81"/>
            <rFont val="Tahoma"/>
            <family val="2"/>
          </rPr>
          <t>GARCIA MIRALLES, ESTEBAN:</t>
        </r>
        <r>
          <rPr>
            <sz val="9"/>
            <color indexed="81"/>
            <rFont val="Tahoma"/>
            <family val="2"/>
          </rPr>
          <t xml:space="preserve">
We revert indexation that has taken place between 2019 and 2023 back to 2019 levels</t>
        </r>
      </text>
    </comment>
    <comment ref="D32" authorId="0" shapeId="0" xr:uid="{2B2D6EE2-ECD0-4022-B009-BD17B2202B2F}">
      <text>
        <r>
          <rPr>
            <b/>
            <sz val="9"/>
            <color indexed="81"/>
            <rFont val="Tahoma"/>
            <family val="2"/>
          </rPr>
          <t>GARCIA MIRALLES, ESTEBAN:</t>
        </r>
        <r>
          <rPr>
            <sz val="9"/>
            <color indexed="81"/>
            <rFont val="Tahoma"/>
            <family val="2"/>
          </rPr>
          <t xml:space="preserve">
Read from provided data_GDP.xlsx</t>
        </r>
      </text>
    </comment>
    <comment ref="F32" authorId="0" shapeId="0" xr:uid="{2151C5B2-96EB-4DD0-9F81-75E45EDC86F4}">
      <text>
        <r>
          <rPr>
            <b/>
            <sz val="9"/>
            <color indexed="81"/>
            <rFont val="Tahoma"/>
            <family val="2"/>
          </rPr>
          <t>GARCIA MIRALLES, ESTEBAN:</t>
        </r>
        <r>
          <rPr>
            <sz val="9"/>
            <color indexed="81"/>
            <rFont val="Tahoma"/>
            <family val="2"/>
          </rPr>
          <t xml:space="preserve">
Read from provided numbers on slides or your prefered source</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GARCIA MIRALLES, ESTEBAN</author>
  </authors>
  <commentList>
    <comment ref="CC10" authorId="0" shapeId="0" xr:uid="{19DA850D-F917-427F-8899-F0E61A71E48A}">
      <text>
        <r>
          <rPr>
            <b/>
            <sz val="9"/>
            <color indexed="81"/>
            <rFont val="Tahoma"/>
            <family val="2"/>
          </rPr>
          <t>GARCIA MIRALLES, ESTEBAN:</t>
        </r>
        <r>
          <rPr>
            <sz val="9"/>
            <color indexed="81"/>
            <rFont val="Tahoma"/>
            <family val="2"/>
          </rPr>
          <t xml:space="preserve">
We do not report these. </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GARCIA MIRALLES, ESTEBAN</author>
  </authors>
  <commentList>
    <comment ref="AK11" authorId="0" shapeId="0" xr:uid="{7959CF6A-5C9B-43DC-B5E8-8C45166FC5D2}">
      <text>
        <r>
          <rPr>
            <b/>
            <sz val="9"/>
            <color indexed="81"/>
            <rFont val="Tahoma"/>
            <family val="2"/>
          </rPr>
          <t>GARCIA MIRALLES, ESTEBAN:</t>
        </r>
        <r>
          <rPr>
            <sz val="9"/>
            <color indexed="81"/>
            <rFont val="Tahoma"/>
            <family val="2"/>
          </rPr>
          <t xml:space="preserve">
We revert indexation that has taken place between 2019 and 2023 back to 2019 levels</t>
        </r>
      </text>
    </comment>
    <comment ref="D32" authorId="0" shapeId="0" xr:uid="{0F3EA2A8-A883-4B2C-B12E-A4352CDCF317}">
      <text>
        <r>
          <rPr>
            <b/>
            <sz val="9"/>
            <color indexed="81"/>
            <rFont val="Tahoma"/>
            <family val="2"/>
          </rPr>
          <t>GARCIA MIRALLES, ESTEBAN:</t>
        </r>
        <r>
          <rPr>
            <sz val="9"/>
            <color indexed="81"/>
            <rFont val="Tahoma"/>
            <family val="2"/>
          </rPr>
          <t xml:space="preserve">
Read from provided data_GDP.xlsx</t>
        </r>
      </text>
    </comment>
    <comment ref="F32" authorId="0" shapeId="0" xr:uid="{25187D95-3A0A-45BC-8026-6964FEBEEDE1}">
      <text>
        <r>
          <rPr>
            <b/>
            <sz val="9"/>
            <color indexed="81"/>
            <rFont val="Tahoma"/>
            <family val="2"/>
          </rPr>
          <t>GARCIA MIRALLES, ESTEBAN:</t>
        </r>
        <r>
          <rPr>
            <sz val="9"/>
            <color indexed="81"/>
            <rFont val="Tahoma"/>
            <family val="2"/>
          </rPr>
          <t xml:space="preserve">
Read from provided numbers on slides or your prefered source</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GARCIA MIRALLES, ESTEBAN</author>
  </authors>
  <commentList>
    <comment ref="CC10" authorId="0" shapeId="0" xr:uid="{CA89937A-6F6E-4421-8950-6CA9CFD8B7D0}">
      <text>
        <r>
          <rPr>
            <b/>
            <sz val="9"/>
            <color indexed="81"/>
            <rFont val="Tahoma"/>
            <family val="2"/>
          </rPr>
          <t>GARCIA MIRALLES, ESTEBAN:</t>
        </r>
        <r>
          <rPr>
            <sz val="9"/>
            <color indexed="81"/>
            <rFont val="Tahoma"/>
            <family val="2"/>
          </rPr>
          <t xml:space="preserve">
We do not report these. </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GARCIA MIRALLES, ESTEBAN</author>
  </authors>
  <commentList>
    <comment ref="AK11" authorId="0" shapeId="0" xr:uid="{A68A80B7-80EC-489C-91D3-58D7E4785161}">
      <text>
        <r>
          <rPr>
            <b/>
            <sz val="9"/>
            <color indexed="81"/>
            <rFont val="Tahoma"/>
            <family val="2"/>
          </rPr>
          <t>GARCIA MIRALLES, ESTEBAN:</t>
        </r>
        <r>
          <rPr>
            <sz val="9"/>
            <color indexed="81"/>
            <rFont val="Tahoma"/>
            <family val="2"/>
          </rPr>
          <t xml:space="preserve">
We revert indexation that has taken place between 2019 and 2023 back to 2019 levels</t>
        </r>
      </text>
    </comment>
    <comment ref="D32" authorId="0" shapeId="0" xr:uid="{DAEA7813-132A-4BE3-BF5A-26F7CA3E2F22}">
      <text>
        <r>
          <rPr>
            <b/>
            <sz val="9"/>
            <color indexed="81"/>
            <rFont val="Tahoma"/>
            <family val="2"/>
          </rPr>
          <t>GARCIA MIRALLES, ESTEBAN:</t>
        </r>
        <r>
          <rPr>
            <sz val="9"/>
            <color indexed="81"/>
            <rFont val="Tahoma"/>
            <family val="2"/>
          </rPr>
          <t xml:space="preserve">
Read from provided data_GDP.xlsx</t>
        </r>
      </text>
    </comment>
    <comment ref="F32" authorId="0" shapeId="0" xr:uid="{9A964860-4EAB-4D49-AF1C-600218ED2A38}">
      <text>
        <r>
          <rPr>
            <b/>
            <sz val="9"/>
            <color indexed="81"/>
            <rFont val="Tahoma"/>
            <family val="2"/>
          </rPr>
          <t>GARCIA MIRALLES, ESTEBAN:</t>
        </r>
        <r>
          <rPr>
            <sz val="9"/>
            <color indexed="81"/>
            <rFont val="Tahoma"/>
            <family val="2"/>
          </rPr>
          <t xml:space="preserve">
Read from provided numbers on slides or your prefered source</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GARCIA MIRALLES, ESTEBAN</author>
    <author>tc={CCC3E8B5-9BAF-4E7B-8B23-36679DF54961}</author>
  </authors>
  <commentList>
    <comment ref="CC10" authorId="0" shapeId="0" xr:uid="{C12A86D7-2212-494A-8143-BE41536E6FC4}">
      <text>
        <r>
          <rPr>
            <b/>
            <sz val="9"/>
            <color indexed="81"/>
            <rFont val="Tahoma"/>
            <family val="2"/>
          </rPr>
          <t>GARCIA MIRALLES, ESTEBAN:</t>
        </r>
        <r>
          <rPr>
            <sz val="9"/>
            <color indexed="81"/>
            <rFont val="Tahoma"/>
            <family val="2"/>
          </rPr>
          <t xml:space="preserve">
We do not report these. </t>
        </r>
      </text>
    </comment>
    <comment ref="T11" authorId="1" shapeId="0" xr:uid="{CCC3E8B5-9BAF-4E7B-8B23-36679DF54961}">
      <text>
        <t>[Comentario encadenado]
Su versión de Excel le permite leer este comentario encadenado; sin embargo, las ediciones que se apliquen se quitarán si el archivo se abre en una versión más reciente de Excel. Más información: https://go.microsoft.com/fwlink/?linkid=870924
Comentario:
    Only befefits without pensions</t>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GARCIA MIRALLES, ESTEBAN</author>
  </authors>
  <commentList>
    <comment ref="AK11" authorId="0" shapeId="0" xr:uid="{35325F4B-EF98-4742-A6E0-A24E5D7CF032}">
      <text>
        <r>
          <rPr>
            <b/>
            <sz val="9"/>
            <color indexed="81"/>
            <rFont val="Tahoma"/>
            <family val="2"/>
          </rPr>
          <t>GARCIA MIRALLES, ESTEBAN:</t>
        </r>
        <r>
          <rPr>
            <sz val="9"/>
            <color indexed="81"/>
            <rFont val="Tahoma"/>
            <family val="2"/>
          </rPr>
          <t xml:space="preserve">
We revert indexation that has taken place between 2019 and 2023 back to 2019 levels</t>
        </r>
      </text>
    </comment>
    <comment ref="D32" authorId="0" shapeId="0" xr:uid="{91BA8A34-7ED7-40A7-A69E-8D9E268BE42E}">
      <text>
        <r>
          <rPr>
            <b/>
            <sz val="9"/>
            <color indexed="81"/>
            <rFont val="Tahoma"/>
            <family val="2"/>
          </rPr>
          <t>GARCIA MIRALLES, ESTEBAN:</t>
        </r>
        <r>
          <rPr>
            <sz val="9"/>
            <color indexed="81"/>
            <rFont val="Tahoma"/>
            <family val="2"/>
          </rPr>
          <t xml:space="preserve">
Read from provided data_GDP.xlsx</t>
        </r>
      </text>
    </comment>
    <comment ref="F32" authorId="0" shapeId="0" xr:uid="{2273B7C0-7F12-4D6A-B20F-2C9A62274D47}">
      <text>
        <r>
          <rPr>
            <b/>
            <sz val="9"/>
            <color indexed="81"/>
            <rFont val="Tahoma"/>
            <family val="2"/>
          </rPr>
          <t>GARCIA MIRALLES, ESTEBAN:</t>
        </r>
        <r>
          <rPr>
            <sz val="9"/>
            <color indexed="81"/>
            <rFont val="Tahoma"/>
            <family val="2"/>
          </rPr>
          <t xml:space="preserve">
Read from provided numbers on slides or your prefered source</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GARCIA MIRALLES, ESTEBAN</author>
  </authors>
  <commentList>
    <comment ref="CC10" authorId="0" shapeId="0" xr:uid="{CA45BE5B-66EB-4C91-ABAC-DC9B0CA7C0BF}">
      <text>
        <r>
          <rPr>
            <b/>
            <sz val="9"/>
            <color indexed="81"/>
            <rFont val="Tahoma"/>
            <family val="2"/>
          </rPr>
          <t>GARCIA MIRALLES, ESTEBAN:</t>
        </r>
        <r>
          <rPr>
            <sz val="9"/>
            <color indexed="81"/>
            <rFont val="Tahoma"/>
            <family val="2"/>
          </rPr>
          <t xml:space="preserve">
We do not report these. </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GARCIA MIRALLES, ESTEBAN</author>
  </authors>
  <commentList>
    <comment ref="AK11" authorId="0" shapeId="0" xr:uid="{996F3118-2704-4FD7-86AF-D076ABD333E3}">
      <text>
        <r>
          <rPr>
            <b/>
            <sz val="9"/>
            <color indexed="81"/>
            <rFont val="Tahoma"/>
            <family val="2"/>
          </rPr>
          <t>GARCIA MIRALLES, ESTEBAN:</t>
        </r>
        <r>
          <rPr>
            <sz val="9"/>
            <color indexed="81"/>
            <rFont val="Tahoma"/>
            <family val="2"/>
          </rPr>
          <t xml:space="preserve">
We revert indexation that has taken place between 2019 and 2023 back to 2019 levels</t>
        </r>
      </text>
    </comment>
    <comment ref="D32" authorId="0" shapeId="0" xr:uid="{46159356-5057-4590-8ABE-CF952EAC6B09}">
      <text>
        <r>
          <rPr>
            <b/>
            <sz val="9"/>
            <color indexed="81"/>
            <rFont val="Tahoma"/>
            <family val="2"/>
          </rPr>
          <t>GARCIA MIRALLES, ESTEBAN:</t>
        </r>
        <r>
          <rPr>
            <sz val="9"/>
            <color indexed="81"/>
            <rFont val="Tahoma"/>
            <family val="2"/>
          </rPr>
          <t xml:space="preserve">
Read from provided data_GDP.xlsx</t>
        </r>
      </text>
    </comment>
    <comment ref="F32" authorId="0" shapeId="0" xr:uid="{AEFF3DA5-8B24-46BB-9C65-B0E0A64E98D8}">
      <text>
        <r>
          <rPr>
            <b/>
            <sz val="9"/>
            <color indexed="81"/>
            <rFont val="Tahoma"/>
            <family val="2"/>
          </rPr>
          <t>GARCIA MIRALLES, ESTEBAN:</t>
        </r>
        <r>
          <rPr>
            <sz val="9"/>
            <color indexed="81"/>
            <rFont val="Tahoma"/>
            <family val="2"/>
          </rPr>
          <t xml:space="preserve">
Read from provided numbers on slides or your prefered source</t>
        </r>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GARCIA MIRALLES, ESTEBAN</author>
  </authors>
  <commentList>
    <comment ref="CC10" authorId="0" shapeId="0" xr:uid="{00000000-0006-0000-0000-000003000000}">
      <text>
        <r>
          <rPr>
            <b/>
            <sz val="9"/>
            <color indexed="81"/>
            <rFont val="Tahoma"/>
            <family val="2"/>
          </rPr>
          <t>GARCIA MIRALLES, ESTEBAN:</t>
        </r>
        <r>
          <rPr>
            <sz val="9"/>
            <color indexed="81"/>
            <rFont val="Tahoma"/>
            <family val="2"/>
          </rPr>
          <t xml:space="preserve">
We do not report these. </t>
        </r>
      </text>
    </comment>
  </commentList>
</comments>
</file>

<file path=xl/comments26.xml><?xml version="1.0" encoding="utf-8"?>
<comments xmlns="http://schemas.openxmlformats.org/spreadsheetml/2006/main" xmlns:mc="http://schemas.openxmlformats.org/markup-compatibility/2006" xmlns:xr="http://schemas.microsoft.com/office/spreadsheetml/2014/revision" mc:Ignorable="xr">
  <authors>
    <author>GARCIA MIRALLES, ESTEBAN</author>
    <author>Emanuele Dicarlo</author>
  </authors>
  <commentList>
    <comment ref="AK11" authorId="0" shapeId="0" xr:uid="{95ABC0E2-2C60-480E-BD59-58F620B0AD2B}">
      <text>
        <r>
          <rPr>
            <b/>
            <sz val="9"/>
            <color indexed="81"/>
            <rFont val="Tahoma"/>
            <family val="2"/>
          </rPr>
          <t>GARCIA MIRALLES, ESTEBAN:</t>
        </r>
        <r>
          <rPr>
            <sz val="9"/>
            <color indexed="81"/>
            <rFont val="Tahoma"/>
            <family val="2"/>
          </rPr>
          <t xml:space="preserve">
We revert indexation that has taken place between 2019 and 2023 back to 2019 levels</t>
        </r>
      </text>
    </comment>
    <comment ref="D32" authorId="0" shapeId="0" xr:uid="{D34B7EEA-1CF1-4F9D-B0C9-2F01E1C6C663}">
      <text>
        <r>
          <rPr>
            <b/>
            <sz val="9"/>
            <color indexed="81"/>
            <rFont val="Tahoma"/>
            <family val="2"/>
          </rPr>
          <t>GARCIA MIRALLES, ESTEBAN:</t>
        </r>
        <r>
          <rPr>
            <sz val="9"/>
            <color indexed="81"/>
            <rFont val="Tahoma"/>
            <family val="2"/>
          </rPr>
          <t xml:space="preserve">
Read from provided data_GDP.xlsx</t>
        </r>
      </text>
    </comment>
    <comment ref="F32" authorId="0" shapeId="0" xr:uid="{ADC73B97-D1AA-4C30-8601-F9DB680690DF}">
      <text>
        <r>
          <rPr>
            <b/>
            <sz val="9"/>
            <color indexed="81"/>
            <rFont val="Tahoma"/>
            <family val="2"/>
          </rPr>
          <t>GARCIA MIRALLES, ESTEBAN:</t>
        </r>
        <r>
          <rPr>
            <sz val="9"/>
            <color indexed="81"/>
            <rFont val="Tahoma"/>
            <family val="2"/>
          </rPr>
          <t xml:space="preserve">
Read from provided numbers on slides or your prefered source</t>
        </r>
      </text>
    </comment>
    <comment ref="F37" authorId="1" shapeId="0" xr:uid="{379424D6-1DE7-4402-8A59-0B45B19F6D3D}">
      <text>
        <r>
          <rPr>
            <b/>
            <sz val="9"/>
            <color indexed="81"/>
            <rFont val="Tahoma"/>
            <family val="2"/>
          </rPr>
          <t>Emanuele Dicarlo:</t>
        </r>
        <r>
          <rPr>
            <sz val="9"/>
            <color indexed="81"/>
            <rFont val="Tahoma"/>
            <family val="2"/>
          </rPr>
          <t xml:space="preserve">
Still projection. Tax data on 2023 come out in April</t>
        </r>
      </text>
    </comment>
  </commentList>
</comments>
</file>

<file path=xl/comments27.xml><?xml version="1.0" encoding="utf-8"?>
<comments xmlns="http://schemas.openxmlformats.org/spreadsheetml/2006/main" xmlns:mc="http://schemas.openxmlformats.org/markup-compatibility/2006" xmlns:xr="http://schemas.microsoft.com/office/spreadsheetml/2014/revision" mc:Ignorable="xr">
  <authors>
    <author>GARCIA MIRALLES, ESTEBAN</author>
    <author>Vaidotas Tuzikas</author>
  </authors>
  <commentList>
    <comment ref="CC10" authorId="0" shapeId="0" xr:uid="{2AEADB9E-651C-45B8-868B-C643D63833D7}">
      <text>
        <r>
          <rPr>
            <b/>
            <sz val="9"/>
            <color indexed="81"/>
            <rFont val="Tahoma"/>
            <family val="2"/>
          </rPr>
          <t>GARCIA MIRALLES, ESTEBAN:</t>
        </r>
        <r>
          <rPr>
            <sz val="9"/>
            <color indexed="81"/>
            <rFont val="Tahoma"/>
            <family val="2"/>
          </rPr>
          <t xml:space="preserve">
We do not report these. </t>
        </r>
      </text>
    </comment>
    <comment ref="AZ22" authorId="1" shapeId="0" xr:uid="{B4C3E4D9-63B1-4201-A24D-526C11BAB9A1}">
      <text>
        <r>
          <rPr>
            <b/>
            <sz val="9"/>
            <color indexed="81"/>
            <rFont val="Tahoma"/>
            <family val="2"/>
          </rPr>
          <t>Vaidotas Tuzikas:</t>
        </r>
        <r>
          <rPr>
            <sz val="9"/>
            <color indexed="81"/>
            <rFont val="Tahoma"/>
            <family val="2"/>
          </rPr>
          <t xml:space="preserve">
OECD estimates are not available for LT. As it was suggested by Esteban, cells are filled with my estimates of ERTI.</t>
        </r>
      </text>
    </comment>
  </commentList>
</comments>
</file>

<file path=xl/comments28.xml><?xml version="1.0" encoding="utf-8"?>
<comments xmlns="http://schemas.openxmlformats.org/spreadsheetml/2006/main" xmlns:mc="http://schemas.openxmlformats.org/markup-compatibility/2006" xmlns:xr="http://schemas.microsoft.com/office/spreadsheetml/2014/revision" mc:Ignorable="xr">
  <authors>
    <author>GARCIA MIRALLES, ESTEBAN</author>
  </authors>
  <commentList>
    <comment ref="AK11" authorId="0" shapeId="0" xr:uid="{39517DB7-06E7-43CD-BCAC-B9307B6EE304}">
      <text>
        <r>
          <rPr>
            <b/>
            <sz val="9"/>
            <color indexed="81"/>
            <rFont val="Tahoma"/>
            <family val="2"/>
          </rPr>
          <t>GARCIA MIRALLES, ESTEBAN:</t>
        </r>
        <r>
          <rPr>
            <sz val="9"/>
            <color indexed="81"/>
            <rFont val="Tahoma"/>
            <family val="2"/>
          </rPr>
          <t xml:space="preserve">
We revert indexation that has taken place between 2019 and 2023 back to 2019 levels</t>
        </r>
      </text>
    </comment>
    <comment ref="D32" authorId="0" shapeId="0" xr:uid="{CF8AA714-0CF9-4B8F-85E4-F133A1D4CB31}">
      <text>
        <r>
          <rPr>
            <b/>
            <sz val="9"/>
            <color indexed="81"/>
            <rFont val="Tahoma"/>
            <family val="2"/>
          </rPr>
          <t>GARCIA MIRALLES, ESTEBAN:</t>
        </r>
        <r>
          <rPr>
            <sz val="9"/>
            <color indexed="81"/>
            <rFont val="Tahoma"/>
            <family val="2"/>
          </rPr>
          <t xml:space="preserve">
Read from provided data_GDP.xlsx</t>
        </r>
      </text>
    </comment>
    <comment ref="F32" authorId="0" shapeId="0" xr:uid="{D9FB02DB-D287-4F98-872D-D37B8A9FC9F6}">
      <text>
        <r>
          <rPr>
            <b/>
            <sz val="9"/>
            <color indexed="81"/>
            <rFont val="Tahoma"/>
            <family val="2"/>
          </rPr>
          <t>GARCIA MIRALLES, ESTEBAN:</t>
        </r>
        <r>
          <rPr>
            <sz val="9"/>
            <color indexed="81"/>
            <rFont val="Tahoma"/>
            <family val="2"/>
          </rPr>
          <t xml:space="preserve">
Read from provided numbers on slides or your prefered source</t>
        </r>
      </text>
    </comment>
  </commentList>
</comments>
</file>

<file path=xl/comments29.xml><?xml version="1.0" encoding="utf-8"?>
<comments xmlns="http://schemas.openxmlformats.org/spreadsheetml/2006/main" xmlns:mc="http://schemas.openxmlformats.org/markup-compatibility/2006" xmlns:xr="http://schemas.microsoft.com/office/spreadsheetml/2014/revision" mc:Ignorable="xr">
  <authors>
    <author>GARCIA MIRALLES, ESTEBAN</author>
  </authors>
  <commentList>
    <comment ref="CC10" authorId="0" shapeId="0" xr:uid="{290A13CA-E214-4B4E-81EB-6F04FF40E3A3}">
      <text>
        <r>
          <rPr>
            <b/>
            <sz val="9"/>
            <color indexed="81"/>
            <rFont val="Tahoma"/>
            <family val="2"/>
          </rPr>
          <t>GARCIA MIRALLES, ESTEBAN:</t>
        </r>
        <r>
          <rPr>
            <sz val="9"/>
            <color indexed="81"/>
            <rFont val="Tahoma"/>
            <family val="2"/>
          </rPr>
          <t xml:space="preserve">
We do not report these. </t>
        </r>
      </text>
    </comment>
  </commentList>
</comments>
</file>

<file path=xl/comments30.xml><?xml version="1.0" encoding="utf-8"?>
<comments xmlns="http://schemas.openxmlformats.org/spreadsheetml/2006/main" xmlns:mc="http://schemas.openxmlformats.org/markup-compatibility/2006" xmlns:xr="http://schemas.microsoft.com/office/spreadsheetml/2014/revision" mc:Ignorable="xr">
  <authors>
    <author>GARCIA MIRALLES, ESTEBAN</author>
  </authors>
  <commentList>
    <comment ref="AK11" authorId="0" shapeId="0" xr:uid="{20910E36-DE29-4F48-8870-52E3B77CEE12}">
      <text>
        <r>
          <rPr>
            <b/>
            <sz val="9"/>
            <color indexed="81"/>
            <rFont val="Tahoma"/>
            <family val="2"/>
          </rPr>
          <t>GARCIA MIRALLES, ESTEBAN:</t>
        </r>
        <r>
          <rPr>
            <sz val="9"/>
            <color indexed="81"/>
            <rFont val="Tahoma"/>
            <family val="2"/>
          </rPr>
          <t xml:space="preserve">
We revert indexation that has taken place between 2019 and 2023 back to 2019 levels</t>
        </r>
      </text>
    </comment>
    <comment ref="D32" authorId="0" shapeId="0" xr:uid="{3C45DFD3-4257-4327-93B8-E28CE69C171D}">
      <text>
        <r>
          <rPr>
            <b/>
            <sz val="9"/>
            <color indexed="81"/>
            <rFont val="Tahoma"/>
            <family val="2"/>
          </rPr>
          <t>GARCIA MIRALLES, ESTEBAN:</t>
        </r>
        <r>
          <rPr>
            <sz val="9"/>
            <color indexed="81"/>
            <rFont val="Tahoma"/>
            <family val="2"/>
          </rPr>
          <t xml:space="preserve">
Read from provided data_GDP.xlsx</t>
        </r>
      </text>
    </comment>
    <comment ref="F32" authorId="0" shapeId="0" xr:uid="{390F9DE6-13F3-43A4-9E85-8D802C037A50}">
      <text>
        <r>
          <rPr>
            <b/>
            <sz val="9"/>
            <color indexed="81"/>
            <rFont val="Tahoma"/>
            <family val="2"/>
          </rPr>
          <t>GARCIA MIRALLES, ESTEBAN:</t>
        </r>
        <r>
          <rPr>
            <sz val="9"/>
            <color indexed="81"/>
            <rFont val="Tahoma"/>
            <family val="2"/>
          </rPr>
          <t xml:space="preserve">
Read from provided numbers on slides or your prefered source</t>
        </r>
      </text>
    </comment>
  </commentList>
</comments>
</file>

<file path=xl/comments31.xml><?xml version="1.0" encoding="utf-8"?>
<comments xmlns="http://schemas.openxmlformats.org/spreadsheetml/2006/main" xmlns:mc="http://schemas.openxmlformats.org/markup-compatibility/2006" xmlns:xr="http://schemas.microsoft.com/office/spreadsheetml/2014/revision" mc:Ignorable="xr">
  <authors>
    <author>GARCIA MIRALLES, ESTEBAN</author>
  </authors>
  <commentList>
    <comment ref="CC10" authorId="0" shapeId="0" xr:uid="{6C18C718-F9F4-4197-992A-1D67CBAB6418}">
      <text>
        <r>
          <rPr>
            <b/>
            <sz val="9"/>
            <color indexed="81"/>
            <rFont val="Tahoma"/>
            <family val="2"/>
          </rPr>
          <t>GARCIA MIRALLES, ESTEBAN:</t>
        </r>
        <r>
          <rPr>
            <sz val="9"/>
            <color indexed="81"/>
            <rFont val="Tahoma"/>
            <family val="2"/>
          </rPr>
          <t xml:space="preserve">
We do not report these. </t>
        </r>
      </text>
    </comment>
  </commentList>
</comments>
</file>

<file path=xl/comments32.xml><?xml version="1.0" encoding="utf-8"?>
<comments xmlns="http://schemas.openxmlformats.org/spreadsheetml/2006/main" xmlns:mc="http://schemas.openxmlformats.org/markup-compatibility/2006" xmlns:xr="http://schemas.microsoft.com/office/spreadsheetml/2014/revision" mc:Ignorable="xr">
  <authors>
    <author>GARCIA MIRALLES, ESTEBAN</author>
  </authors>
  <commentList>
    <comment ref="AK11" authorId="0" shapeId="0" xr:uid="{F06DD5D4-6EB0-4CB9-B7E3-9ACDBD6C0D85}">
      <text>
        <r>
          <rPr>
            <b/>
            <sz val="9"/>
            <color indexed="81"/>
            <rFont val="Tahoma"/>
            <family val="2"/>
          </rPr>
          <t>GARCIA MIRALLES, ESTEBAN:</t>
        </r>
        <r>
          <rPr>
            <sz val="9"/>
            <color indexed="81"/>
            <rFont val="Tahoma"/>
            <family val="2"/>
          </rPr>
          <t xml:space="preserve">
We revert indexation that has taken place between 2019 and 2023 back to 2019 levels
</t>
        </r>
      </text>
    </comment>
    <comment ref="D32" authorId="0" shapeId="0" xr:uid="{30F0AC65-A64F-4EBD-BF96-71B99E209601}">
      <text>
        <r>
          <rPr>
            <b/>
            <sz val="9"/>
            <color indexed="81"/>
            <rFont val="Tahoma"/>
            <family val="2"/>
          </rPr>
          <t>GARCIA MIRALLES, ESTEBAN:</t>
        </r>
        <r>
          <rPr>
            <sz val="9"/>
            <color indexed="81"/>
            <rFont val="Tahoma"/>
            <family val="2"/>
          </rPr>
          <t xml:space="preserve">
Read from provided data_GDP.xlsx</t>
        </r>
      </text>
    </comment>
    <comment ref="F32" authorId="0" shapeId="0" xr:uid="{68B55C90-644F-430C-967C-DBD5173422B5}">
      <text>
        <r>
          <rPr>
            <b/>
            <sz val="9"/>
            <color indexed="81"/>
            <rFont val="Tahoma"/>
            <family val="2"/>
          </rPr>
          <t>GARCIA MIRALLES, ESTEBAN:</t>
        </r>
        <r>
          <rPr>
            <sz val="9"/>
            <color indexed="81"/>
            <rFont val="Tahoma"/>
            <family val="2"/>
          </rPr>
          <t xml:space="preserve">
Read from provided numbers on slides or your prefered source</t>
        </r>
      </text>
    </comment>
  </commentList>
</comments>
</file>

<file path=xl/comments33.xml><?xml version="1.0" encoding="utf-8"?>
<comments xmlns="http://schemas.openxmlformats.org/spreadsheetml/2006/main" xmlns:mc="http://schemas.openxmlformats.org/markup-compatibility/2006" xmlns:xr="http://schemas.microsoft.com/office/spreadsheetml/2014/revision" mc:Ignorable="xr">
  <authors>
    <author>GARCIA MIRALLES, ESTEBAN</author>
  </authors>
  <commentList>
    <comment ref="CC10" authorId="0" shapeId="0" xr:uid="{93B34FB4-567E-4A92-8972-776C89B63501}">
      <text>
        <r>
          <rPr>
            <b/>
            <sz val="9"/>
            <color indexed="81"/>
            <rFont val="Tahoma"/>
            <family val="2"/>
          </rPr>
          <t>GARCIA MIRALLES, ESTEBAN:</t>
        </r>
        <r>
          <rPr>
            <sz val="9"/>
            <color indexed="81"/>
            <rFont val="Tahoma"/>
            <family val="2"/>
          </rPr>
          <t xml:space="preserve">
We do not report these. </t>
        </r>
      </text>
    </comment>
  </commentList>
</comments>
</file>

<file path=xl/comments34.xml><?xml version="1.0" encoding="utf-8"?>
<comments xmlns="http://schemas.openxmlformats.org/spreadsheetml/2006/main" xmlns:mc="http://schemas.openxmlformats.org/markup-compatibility/2006" xmlns:xr="http://schemas.microsoft.com/office/spreadsheetml/2014/revision" mc:Ignorable="xr">
  <authors>
    <author>GARCIA MIRALLES, ESTEBAN</author>
  </authors>
  <commentList>
    <comment ref="AK11" authorId="0" shapeId="0" xr:uid="{32F2A5CB-3224-498A-9EED-EE8B9B3114EC}">
      <text>
        <r>
          <rPr>
            <b/>
            <sz val="9"/>
            <color indexed="81"/>
            <rFont val="Tahoma"/>
            <family val="2"/>
          </rPr>
          <t>GARCIA MIRALLES, ESTEBAN:</t>
        </r>
        <r>
          <rPr>
            <sz val="9"/>
            <color indexed="81"/>
            <rFont val="Tahoma"/>
            <family val="2"/>
          </rPr>
          <t xml:space="preserve">
We revert indexation that has taken place between 2019 and 2023 back to 2019 levels</t>
        </r>
      </text>
    </comment>
    <comment ref="D32" authorId="0" shapeId="0" xr:uid="{841ACC17-4FF1-40F3-BEE1-A298171810C5}">
      <text>
        <r>
          <rPr>
            <b/>
            <sz val="9"/>
            <color indexed="81"/>
            <rFont val="Tahoma"/>
            <family val="2"/>
          </rPr>
          <t>GARCIA MIRALLES, ESTEBAN:</t>
        </r>
        <r>
          <rPr>
            <sz val="9"/>
            <color indexed="81"/>
            <rFont val="Tahoma"/>
            <family val="2"/>
          </rPr>
          <t xml:space="preserve">
Read from provided data_GDP.xlsx</t>
        </r>
      </text>
    </comment>
    <comment ref="F32" authorId="0" shapeId="0" xr:uid="{A650C822-2860-4C68-8193-1346C0E4EA2B}">
      <text>
        <r>
          <rPr>
            <b/>
            <sz val="9"/>
            <color indexed="81"/>
            <rFont val="Tahoma"/>
            <family val="2"/>
          </rPr>
          <t>GARCIA MIRALLES, ESTEBAN:</t>
        </r>
        <r>
          <rPr>
            <sz val="9"/>
            <color indexed="81"/>
            <rFont val="Tahoma"/>
            <family val="2"/>
          </rPr>
          <t xml:space="preserve">
Read from provided numbers on slides or your prefered source</t>
        </r>
      </text>
    </comment>
  </commentList>
</comments>
</file>

<file path=xl/comments35.xml><?xml version="1.0" encoding="utf-8"?>
<comments xmlns="http://schemas.openxmlformats.org/spreadsheetml/2006/main" xmlns:mc="http://schemas.openxmlformats.org/markup-compatibility/2006" xmlns:xr="http://schemas.microsoft.com/office/spreadsheetml/2014/revision" mc:Ignorable="xr">
  <authors>
    <author>GARCIA MIRALLES, ESTEBAN</author>
  </authors>
  <commentList>
    <comment ref="CC10" authorId="0" shapeId="0" xr:uid="{17C3DBCC-D665-456B-A19C-A46EF9CC776D}">
      <text>
        <r>
          <rPr>
            <b/>
            <sz val="9"/>
            <color indexed="81"/>
            <rFont val="Tahoma"/>
            <family val="2"/>
          </rPr>
          <t>GARCIA MIRALLES, ESTEBAN:</t>
        </r>
        <r>
          <rPr>
            <sz val="9"/>
            <color indexed="81"/>
            <rFont val="Tahoma"/>
            <family val="2"/>
          </rPr>
          <t xml:space="preserve">
We do not report these. </t>
        </r>
      </text>
    </comment>
  </commentList>
</comments>
</file>

<file path=xl/comments36.xml><?xml version="1.0" encoding="utf-8"?>
<comments xmlns="http://schemas.openxmlformats.org/spreadsheetml/2006/main" xmlns:mc="http://schemas.openxmlformats.org/markup-compatibility/2006" xmlns:xr="http://schemas.microsoft.com/office/spreadsheetml/2014/revision" mc:Ignorable="xr">
  <authors>
    <author>GARCIA MIRALLES, ESTEBAN</author>
  </authors>
  <commentList>
    <comment ref="AK11" authorId="0" shapeId="0" xr:uid="{801D63AA-0A14-41BA-A538-9440D8051896}">
      <text>
        <r>
          <rPr>
            <b/>
            <sz val="9"/>
            <color indexed="81"/>
            <rFont val="Tahoma"/>
            <family val="2"/>
          </rPr>
          <t>GARCIA MIRALLES, ESTEBAN:</t>
        </r>
        <r>
          <rPr>
            <sz val="9"/>
            <color indexed="81"/>
            <rFont val="Tahoma"/>
            <family val="2"/>
          </rPr>
          <t xml:space="preserve">
We revert indexation that has taken place between 2019 and 2023 back to 2019 levels</t>
        </r>
      </text>
    </comment>
    <comment ref="D32" authorId="0" shapeId="0" xr:uid="{8CFC99A4-D62D-4BBE-A30B-AF63A37BDD07}">
      <text>
        <r>
          <rPr>
            <b/>
            <sz val="9"/>
            <color indexed="81"/>
            <rFont val="Tahoma"/>
            <family val="2"/>
          </rPr>
          <t>GARCIA MIRALLES, ESTEBAN:</t>
        </r>
        <r>
          <rPr>
            <sz val="9"/>
            <color indexed="81"/>
            <rFont val="Tahoma"/>
            <family val="2"/>
          </rPr>
          <t xml:space="preserve">
Read from provided data_GDP.xlsx</t>
        </r>
      </text>
    </comment>
    <comment ref="F32" authorId="0" shapeId="0" xr:uid="{76D46E70-EABC-46F0-AC69-2731688E8A76}">
      <text>
        <r>
          <rPr>
            <b/>
            <sz val="9"/>
            <color indexed="81"/>
            <rFont val="Tahoma"/>
            <family val="2"/>
          </rPr>
          <t>GARCIA MIRALLES, ESTEBAN:</t>
        </r>
        <r>
          <rPr>
            <sz val="9"/>
            <color indexed="81"/>
            <rFont val="Tahoma"/>
            <family val="2"/>
          </rPr>
          <t xml:space="preserve">
Read from provided numbers on slides or your prefered source</t>
        </r>
      </text>
    </comment>
    <comment ref="F37" authorId="0" shapeId="0" xr:uid="{7DA50B3C-B010-479C-A35C-59D0D6A8D9FF}">
      <text>
        <r>
          <rPr>
            <b/>
            <sz val="9"/>
            <color indexed="81"/>
            <rFont val="Tahoma"/>
            <family val="2"/>
          </rPr>
          <t>GARCIA MIRALLES, ESTEBAN:</t>
        </r>
        <r>
          <rPr>
            <sz val="9"/>
            <color indexed="81"/>
            <rFont val="Tahoma"/>
            <family val="2"/>
          </rPr>
          <t xml:space="preserve">
This is not available from EUROSTAT at the moment. Use your best estimate (or the observed value if you have it, to fill cell F37 to the right). Ensure consistency with the series used for earlier years</t>
        </r>
      </text>
    </comment>
  </commentList>
</comments>
</file>

<file path=xl/comments37.xml><?xml version="1.0" encoding="utf-8"?>
<comments xmlns="http://schemas.openxmlformats.org/spreadsheetml/2006/main" xmlns:mc="http://schemas.openxmlformats.org/markup-compatibility/2006" xmlns:xr="http://schemas.microsoft.com/office/spreadsheetml/2014/revision" mc:Ignorable="xr">
  <authors>
    <author>GARCIA MIRALLES, ESTEBAN</author>
  </authors>
  <commentList>
    <comment ref="CC10" authorId="0" shapeId="0" xr:uid="{3EF64952-7BD4-4FD0-A0D5-6189287B1931}">
      <text>
        <r>
          <rPr>
            <b/>
            <sz val="9"/>
            <color indexed="81"/>
            <rFont val="Tahoma"/>
            <family val="2"/>
          </rPr>
          <t>GARCIA MIRALLES, ESTEBAN:</t>
        </r>
        <r>
          <rPr>
            <sz val="9"/>
            <color indexed="81"/>
            <rFont val="Tahoma"/>
            <family val="2"/>
          </rPr>
          <t xml:space="preserve">
We do not report these. </t>
        </r>
      </text>
    </comment>
  </commentList>
</comments>
</file>

<file path=xl/comments38.xml><?xml version="1.0" encoding="utf-8"?>
<comments xmlns="http://schemas.openxmlformats.org/spreadsheetml/2006/main" xmlns:mc="http://schemas.openxmlformats.org/markup-compatibility/2006" xmlns:xr="http://schemas.microsoft.com/office/spreadsheetml/2014/revision" mc:Ignorable="xr">
  <authors>
    <author>GARCIA MIRALLES, ESTEBAN</author>
  </authors>
  <commentList>
    <comment ref="AK11" authorId="0" shapeId="0" xr:uid="{D1839BF2-AB42-435D-9B2E-59CD1D08F503}">
      <text>
        <r>
          <rPr>
            <b/>
            <sz val="9"/>
            <color indexed="81"/>
            <rFont val="Tahoma"/>
            <family val="2"/>
          </rPr>
          <t>GARCIA MIRALLES, ESTEBAN:</t>
        </r>
        <r>
          <rPr>
            <sz val="9"/>
            <color indexed="81"/>
            <rFont val="Tahoma"/>
            <family val="2"/>
          </rPr>
          <t xml:space="preserve">
We revert indexation that has taken place between 2019 and 2023 back to 2019 levels</t>
        </r>
      </text>
    </comment>
    <comment ref="D32" authorId="0" shapeId="0" xr:uid="{0BF06607-7C76-42C9-BDF2-354E11736147}">
      <text>
        <r>
          <rPr>
            <b/>
            <sz val="9"/>
            <color indexed="81"/>
            <rFont val="Tahoma"/>
            <family val="2"/>
          </rPr>
          <t>GARCIA MIRALLES, ESTEBAN:</t>
        </r>
        <r>
          <rPr>
            <sz val="9"/>
            <color indexed="81"/>
            <rFont val="Tahoma"/>
            <family val="2"/>
          </rPr>
          <t xml:space="preserve">
Read from provided data_GDP.xlsx</t>
        </r>
      </text>
    </comment>
    <comment ref="F32" authorId="0" shapeId="0" xr:uid="{6ED17BF8-4007-4122-A739-6277DA3020AF}">
      <text>
        <r>
          <rPr>
            <b/>
            <sz val="9"/>
            <color indexed="81"/>
            <rFont val="Tahoma"/>
            <family val="2"/>
          </rPr>
          <t>GARCIA MIRALLES, ESTEBAN:</t>
        </r>
        <r>
          <rPr>
            <sz val="9"/>
            <color indexed="81"/>
            <rFont val="Tahoma"/>
            <family val="2"/>
          </rPr>
          <t xml:space="preserve">
Read from provided numbers on slides or your prefered source</t>
        </r>
      </text>
    </comment>
  </commentList>
</comments>
</file>

<file path=xl/comments39.xml><?xml version="1.0" encoding="utf-8"?>
<comments xmlns="http://schemas.openxmlformats.org/spreadsheetml/2006/main" xmlns:mc="http://schemas.openxmlformats.org/markup-compatibility/2006" xmlns:xr="http://schemas.microsoft.com/office/spreadsheetml/2014/revision" mc:Ignorable="xr">
  <authors>
    <author>GARCIA MIRALLES, ESTEBAN</author>
  </authors>
  <commentList>
    <comment ref="CC10" authorId="0" shapeId="0" xr:uid="{2A0694BC-4F23-47D8-8DB5-2FD47EEFE8C7}">
      <text>
        <r>
          <rPr>
            <b/>
            <sz val="9"/>
            <color indexed="81"/>
            <rFont val="Tahoma"/>
            <family val="2"/>
          </rPr>
          <t>GARCIA MIRALLES, ESTEBAN:</t>
        </r>
        <r>
          <rPr>
            <sz val="9"/>
            <color indexed="81"/>
            <rFont val="Tahoma"/>
            <family val="2"/>
          </rPr>
          <t xml:space="preserve">
We do not report these. </t>
        </r>
      </text>
    </comment>
  </commentList>
</comments>
</file>

<file path=xl/comments40.xml><?xml version="1.0" encoding="utf-8"?>
<comments xmlns="http://schemas.openxmlformats.org/spreadsheetml/2006/main" xmlns:mc="http://schemas.openxmlformats.org/markup-compatibility/2006" xmlns:xr="http://schemas.microsoft.com/office/spreadsheetml/2014/revision" mc:Ignorable="xr">
  <authors>
    <author>GARCIA MIRALLES, ESTEBAN</author>
  </authors>
  <commentList>
    <comment ref="AK11" authorId="0" shapeId="0" xr:uid="{686EEA44-C169-449A-9349-41D7B8EE9339}">
      <text>
        <r>
          <rPr>
            <b/>
            <sz val="9"/>
            <color indexed="81"/>
            <rFont val="Tahoma"/>
            <family val="2"/>
          </rPr>
          <t>GARCIA MIRALLES, ESTEBAN:</t>
        </r>
        <r>
          <rPr>
            <sz val="9"/>
            <color indexed="81"/>
            <rFont val="Tahoma"/>
            <family val="2"/>
          </rPr>
          <t xml:space="preserve">
We revert indexation that has taken place between 2019 and 2023 back to 2019 levels</t>
        </r>
      </text>
    </comment>
    <comment ref="D32" authorId="0" shapeId="0" xr:uid="{C4D988FD-7B49-4F12-9EAF-A5EA502050D1}">
      <text>
        <r>
          <rPr>
            <b/>
            <sz val="9"/>
            <color indexed="81"/>
            <rFont val="Tahoma"/>
            <family val="2"/>
          </rPr>
          <t>GARCIA MIRALLES, ESTEBAN:</t>
        </r>
        <r>
          <rPr>
            <sz val="9"/>
            <color indexed="81"/>
            <rFont val="Tahoma"/>
            <family val="2"/>
          </rPr>
          <t xml:space="preserve">
Read from provided data_GDP.xlsx</t>
        </r>
      </text>
    </comment>
    <comment ref="F32" authorId="0" shapeId="0" xr:uid="{5734AF99-B0F3-4580-B296-B72957CDABB7}">
      <text>
        <r>
          <rPr>
            <b/>
            <sz val="9"/>
            <color indexed="81"/>
            <rFont val="Tahoma"/>
            <family val="2"/>
          </rPr>
          <t>GARCIA MIRALLES, ESTEBAN:</t>
        </r>
        <r>
          <rPr>
            <sz val="9"/>
            <color indexed="81"/>
            <rFont val="Tahoma"/>
            <family val="2"/>
          </rPr>
          <t xml:space="preserve">
Read from provided numbers on slides or your prefered source</t>
        </r>
      </text>
    </comment>
  </commentList>
</comments>
</file>

<file path=xl/comments41.xml><?xml version="1.0" encoding="utf-8"?>
<comments xmlns="http://schemas.openxmlformats.org/spreadsheetml/2006/main" xmlns:mc="http://schemas.openxmlformats.org/markup-compatibility/2006" xmlns:xr="http://schemas.microsoft.com/office/spreadsheetml/2014/revision" mc:Ignorable="xr">
  <authors>
    <author>GARCIA MIRALLES, ESTEBAN</author>
  </authors>
  <commentList>
    <comment ref="CC10" authorId="0" shapeId="0" xr:uid="{ACFC0249-3283-49B5-9BDC-EF1AF156F150}">
      <text>
        <r>
          <rPr>
            <b/>
            <sz val="9"/>
            <color indexed="81"/>
            <rFont val="Tahoma"/>
            <family val="2"/>
          </rPr>
          <t>GARCIA MIRALLES, ESTEBAN:</t>
        </r>
        <r>
          <rPr>
            <sz val="9"/>
            <color indexed="81"/>
            <rFont val="Tahoma"/>
            <family val="2"/>
          </rPr>
          <t xml:space="preserve">
We do not report these. </t>
        </r>
      </text>
    </comment>
  </commentList>
</comments>
</file>

<file path=xl/comments42.xml><?xml version="1.0" encoding="utf-8"?>
<comments xmlns="http://schemas.openxmlformats.org/spreadsheetml/2006/main" xmlns:mc="http://schemas.openxmlformats.org/markup-compatibility/2006" xmlns:xr="http://schemas.microsoft.com/office/spreadsheetml/2014/revision" mc:Ignorable="xr">
  <authors>
    <author>GARCIA MIRALLES, ESTEBAN</author>
  </authors>
  <commentList>
    <comment ref="AK11" authorId="0" shapeId="0" xr:uid="{BA40646C-B274-48C3-AD52-1BE8D12FC286}">
      <text>
        <r>
          <rPr>
            <b/>
            <sz val="9"/>
            <color indexed="81"/>
            <rFont val="Tahoma"/>
            <family val="2"/>
          </rPr>
          <t>GARCIA MIRALLES, ESTEBAN:</t>
        </r>
        <r>
          <rPr>
            <sz val="9"/>
            <color indexed="81"/>
            <rFont val="Tahoma"/>
            <family val="2"/>
          </rPr>
          <t xml:space="preserve">
We revert indexation that has taken place between 2019 and 2023 back to 2019 levels</t>
        </r>
      </text>
    </comment>
    <comment ref="D32" authorId="0" shapeId="0" xr:uid="{1DCD2911-DBFA-485A-8E59-9191B4421324}">
      <text>
        <r>
          <rPr>
            <b/>
            <sz val="9"/>
            <color indexed="81"/>
            <rFont val="Tahoma"/>
            <family val="2"/>
          </rPr>
          <t>GARCIA MIRALLES, ESTEBAN:</t>
        </r>
        <r>
          <rPr>
            <sz val="9"/>
            <color indexed="81"/>
            <rFont val="Tahoma"/>
            <family val="2"/>
          </rPr>
          <t xml:space="preserve">
Read from provided data_GDP.xlsx</t>
        </r>
      </text>
    </comment>
    <comment ref="F32" authorId="0" shapeId="0" xr:uid="{816D27F3-FDC1-4694-B81A-FA888360D2B1}">
      <text>
        <r>
          <rPr>
            <b/>
            <sz val="9"/>
            <color indexed="81"/>
            <rFont val="Tahoma"/>
            <family val="2"/>
          </rPr>
          <t>GARCIA MIRALLES, ESTEBAN:</t>
        </r>
        <r>
          <rPr>
            <sz val="9"/>
            <color indexed="81"/>
            <rFont val="Tahoma"/>
            <family val="2"/>
          </rPr>
          <t xml:space="preserve">
Read from provided numbers on slides or your prefered source</t>
        </r>
      </text>
    </comment>
  </commentList>
</comments>
</file>

<file path=xl/comments43.xml><?xml version="1.0" encoding="utf-8"?>
<comments xmlns="http://schemas.openxmlformats.org/spreadsheetml/2006/main" xmlns:mc="http://schemas.openxmlformats.org/markup-compatibility/2006" xmlns:xr="http://schemas.microsoft.com/office/spreadsheetml/2014/revision" mc:Ignorable="xr">
  <authors>
    <author>GARCIA MIRALLES, ESTEBAN</author>
  </authors>
  <commentList>
    <comment ref="AQ10" authorId="0" shapeId="0" xr:uid="{BCFA6A41-FB0C-4757-98B8-F50806A12F33}">
      <text>
        <r>
          <rPr>
            <b/>
            <sz val="9"/>
            <color indexed="81"/>
            <rFont val="Tahoma"/>
            <family val="2"/>
          </rPr>
          <t>GARCIA MIRALLES, ESTEBAN:</t>
        </r>
        <r>
          <rPr>
            <sz val="9"/>
            <color indexed="81"/>
            <rFont val="Tahoma"/>
            <family val="2"/>
          </rPr>
          <t xml:space="preserve">
In the formulas, we substract 1 in the denominator because that is the proportional effect (it is not part of the "fiscal drag" that we are trying to decompose).</t>
        </r>
      </text>
    </comment>
    <comment ref="CC10" authorId="0" shapeId="0" xr:uid="{FB1A77F3-68DF-4DD2-8AF8-7C85D62310E2}">
      <text>
        <r>
          <rPr>
            <b/>
            <sz val="9"/>
            <color indexed="81"/>
            <rFont val="Tahoma"/>
            <family val="2"/>
          </rPr>
          <t>GARCIA MIRALLES, ESTEBAN:</t>
        </r>
        <r>
          <rPr>
            <sz val="9"/>
            <color indexed="81"/>
            <rFont val="Tahoma"/>
            <family val="2"/>
          </rPr>
          <t xml:space="preserve">
We do not compute this one</t>
        </r>
      </text>
    </comment>
    <comment ref="I11" authorId="0" shapeId="0" xr:uid="{1F09B0C3-68EB-42AE-8B7E-69F5E4C3E3C4}">
      <text>
        <r>
          <rPr>
            <b/>
            <sz val="9"/>
            <color indexed="81"/>
            <rFont val="Tahoma"/>
            <family val="2"/>
          </rPr>
          <t>GARCIA MIRALLES, ESTEBAN:</t>
        </r>
        <r>
          <rPr>
            <sz val="9"/>
            <color indexed="81"/>
            <rFont val="Tahoma"/>
            <family val="2"/>
          </rPr>
          <t xml:space="preserve">
If brackets + tax benefits 1 and 2 already explain a large share of fiscal drag, no need to keep decomposing. In that case, leave this and next columns empty. </t>
        </r>
      </text>
    </comment>
    <comment ref="J11" authorId="0" shapeId="0" xr:uid="{999D62C7-6D68-4127-8185-FE251CE5ED0D}">
      <text>
        <r>
          <rPr>
            <b/>
            <sz val="9"/>
            <color indexed="81"/>
            <rFont val="Tahoma"/>
            <family val="2"/>
          </rPr>
          <t>GARCIA MIRALLES, ESTEBAN:</t>
        </r>
        <r>
          <rPr>
            <sz val="9"/>
            <color indexed="81"/>
            <rFont val="Tahoma"/>
            <family val="2"/>
          </rPr>
          <t xml:space="preserve">
Because for most countries tax benefit number 3 has already a very small impact, we will not go beyond that. Leave this column empty as it is (no "-" sign either). (Nevertheless, if you already did the work to decompose the fourth tax benefit and you want to keep it for your own record, you can fill this column and save a copy for yourself.)</t>
        </r>
      </text>
    </comment>
    <comment ref="X11" authorId="0" shapeId="0" xr:uid="{5C3DF6FF-6339-4210-91B6-450E94063112}">
      <text>
        <r>
          <rPr>
            <b/>
            <sz val="9"/>
            <color indexed="81"/>
            <rFont val="Tahoma"/>
            <family val="2"/>
          </rPr>
          <t>GARCIA MIRALLES, ESTEBAN:</t>
        </r>
        <r>
          <rPr>
            <sz val="9"/>
            <color indexed="81"/>
            <rFont val="Tahoma"/>
            <family val="2"/>
          </rPr>
          <t xml:space="preserve">
We allow this to be negative (for low incomes it can happen). </t>
        </r>
      </text>
    </comment>
    <comment ref="Y11" authorId="0" shapeId="0" xr:uid="{A1101BD8-777A-4372-821D-699BD0DC7B30}">
      <text>
        <r>
          <rPr>
            <b/>
            <sz val="9"/>
            <color indexed="81"/>
            <rFont val="Tahoma"/>
            <family val="2"/>
          </rPr>
          <t>GARCIA MIRALLES, ESTEBAN:</t>
        </r>
        <r>
          <rPr>
            <sz val="9"/>
            <color indexed="81"/>
            <rFont val="Tahoma"/>
            <family val="2"/>
          </rPr>
          <t xml:space="preserve">
We do not allow this and the following columns to be negative (it would distort the decomposition of ERTIs). If ERTI is smaller than one, we consider that the proportional effect explains all of it, and set the remining mechanisms to zero).</t>
        </r>
      </text>
    </comment>
    <comment ref="AB11" authorId="0" shapeId="0" xr:uid="{E32C9F00-DACB-4EA1-8082-63CB8909E02A}">
      <text>
        <r>
          <rPr>
            <b/>
            <sz val="9"/>
            <color indexed="81"/>
            <rFont val="Tahoma"/>
            <family val="2"/>
          </rPr>
          <t>GARCIA MIRALLES, ESTEBAN:</t>
        </r>
        <r>
          <rPr>
            <sz val="9"/>
            <color indexed="81"/>
            <rFont val="Tahoma"/>
            <family val="2"/>
          </rPr>
          <t xml:space="preserve">
If tax benefits 3 and 4 are not filled in in columns I and J, these columns will maintain the same ERTI as the columns to the left (as if the effect of benefit 3 and 4 was zero). Their effect will then be added to the "other benefits" column AO. </t>
        </r>
      </text>
    </comment>
    <comment ref="AQ11" authorId="0" shapeId="0" xr:uid="{EB2C4069-9AC3-4BF5-A68D-F4DEDF93C34E}">
      <text>
        <r>
          <rPr>
            <b/>
            <sz val="9"/>
            <color indexed="81"/>
            <rFont val="Tahoma"/>
            <family val="2"/>
          </rPr>
          <t>GARCIA MIRALLES, ESTEBAN:</t>
        </r>
        <r>
          <rPr>
            <sz val="9"/>
            <color indexed="81"/>
            <rFont val="Tahoma"/>
            <family val="2"/>
          </rPr>
          <t xml:space="preserve">
This is zero, as we are decomposing the fiscal drag effect (that is, the componente sof ERTI above 1)</t>
        </r>
      </text>
    </comment>
    <comment ref="DE11" authorId="0" shapeId="0" xr:uid="{31F822D4-3A09-405B-8E30-C9DAC61653EA}">
      <text>
        <r>
          <rPr>
            <b/>
            <sz val="9"/>
            <color indexed="81"/>
            <rFont val="Tahoma"/>
            <family val="2"/>
          </rPr>
          <t>GARCIA MIRALLES, ESTEBAN:</t>
        </r>
        <r>
          <rPr>
            <sz val="9"/>
            <color indexed="81"/>
            <rFont val="Tahoma"/>
            <family val="2"/>
          </rPr>
          <t xml:space="preserve">
for CC_2019_inc1</t>
        </r>
      </text>
    </comment>
    <comment ref="ED11" authorId="0" shapeId="0" xr:uid="{AFA48CBD-91FD-428C-B629-507A3C8CD37E}">
      <text>
        <r>
          <rPr>
            <b/>
            <sz val="9"/>
            <color indexed="81"/>
            <rFont val="Tahoma"/>
            <family val="2"/>
          </rPr>
          <t>GARCIA MIRALLES, ESTEBAN:</t>
        </r>
        <r>
          <rPr>
            <sz val="9"/>
            <color indexed="81"/>
            <rFont val="Tahoma"/>
            <family val="2"/>
          </rPr>
          <t xml:space="preserve">
For 2023, optional to fill or leave empty</t>
        </r>
      </text>
    </comment>
    <comment ref="EE11" authorId="0" shapeId="0" xr:uid="{7BA553C7-3B0C-4F0D-9C77-A3F8ADD20AE9}">
      <text>
        <r>
          <rPr>
            <b/>
            <sz val="9"/>
            <color indexed="81"/>
            <rFont val="Tahoma"/>
            <family val="2"/>
          </rPr>
          <t>GARCIA MIRALLES, ESTEBAN:</t>
        </r>
        <r>
          <rPr>
            <sz val="9"/>
            <color indexed="81"/>
            <rFont val="Tahoma"/>
            <family val="2"/>
          </rPr>
          <t xml:space="preserve">
For 2023, optional to fill or leave empty</t>
        </r>
      </text>
    </comment>
    <comment ref="EF11" authorId="0" shapeId="0" xr:uid="{A7B500D1-29BC-4E43-A26F-1EE3A5D8C626}">
      <text>
        <r>
          <rPr>
            <b/>
            <sz val="9"/>
            <color indexed="81"/>
            <rFont val="Tahoma"/>
            <family val="2"/>
          </rPr>
          <t>GARCIA MIRALLES, ESTEBAN:</t>
        </r>
        <r>
          <rPr>
            <sz val="9"/>
            <color indexed="81"/>
            <rFont val="Tahoma"/>
            <family val="2"/>
          </rPr>
          <t xml:space="preserve">
For 2023, optional to fill or leave empty</t>
        </r>
      </text>
    </comment>
    <comment ref="EG11" authorId="0" shapeId="0" xr:uid="{35695FA9-3EFB-4A7E-9601-45DA8737D5A9}">
      <text>
        <r>
          <rPr>
            <b/>
            <sz val="9"/>
            <color indexed="81"/>
            <rFont val="Tahoma"/>
            <family val="2"/>
          </rPr>
          <t>GARCIA MIRALLES, ESTEBAN:</t>
        </r>
        <r>
          <rPr>
            <sz val="9"/>
            <color indexed="81"/>
            <rFont val="Tahoma"/>
            <family val="2"/>
          </rPr>
          <t xml:space="preserve">
For 2023, optional to fill or leave empty</t>
        </r>
      </text>
    </comment>
    <comment ref="EW11" authorId="0" shapeId="0" xr:uid="{C7EF94C7-5804-4135-95F0-2B625B6EEBF3}">
      <text>
        <r>
          <rPr>
            <b/>
            <sz val="9"/>
            <color indexed="81"/>
            <rFont val="Tahoma"/>
            <family val="2"/>
          </rPr>
          <t>GARCIA MIRALLES, ESTEBAN:</t>
        </r>
        <r>
          <rPr>
            <sz val="9"/>
            <color indexed="81"/>
            <rFont val="Tahoma"/>
            <family val="2"/>
          </rPr>
          <t xml:space="preserve">
We allow this to be negative (for low incomes it can happen). </t>
        </r>
      </text>
    </comment>
    <comment ref="FA11" authorId="0" shapeId="0" xr:uid="{7480D654-4179-4D88-A989-EB766F0C6600}">
      <text>
        <r>
          <rPr>
            <b/>
            <sz val="9"/>
            <color indexed="81"/>
            <rFont val="Tahoma"/>
            <family val="2"/>
          </rPr>
          <t>GARCIA MIRALLES, ESTEBAN:</t>
        </r>
        <r>
          <rPr>
            <sz val="9"/>
            <color indexed="81"/>
            <rFont val="Tahoma"/>
            <family val="2"/>
          </rPr>
          <t xml:space="preserve">
for CC_2019_inc1</t>
        </r>
      </text>
    </comment>
    <comment ref="X22" authorId="0" shapeId="0" xr:uid="{BC9748D0-4490-4D4E-8D37-22CFCC62C624}">
      <text>
        <r>
          <rPr>
            <b/>
            <sz val="9"/>
            <color indexed="81"/>
            <rFont val="Tahoma"/>
            <family val="2"/>
          </rPr>
          <t>GARCIA MIRALLES, ESTEBAN:</t>
        </r>
        <r>
          <rPr>
            <sz val="9"/>
            <color indexed="81"/>
            <rFont val="Tahoma"/>
            <family val="2"/>
          </rPr>
          <t xml:space="preserve">
Should not be larger than 1.1</t>
        </r>
      </text>
    </comment>
    <comment ref="EW22" authorId="0" shapeId="0" xr:uid="{F0C2F9E0-BA56-4E68-B1AC-788C1A60B464}">
      <text>
        <r>
          <rPr>
            <b/>
            <sz val="9"/>
            <color indexed="81"/>
            <rFont val="Tahoma"/>
            <family val="2"/>
          </rPr>
          <t>GARCIA MIRALLES, ESTEBAN:</t>
        </r>
        <r>
          <rPr>
            <sz val="9"/>
            <color indexed="81"/>
            <rFont val="Tahoma"/>
            <family val="2"/>
          </rPr>
          <t xml:space="preserve">
Should not be larger than 1.1</t>
        </r>
      </text>
    </comment>
    <comment ref="EY22" authorId="0" shapeId="0" xr:uid="{7C93954B-084C-4C22-9A19-73641B241174}">
      <text>
        <r>
          <rPr>
            <b/>
            <sz val="9"/>
            <color indexed="81"/>
            <rFont val="Tahoma"/>
            <family val="2"/>
          </rPr>
          <t>GARCIA MIRALLES, ESTEBAN:</t>
        </r>
        <r>
          <rPr>
            <sz val="9"/>
            <color indexed="81"/>
            <rFont val="Tahoma"/>
            <family val="2"/>
          </rPr>
          <t xml:space="preserve">
If you observe large changes, can you explain why? 
- A reform of PIT between 2019 and 2023?
- Stark differences in growth of income sources whose ERTI is very different?
Have a look at changes in ERTI by decile or by income source, that might give you a hint.</t>
        </r>
      </text>
    </comment>
  </commentList>
</comments>
</file>

<file path=xl/comments44.xml><?xml version="1.0" encoding="utf-8"?>
<comments xmlns="http://schemas.openxmlformats.org/spreadsheetml/2006/main" xmlns:mc="http://schemas.openxmlformats.org/markup-compatibility/2006" xmlns:xr="http://schemas.microsoft.com/office/spreadsheetml/2014/revision" mc:Ignorable="xr">
  <authors>
    <author>GARCIA MIRALLES, ESTEBAN</author>
  </authors>
  <commentList>
    <comment ref="AN10" authorId="0" shapeId="0" xr:uid="{193E8540-FD29-4B38-B825-294B0ECFFEC9}">
      <text>
        <r>
          <rPr>
            <b/>
            <sz val="9"/>
            <color indexed="81"/>
            <rFont val="Tahoma"/>
            <family val="2"/>
          </rPr>
          <t>GARCIA MIRALLES, ESTEBAN:</t>
        </r>
        <r>
          <rPr>
            <sz val="9"/>
            <color indexed="81"/>
            <rFont val="Tahoma"/>
            <family val="2"/>
          </rPr>
          <t xml:space="preserve">
We do not report these. </t>
        </r>
      </text>
    </comment>
    <comment ref="BP11" authorId="0" shapeId="0" xr:uid="{2EA46D13-BCE9-4FAE-8AB9-F81AE0B607AE}">
      <text>
        <r>
          <rPr>
            <b/>
            <sz val="9"/>
            <color indexed="81"/>
            <rFont val="Tahoma"/>
            <family val="2"/>
          </rPr>
          <t>GARCIA MIRALLES, ESTEBAN:</t>
        </r>
        <r>
          <rPr>
            <sz val="9"/>
            <color indexed="81"/>
            <rFont val="Tahoma"/>
            <family val="2"/>
          </rPr>
          <t xml:space="preserve">
for CC_2019_inc1</t>
        </r>
      </text>
    </comment>
    <comment ref="BR11" authorId="0" shapeId="0" xr:uid="{62A2DE15-93D0-49D2-AC9C-F2CC6DB23074}">
      <text>
        <r>
          <rPr>
            <b/>
            <sz val="9"/>
            <color indexed="81"/>
            <rFont val="Tahoma"/>
            <family val="2"/>
          </rPr>
          <t>GARCIA MIRALLES, ESTEBAN:</t>
        </r>
        <r>
          <rPr>
            <sz val="9"/>
            <color indexed="81"/>
            <rFont val="Tahoma"/>
            <family val="2"/>
          </rPr>
          <t xml:space="preserve">
for CC_2019_inc1</t>
        </r>
      </text>
    </comment>
    <comment ref="BU11" authorId="0" shapeId="0" xr:uid="{F98B523C-1E4B-498D-9CF0-C8F80DD692AD}">
      <text>
        <r>
          <rPr>
            <b/>
            <sz val="9"/>
            <color indexed="81"/>
            <rFont val="Tahoma"/>
            <family val="2"/>
          </rPr>
          <t>GARCIA MIRALLES, ESTEBAN:</t>
        </r>
        <r>
          <rPr>
            <sz val="9"/>
            <color indexed="81"/>
            <rFont val="Tahoma"/>
            <family val="2"/>
          </rPr>
          <t xml:space="preserve">
We revert indexation that has taken place between 2019 and 2023 back to 2019 levels</t>
        </r>
      </text>
    </comment>
    <comment ref="D32" authorId="0" shapeId="0" xr:uid="{D6C04857-2D71-453F-A741-BA42237EDB4D}">
      <text>
        <r>
          <rPr>
            <b/>
            <sz val="9"/>
            <color indexed="81"/>
            <rFont val="Tahoma"/>
            <family val="2"/>
          </rPr>
          <t>GARCIA MIRALLES, ESTEBAN:</t>
        </r>
        <r>
          <rPr>
            <sz val="9"/>
            <color indexed="81"/>
            <rFont val="Tahoma"/>
            <family val="2"/>
          </rPr>
          <t xml:space="preserve">
Read from provided data_GDP.xlsx</t>
        </r>
      </text>
    </comment>
    <comment ref="F32" authorId="0" shapeId="0" xr:uid="{E60142E2-A445-401C-A0EC-AF4128B49A6C}">
      <text>
        <r>
          <rPr>
            <b/>
            <sz val="9"/>
            <color indexed="81"/>
            <rFont val="Tahoma"/>
            <family val="2"/>
          </rPr>
          <t>GARCIA MIRALLES, ESTEBAN:</t>
        </r>
        <r>
          <rPr>
            <sz val="9"/>
            <color indexed="81"/>
            <rFont val="Tahoma"/>
            <family val="2"/>
          </rPr>
          <t xml:space="preserve">
Read from provided numbers on slides or your prefered source</t>
        </r>
      </text>
    </comment>
    <comment ref="X41" authorId="0" shapeId="0" xr:uid="{D3A140B9-8A6B-4598-B1E2-AFFBB3CAB989}">
      <text>
        <r>
          <rPr>
            <b/>
            <sz val="9"/>
            <color indexed="81"/>
            <rFont val="Tahoma"/>
            <family val="2"/>
          </rPr>
          <t>GARCIA MIRALLES, ESTEBAN:</t>
        </r>
        <r>
          <rPr>
            <sz val="9"/>
            <color indexed="81"/>
            <rFont val="Tahoma"/>
            <family val="2"/>
          </rPr>
          <t xml:space="preserve">
Can be a negative contribution if "other reforms" increased revenues.</t>
        </r>
      </text>
    </comment>
  </commentList>
</comments>
</file>

<file path=xl/metadata.xml><?xml version="1.0" encoding="utf-8"?>
<metadata xmlns="http://schemas.openxmlformats.org/spreadsheetml/2006/main" xmlns:xda="http://schemas.microsoft.com/office/spreadsheetml/2017/dynamicarray">
  <metadataTypes count="2">
    <metadataType name="XLDAPR" minSupportedVersion="120000" copy="1" pasteAll="1" pasteValues="1" merge="1" splitFirst="1" rowColShift="1" clearFormats="1" clearComments="1" assign="1" coerce="1" cellMeta="1"/>
    <metadataType name="XLMDX" minSupportedVersion="120000" copy="1" pasteAll="1" pasteValues="1" merge="1" splitFirst="1" rowColShift="1" clearFormats="1" clearComments="1" assign="1" coerce="1"/>
  </metadataTypes>
  <metadataStrings count="10">
    <s v="ThisWorkbookDataModel"/>
    <s v="[Annex_A_TTR_data].[Indicator].&amp;[ID9]"/>
    <s v="[Measures].[Sum of GDP_ratio]"/>
    <s v="[Annex_A_TTR_data].[TIME].&amp;[2020]"/>
    <s v="[Annex_A_TTR_data].[TIME].&amp;[2021]"/>
    <s v="[Annex_A_TTR_data].[TIME].&amp;[2022]"/>
    <s v="[Annex_A_TTR_data].[TIME].&amp;[2019]"/>
    <s v="[geo - TTR].[protocol order].&amp;[1.9E1]"/>
    <s v="[geo - TTR].[description].&amp;[Netherlands]"/>
    <s v="[Annex_A_TTR_data].[TIME].&amp;[2018]"/>
  </metadataStrings>
  <mdxMetadata count="5">
    <mdx n="0" f="v">
      <t c="5">
        <n x="1"/>
        <n x="2"/>
        <n x="7"/>
        <n x="8"/>
        <n x="6"/>
      </t>
    </mdx>
    <mdx n="0" f="v">
      <t c="5">
        <n x="1"/>
        <n x="2"/>
        <n x="7"/>
        <n x="8"/>
        <n x="3"/>
      </t>
    </mdx>
    <mdx n="0" f="v">
      <t c="5">
        <n x="1"/>
        <n x="2"/>
        <n x="7"/>
        <n x="8"/>
        <n x="4"/>
      </t>
    </mdx>
    <mdx n="0" f="v">
      <t c="5">
        <n x="1"/>
        <n x="2"/>
        <n x="7"/>
        <n x="8"/>
        <n x="5"/>
      </t>
    </mdx>
    <mdx n="0" f="v">
      <t c="5">
        <n x="1"/>
        <n x="2"/>
        <n x="7"/>
        <n x="8"/>
        <n x="9"/>
      </t>
    </mdx>
  </mdxMetadata>
  <futureMetadata name="XLDAPR" count="1">
    <bk>
      <extLst>
        <ext uri="{bdbb8cdc-fa1e-496e-a857-3c3f30c029c3}">
          <xda:dynamicArrayProperties fDynamic="1" fCollapsed="0"/>
        </ext>
      </extLst>
    </bk>
  </futureMetadata>
  <cellMetadata count="1">
    <bk>
      <rc t="1" v="0"/>
    </bk>
  </cellMetadata>
  <valueMetadata count="5">
    <bk>
      <rc t="2" v="0"/>
    </bk>
    <bk>
      <rc t="2" v="1"/>
    </bk>
    <bk>
      <rc t="2" v="2"/>
    </bk>
    <bk>
      <rc t="2" v="3"/>
    </bk>
    <bk>
      <rc t="2" v="4"/>
    </bk>
  </valueMetadata>
</metadata>
</file>

<file path=xl/sharedStrings.xml><?xml version="1.0" encoding="utf-8"?>
<sst xmlns="http://schemas.openxmlformats.org/spreadsheetml/2006/main" count="22491" uniqueCount="661">
  <si>
    <t>Yellow cells have to be filled by you (remember to rename the sheets as well)</t>
  </si>
  <si>
    <r>
      <t>Remaing cells are automatically calculated using information from yellow cells (</t>
    </r>
    <r>
      <rPr>
        <b/>
        <sz val="11"/>
        <color theme="0" tint="-0.499984740745262"/>
        <rFont val="Calibri"/>
        <family val="2"/>
        <scheme val="minor"/>
      </rPr>
      <t>grey cells remain empty</t>
    </r>
    <r>
      <rPr>
        <sz val="11"/>
        <color theme="1"/>
        <rFont val="Calibri"/>
        <family val="2"/>
        <scheme val="minor"/>
      </rPr>
      <t>)</t>
    </r>
  </si>
  <si>
    <t>Country</t>
  </si>
  <si>
    <t>AT</t>
  </si>
  <si>
    <t>Austria</t>
  </si>
  <si>
    <t>Updated: 21/01/2025</t>
  </si>
  <si>
    <t>Personal Income Tax Revenue</t>
  </si>
  <si>
    <r>
      <t>Taxable Income (</t>
    </r>
    <r>
      <rPr>
        <b/>
        <sz val="11"/>
        <rFont val="Calibri"/>
        <family val="2"/>
        <scheme val="minor"/>
      </rPr>
      <t>il_fiscaldrag_all</t>
    </r>
    <r>
      <rPr>
        <b/>
        <sz val="11"/>
        <color theme="1"/>
        <rFont val="Calibri"/>
        <family val="2"/>
        <scheme val="minor"/>
      </rPr>
      <t>)</t>
    </r>
  </si>
  <si>
    <t>ERTI</t>
  </si>
  <si>
    <t>Decomposition of fiscal drag in percentage</t>
  </si>
  <si>
    <t>OECD estimates</t>
  </si>
  <si>
    <t>Gini all income (from Table 3.1)</t>
  </si>
  <si>
    <t>Ratio8020 all income</t>
  </si>
  <si>
    <t>Gini taxable income (from Table 3.1)</t>
  </si>
  <si>
    <t>Ratio8020 taxable income</t>
  </si>
  <si>
    <t>Kakwani (from Table 3.2)</t>
  </si>
  <si>
    <t>Share taxpayers</t>
  </si>
  <si>
    <t>2023 Personal Income Tax Revenue</t>
  </si>
  <si>
    <r>
      <t>2023 Taxable Income (</t>
    </r>
    <r>
      <rPr>
        <b/>
        <sz val="11"/>
        <rFont val="Calibri"/>
        <family val="2"/>
        <scheme val="minor"/>
      </rPr>
      <t>il_fiscaldrag_all</t>
    </r>
    <r>
      <rPr>
        <b/>
        <sz val="11"/>
        <color theme="1"/>
        <rFont val="Calibri"/>
        <family val="2"/>
        <scheme val="minor"/>
      </rPr>
      <t>)</t>
    </r>
  </si>
  <si>
    <t>2023 Share taxpayers</t>
  </si>
  <si>
    <t>Decile</t>
  </si>
  <si>
    <t>Original</t>
  </si>
  <si>
    <t>Incomes grow 1%</t>
  </si>
  <si>
    <t xml:space="preserve">Incomes &amp; all parameters grow 1% </t>
  </si>
  <si>
    <t>Incomes &amp; (only) tax brackets grow 1%</t>
  </si>
  <si>
    <t>Incomes &amp; (only) tax brackets and tax benefit #1 grow 1%</t>
  </si>
  <si>
    <t>Incomes &amp; tax brackets and tax benefit #1 &amp; 2 grow 1%</t>
  </si>
  <si>
    <t>Incomes &amp; tax brackets and tax benefit #1 &amp; 2 &amp; 3 grow 1%</t>
  </si>
  <si>
    <t>Incomes &amp; tax brackets and tax benefit #1 &amp; 2 &amp; 3 &amp; 4 grow 1%</t>
  </si>
  <si>
    <t>Labor income grows 1%</t>
  </si>
  <si>
    <t>Benefits and pensions grow 1%</t>
  </si>
  <si>
    <t>Self-employment income grows 1%</t>
  </si>
  <si>
    <t>Capital income grows 1%</t>
  </si>
  <si>
    <t>Share of total tax liability</t>
  </si>
  <si>
    <t>Relative change (should be 1%)</t>
  </si>
  <si>
    <t>Incomes &amp; tax brackets grow 1%</t>
  </si>
  <si>
    <t>Incomes &amp; tax brackets and tax benefit #1 grow 1%</t>
  </si>
  <si>
    <t>Proportional effect</t>
  </si>
  <si>
    <t>Residual</t>
  </si>
  <si>
    <t>By bracket progressivity</t>
  </si>
  <si>
    <t>By tax benefit 1</t>
  </si>
  <si>
    <t>By tax benefit 2</t>
  </si>
  <si>
    <t>By tax benefit 3</t>
  </si>
  <si>
    <t>By tax benefit 4</t>
  </si>
  <si>
    <t>By other tax benefits</t>
  </si>
  <si>
    <t>By other tax benefits and residual</t>
  </si>
  <si>
    <t>Diff.
all incomes (pp)</t>
  </si>
  <si>
    <t>Diff.
earnings (pp)</t>
  </si>
  <si>
    <t>Diff.
self-empl. (pp)</t>
  </si>
  <si>
    <t>Diff.
capital (pp)</t>
  </si>
  <si>
    <t>Labour income</t>
  </si>
  <si>
    <t>Pension and benefits</t>
  </si>
  <si>
    <t>Self-employment income</t>
  </si>
  <si>
    <t>Capital income</t>
  </si>
  <si>
    <t>Share of labour income</t>
  </si>
  <si>
    <t>Share of pension and benefits</t>
  </si>
  <si>
    <t>Share of self-employment income</t>
  </si>
  <si>
    <t>Share of capital income</t>
  </si>
  <si>
    <t>Share of total taxable income</t>
  </si>
  <si>
    <t>Gini all income preincrease pretax</t>
  </si>
  <si>
    <t>Gini all income preincrease posttax</t>
  </si>
  <si>
    <t>Gini all income postincrease pretax</t>
  </si>
  <si>
    <t>Gini all income postincrease posttax</t>
  </si>
  <si>
    <t>Gini allinc reduction preincrease</t>
  </si>
  <si>
    <t>Gini allinc reduction postincrease</t>
  </si>
  <si>
    <t>Diff Gini reduction allinc (pp)</t>
  </si>
  <si>
    <t>Diff Gini all income prettax</t>
  </si>
  <si>
    <t>Diff Gini all income posttax</t>
  </si>
  <si>
    <t>Ratio8020 all income preincrease pretax</t>
  </si>
  <si>
    <t>Ratio8020 all income preincrease posttax</t>
  </si>
  <si>
    <t>Ratio8020 all income postincrease pretax</t>
  </si>
  <si>
    <t>Ratio8020 all income postincrease posttax</t>
  </si>
  <si>
    <t>Ratio8020 allinc increase preincrease</t>
  </si>
  <si>
    <t>Ratio8020 allinc increase postincrease</t>
  </si>
  <si>
    <t>Diff Ratio8020 change allinc (pp)</t>
  </si>
  <si>
    <t>Diff Ratio8020 allinc postax (pp)</t>
  </si>
  <si>
    <t>Gini taxable income preincrease pretax</t>
  </si>
  <si>
    <t>Gini taxable income preincrease posttax</t>
  </si>
  <si>
    <t>Gini taxable income postincrease pretax</t>
  </si>
  <si>
    <t>Gini taxable income postincrease posttax</t>
  </si>
  <si>
    <t>Gini taxinc reduction preincrease</t>
  </si>
  <si>
    <t>Gini taxinc reduction postincrease</t>
  </si>
  <si>
    <t>Diff Gini reduction taxinc (pp)</t>
  </si>
  <si>
    <t>Diff Gini taxable income posttax</t>
  </si>
  <si>
    <t>Ratio8020 taxable income preincrease pretax</t>
  </si>
  <si>
    <t>Ratio8020 taxable income preincrease posttax</t>
  </si>
  <si>
    <t>Ratio8020 taxable income postincrease pretax</t>
  </si>
  <si>
    <t>Ratio8020 taxable income postincrease posttax</t>
  </si>
  <si>
    <t>Ratio8020 taxinc decrease preincrease</t>
  </si>
  <si>
    <t>Ratio8020 taxinc decrease postincrease</t>
  </si>
  <si>
    <t>Diff Ratio8020 change taxinc (pp)</t>
  </si>
  <si>
    <t>Diff Ratio8020 taxinc postax (pp)</t>
  </si>
  <si>
    <t>kawani taxinc preincrease</t>
  </si>
  <si>
    <t>kawani taxinc postincrease</t>
  </si>
  <si>
    <t>Diff kakwani taxinc</t>
  </si>
  <si>
    <t>Share with zero tax liability (right axis)</t>
  </si>
  <si>
    <t>Share with non-zero tax liability</t>
  </si>
  <si>
    <t>2023 Original</t>
  </si>
  <si>
    <t>2023 Incomes grow 1%</t>
  </si>
  <si>
    <t xml:space="preserve">2023 Incomes &amp; all parameters grow 1% </t>
  </si>
  <si>
    <t>2023 Incomes &amp; (only) tax brackets grow 1%</t>
  </si>
  <si>
    <t>2023 Incomes &amp; (only) tax brackets and tax benefit #1 grow 1%</t>
  </si>
  <si>
    <t>2023 Incomes &amp; tax brackets and tax benefit #1 &amp; 2 grow 1%</t>
  </si>
  <si>
    <t>2023 Incomes &amp; tax brackets and tax benefit #1 &amp; 2 &amp; 3 grow 1%</t>
  </si>
  <si>
    <t>2023 Labor income grows 1%</t>
  </si>
  <si>
    <t>2023 Benefits and pensions grow 1%</t>
  </si>
  <si>
    <t>2023 Self-employment income grows 1%</t>
  </si>
  <si>
    <t>2023 Capital income grows 1%</t>
  </si>
  <si>
    <t>2023 Relative change (should be 1%)</t>
  </si>
  <si>
    <t>2023 Share of total taxable income</t>
  </si>
  <si>
    <t>2023 Diff residual (pp)</t>
  </si>
  <si>
    <t>2023 Share with zero tax liability (right axis)</t>
  </si>
  <si>
    <t>2023 Share with non-zero tax liability</t>
  </si>
  <si>
    <t>-</t>
  </si>
  <si>
    <t>Total</t>
  </si>
  <si>
    <t>Yellow cells have to be filled by you</t>
  </si>
  <si>
    <t xml:space="preserve">Red cells are 2026 results that can be filled with fake/provisional results. When we fill them with final results (the plan is to use Dec BMPE data) turn them yellow. </t>
  </si>
  <si>
    <t>Updated: dd/mm/2025</t>
  </si>
  <si>
    <t>Share of zero taxpayers</t>
  </si>
  <si>
    <t>2019_baseline</t>
  </si>
  <si>
    <t>2020_baseline</t>
  </si>
  <si>
    <t>2021_baseline</t>
  </si>
  <si>
    <t>2022_baseline</t>
  </si>
  <si>
    <t>2023_baseline</t>
  </si>
  <si>
    <t>2023 if
2019legis unchanged
(upper bound)</t>
  </si>
  <si>
    <t>2023 if
2019legis indexed with tax base growth
(lower bound a)</t>
  </si>
  <si>
    <t>2023 if
2019legis indexed with lagged HCPI
(lower bound b)</t>
  </si>
  <si>
    <t>2023 if
2019legis indexed with concurrent HCPI
(lower bound c)</t>
  </si>
  <si>
    <t>2026 if
2023legis unchanged
(upper bound)</t>
  </si>
  <si>
    <t>2026 if
2023legis indexed with tax base growth
(lower bound a)</t>
  </si>
  <si>
    <t>Growth rate 2023/2019</t>
  </si>
  <si>
    <t>2026_baseline</t>
  </si>
  <si>
    <t>Growth rate 2026/2023</t>
  </si>
  <si>
    <t>Gini all income 2019 pretax</t>
  </si>
  <si>
    <t>Gini all income 2019 posttax</t>
  </si>
  <si>
    <t>Gini all income 2023 pretax</t>
  </si>
  <si>
    <t>Gini all income 2023 posttax</t>
  </si>
  <si>
    <t>Ratio8020 all income 2019 pretax</t>
  </si>
  <si>
    <t>Ratio8020 all income 2019 posttax</t>
  </si>
  <si>
    <t>Ratio8020 all income 2023 pretax</t>
  </si>
  <si>
    <t>Ratio8020 all income 2023 posttax</t>
  </si>
  <si>
    <t>Gini taxinc reduction 2019</t>
  </si>
  <si>
    <t>Gini taxinc reduction 2023</t>
  </si>
  <si>
    <t>Ratio8020 taxinc decrease 2019</t>
  </si>
  <si>
    <t>Ratio8020 taxinc decrease 2023</t>
  </si>
  <si>
    <t>kawani taxinc 2019</t>
  </si>
  <si>
    <t>kawani taxinc 2023</t>
  </si>
  <si>
    <t>2019 share with zero tax liability (right axis)</t>
  </si>
  <si>
    <t>2019 Share with non-zero tax liability</t>
  </si>
  <si>
    <t>Change in share of zero-tax payers (pp)</t>
  </si>
  <si>
    <t>2023_baseline without indexation measures</t>
  </si>
  <si>
    <t>inc.growth</t>
  </si>
  <si>
    <t>laggedHCPI</t>
  </si>
  <si>
    <t>concurr.HCPI</t>
  </si>
  <si>
    <t>Outcome:  total tax revenue</t>
  </si>
  <si>
    <t>Query:</t>
  </si>
  <si>
    <t>UPDATE FOR BMPE: Growth rate from old projections on top of NA</t>
  </si>
  <si>
    <t>lv; var=B1GQ:=SC_devgr101.DATA!ISIS&amp;4575.ESVG2010&amp;38,CAT(B1GQ; YED_AT_J*YER_AT_J;'cp'),(D51A_C01+D51A_C08)*100/B1GQ,(D51A_C01+D51A_C08)*1000000; date=8J to 2026; offset=2,-1; error=; txt=off; txt2=off; txt3=off; info=0; dateformat=off; daterangeformat=1</t>
  </si>
  <si>
    <t>Table for results (share GDP)</t>
  </si>
  <si>
    <t>Table for calculations</t>
  </si>
  <si>
    <t>For reescaling</t>
  </si>
  <si>
    <t>All these are reescaled</t>
  </si>
  <si>
    <t>Table for results (million euros)</t>
  </si>
  <si>
    <t>Actual Fiscal Drag</t>
  </si>
  <si>
    <t>Potential Fiscal Drag</t>
  </si>
  <si>
    <t>Effective offsetting of Fiscal Drag</t>
  </si>
  <si>
    <t>Baseline 
(before reescaling)</t>
  </si>
  <si>
    <r>
      <t>GDP</t>
    </r>
    <r>
      <rPr>
        <b/>
        <sz val="11"/>
        <color rgb="FFC00000"/>
        <rFont val="Calibri"/>
        <family val="2"/>
        <scheme val="minor"/>
      </rPr>
      <t xml:space="preserve"> (million euros)</t>
    </r>
  </si>
  <si>
    <t>National Account PIT Revenue observed</t>
  </si>
  <si>
    <r>
      <t>National Account PIT Revenue observed</t>
    </r>
    <r>
      <rPr>
        <b/>
        <sz val="10"/>
        <color rgb="FFC00000"/>
        <rFont val="Calibri"/>
        <family val="2"/>
        <scheme val="minor"/>
      </rPr>
      <t xml:space="preserve"> (euros)</t>
    </r>
  </si>
  <si>
    <t xml:space="preserve">Reescaling factor
</t>
  </si>
  <si>
    <t xml:space="preserve">Baseline 
</t>
  </si>
  <si>
    <t>Legislation unchanged since 2019/2023</t>
  </si>
  <si>
    <t>Index with tax base growth</t>
  </si>
  <si>
    <t>Index with lagged HCPI</t>
  </si>
  <si>
    <t>Index with concurrent HCPI</t>
  </si>
  <si>
    <t>Baseline w/o "indexation measures"</t>
  </si>
  <si>
    <t>Size of reescaling</t>
  </si>
  <si>
    <t>Actual Fiscal Drag
(wrt tax.inc.growth)</t>
  </si>
  <si>
    <t>Actual Fiscal Drag
(wrt lagged HCPI)</t>
  </si>
  <si>
    <t>Actual Fiscal Drag
(wrt concurrent HCPI)</t>
  </si>
  <si>
    <t>Actual Fiscal Drag
(wrt average index)</t>
  </si>
  <si>
    <t>Potential Fiscal Drag
(wrt tax.inc.growth)</t>
  </si>
  <si>
    <t>Potential Fiscal Drag
(wrt lagged HCPI)</t>
  </si>
  <si>
    <t>Potential Fiscal Drag
(wrt concurrent HCPI)</t>
  </si>
  <si>
    <t>Potential Fiscal Drag
(wrt average index)</t>
  </si>
  <si>
    <t>% Offsetting
(wrt tax.inc.growth)</t>
  </si>
  <si>
    <t>% Offsetting
(wrt lagged HCPI)</t>
  </si>
  <si>
    <t>% Offsetting
(wrt concurrent HCPI)</t>
  </si>
  <si>
    <t>% Offsetting
(wrt average index)</t>
  </si>
  <si>
    <t>Of which, through "indexation measures":</t>
  </si>
  <si>
    <t>Table for Figure (million euros)</t>
  </si>
  <si>
    <t>Table for Figure (share GDP)</t>
  </si>
  <si>
    <t>Baseline simulation (before reescaling)</t>
  </si>
  <si>
    <t>Observed (National Accounts)</t>
  </si>
  <si>
    <t>Baseline simulation (after reescaling)</t>
  </si>
  <si>
    <t>Unchanged legislation since 2019/2023</t>
  </si>
  <si>
    <t>Indexing with tax base growth</t>
  </si>
  <si>
    <t>Indexing with lagged HCPI</t>
  </si>
  <si>
    <t>Indexing with concurrent HCPI</t>
  </si>
  <si>
    <t>Outcome:  average effective tax rate</t>
  </si>
  <si>
    <t>Table for Figure
(%)</t>
  </si>
  <si>
    <t xml:space="preserve">Baseline simulation
</t>
  </si>
  <si>
    <t>Table for results
%</t>
  </si>
  <si>
    <t>BE</t>
  </si>
  <si>
    <t>Belgium</t>
  </si>
  <si>
    <t>Updated: 11/02/2025</t>
  </si>
  <si>
    <r>
      <t xml:space="preserve">pm: 2023 if
2019legis indexed with lagged </t>
    </r>
    <r>
      <rPr>
        <b/>
        <sz val="9.35"/>
        <color theme="6"/>
        <rFont val="Calibri"/>
        <family val="2"/>
      </rPr>
      <t>CPI</t>
    </r>
    <r>
      <rPr>
        <sz val="11"/>
        <color theme="6"/>
        <rFont val="Calibri"/>
        <family val="2"/>
        <scheme val="minor"/>
      </rPr>
      <t xml:space="preserve">
(lower bound x)</t>
    </r>
  </si>
  <si>
    <t>CY</t>
  </si>
  <si>
    <t>Updated: 08/10/2024</t>
  </si>
  <si>
    <t>DE</t>
  </si>
  <si>
    <t>Germany</t>
  </si>
  <si>
    <t>Updated: 28/01/2025</t>
  </si>
  <si>
    <t>Updated: 04/02/2025</t>
  </si>
  <si>
    <t>EE</t>
  </si>
  <si>
    <t>Estonia</t>
  </si>
  <si>
    <t>Updated: 30/10/2024</t>
  </si>
  <si>
    <t>EL</t>
  </si>
  <si>
    <t>ES</t>
  </si>
  <si>
    <t>Spain</t>
  </si>
  <si>
    <t>Updated: 09/01/2025</t>
  </si>
  <si>
    <t>Updated: 27/12/2024</t>
  </si>
  <si>
    <t>FI</t>
  </si>
  <si>
    <t>FR</t>
  </si>
  <si>
    <t>France</t>
  </si>
  <si>
    <t>HR</t>
  </si>
  <si>
    <t>Croatia</t>
  </si>
  <si>
    <t>HU</t>
  </si>
  <si>
    <t>Hungary</t>
  </si>
  <si>
    <t>28/11/2024</t>
  </si>
  <si>
    <t>Updated: 07/02/2025</t>
  </si>
  <si>
    <r>
      <t>GDP</t>
    </r>
    <r>
      <rPr>
        <b/>
        <sz val="11"/>
        <color rgb="FFC00000"/>
        <rFont val="Calibri"/>
        <family val="2"/>
        <scheme val="minor"/>
      </rPr>
      <t xml:space="preserve"> (million HUF)</t>
    </r>
  </si>
  <si>
    <r>
      <t>National Account PIT Revenue observed</t>
    </r>
    <r>
      <rPr>
        <b/>
        <sz val="10"/>
        <color rgb="FFC00000"/>
        <rFont val="Calibri"/>
        <family val="2"/>
        <scheme val="minor"/>
      </rPr>
      <t xml:space="preserve"> (HUF)</t>
    </r>
  </si>
  <si>
    <t>IE</t>
  </si>
  <si>
    <t>IT</t>
  </si>
  <si>
    <t>Italy</t>
  </si>
  <si>
    <t>Updated: 23/01/2025</t>
  </si>
  <si>
    <t>Updated: 22/01/2025</t>
  </si>
  <si>
    <t>LT</t>
  </si>
  <si>
    <t>Lithuania</t>
  </si>
  <si>
    <t>LU</t>
  </si>
  <si>
    <t>Luxembourg</t>
  </si>
  <si>
    <t>LV</t>
  </si>
  <si>
    <t>Latvia</t>
  </si>
  <si>
    <t>Updated: 14/01/2025</t>
  </si>
  <si>
    <t>MT</t>
  </si>
  <si>
    <t>Malta</t>
  </si>
  <si>
    <t>NL</t>
  </si>
  <si>
    <t>The Netherlands</t>
  </si>
  <si>
    <t>PT</t>
  </si>
  <si>
    <t>Portugal</t>
  </si>
  <si>
    <t>Updated: 15/01/2025</t>
  </si>
  <si>
    <t>SI</t>
  </si>
  <si>
    <t>Slovenia</t>
  </si>
  <si>
    <t>SK</t>
  </si>
  <si>
    <t>Slovakia</t>
  </si>
  <si>
    <t>Updated: 30.1.2025</t>
  </si>
  <si>
    <t>1</t>
  </si>
  <si>
    <t>TTB elasticities</t>
  </si>
  <si>
    <t>TTB elasticities by income source</t>
  </si>
  <si>
    <t>Decomposition of TTB elasticities in pp</t>
  </si>
  <si>
    <t>2023 TTB elasticities</t>
  </si>
  <si>
    <t>2023 TTB elasticities by income source</t>
  </si>
  <si>
    <t>Incomes &amp; (only) tax brackets and tax deductions/credits #1 grow 1%</t>
  </si>
  <si>
    <t>Incomes &amp; tax brackets and tax deductions/credits #1 &amp; 2 grow 1%</t>
  </si>
  <si>
    <t>Incomes &amp; tax brackets and tax deductions/credits #1 &amp; 2 &amp; 3 grow 1%</t>
  </si>
  <si>
    <t>Incomes &amp; tax brackets and tax deductions/credits #1 &amp; 2 &amp; 3 &amp; 4 grow 1%</t>
  </si>
  <si>
    <t>TTB elasticity
all incomes</t>
  </si>
  <si>
    <t>TTB elasticity
earnings</t>
  </si>
  <si>
    <t>TTB elasticity
self-empl.</t>
  </si>
  <si>
    <t>TTB elasticity
capital</t>
  </si>
  <si>
    <t>TTB elasticity without pensions</t>
  </si>
  <si>
    <t>Diff TTB elasticity  TTB_nopens</t>
  </si>
  <si>
    <t>Diff  TTB_nopens TTB_OECD</t>
  </si>
  <si>
    <t>2023 Incomes &amp; (only) tax brackets and tax deductions/credits #1 grow 1%</t>
  </si>
  <si>
    <t>2023 Incomes &amp; tax brackets and tax deductions/credits #1 &amp; 2 grow 1%</t>
  </si>
  <si>
    <t>2023 Incomes &amp; tax brackets and tax deductions/credits #1 &amp; 2 &amp; 3 grow 1%</t>
  </si>
  <si>
    <t>2023 Incomes &amp; tax brackets and tax deductions/credits #1 &amp; 2 &amp; 3 &amp; 4 grow 1%</t>
  </si>
  <si>
    <t>2023 TTB elasticities Incomes grow 1%</t>
  </si>
  <si>
    <t xml:space="preserve">2023 TTB elasticities change </t>
  </si>
  <si>
    <t>2023 TTB elasticity Labor income grows 1%</t>
  </si>
  <si>
    <t>2023 TTB elasticity Benefits and pensions grow 1%</t>
  </si>
  <si>
    <t>2023 TTB elasticity Self-employment income grows 1%</t>
  </si>
  <si>
    <t>2023 TTB elasticity Capital income grows 1%</t>
  </si>
  <si>
    <t xml:space="preserve">2023 TTB elasticity change Labor </t>
  </si>
  <si>
    <t>2023 TTB elasticity change Benefits and pensions</t>
  </si>
  <si>
    <t>2023 TTB elasticity change Self-employment income</t>
  </si>
  <si>
    <t>2023 TTB elasticity change Capital</t>
  </si>
  <si>
    <t>2</t>
  </si>
  <si>
    <t>Cell</t>
  </si>
  <si>
    <t>W22</t>
  </si>
  <si>
    <t>AH22</t>
  </si>
  <si>
    <t>AJ22</t>
  </si>
  <si>
    <t>AK22</t>
  </si>
  <si>
    <t>AL22</t>
  </si>
  <si>
    <t>AM22</t>
  </si>
  <si>
    <t>AO22</t>
  </si>
  <si>
    <t>AI22</t>
  </si>
  <si>
    <t xml:space="preserve">Proportional effect </t>
  </si>
  <si>
    <t xml:space="preserve">By bracket progressivity </t>
  </si>
  <si>
    <t xml:space="preserve">By tax deduction/credit 1 </t>
  </si>
  <si>
    <t xml:space="preserve">By tax deduction/credit 2 </t>
  </si>
  <si>
    <t>By tax deduction/credit 3</t>
  </si>
  <si>
    <t>Columna1</t>
  </si>
  <si>
    <t>BG</t>
  </si>
  <si>
    <t>CZ</t>
  </si>
  <si>
    <t>DK</t>
  </si>
  <si>
    <t>EA</t>
  </si>
  <si>
    <t>EA(w)</t>
  </si>
  <si>
    <t>PL</t>
  </si>
  <si>
    <t>RO</t>
  </si>
  <si>
    <t>SE</t>
  </si>
  <si>
    <t>AD22</t>
  </si>
  <si>
    <t>AE22</t>
  </si>
  <si>
    <t>AF22</t>
  </si>
  <si>
    <t>AG22</t>
  </si>
  <si>
    <t>country</t>
  </si>
  <si>
    <t>Labor income</t>
  </si>
  <si>
    <t>Pensions and benefits</t>
  </si>
  <si>
    <t>AS22</t>
  </si>
  <si>
    <t>AT22</t>
  </si>
  <si>
    <t>AU22</t>
  </si>
  <si>
    <t>AV22</t>
  </si>
  <si>
    <t>AW22</t>
  </si>
  <si>
    <t>AX22</t>
  </si>
  <si>
    <t>AR22</t>
  </si>
  <si>
    <t>By other tax deductions/credits</t>
  </si>
  <si>
    <t>All benef</t>
  </si>
  <si>
    <t>AZ22</t>
  </si>
  <si>
    <t>BP22</t>
  </si>
  <si>
    <r>
      <t xml:space="preserve">OECD ERTI
</t>
    </r>
    <r>
      <rPr>
        <sz val="11"/>
        <color theme="0"/>
        <rFont val="Calibri"/>
        <family val="2"/>
        <scheme val="minor"/>
      </rPr>
      <t>.</t>
    </r>
  </si>
  <si>
    <t>Own ERTI</t>
  </si>
  <si>
    <t>Own ERTI (w/o pens. &amp; benef.)</t>
  </si>
  <si>
    <t>45 degree line</t>
  </si>
  <si>
    <t>BL22</t>
  </si>
  <si>
    <t>BM22</t>
  </si>
  <si>
    <t>BN22</t>
  </si>
  <si>
    <t>BO22</t>
  </si>
  <si>
    <r>
      <t xml:space="preserve">country
</t>
    </r>
    <r>
      <rPr>
        <sz val="11"/>
        <color theme="0"/>
        <rFont val="Calibri"/>
        <family val="2"/>
        <scheme val="minor"/>
      </rPr>
      <t>.</t>
    </r>
  </si>
  <si>
    <t>O20</t>
  </si>
  <si>
    <t>O21</t>
  </si>
  <si>
    <t>BS20</t>
  </si>
  <si>
    <t>BS21</t>
  </si>
  <si>
    <t>BS20 + BS21</t>
  </si>
  <si>
    <t>O20+O21</t>
  </si>
  <si>
    <t>Share of income 9th decile</t>
  </si>
  <si>
    <t>Share of income 10th decile</t>
  </si>
  <si>
    <t>Share of total tax base earned by 9th decile</t>
  </si>
  <si>
    <t>Share of total tax base earned by 10th decile</t>
  </si>
  <si>
    <t>Share of tax revenue paid by 9th and 10th decile</t>
  </si>
  <si>
    <t>Difference between shared paid and earned by top 20</t>
  </si>
  <si>
    <t>W21</t>
  </si>
  <si>
    <t>weighted ERTI of top 20</t>
  </si>
  <si>
    <t>weighted ERTI of bottom 80</t>
  </si>
  <si>
    <t>TTB elasticity bottom 80 - TTB elasticity top 20</t>
  </si>
  <si>
    <t>ERTI top 10</t>
  </si>
  <si>
    <t>weighted ERTI of bottom 90</t>
  </si>
  <si>
    <t>TTB elasticity bottom 90 - TTB elasticity top 10</t>
  </si>
  <si>
    <t>EV22</t>
  </si>
  <si>
    <t>2019 TTB elasticity</t>
  </si>
  <si>
    <t>2023 TTB elasticity</t>
  </si>
  <si>
    <t>Difference 2023-2019</t>
  </si>
  <si>
    <t>DD22</t>
  </si>
  <si>
    <t>DD12</t>
  </si>
  <si>
    <t>DD13</t>
  </si>
  <si>
    <t>DD14</t>
  </si>
  <si>
    <t>DD15</t>
  </si>
  <si>
    <t>Total share of zero-tax payers</t>
  </si>
  <si>
    <t>in decile 1</t>
  </si>
  <si>
    <t>in decile 2</t>
  </si>
  <si>
    <t>in decile 3</t>
  </si>
  <si>
    <t>in decile 4</t>
  </si>
  <si>
    <t>SUM</t>
  </si>
  <si>
    <t>CQ22</t>
  </si>
  <si>
    <t>CZ22</t>
  </si>
  <si>
    <t>CY22</t>
  </si>
  <si>
    <t>CR22</t>
  </si>
  <si>
    <t>DA22</t>
  </si>
  <si>
    <t>DB22</t>
  </si>
  <si>
    <t>Difference in relative impact of tax system on Gini after 1% income increase</t>
  </si>
  <si>
    <t>Change in net-of-tax Ratio 80:20 after 1% income growth, divided by 100 (right axis)</t>
  </si>
  <si>
    <t>Difference in relative impact of tax system on Ratio 80:20 after 1% income increase</t>
  </si>
  <si>
    <t>Change in net-of-tax Gini after 1% income growth (right axis)</t>
  </si>
  <si>
    <t>Kakwani before 1% income increase</t>
  </si>
  <si>
    <t>Difference in Kakwani index after 1% income increase</t>
  </si>
  <si>
    <t>W12</t>
  </si>
  <si>
    <t>Cell range</t>
  </si>
  <si>
    <t>Max TTB elasticity</t>
  </si>
  <si>
    <t>Min TTB elasticity</t>
  </si>
  <si>
    <t>diff.</t>
  </si>
  <si>
    <t>TTB elasticity bottom half</t>
  </si>
  <si>
    <t>TTB elasticity top half</t>
  </si>
  <si>
    <t>Overall TTB elasticity</t>
  </si>
  <si>
    <t>TTB elasticity bottom - TTB elasticity top</t>
  </si>
  <si>
    <t>ERTI1923_Practice
ERTI19_Practice_DIF</t>
  </si>
  <si>
    <t>X22</t>
  </si>
  <si>
    <t>Fiscal Drag in practice (2019--2023)</t>
  </si>
  <si>
    <t>2019 elasticity minus fiscal drag in practice</t>
  </si>
  <si>
    <t>D37</t>
  </si>
  <si>
    <t>W37</t>
  </si>
  <si>
    <t>S37</t>
  </si>
  <si>
    <t>AA37</t>
  </si>
  <si>
    <t>AA42</t>
  </si>
  <si>
    <t>Offset Fiscal Drag</t>
  </si>
  <si>
    <t>Offset through other reforms</t>
  </si>
  <si>
    <t>Offset through indexation</t>
  </si>
  <si>
    <t>Y50</t>
  </si>
  <si>
    <t>Z50</t>
  </si>
  <si>
    <t>AA50</t>
  </si>
  <si>
    <t>AB50</t>
  </si>
  <si>
    <t>AC50</t>
  </si>
  <si>
    <t>Revenue in baseline scenario reeascaled</t>
  </si>
  <si>
    <t>Revenue in baseline scenario (set to zero)</t>
  </si>
  <si>
    <t>With unchanged tax legislation  2019</t>
  </si>
  <si>
    <t>With full indexation on tax base growth</t>
  </si>
  <si>
    <t>With full indexation on lagged HICP</t>
  </si>
  <si>
    <t>With full indexation on concurrent HICP</t>
  </si>
  <si>
    <t>C69</t>
  </si>
  <si>
    <t>D69</t>
  </si>
  <si>
    <t>E69</t>
  </si>
  <si>
    <t>F69</t>
  </si>
  <si>
    <t>G69</t>
  </si>
  <si>
    <t>Average effective tax rate in baseline scenario</t>
  </si>
  <si>
    <t>Average effective tax rate in baseline scenario (set to zero)</t>
  </si>
  <si>
    <t>With unchanged tax legislation  2023/2019</t>
  </si>
  <si>
    <t>C65</t>
  </si>
  <si>
    <t>Average effective tax rate in 2019</t>
  </si>
  <si>
    <t>Average effective tax rate in 2023</t>
  </si>
  <si>
    <t>With unchanged tax legislation since 2019</t>
  </si>
  <si>
    <t>T37</t>
  </si>
  <si>
    <t>X37</t>
  </si>
  <si>
    <t>X42</t>
  </si>
  <si>
    <t>Total Offset</t>
  </si>
  <si>
    <t>U37</t>
  </si>
  <si>
    <t>Q37</t>
  </si>
  <si>
    <t>Y37</t>
  </si>
  <si>
    <t>Y42</t>
  </si>
  <si>
    <t>V37</t>
  </si>
  <si>
    <t>R37</t>
  </si>
  <si>
    <t>Z37</t>
  </si>
  <si>
    <t>Z42</t>
  </si>
  <si>
    <t>Share explained by:</t>
  </si>
  <si>
    <t>TTB elasticity by income source</t>
  </si>
  <si>
    <t>TTB elasticity</t>
  </si>
  <si>
    <t>Bracket Proggresivity</t>
  </si>
  <si>
    <t>Tax benefit #1</t>
  </si>
  <si>
    <t>Tax benefit #2</t>
  </si>
  <si>
    <t>Other tax benefits</t>
  </si>
  <si>
    <t>Labor</t>
  </si>
  <si>
    <t>Benefits and pensions</t>
  </si>
  <si>
    <t>Self-employment</t>
  </si>
  <si>
    <t>Capital</t>
  </si>
  <si>
    <t>(1)</t>
  </si>
  <si>
    <t>(2)</t>
  </si>
  <si>
    <t>(3)</t>
  </si>
  <si>
    <t>(4)</t>
  </si>
  <si>
    <t>(5)</t>
  </si>
  <si>
    <t>(6)</t>
  </si>
  <si>
    <t>(7)</t>
  </si>
  <si>
    <t>(8)</t>
  </si>
  <si>
    <t>(9)</t>
  </si>
  <si>
    <t>(10)</t>
  </si>
  <si>
    <t>Austria (AT)</t>
  </si>
  <si>
    <t>Belgium (BE)</t>
  </si>
  <si>
    <t>Cyprus (CY)</t>
  </si>
  <si>
    <t>Germany (DE)</t>
  </si>
  <si>
    <t>Estonia (EE)</t>
  </si>
  <si>
    <t>Greece (EL)</t>
  </si>
  <si>
    <t>Spain (ES)</t>
  </si>
  <si>
    <t>Finland (FI)</t>
  </si>
  <si>
    <t>France (FR)</t>
  </si>
  <si>
    <t>Croatia (HR)</t>
  </si>
  <si>
    <t>Hungary (HU)</t>
  </si>
  <si>
    <t>Ireland (IE)</t>
  </si>
  <si>
    <t>Italy (IT)</t>
  </si>
  <si>
    <t>Lithuania (LT)</t>
  </si>
  <si>
    <t>Luxembourg (LU)</t>
  </si>
  <si>
    <t>Latvia (LV)</t>
  </si>
  <si>
    <t>Malta (MT)</t>
  </si>
  <si>
    <t>Netherlands (NL)</t>
  </si>
  <si>
    <t>Portugal (PT)</t>
  </si>
  <si>
    <t>Slovenia (SI)</t>
  </si>
  <si>
    <t>Slovakia (SK)</t>
  </si>
  <si>
    <t>Difference wrt 2019</t>
  </si>
  <si>
    <t>2019 TTB elasticity across the income distribution</t>
  </si>
  <si>
    <t>1st decile</t>
  </si>
  <si>
    <t>2nd decile</t>
  </si>
  <si>
    <t>3rd decile</t>
  </si>
  <si>
    <t>4th decile</t>
  </si>
  <si>
    <t>5th decile</t>
  </si>
  <si>
    <t>6th decile</t>
  </si>
  <si>
    <t>7th decile</t>
  </si>
  <si>
    <t>8th decile</t>
  </si>
  <si>
    <t>9th decile</t>
  </si>
  <si>
    <t>10th decile</t>
  </si>
  <si>
    <t>TTB bottom 80 - TTB top 20</t>
  </si>
  <si>
    <t>TTB bottom 90 - TTB top 10</t>
  </si>
  <si>
    <t>(11)</t>
  </si>
  <si>
    <t>(12)</t>
  </si>
  <si>
    <t>(13)</t>
  </si>
  <si>
    <t>(14)</t>
  </si>
  <si>
    <t>(15)</t>
  </si>
  <si>
    <t>(16)</t>
  </si>
  <si>
    <t>(17)</t>
  </si>
  <si>
    <t>(18)</t>
  </si>
  <si>
    <t>(19)</t>
  </si>
  <si>
    <t>(20)</t>
  </si>
  <si>
    <t>(21)</t>
  </si>
  <si>
    <t>(22)</t>
  </si>
  <si>
    <t>Observed</t>
  </si>
  <si>
    <t>With 2019 legislation</t>
  </si>
  <si>
    <t>With 2019 legislation indexed tax base growth</t>
  </si>
  <si>
    <t>With 2019 legislation indexed lagged HCPI</t>
  </si>
  <si>
    <t>With 2019 legislation indexed tax contemporaneous HCPI</t>
  </si>
  <si>
    <t>Actual Fiscal Drag (wrt average of three indexation simulations)</t>
  </si>
  <si>
    <t>Potential Fiscal Drag (wrt average of three indexation simulations)</t>
  </si>
  <si>
    <t>Updated: 10/02/2025</t>
  </si>
  <si>
    <t>Updated: 20/01/2025</t>
  </si>
  <si>
    <t>Updated:10/02/2025 (indepth) [ 24/09/2024  (data) (fileversion 22/10/2024)]</t>
  </si>
  <si>
    <t>Updated: 14/02/2025</t>
  </si>
  <si>
    <t>Updated: 13/02/2025</t>
  </si>
  <si>
    <t>K50</t>
  </si>
  <si>
    <t>Updated: 19/02/2025</t>
  </si>
  <si>
    <t>Updated: 17/02/2025</t>
  </si>
  <si>
    <t>Updated: 18/02/2024</t>
  </si>
  <si>
    <t>Updated: 18/02/2025</t>
  </si>
  <si>
    <t>Updated: 03/02/2025</t>
  </si>
  <si>
    <t>Updated: 24/02/2025</t>
  </si>
  <si>
    <t>PIT Revenue (million Euros)</t>
  </si>
  <si>
    <t>Hungary (HU)*</t>
  </si>
  <si>
    <t>With 2023 legislation w/o indexation</t>
  </si>
  <si>
    <t>PIT Revenue (% GDP)</t>
  </si>
  <si>
    <t>Average Tax Rate (%)</t>
  </si>
  <si>
    <t>With 2023 legislation no indexation since 2019</t>
  </si>
  <si>
    <t>Offset Fiscal Drag ABS</t>
  </si>
  <si>
    <t>nom_Offset through indexation</t>
  </si>
  <si>
    <t>nom_Offset through other reforms2</t>
  </si>
  <si>
    <t>Unchanged legislation since 2019</t>
  </si>
  <si>
    <t>Legislation unchanged since 2019</t>
  </si>
  <si>
    <t>Statutory indexation</t>
  </si>
  <si>
    <t>Indexing with nominal tax base growth</t>
  </si>
  <si>
    <t>Baseline without indexation measures</t>
  </si>
  <si>
    <t>Share explained by tax brackets</t>
  </si>
  <si>
    <t>All incomes</t>
  </si>
  <si>
    <t>Updated: 02/04/2025</t>
  </si>
  <si>
    <t>Indexing with lagged HICP</t>
  </si>
  <si>
    <t>Actual Fiscal Drag
(wrt lagged HICP)</t>
  </si>
  <si>
    <t>Indexing with concurrent HICP</t>
  </si>
  <si>
    <t>Index with concurrent HICP</t>
  </si>
  <si>
    <t>Index with lagged HICP</t>
  </si>
  <si>
    <t>2023 if
2019legis indexed with lagged HICP
(lower bound b)</t>
  </si>
  <si>
    <t>2023 if
2019legis indexed with concurrent HICP
(lower bound c)</t>
  </si>
  <si>
    <t>laggedHICP</t>
  </si>
  <si>
    <t>concurr.HICP</t>
  </si>
  <si>
    <t>Actual Fiscal Drag
(wrt concurrent HICP)</t>
  </si>
  <si>
    <t>Potential Fiscal Drag
(wrt lagged HICP)</t>
  </si>
  <si>
    <t>Potential Fiscal Drag
(wrt concurrent HICP)</t>
  </si>
  <si>
    <t>2026 if
2023legis indexed with lagged HICP
(lower bound b)</t>
  </si>
  <si>
    <t>2026 if
2023legis indexed with concurrent HICP
(lower bound c)</t>
  </si>
  <si>
    <t>% Offsetting
(wrt lagged HICP)</t>
  </si>
  <si>
    <t>% Offsetting
(wrt concurrent HICP)</t>
  </si>
  <si>
    <t>Share of total taxable income of the top 20</t>
  </si>
  <si>
    <t>Sensitivity test</t>
  </si>
  <si>
    <t>TBB elasticity</t>
  </si>
  <si>
    <t>initial growth</t>
  </si>
  <si>
    <t>adjusted growth</t>
  </si>
  <si>
    <t>weight</t>
  </si>
  <si>
    <t>shock</t>
  </si>
  <si>
    <t>2023_newbaseline</t>
  </si>
  <si>
    <t>2023_homogeneous</t>
  </si>
  <si>
    <t>2023_heterogeneous</t>
  </si>
  <si>
    <t>relative to new baseline 2023</t>
  </si>
  <si>
    <t>relative to potential fiscal drag</t>
  </si>
  <si>
    <t>With homogeneous growth across decile groups</t>
  </si>
  <si>
    <t>With heterogeneous growth across decile groups</t>
  </si>
  <si>
    <t>Relative to baseline revenue</t>
  </si>
  <si>
    <t>Relative to potential fiscal drag</t>
  </si>
  <si>
    <t>Maximum absolute value</t>
  </si>
  <si>
    <t>Average of absolute values</t>
  </si>
  <si>
    <t>Template corresponding to Part 1 of the project Fiscal Drag in Europe</t>
  </si>
  <si>
    <r>
      <t>Tac Base (</t>
    </r>
    <r>
      <rPr>
        <b/>
        <sz val="11"/>
        <rFont val="Calibri"/>
        <family val="2"/>
        <scheme val="minor"/>
      </rPr>
      <t>il_fiscaldrag_all</t>
    </r>
    <r>
      <rPr>
        <b/>
        <sz val="11"/>
        <color theme="1"/>
        <rFont val="Calibri"/>
        <family val="2"/>
        <scheme val="minor"/>
      </rPr>
      <t>)</t>
    </r>
  </si>
  <si>
    <t>Gini tax base (from Table 3.1)</t>
  </si>
  <si>
    <t>Ratio8020 tax base</t>
  </si>
  <si>
    <r>
      <t>2023 Tax Base (</t>
    </r>
    <r>
      <rPr>
        <b/>
        <sz val="11"/>
        <rFont val="Calibri"/>
        <family val="2"/>
        <scheme val="minor"/>
      </rPr>
      <t>il_fiscaldrag_all</t>
    </r>
    <r>
      <rPr>
        <b/>
        <sz val="11"/>
        <color theme="1"/>
        <rFont val="Calibri"/>
        <family val="2"/>
        <scheme val="minor"/>
      </rPr>
      <t>)</t>
    </r>
  </si>
  <si>
    <t>Share of total tax base</t>
  </si>
  <si>
    <t>Gini tax base preincrease pretax</t>
  </si>
  <si>
    <t>Gini tax base preincrease posttax</t>
  </si>
  <si>
    <t>Gini tax base postincrease pretax</t>
  </si>
  <si>
    <t>Gini tax base postincrease posttax</t>
  </si>
  <si>
    <t>Diff Gini tax base posttax</t>
  </si>
  <si>
    <t>Ratio8020 tax base preincrease pretax</t>
  </si>
  <si>
    <t>Ratio8020 tax base preincrease posttax</t>
  </si>
  <si>
    <t>Ratio8020 tax base postincrease pretax</t>
  </si>
  <si>
    <t>Ratio8020 tax base postincrease posttax</t>
  </si>
  <si>
    <t>2023 Share of total tax base</t>
  </si>
  <si>
    <t>Figure 3</t>
  </si>
  <si>
    <t>Tax Base (il_fiscaldrag_all)</t>
  </si>
  <si>
    <t>Figure1b</t>
  </si>
  <si>
    <t>Figure2a</t>
  </si>
  <si>
    <t>Figure2b</t>
  </si>
  <si>
    <t>Figure4a</t>
  </si>
  <si>
    <t>Figure4c
Figure4b</t>
  </si>
  <si>
    <t>Figure4d</t>
  </si>
  <si>
    <t>Figure5b
Figure5a</t>
  </si>
  <si>
    <t>Figure7b</t>
  </si>
  <si>
    <t>Figure7a</t>
  </si>
  <si>
    <t>Figure8a</t>
  </si>
  <si>
    <t>Figure8b</t>
  </si>
  <si>
    <t>FigureA1</t>
  </si>
  <si>
    <t>FigureA2</t>
  </si>
  <si>
    <t>FigureA3a
FigureA3b</t>
  </si>
  <si>
    <t>Figure 6 / FigureA4</t>
  </si>
  <si>
    <t>FigureA5c</t>
  </si>
  <si>
    <t>FigureA5b</t>
  </si>
  <si>
    <t>FigureA5a</t>
  </si>
  <si>
    <t xml:space="preserve">FigureA6
</t>
  </si>
  <si>
    <t>Figure1a</t>
  </si>
  <si>
    <t>Gini Tax Base (from Table 3.1)</t>
  </si>
  <si>
    <t>Ratio8020 Tax Base</t>
  </si>
  <si>
    <t>Gini Tax Base 2019 pretax</t>
  </si>
  <si>
    <t>Gini Tax Base 2019 posttax</t>
  </si>
  <si>
    <t>Gini Tax Base 2023 pretax</t>
  </si>
  <si>
    <t>Gini Tax Base 2023 posttax</t>
  </si>
  <si>
    <t>Diff Gini Tax Base posttax</t>
  </si>
  <si>
    <t>Ratio8020 Tax Base 2019 pretax</t>
  </si>
  <si>
    <t>Ratio8020 Tax Base 2019 posttax</t>
  </si>
  <si>
    <t>Ratio8020 Tax Base 2023 pretax</t>
  </si>
  <si>
    <t>Ratio8020 Tax Base 2023 posttax</t>
  </si>
  <si>
    <t>TTB</t>
  </si>
  <si>
    <t>TTB by income source</t>
  </si>
  <si>
    <t>Decomposition of TTB in pp</t>
  </si>
  <si>
    <t>2023 TTB</t>
  </si>
  <si>
    <t>2023 TTB by income source</t>
  </si>
  <si>
    <t>TTB
all incomes</t>
  </si>
  <si>
    <t>TTB
earnings</t>
  </si>
  <si>
    <t>TTB
self-empl.</t>
  </si>
  <si>
    <t>TTB
capital</t>
  </si>
  <si>
    <t>TTB without pensions</t>
  </si>
  <si>
    <t>Diff TTB  TTB_nopens</t>
  </si>
  <si>
    <t>2023 TTB Incomes grow 1%</t>
  </si>
  <si>
    <t xml:space="preserve">2023 TTB change </t>
  </si>
  <si>
    <t>2023 TTB Labor income grows 1%</t>
  </si>
  <si>
    <t>2023 TTB Benefits and pensions grow 1%</t>
  </si>
  <si>
    <t>2023 TTB Self-employment income grows 1%</t>
  </si>
  <si>
    <t>2023 TTB Capital income grows 1%</t>
  </si>
  <si>
    <t xml:space="preserve">2023 TTB change Labor </t>
  </si>
  <si>
    <t>2023 TTB change Benefits and pensions</t>
  </si>
  <si>
    <t>2023 TTB change Self-employment income</t>
  </si>
  <si>
    <t>2023 TTB change Capital</t>
  </si>
  <si>
    <t>TTB in practice</t>
  </si>
  <si>
    <t>TTB 2023/2019</t>
  </si>
  <si>
    <t>TTB 2026/2023</t>
  </si>
  <si>
    <t>TTB 2026/2019</t>
  </si>
  <si>
    <t>Template corresponding to Part 1 of the project Fiscal Drag in Europe.</t>
  </si>
  <si>
    <r>
      <t xml:space="preserve">Template corresponding to </t>
    </r>
    <r>
      <rPr>
        <b/>
        <sz val="11"/>
        <color rgb="FF0070C0"/>
        <rFont val="Calibri"/>
        <family val="2"/>
        <scheme val="minor"/>
      </rPr>
      <t>Part 2</t>
    </r>
    <r>
      <rPr>
        <b/>
        <sz val="11"/>
        <color theme="1"/>
        <rFont val="Calibri"/>
        <family val="2"/>
        <scheme val="minor"/>
      </rPr>
      <t xml:space="preserve"> of the project Fiscal Drag in Europ</t>
    </r>
    <r>
      <rPr>
        <b/>
        <sz val="11"/>
        <rFont val="Calibri"/>
        <family val="2"/>
        <scheme val="minor"/>
      </rPr>
      <t>e.</t>
    </r>
  </si>
  <si>
    <r>
      <t xml:space="preserve">Template corresponding to </t>
    </r>
    <r>
      <rPr>
        <b/>
        <sz val="11"/>
        <color rgb="FF0070C0"/>
        <rFont val="Calibri"/>
        <family val="2"/>
        <scheme val="minor"/>
      </rPr>
      <t>Part 2</t>
    </r>
    <r>
      <rPr>
        <b/>
        <sz val="11"/>
        <color theme="1"/>
        <rFont val="Calibri"/>
        <family val="2"/>
        <scheme val="minor"/>
      </rPr>
      <t xml:space="preserve"> of the project Fiscal Drag in Europ</t>
    </r>
    <r>
      <rPr>
        <b/>
        <sz val="11"/>
        <rFont val="Calibri"/>
        <family val="2"/>
        <scheme val="minor"/>
      </rPr>
      <t xml:space="preserve">e. </t>
    </r>
  </si>
  <si>
    <t>Cyprus</t>
  </si>
  <si>
    <t>Cyrprus</t>
  </si>
  <si>
    <t>Greece</t>
  </si>
  <si>
    <t>Finland</t>
  </si>
  <si>
    <t>Ireland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</si>
</sst>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43" formatCode="_-* #,##0.00_-;\-* #,##0.00_-;_-* &quot;-&quot;??_-;_-@_-"/>
    <numFmt numFmtId="164" formatCode="_(* #,##0.00_);_(* \(#,##0.00\);_(* &quot;-&quot;??_);_(@_)"/>
    <numFmt numFmtId="165" formatCode="_-* #,##0_-;\-* #,##0_-;_-* &quot;-&quot;??_-;_-@_-"/>
    <numFmt numFmtId="166" formatCode="_-* #,##0.0_-;\-* #,##0.0_-;_-* &quot;-&quot;??_-;_-@_-"/>
    <numFmt numFmtId="167" formatCode="0.0"/>
    <numFmt numFmtId="168" formatCode="0.000"/>
    <numFmt numFmtId="169" formatCode="_-* #,##0.00\ _€_-;\-* #,##0.00\ _€_-;_-* &quot;-&quot;??\ _€_-;_-@_-"/>
    <numFmt numFmtId="170" formatCode="0.0%"/>
    <numFmt numFmtId="171" formatCode="0.0000"/>
    <numFmt numFmtId="172" formatCode="0.00000"/>
    <numFmt numFmtId="173" formatCode="_-* #,##0.000_-;\-* #,##0.000_-;_-* &quot;-&quot;??_-;_-@_-"/>
    <numFmt numFmtId="174" formatCode="0.000000"/>
    <numFmt numFmtId="175" formatCode="_-* #,##0.0000_-;\-* #,##0.0000_-;_-* &quot;-&quot;??_-;_-@_-"/>
    <numFmt numFmtId="176" formatCode="#,##0.0"/>
    <numFmt numFmtId="177" formatCode="#,##0.##########"/>
    <numFmt numFmtId="178" formatCode="_(* #,##0.0000000_);_(* \(#,##0.0000000\);_(* &quot;-&quot;??_);_(@_)"/>
    <numFmt numFmtId="179" formatCode="_-* #,##0\ _€_-;\-* #,##0\ _€_-;_-* &quot;-&quot;??\ _€_-;_-@_-"/>
    <numFmt numFmtId="180" formatCode="_-* #,##0.0000\ _€_-;\-* #,##0.0000\ _€_-;_-* &quot;-&quot;??\ _€_-;_-@_-"/>
  </numFmts>
  <fonts count="51"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b/>
      <sz val="11"/>
      <name val="Calibri"/>
      <family val="2"/>
      <scheme val="minor"/>
    </font>
    <font>
      <sz val="10"/>
      <color theme="1"/>
      <name val="Calibri"/>
      <family val="2"/>
      <scheme val="minor"/>
    </font>
    <font>
      <sz val="11"/>
      <name val="Calibri"/>
      <family val="2"/>
      <scheme val="minor"/>
    </font>
    <font>
      <sz val="11"/>
      <color theme="2"/>
      <name val="Calibri"/>
      <family val="2"/>
      <scheme val="minor"/>
    </font>
    <font>
      <b/>
      <sz val="10"/>
      <color theme="1"/>
      <name val="Calibri"/>
      <family val="2"/>
      <scheme val="minor"/>
    </font>
    <font>
      <u/>
      <sz val="11"/>
      <color theme="10"/>
      <name val="Calibri"/>
      <family val="2"/>
      <scheme val="minor"/>
    </font>
    <font>
      <sz val="11"/>
      <color theme="2" tint="-0.499984740745262"/>
      <name val="Calibri"/>
      <family val="2"/>
      <scheme val="minor"/>
    </font>
    <font>
      <sz val="11"/>
      <color theme="2" tint="-0.249977111117893"/>
      <name val="Calibri"/>
      <family val="2"/>
      <scheme val="minor"/>
    </font>
    <font>
      <b/>
      <sz val="9"/>
      <color indexed="81"/>
      <name val="Tahoma"/>
      <family val="2"/>
    </font>
    <font>
      <sz val="9"/>
      <color indexed="81"/>
      <name val="Tahoma"/>
      <family val="2"/>
    </font>
    <font>
      <b/>
      <sz val="10"/>
      <color theme="1"/>
      <name val="Calibri"/>
      <family val="2"/>
      <charset val="161"/>
      <scheme val="minor"/>
    </font>
    <font>
      <b/>
      <sz val="11"/>
      <color rgb="FFFF0000"/>
      <name val="Calibri"/>
      <family val="2"/>
      <scheme val="minor"/>
    </font>
    <font>
      <b/>
      <sz val="11"/>
      <name val="Calibri"/>
      <family val="2"/>
    </font>
    <font>
      <sz val="11"/>
      <color rgb="FF006100"/>
      <name val="Times New Roman"/>
      <family val="2"/>
      <charset val="238"/>
    </font>
    <font>
      <sz val="11"/>
      <color theme="0"/>
      <name val="Calibri"/>
      <family val="2"/>
      <scheme val="minor"/>
    </font>
    <font>
      <b/>
      <sz val="10"/>
      <color rgb="FFFF0000"/>
      <name val="Calibri"/>
      <family val="2"/>
      <scheme val="minor"/>
    </font>
    <font>
      <b/>
      <sz val="11"/>
      <color theme="0" tint="-0.499984740745262"/>
      <name val="Calibri"/>
      <family val="2"/>
      <scheme val="minor"/>
    </font>
    <font>
      <sz val="10"/>
      <name val="Calibri"/>
      <family val="2"/>
      <scheme val="minor"/>
    </font>
    <font>
      <sz val="10"/>
      <color rgb="FFFF0000"/>
      <name val="Calibri"/>
      <family val="2"/>
      <scheme val="minor"/>
    </font>
    <font>
      <b/>
      <sz val="10"/>
      <name val="Calibri"/>
      <family val="2"/>
      <scheme val="minor"/>
    </font>
    <font>
      <sz val="8"/>
      <name val="Calibri"/>
      <family val="2"/>
      <scheme val="minor"/>
    </font>
    <font>
      <sz val="11"/>
      <color theme="2" tint="-9.9978637043366805E-2"/>
      <name val="Calibri"/>
      <family val="2"/>
      <scheme val="minor"/>
    </font>
    <font>
      <sz val="11"/>
      <color theme="0" tint="-0.14999847407452621"/>
      <name val="Calibri"/>
      <family val="2"/>
      <scheme val="minor"/>
    </font>
    <font>
      <sz val="9"/>
      <color theme="1"/>
      <name val="Calibri"/>
      <family val="2"/>
      <scheme val="minor"/>
    </font>
    <font>
      <sz val="11"/>
      <color theme="0" tint="-0.34998626667073579"/>
      <name val="Calibri"/>
      <family val="2"/>
      <scheme val="minor"/>
    </font>
    <font>
      <b/>
      <sz val="11"/>
      <color rgb="FF0070C0"/>
      <name val="Calibri"/>
      <family val="2"/>
      <scheme val="minor"/>
    </font>
    <font>
      <sz val="10"/>
      <color rgb="FFC00000"/>
      <name val="Calibri"/>
      <family val="2"/>
      <scheme val="minor"/>
    </font>
    <font>
      <sz val="11"/>
      <color rgb="FFC00000"/>
      <name val="Calibri"/>
      <family val="2"/>
      <scheme val="minor"/>
    </font>
    <font>
      <b/>
      <sz val="18"/>
      <color rgb="FFFF0000"/>
      <name val="Calibri"/>
      <family val="2"/>
      <scheme val="minor"/>
    </font>
    <font>
      <b/>
      <sz val="10"/>
      <color theme="1"/>
      <name val="Calibri"/>
      <family val="2"/>
      <charset val="186"/>
      <scheme val="minor"/>
    </font>
    <font>
      <b/>
      <sz val="10"/>
      <name val="Calibri"/>
      <family val="2"/>
      <charset val="186"/>
      <scheme val="minor"/>
    </font>
    <font>
      <b/>
      <sz val="7"/>
      <color rgb="FF000000"/>
      <name val="Verdana"/>
      <family val="2"/>
    </font>
    <font>
      <sz val="11"/>
      <name val="Calibri"/>
      <family val="2"/>
    </font>
    <font>
      <b/>
      <sz val="11"/>
      <color rgb="FFC00000"/>
      <name val="Calibri"/>
      <family val="2"/>
      <scheme val="minor"/>
    </font>
    <font>
      <b/>
      <sz val="11"/>
      <name val="Calibri"/>
      <family val="2"/>
      <charset val="161"/>
      <scheme val="minor"/>
    </font>
    <font>
      <b/>
      <sz val="10"/>
      <name val="Calibri"/>
      <family val="2"/>
      <charset val="161"/>
      <scheme val="minor"/>
    </font>
    <font>
      <sz val="11"/>
      <color theme="0" tint="-4.9989318521683403E-2"/>
      <name val="Calibri"/>
      <family val="2"/>
      <scheme val="minor"/>
    </font>
    <font>
      <b/>
      <sz val="9"/>
      <color indexed="81"/>
      <name val="Tahoma"/>
      <family val="2"/>
      <charset val="161"/>
    </font>
    <font>
      <sz val="8"/>
      <color theme="1"/>
      <name val="Calibri"/>
      <family val="2"/>
      <scheme val="minor"/>
    </font>
    <font>
      <sz val="11"/>
      <name val="Calibri"/>
      <family val="2"/>
    </font>
    <font>
      <b/>
      <sz val="10"/>
      <color rgb="FFC00000"/>
      <name val="Calibri"/>
      <family val="2"/>
      <scheme val="minor"/>
    </font>
    <font>
      <sz val="11"/>
      <color indexed="8"/>
      <name val="Calibri"/>
      <family val="2"/>
      <scheme val="minor"/>
    </font>
    <font>
      <sz val="9"/>
      <name val="Arial"/>
      <family val="2"/>
    </font>
    <font>
      <b/>
      <sz val="10"/>
      <color theme="1"/>
      <name val="Calibri"/>
      <family val="2"/>
      <charset val="238"/>
      <scheme val="minor"/>
    </font>
    <font>
      <sz val="11"/>
      <color theme="6"/>
      <name val="Calibri"/>
      <family val="2"/>
      <scheme val="minor"/>
    </font>
    <font>
      <b/>
      <sz val="9.35"/>
      <color theme="6"/>
      <name val="Calibri"/>
      <family val="2"/>
    </font>
    <font>
      <sz val="10"/>
      <color theme="6"/>
      <name val="Calibri"/>
      <family val="2"/>
      <scheme val="minor"/>
    </font>
  </fonts>
  <fills count="23">
    <fill>
      <patternFill patternType="none"/>
    </fill>
    <fill>
      <patternFill patternType="gray125"/>
    </fill>
    <fill>
      <patternFill patternType="solid">
        <fgColor rgb="FFC6EFCE"/>
      </patternFill>
    </fill>
    <fill>
      <patternFill patternType="solid">
        <fgColor theme="0"/>
        <bgColor indexed="64"/>
      </patternFill>
    </fill>
    <fill>
      <patternFill patternType="solid">
        <fgColor theme="2" tint="-9.9978637043366805E-2"/>
        <bgColor indexed="64"/>
      </patternFill>
    </fill>
    <fill>
      <patternFill patternType="solid">
        <fgColor theme="7" tint="0.79998168889431442"/>
        <bgColor indexed="64"/>
      </patternFill>
    </fill>
    <fill>
      <patternFill patternType="solid">
        <fgColor theme="2"/>
        <bgColor indexed="64"/>
      </patternFill>
    </fill>
    <fill>
      <patternFill patternType="solid">
        <fgColor theme="2" tint="-0.249977111117893"/>
        <bgColor indexed="64"/>
      </patternFill>
    </fill>
    <fill>
      <patternFill patternType="solid">
        <fgColor theme="5" tint="0.59999389629810485"/>
        <bgColor indexed="65"/>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79998168889431442"/>
        <bgColor indexed="64"/>
      </patternFill>
    </fill>
    <fill>
      <patternFill patternType="solid">
        <fgColor theme="0" tint="-0.249977111117893"/>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7" tint="0.59999389629810485"/>
        <bgColor indexed="64"/>
      </patternFill>
    </fill>
    <fill>
      <patternFill patternType="solid">
        <fgColor rgb="FFFFFF00"/>
        <bgColor indexed="64"/>
      </patternFill>
    </fill>
    <fill>
      <patternFill patternType="solid">
        <fgColor theme="8" tint="0.39997558519241921"/>
        <bgColor indexed="64"/>
      </patternFill>
    </fill>
    <fill>
      <patternFill patternType="solid">
        <fgColor rgb="FFFFFFFF"/>
        <bgColor rgb="FF000000"/>
      </patternFill>
    </fill>
    <fill>
      <patternFill patternType="solid">
        <fgColor theme="5" tint="0.59999389629810485"/>
        <bgColor indexed="64"/>
      </patternFill>
    </fill>
    <fill>
      <patternFill patternType="solid">
        <fgColor theme="0" tint="-4.9989318521683403E-2"/>
        <bgColor indexed="64"/>
      </patternFill>
    </fill>
    <fill>
      <patternFill patternType="solid">
        <fgColor theme="6" tint="0.59999389629810485"/>
        <bgColor indexed="64"/>
      </patternFill>
    </fill>
  </fills>
  <borders count="23">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right/>
      <top style="thin">
        <color indexed="64"/>
      </top>
      <bottom style="thin">
        <color theme="1"/>
      </bottom>
      <diagonal/>
    </border>
    <border>
      <left/>
      <right/>
      <top style="thin">
        <color indexed="64"/>
      </top>
      <bottom/>
      <diagonal/>
    </border>
    <border>
      <left/>
      <right/>
      <top style="thin">
        <color auto="1"/>
      </top>
      <bottom style="medium">
        <color auto="1"/>
      </bottom>
      <diagonal/>
    </border>
    <border>
      <left style="thin">
        <color indexed="64"/>
      </left>
      <right style="thin">
        <color indexed="64"/>
      </right>
      <top style="thin">
        <color rgb="FF000000"/>
      </top>
      <bottom/>
      <diagonal/>
    </border>
    <border>
      <left style="thin">
        <color indexed="64"/>
      </left>
      <right style="thin">
        <color rgb="FF000000"/>
      </right>
      <top style="thin">
        <color rgb="FF000000"/>
      </top>
      <bottom/>
      <diagonal/>
    </border>
  </borders>
  <cellStyleXfs count="15">
    <xf numFmtId="0" fontId="0" fillId="0" borderId="0"/>
    <xf numFmtId="43" fontId="1" fillId="0" borderId="0" applyFont="0" applyFill="0" applyBorder="0" applyAlignment="0" applyProtection="0"/>
    <xf numFmtId="0" fontId="9" fillId="0" borderId="0" applyNumberFormat="0" applyFill="0" applyBorder="0" applyAlignment="0" applyProtection="0"/>
    <xf numFmtId="9" fontId="1" fillId="0" borderId="0" applyFont="0" applyFill="0" applyBorder="0" applyAlignment="0" applyProtection="0"/>
    <xf numFmtId="164" fontId="1" fillId="0" borderId="0" applyFont="0" applyFill="0" applyBorder="0" applyAlignment="0" applyProtection="0"/>
    <xf numFmtId="0" fontId="17" fillId="2" borderId="0" applyNumberFormat="0" applyBorder="0" applyAlignment="0" applyProtection="0"/>
    <xf numFmtId="0" fontId="1" fillId="8" borderId="0" applyNumberFormat="0" applyBorder="0" applyAlignment="0" applyProtection="0"/>
    <xf numFmtId="43" fontId="1"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xf numFmtId="0" fontId="36" fillId="0" borderId="0"/>
    <xf numFmtId="43" fontId="1" fillId="0" borderId="0" applyFont="0" applyFill="0" applyBorder="0" applyAlignment="0" applyProtection="0"/>
    <xf numFmtId="0" fontId="43" fillId="0" borderId="0"/>
    <xf numFmtId="0" fontId="45" fillId="0" borderId="0"/>
    <xf numFmtId="164" fontId="1" fillId="0" borderId="0" applyFont="0" applyFill="0" applyBorder="0" applyAlignment="0" applyProtection="0"/>
  </cellStyleXfs>
  <cellXfs count="554">
    <xf numFmtId="0" fontId="0" fillId="0" borderId="0" xfId="0"/>
    <xf numFmtId="0" fontId="0" fillId="3" borderId="0" xfId="0" applyFill="1"/>
    <xf numFmtId="0" fontId="3" fillId="4" borderId="1" xfId="0" applyFont="1" applyFill="1" applyBorder="1"/>
    <xf numFmtId="0" fontId="0" fillId="4" borderId="2" xfId="0" applyFill="1" applyBorder="1"/>
    <xf numFmtId="0" fontId="0" fillId="4" borderId="3" xfId="0" applyFill="1" applyBorder="1"/>
    <xf numFmtId="0" fontId="0" fillId="5" borderId="4" xfId="0" applyFill="1" applyBorder="1"/>
    <xf numFmtId="0" fontId="0" fillId="5" borderId="5" xfId="0" applyFill="1" applyBorder="1"/>
    <xf numFmtId="0" fontId="0" fillId="5"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0" fontId="0" fillId="5" borderId="10" xfId="0" applyFill="1" applyBorder="1" applyAlignment="1">
      <alignment horizontal="right"/>
    </xf>
    <xf numFmtId="0" fontId="3" fillId="4" borderId="7" xfId="0" applyFont="1" applyFill="1" applyBorder="1"/>
    <xf numFmtId="0" fontId="3" fillId="4" borderId="8" xfId="0" applyFont="1" applyFill="1" applyBorder="1"/>
    <xf numFmtId="0" fontId="3" fillId="6" borderId="7" xfId="0" applyFont="1" applyFill="1" applyBorder="1"/>
    <xf numFmtId="0" fontId="0" fillId="6" borderId="8" xfId="0" applyFill="1" applyBorder="1"/>
    <xf numFmtId="0" fontId="0" fillId="4" borderId="8" xfId="0" applyFill="1" applyBorder="1"/>
    <xf numFmtId="0" fontId="0" fillId="4" borderId="9" xfId="0" applyFill="1" applyBorder="1"/>
    <xf numFmtId="0" fontId="4" fillId="6" borderId="7" xfId="0" applyFont="1" applyFill="1" applyBorder="1"/>
    <xf numFmtId="0" fontId="4" fillId="6" borderId="8" xfId="0" applyFont="1" applyFill="1" applyBorder="1"/>
    <xf numFmtId="0" fontId="0" fillId="6" borderId="9" xfId="0" applyFill="1" applyBorder="1"/>
    <xf numFmtId="0" fontId="0" fillId="7" borderId="7" xfId="0" applyFill="1" applyBorder="1"/>
    <xf numFmtId="0" fontId="0" fillId="7" borderId="8" xfId="0" applyFill="1" applyBorder="1"/>
    <xf numFmtId="0" fontId="0" fillId="7" borderId="9" xfId="0" applyFill="1" applyBorder="1"/>
    <xf numFmtId="0" fontId="0" fillId="0" borderId="10" xfId="0" applyBorder="1" applyAlignment="1">
      <alignment horizontal="left" wrapText="1"/>
    </xf>
    <xf numFmtId="0" fontId="0" fillId="0" borderId="10" xfId="0" applyBorder="1" applyAlignment="1">
      <alignment vertical="top"/>
    </xf>
    <xf numFmtId="0" fontId="0" fillId="0" borderId="10" xfId="0" applyBorder="1" applyAlignment="1">
      <alignment vertical="top" wrapText="1"/>
    </xf>
    <xf numFmtId="0" fontId="0" fillId="0" borderId="10" xfId="0" applyBorder="1"/>
    <xf numFmtId="165" fontId="5" fillId="5" borderId="10" xfId="1" applyNumberFormat="1" applyFont="1" applyFill="1" applyBorder="1"/>
    <xf numFmtId="166" fontId="5" fillId="3" borderId="10" xfId="1" applyNumberFormat="1" applyFont="1" applyFill="1" applyBorder="1"/>
    <xf numFmtId="43" fontId="1" fillId="0" borderId="10" xfId="1" applyFont="1" applyFill="1" applyBorder="1"/>
    <xf numFmtId="2" fontId="0" fillId="3" borderId="0" xfId="0" applyNumberFormat="1" applyFill="1"/>
    <xf numFmtId="0" fontId="0" fillId="0" borderId="11" xfId="0" applyBorder="1"/>
    <xf numFmtId="0" fontId="3" fillId="0" borderId="10" xfId="0" applyFont="1" applyBorder="1" applyAlignment="1">
      <alignment horizontal="right"/>
    </xf>
    <xf numFmtId="165" fontId="8" fillId="5" borderId="10" xfId="1" applyNumberFormat="1" applyFont="1" applyFill="1" applyBorder="1"/>
    <xf numFmtId="166" fontId="8" fillId="3" borderId="10" xfId="1" applyNumberFormat="1" applyFont="1" applyFill="1" applyBorder="1"/>
    <xf numFmtId="43" fontId="3" fillId="0" borderId="10" xfId="1" applyFont="1" applyFill="1" applyBorder="1"/>
    <xf numFmtId="2" fontId="3" fillId="0" borderId="10" xfId="1" applyNumberFormat="1" applyFont="1" applyFill="1" applyBorder="1"/>
    <xf numFmtId="2" fontId="3" fillId="5" borderId="10" xfId="1" applyNumberFormat="1" applyFont="1" applyFill="1" applyBorder="1" applyAlignment="1">
      <alignment horizontal="right"/>
    </xf>
    <xf numFmtId="2" fontId="3" fillId="0" borderId="10" xfId="1" applyNumberFormat="1" applyFont="1" applyFill="1" applyBorder="1" applyAlignment="1">
      <alignment horizontal="right"/>
    </xf>
    <xf numFmtId="168" fontId="0" fillId="3" borderId="0" xfId="0" applyNumberFormat="1" applyFill="1"/>
    <xf numFmtId="169" fontId="0" fillId="3" borderId="0" xfId="0" applyNumberFormat="1" applyFill="1"/>
    <xf numFmtId="0" fontId="0" fillId="3" borderId="0" xfId="0" applyFill="1" applyAlignment="1">
      <alignment vertical="top"/>
    </xf>
    <xf numFmtId="0" fontId="0" fillId="3" borderId="0" xfId="0" applyFill="1" applyAlignment="1">
      <alignment vertical="top" wrapText="1"/>
    </xf>
    <xf numFmtId="0" fontId="9" fillId="3" borderId="0" xfId="2" applyFill="1" applyAlignment="1">
      <alignment vertical="top" wrapText="1"/>
    </xf>
    <xf numFmtId="169" fontId="0" fillId="3" borderId="0" xfId="0" applyNumberFormat="1" applyFill="1" applyAlignment="1">
      <alignment vertical="top" wrapText="1"/>
    </xf>
    <xf numFmtId="0" fontId="10" fillId="3" borderId="0" xfId="0" applyFont="1" applyFill="1"/>
    <xf numFmtId="0" fontId="10" fillId="3" borderId="0" xfId="0" applyFont="1" applyFill="1" applyAlignment="1">
      <alignment vertical="top" wrapText="1"/>
    </xf>
    <xf numFmtId="169" fontId="10" fillId="3" borderId="0" xfId="0" applyNumberFormat="1" applyFont="1" applyFill="1" applyAlignment="1">
      <alignment vertical="top" wrapText="1"/>
    </xf>
    <xf numFmtId="0" fontId="10" fillId="3" borderId="0" xfId="0" applyFont="1" applyFill="1" applyAlignment="1">
      <alignment wrapText="1"/>
    </xf>
    <xf numFmtId="0" fontId="10" fillId="0" borderId="0" xfId="0" applyFont="1"/>
    <xf numFmtId="0" fontId="11" fillId="3" borderId="0" xfId="0" applyFont="1" applyFill="1" applyAlignment="1">
      <alignment vertical="top" wrapText="1"/>
    </xf>
    <xf numFmtId="43" fontId="0" fillId="3" borderId="0" xfId="0" applyNumberFormat="1" applyFill="1"/>
    <xf numFmtId="168" fontId="3" fillId="0" borderId="10" xfId="1" applyNumberFormat="1" applyFont="1" applyFill="1" applyBorder="1"/>
    <xf numFmtId="165" fontId="0" fillId="3" borderId="0" xfId="0" applyNumberFormat="1" applyFill="1"/>
    <xf numFmtId="0" fontId="2" fillId="3" borderId="0" xfId="0" applyFont="1" applyFill="1"/>
    <xf numFmtId="0" fontId="18" fillId="3" borderId="0" xfId="0" applyFont="1" applyFill="1"/>
    <xf numFmtId="0" fontId="15" fillId="6" borderId="7" xfId="0" applyFont="1" applyFill="1" applyBorder="1"/>
    <xf numFmtId="0" fontId="2" fillId="6" borderId="8" xfId="0" applyFont="1" applyFill="1" applyBorder="1"/>
    <xf numFmtId="0" fontId="3" fillId="6" borderId="8" xfId="0" applyFont="1" applyFill="1" applyBorder="1"/>
    <xf numFmtId="0" fontId="3" fillId="4" borderId="9" xfId="0" applyFont="1" applyFill="1" applyBorder="1"/>
    <xf numFmtId="0" fontId="3" fillId="3" borderId="7" xfId="0" applyFont="1" applyFill="1" applyBorder="1"/>
    <xf numFmtId="0" fontId="2" fillId="0" borderId="10" xfId="0" applyFont="1" applyBorder="1" applyAlignment="1">
      <alignment vertical="top" wrapText="1"/>
    </xf>
    <xf numFmtId="0" fontId="0" fillId="0" borderId="12" xfId="0" applyBorder="1" applyAlignment="1">
      <alignment vertical="top" wrapText="1"/>
    </xf>
    <xf numFmtId="165" fontId="5" fillId="9" borderId="10" xfId="1" applyNumberFormat="1" applyFont="1" applyFill="1" applyBorder="1"/>
    <xf numFmtId="1" fontId="1" fillId="9" borderId="10" xfId="1" applyNumberFormat="1" applyFont="1" applyFill="1" applyBorder="1" applyAlignment="1">
      <alignment horizontal="right"/>
    </xf>
    <xf numFmtId="2" fontId="6" fillId="3" borderId="10" xfId="1" applyNumberFormat="1" applyFont="1" applyFill="1" applyBorder="1" applyAlignment="1">
      <alignment horizontal="right"/>
    </xf>
    <xf numFmtId="1" fontId="2" fillId="9" borderId="10" xfId="1" applyNumberFormat="1" applyFont="1" applyFill="1" applyBorder="1" applyAlignment="1">
      <alignment horizontal="right"/>
    </xf>
    <xf numFmtId="1" fontId="6" fillId="3" borderId="10" xfId="1" applyNumberFormat="1" applyFont="1" applyFill="1" applyBorder="1" applyAlignment="1">
      <alignment horizontal="right"/>
    </xf>
    <xf numFmtId="168" fontId="1" fillId="0" borderId="10" xfId="1" applyNumberFormat="1" applyFont="1" applyFill="1" applyBorder="1"/>
    <xf numFmtId="165" fontId="8" fillId="9" borderId="10" xfId="1" applyNumberFormat="1" applyFont="1" applyFill="1" applyBorder="1" applyAlignment="1">
      <alignment horizontal="right"/>
    </xf>
    <xf numFmtId="171" fontId="15" fillId="5" borderId="10" xfId="1" applyNumberFormat="1" applyFont="1" applyFill="1" applyBorder="1" applyAlignment="1">
      <alignment horizontal="right"/>
    </xf>
    <xf numFmtId="171" fontId="3" fillId="0" borderId="10" xfId="1" applyNumberFormat="1" applyFont="1" applyFill="1" applyBorder="1" applyAlignment="1">
      <alignment horizontal="right"/>
    </xf>
    <xf numFmtId="173" fontId="3" fillId="0" borderId="10" xfId="1" applyNumberFormat="1" applyFont="1" applyFill="1" applyBorder="1"/>
    <xf numFmtId="2" fontId="3" fillId="3" borderId="10" xfId="0" applyNumberFormat="1" applyFont="1" applyFill="1" applyBorder="1"/>
    <xf numFmtId="171" fontId="0" fillId="3" borderId="0" xfId="0" applyNumberFormat="1" applyFill="1"/>
    <xf numFmtId="2" fontId="4" fillId="3" borderId="10" xfId="1" applyNumberFormat="1" applyFont="1" applyFill="1" applyBorder="1" applyAlignment="1">
      <alignment horizontal="right"/>
    </xf>
    <xf numFmtId="10" fontId="3" fillId="0" borderId="10" xfId="3" applyNumberFormat="1" applyFont="1" applyFill="1" applyBorder="1" applyAlignment="1">
      <alignment horizontal="right"/>
    </xf>
    <xf numFmtId="168" fontId="3" fillId="0" borderId="10" xfId="1" applyNumberFormat="1" applyFont="1" applyFill="1" applyBorder="1" applyAlignment="1">
      <alignment horizontal="right"/>
    </xf>
    <xf numFmtId="172" fontId="3" fillId="0" borderId="10" xfId="1" applyNumberFormat="1" applyFont="1" applyFill="1" applyBorder="1" applyAlignment="1">
      <alignment horizontal="right"/>
    </xf>
    <xf numFmtId="10" fontId="15" fillId="0" borderId="10" xfId="3" applyNumberFormat="1" applyFont="1" applyFill="1" applyBorder="1" applyAlignment="1">
      <alignment horizontal="right"/>
    </xf>
    <xf numFmtId="2" fontId="15" fillId="0" borderId="10" xfId="1" applyNumberFormat="1" applyFont="1" applyFill="1" applyBorder="1" applyAlignment="1">
      <alignment horizontal="right"/>
    </xf>
    <xf numFmtId="171" fontId="15" fillId="0" borderId="10" xfId="1" applyNumberFormat="1" applyFont="1" applyFill="1" applyBorder="1" applyAlignment="1">
      <alignment horizontal="right"/>
    </xf>
    <xf numFmtId="1" fontId="4" fillId="3" borderId="10" xfId="1" applyNumberFormat="1" applyFont="1" applyFill="1" applyBorder="1" applyAlignment="1">
      <alignment horizontal="right"/>
    </xf>
    <xf numFmtId="0" fontId="1" fillId="10" borderId="0" xfId="6" applyFill="1"/>
    <xf numFmtId="0" fontId="11" fillId="3" borderId="0" xfId="0" applyFont="1" applyFill="1"/>
    <xf numFmtId="0" fontId="1" fillId="10" borderId="13" xfId="6" applyFill="1" applyBorder="1"/>
    <xf numFmtId="0" fontId="0" fillId="3" borderId="13" xfId="0" applyFill="1" applyBorder="1"/>
    <xf numFmtId="0" fontId="11" fillId="3" borderId="13" xfId="0" applyFont="1" applyFill="1" applyBorder="1"/>
    <xf numFmtId="0" fontId="0" fillId="0" borderId="13" xfId="0" applyBorder="1"/>
    <xf numFmtId="0" fontId="0" fillId="3" borderId="4" xfId="0" applyFill="1" applyBorder="1"/>
    <xf numFmtId="0" fontId="0" fillId="3" borderId="5" xfId="0" applyFill="1" applyBorder="1"/>
    <xf numFmtId="0" fontId="1" fillId="10" borderId="14" xfId="6" applyFill="1" applyBorder="1"/>
    <xf numFmtId="0" fontId="0" fillId="3" borderId="14" xfId="0" applyFill="1" applyBorder="1"/>
    <xf numFmtId="0" fontId="0" fillId="3" borderId="6" xfId="0" applyFill="1" applyBorder="1"/>
    <xf numFmtId="0" fontId="11" fillId="3" borderId="14" xfId="0" applyFont="1" applyFill="1" applyBorder="1"/>
    <xf numFmtId="0" fontId="0" fillId="0" borderId="14" xfId="0" applyBorder="1"/>
    <xf numFmtId="0" fontId="0" fillId="11" borderId="0" xfId="0" applyFill="1"/>
    <xf numFmtId="0" fontId="0" fillId="3" borderId="15" xfId="0" applyFill="1" applyBorder="1"/>
    <xf numFmtId="0" fontId="0" fillId="3" borderId="16" xfId="0" applyFill="1" applyBorder="1"/>
    <xf numFmtId="174" fontId="11" fillId="3" borderId="0" xfId="0" applyNumberFormat="1" applyFont="1" applyFill="1"/>
    <xf numFmtId="0" fontId="0" fillId="3" borderId="4" xfId="0" applyFill="1" applyBorder="1" applyAlignment="1">
      <alignment horizontal="left" vertical="top" wrapText="1"/>
    </xf>
    <xf numFmtId="174" fontId="6" fillId="3" borderId="0" xfId="0" applyNumberFormat="1" applyFont="1" applyFill="1"/>
    <xf numFmtId="0" fontId="0" fillId="3" borderId="12" xfId="0" applyFill="1" applyBorder="1" applyAlignment="1">
      <alignment horizontal="left" vertical="top"/>
    </xf>
    <xf numFmtId="0" fontId="0" fillId="3" borderId="12" xfId="0" applyFill="1" applyBorder="1" applyAlignment="1">
      <alignment horizontal="left" vertical="top" wrapText="1"/>
    </xf>
    <xf numFmtId="174" fontId="0" fillId="3" borderId="0" xfId="0" applyNumberFormat="1" applyFill="1"/>
    <xf numFmtId="0" fontId="0" fillId="3" borderId="12" xfId="0" applyFill="1" applyBorder="1" applyAlignment="1">
      <alignment vertical="top" wrapText="1"/>
    </xf>
    <xf numFmtId="0" fontId="0" fillId="3" borderId="4" xfId="0" applyFill="1" applyBorder="1" applyAlignment="1">
      <alignment vertical="top" wrapText="1"/>
    </xf>
    <xf numFmtId="0" fontId="0" fillId="3" borderId="0" xfId="0" applyFill="1" applyAlignment="1">
      <alignment horizontal="left" vertical="top" wrapText="1"/>
    </xf>
    <xf numFmtId="0" fontId="3" fillId="3" borderId="10" xfId="0" applyFont="1" applyFill="1" applyBorder="1" applyAlignment="1">
      <alignment horizontal="left" vertical="top" wrapText="1"/>
    </xf>
    <xf numFmtId="174" fontId="6" fillId="3" borderId="14" xfId="0" applyNumberFormat="1" applyFont="1" applyFill="1" applyBorder="1"/>
    <xf numFmtId="174" fontId="6" fillId="3" borderId="6" xfId="0" applyNumberFormat="1" applyFont="1" applyFill="1" applyBorder="1"/>
    <xf numFmtId="0" fontId="3" fillId="3" borderId="10" xfId="0" applyFont="1" applyFill="1" applyBorder="1" applyAlignment="1">
      <alignment vertical="top"/>
    </xf>
    <xf numFmtId="174" fontId="7" fillId="3" borderId="0" xfId="0" applyNumberFormat="1" applyFont="1" applyFill="1"/>
    <xf numFmtId="0" fontId="25" fillId="3" borderId="0" xfId="0" applyFont="1" applyFill="1"/>
    <xf numFmtId="0" fontId="11" fillId="3" borderId="15" xfId="0" applyFont="1" applyFill="1" applyBorder="1"/>
    <xf numFmtId="174" fontId="6" fillId="3" borderId="16" xfId="0" applyNumberFormat="1" applyFont="1" applyFill="1" applyBorder="1"/>
    <xf numFmtId="168" fontId="6" fillId="3" borderId="0" xfId="0" applyNumberFormat="1" applyFont="1" applyFill="1"/>
    <xf numFmtId="0" fontId="0" fillId="3" borderId="17" xfId="0" applyFill="1" applyBorder="1" applyAlignment="1">
      <alignment vertical="top" wrapText="1"/>
    </xf>
    <xf numFmtId="168" fontId="7" fillId="3" borderId="0" xfId="0" applyNumberFormat="1" applyFont="1" applyFill="1"/>
    <xf numFmtId="0" fontId="0" fillId="12" borderId="10" xfId="0" applyFill="1" applyBorder="1" applyAlignment="1">
      <alignment vertical="top" wrapText="1"/>
    </xf>
    <xf numFmtId="165" fontId="5" fillId="12" borderId="10" xfId="7" applyNumberFormat="1" applyFont="1" applyFill="1" applyBorder="1"/>
    <xf numFmtId="165" fontId="8" fillId="12" borderId="10" xfId="7" applyNumberFormat="1" applyFont="1" applyFill="1" applyBorder="1"/>
    <xf numFmtId="0" fontId="0" fillId="5" borderId="7" xfId="0" applyFill="1" applyBorder="1" applyAlignment="1">
      <alignment horizontal="left"/>
    </xf>
    <xf numFmtId="0" fontId="0" fillId="5" borderId="9" xfId="0" applyFill="1" applyBorder="1" applyAlignment="1">
      <alignment horizontal="right"/>
    </xf>
    <xf numFmtId="0" fontId="26" fillId="3" borderId="0" xfId="0" quotePrefix="1" applyFont="1" applyFill="1"/>
    <xf numFmtId="0" fontId="6" fillId="6" borderId="8" xfId="0" applyFont="1" applyFill="1" applyBorder="1"/>
    <xf numFmtId="0" fontId="6" fillId="0" borderId="10" xfId="0" applyFont="1" applyBorder="1" applyAlignment="1">
      <alignment vertical="top" wrapText="1"/>
    </xf>
    <xf numFmtId="165" fontId="5" fillId="5" borderId="10" xfId="7" applyNumberFormat="1" applyFont="1" applyFill="1" applyBorder="1"/>
    <xf numFmtId="165" fontId="5" fillId="9" borderId="10" xfId="7" applyNumberFormat="1" applyFont="1" applyFill="1" applyBorder="1"/>
    <xf numFmtId="166" fontId="5" fillId="3" borderId="10" xfId="7" applyNumberFormat="1" applyFont="1" applyFill="1" applyBorder="1"/>
    <xf numFmtId="43" fontId="1" fillId="0" borderId="10" xfId="7" applyFont="1" applyFill="1" applyBorder="1"/>
    <xf numFmtId="167" fontId="6" fillId="0" borderId="10" xfId="7" applyNumberFormat="1" applyFont="1" applyFill="1" applyBorder="1" applyAlignment="1">
      <alignment horizontal="center"/>
    </xf>
    <xf numFmtId="2" fontId="1" fillId="0" borderId="10" xfId="7" applyNumberFormat="1" applyFont="1" applyFill="1" applyBorder="1"/>
    <xf numFmtId="2" fontId="1" fillId="12" borderId="10" xfId="7" applyNumberFormat="1" applyFont="1" applyFill="1" applyBorder="1"/>
    <xf numFmtId="1" fontId="1" fillId="9" borderId="10" xfId="7" applyNumberFormat="1" applyFont="1" applyFill="1" applyBorder="1"/>
    <xf numFmtId="1" fontId="3" fillId="0" borderId="10" xfId="7" applyNumberFormat="1" applyFont="1" applyFill="1" applyBorder="1"/>
    <xf numFmtId="1" fontId="3" fillId="12" borderId="10" xfId="7" applyNumberFormat="1" applyFont="1" applyFill="1" applyBorder="1"/>
    <xf numFmtId="1" fontId="1" fillId="9" borderId="10" xfId="7" applyNumberFormat="1" applyFont="1" applyFill="1" applyBorder="1" applyAlignment="1">
      <alignment horizontal="right"/>
    </xf>
    <xf numFmtId="165" fontId="6" fillId="5" borderId="10" xfId="7" applyNumberFormat="1" applyFont="1" applyFill="1" applyBorder="1" applyAlignment="1">
      <alignment horizontal="right"/>
    </xf>
    <xf numFmtId="2" fontId="6" fillId="3" borderId="10" xfId="7" applyNumberFormat="1" applyFont="1" applyFill="1" applyBorder="1" applyAlignment="1">
      <alignment horizontal="right"/>
    </xf>
    <xf numFmtId="1" fontId="2" fillId="9" borderId="10" xfId="7" applyNumberFormat="1" applyFont="1" applyFill="1" applyBorder="1" applyAlignment="1">
      <alignment horizontal="right"/>
    </xf>
    <xf numFmtId="1" fontId="6" fillId="9" borderId="10" xfId="7" applyNumberFormat="1" applyFont="1" applyFill="1" applyBorder="1" applyAlignment="1">
      <alignment horizontal="right"/>
    </xf>
    <xf numFmtId="1" fontId="6" fillId="3" borderId="10" xfId="7" applyNumberFormat="1" applyFont="1" applyFill="1" applyBorder="1" applyAlignment="1">
      <alignment horizontal="right"/>
    </xf>
    <xf numFmtId="2" fontId="6" fillId="5" borderId="10" xfId="7" applyNumberFormat="1" applyFont="1" applyFill="1" applyBorder="1" applyAlignment="1">
      <alignment horizontal="right"/>
    </xf>
    <xf numFmtId="165" fontId="21" fillId="5" borderId="10" xfId="7" applyNumberFormat="1" applyFont="1" applyFill="1" applyBorder="1"/>
    <xf numFmtId="165" fontId="22" fillId="5" borderId="10" xfId="7" applyNumberFormat="1" applyFont="1" applyFill="1" applyBorder="1"/>
    <xf numFmtId="168" fontId="1" fillId="0" borderId="10" xfId="7" applyNumberFormat="1" applyFont="1" applyFill="1" applyBorder="1"/>
    <xf numFmtId="165" fontId="5" fillId="5" borderId="11" xfId="7" applyNumberFormat="1" applyFont="1" applyFill="1" applyBorder="1"/>
    <xf numFmtId="165" fontId="8" fillId="5" borderId="10" xfId="7" applyNumberFormat="1" applyFont="1" applyFill="1" applyBorder="1"/>
    <xf numFmtId="165" fontId="23" fillId="5" borderId="10" xfId="7" applyNumberFormat="1" applyFont="1" applyFill="1" applyBorder="1"/>
    <xf numFmtId="165" fontId="8" fillId="9" borderId="10" xfId="7" applyNumberFormat="1" applyFont="1" applyFill="1" applyBorder="1" applyAlignment="1">
      <alignment horizontal="right"/>
    </xf>
    <xf numFmtId="166" fontId="8" fillId="3" borderId="10" xfId="7" applyNumberFormat="1" applyFont="1" applyFill="1" applyBorder="1"/>
    <xf numFmtId="43" fontId="3" fillId="0" borderId="10" xfId="7" applyFont="1" applyFill="1" applyBorder="1"/>
    <xf numFmtId="2" fontId="3" fillId="0" borderId="10" xfId="7" applyNumberFormat="1" applyFont="1" applyFill="1" applyBorder="1"/>
    <xf numFmtId="167" fontId="4" fillId="0" borderId="10" xfId="7" applyNumberFormat="1" applyFont="1" applyFill="1" applyBorder="1" applyAlignment="1">
      <alignment horizontal="center"/>
    </xf>
    <xf numFmtId="2" fontId="3" fillId="12" borderId="10" xfId="7" applyNumberFormat="1" applyFont="1" applyFill="1" applyBorder="1"/>
    <xf numFmtId="2" fontId="3" fillId="5" borderId="10" xfId="7" applyNumberFormat="1" applyFont="1" applyFill="1" applyBorder="1" applyAlignment="1">
      <alignment horizontal="right"/>
    </xf>
    <xf numFmtId="2" fontId="3" fillId="0" borderId="10" xfId="7" applyNumberFormat="1" applyFont="1" applyFill="1" applyBorder="1" applyAlignment="1">
      <alignment horizontal="right"/>
    </xf>
    <xf numFmtId="165" fontId="4" fillId="5" borderId="10" xfId="7" applyNumberFormat="1" applyFont="1" applyFill="1" applyBorder="1" applyAlignment="1">
      <alignment horizontal="right"/>
    </xf>
    <xf numFmtId="171" fontId="4" fillId="5" borderId="10" xfId="7" applyNumberFormat="1" applyFont="1" applyFill="1" applyBorder="1" applyAlignment="1">
      <alignment horizontal="right"/>
    </xf>
    <xf numFmtId="10" fontId="1" fillId="0" borderId="10" xfId="8" applyNumberFormat="1" applyFont="1" applyFill="1" applyBorder="1" applyAlignment="1">
      <alignment horizontal="right"/>
    </xf>
    <xf numFmtId="168" fontId="1" fillId="0" borderId="10" xfId="7" applyNumberFormat="1" applyFont="1" applyFill="1" applyBorder="1" applyAlignment="1">
      <alignment horizontal="right"/>
    </xf>
    <xf numFmtId="171" fontId="1" fillId="0" borderId="10" xfId="7" applyNumberFormat="1" applyFont="1" applyFill="1" applyBorder="1" applyAlignment="1">
      <alignment horizontal="right"/>
    </xf>
    <xf numFmtId="172" fontId="1" fillId="0" borderId="10" xfId="7" applyNumberFormat="1" applyFont="1" applyFill="1" applyBorder="1" applyAlignment="1">
      <alignment horizontal="right"/>
    </xf>
    <xf numFmtId="171" fontId="15" fillId="5" borderId="10" xfId="7" applyNumberFormat="1" applyFont="1" applyFill="1" applyBorder="1" applyAlignment="1">
      <alignment horizontal="right"/>
    </xf>
    <xf numFmtId="10" fontId="2" fillId="0" borderId="10" xfId="8" applyNumberFormat="1" applyFont="1" applyFill="1" applyBorder="1" applyAlignment="1">
      <alignment horizontal="right"/>
    </xf>
    <xf numFmtId="2" fontId="2" fillId="0" borderId="10" xfId="7" applyNumberFormat="1" applyFont="1" applyFill="1" applyBorder="1" applyAlignment="1">
      <alignment horizontal="right"/>
    </xf>
    <xf numFmtId="171" fontId="2" fillId="0" borderId="10" xfId="7" applyNumberFormat="1" applyFont="1" applyFill="1" applyBorder="1" applyAlignment="1">
      <alignment horizontal="right"/>
    </xf>
    <xf numFmtId="171" fontId="4" fillId="3" borderId="10" xfId="7" applyNumberFormat="1" applyFont="1" applyFill="1" applyBorder="1" applyAlignment="1">
      <alignment horizontal="right"/>
    </xf>
    <xf numFmtId="171" fontId="3" fillId="5" borderId="10" xfId="7" applyNumberFormat="1" applyFont="1" applyFill="1" applyBorder="1" applyAlignment="1">
      <alignment horizontal="right"/>
    </xf>
    <xf numFmtId="171" fontId="3" fillId="0" borderId="10" xfId="7" applyNumberFormat="1" applyFont="1" applyFill="1" applyBorder="1" applyAlignment="1">
      <alignment horizontal="right"/>
    </xf>
    <xf numFmtId="165" fontId="19" fillId="5" borderId="10" xfId="7" applyNumberFormat="1" applyFont="1" applyFill="1" applyBorder="1"/>
    <xf numFmtId="173" fontId="3" fillId="0" borderId="10" xfId="7" applyNumberFormat="1" applyFont="1" applyFill="1" applyBorder="1"/>
    <xf numFmtId="168" fontId="3" fillId="0" borderId="10" xfId="7" applyNumberFormat="1" applyFont="1" applyFill="1" applyBorder="1"/>
    <xf numFmtId="2" fontId="4" fillId="5" borderId="10" xfId="7" applyNumberFormat="1" applyFont="1" applyFill="1" applyBorder="1" applyAlignment="1">
      <alignment horizontal="right"/>
    </xf>
    <xf numFmtId="0" fontId="0" fillId="5" borderId="7" xfId="0" applyFill="1" applyBorder="1" applyAlignment="1">
      <alignment vertical="center"/>
    </xf>
    <xf numFmtId="0" fontId="0" fillId="5" borderId="9" xfId="0" applyFill="1" applyBorder="1"/>
    <xf numFmtId="43" fontId="5" fillId="5" borderId="10" xfId="1" applyFont="1" applyFill="1" applyBorder="1"/>
    <xf numFmtId="43" fontId="8" fillId="5" borderId="10" xfId="1" applyFont="1" applyFill="1" applyBorder="1"/>
    <xf numFmtId="0" fontId="0" fillId="10" borderId="0" xfId="6" applyFont="1" applyFill="1" applyAlignment="1">
      <alignment vertical="center"/>
    </xf>
    <xf numFmtId="0" fontId="0" fillId="10" borderId="0" xfId="6" applyFont="1" applyFill="1"/>
    <xf numFmtId="0" fontId="0" fillId="10" borderId="0" xfId="6" applyFont="1" applyFill="1" applyAlignment="1">
      <alignment vertical="center" wrapText="1"/>
    </xf>
    <xf numFmtId="0" fontId="1" fillId="10" borderId="0" xfId="6" applyFill="1" applyAlignment="1">
      <alignment wrapText="1"/>
    </xf>
    <xf numFmtId="0" fontId="0" fillId="3" borderId="13" xfId="0" applyFill="1" applyBorder="1" applyAlignment="1">
      <alignment vertical="top" wrapText="1"/>
    </xf>
    <xf numFmtId="0" fontId="0" fillId="3" borderId="14" xfId="0" applyFill="1" applyBorder="1" applyAlignment="1">
      <alignment vertical="top" wrapText="1"/>
    </xf>
    <xf numFmtId="0" fontId="3" fillId="3" borderId="18" xfId="0" applyFont="1" applyFill="1" applyBorder="1" applyAlignment="1">
      <alignment horizontal="left" vertical="top" wrapText="1"/>
    </xf>
    <xf numFmtId="0" fontId="3" fillId="0" borderId="10" xfId="0" applyFont="1" applyBorder="1" applyAlignment="1">
      <alignment wrapText="1"/>
    </xf>
    <xf numFmtId="0" fontId="0" fillId="3" borderId="12" xfId="0" applyFill="1" applyBorder="1"/>
    <xf numFmtId="0" fontId="5" fillId="3" borderId="12" xfId="0" applyFont="1" applyFill="1" applyBorder="1" applyAlignment="1">
      <alignment horizontal="left" vertical="top" wrapText="1"/>
    </xf>
    <xf numFmtId="168" fontId="27" fillId="0" borderId="14" xfId="0" applyNumberFormat="1" applyFont="1" applyBorder="1"/>
    <xf numFmtId="168" fontId="27" fillId="0" borderId="6" xfId="0" applyNumberFormat="1" applyFont="1" applyBorder="1"/>
    <xf numFmtId="168" fontId="26" fillId="3" borderId="0" xfId="0" applyNumberFormat="1" applyFont="1" applyFill="1"/>
    <xf numFmtId="168" fontId="11" fillId="3" borderId="0" xfId="0" applyNumberFormat="1" applyFont="1" applyFill="1"/>
    <xf numFmtId="165" fontId="21" fillId="14" borderId="10" xfId="7" applyNumberFormat="1" applyFont="1" applyFill="1" applyBorder="1"/>
    <xf numFmtId="166" fontId="5" fillId="14" borderId="10" xfId="7" applyNumberFormat="1" applyFont="1" applyFill="1" applyBorder="1"/>
    <xf numFmtId="2" fontId="6" fillId="14" borderId="10" xfId="7" applyNumberFormat="1" applyFont="1" applyFill="1" applyBorder="1" applyAlignment="1">
      <alignment horizontal="right"/>
    </xf>
    <xf numFmtId="168" fontId="1" fillId="14" borderId="10" xfId="7" applyNumberFormat="1" applyFont="1" applyFill="1" applyBorder="1"/>
    <xf numFmtId="0" fontId="26" fillId="3" borderId="0" xfId="0" applyFont="1" applyFill="1"/>
    <xf numFmtId="9" fontId="0" fillId="3" borderId="0" xfId="0" applyNumberFormat="1" applyFill="1"/>
    <xf numFmtId="0" fontId="0" fillId="3" borderId="5" xfId="0" applyFill="1" applyBorder="1" applyAlignment="1">
      <alignment horizontal="right" wrapText="1"/>
    </xf>
    <xf numFmtId="49" fontId="0" fillId="3" borderId="0" xfId="0" applyNumberFormat="1" applyFill="1" applyAlignment="1">
      <alignment horizontal="right" wrapText="1"/>
    </xf>
    <xf numFmtId="2" fontId="0" fillId="3" borderId="5" xfId="0" applyNumberFormat="1" applyFill="1" applyBorder="1"/>
    <xf numFmtId="9" fontId="0" fillId="3" borderId="5" xfId="0" applyNumberFormat="1" applyFill="1" applyBorder="1"/>
    <xf numFmtId="49" fontId="0" fillId="3" borderId="0" xfId="0" applyNumberFormat="1" applyFill="1"/>
    <xf numFmtId="9" fontId="28" fillId="3" borderId="0" xfId="0" applyNumberFormat="1" applyFont="1" applyFill="1"/>
    <xf numFmtId="167" fontId="6" fillId="3" borderId="0" xfId="0" applyNumberFormat="1" applyFont="1" applyFill="1"/>
    <xf numFmtId="167" fontId="11" fillId="3" borderId="0" xfId="0" applyNumberFormat="1" applyFont="1" applyFill="1"/>
    <xf numFmtId="43" fontId="5" fillId="3" borderId="10" xfId="7" applyFont="1" applyFill="1" applyBorder="1"/>
    <xf numFmtId="43" fontId="8" fillId="3" borderId="10" xfId="7" applyFont="1" applyFill="1" applyBorder="1"/>
    <xf numFmtId="1" fontId="4" fillId="3" borderId="10" xfId="7" applyNumberFormat="1" applyFont="1" applyFill="1" applyBorder="1" applyAlignment="1">
      <alignment horizontal="right"/>
    </xf>
    <xf numFmtId="10" fontId="0" fillId="3" borderId="10" xfId="8" applyNumberFormat="1" applyFont="1" applyFill="1" applyBorder="1"/>
    <xf numFmtId="10" fontId="8" fillId="5" borderId="10" xfId="8" applyNumberFormat="1" applyFont="1" applyFill="1" applyBorder="1"/>
    <xf numFmtId="0" fontId="0" fillId="15" borderId="0" xfId="0" applyFill="1"/>
    <xf numFmtId="165" fontId="0" fillId="15" borderId="0" xfId="0" applyNumberFormat="1" applyFill="1"/>
    <xf numFmtId="0" fontId="3" fillId="15" borderId="1" xfId="0" applyFont="1" applyFill="1" applyBorder="1"/>
    <xf numFmtId="0" fontId="0" fillId="15" borderId="2" xfId="0" applyFill="1" applyBorder="1"/>
    <xf numFmtId="165" fontId="0" fillId="15" borderId="2" xfId="0" applyNumberFormat="1" applyFill="1" applyBorder="1"/>
    <xf numFmtId="165" fontId="0" fillId="15" borderId="3" xfId="0" applyNumberFormat="1" applyFill="1" applyBorder="1"/>
    <xf numFmtId="0" fontId="3" fillId="15" borderId="0" xfId="0" applyFont="1" applyFill="1"/>
    <xf numFmtId="0" fontId="0" fillId="15" borderId="3" xfId="0" applyFill="1" applyBorder="1"/>
    <xf numFmtId="0" fontId="0" fillId="15" borderId="8" xfId="0" applyFill="1" applyBorder="1"/>
    <xf numFmtId="0" fontId="0" fillId="15" borderId="9" xfId="0" applyFill="1" applyBorder="1"/>
    <xf numFmtId="0" fontId="0" fillId="15" borderId="7" xfId="0" applyFill="1" applyBorder="1"/>
    <xf numFmtId="0" fontId="0" fillId="15" borderId="10" xfId="0" applyFill="1" applyBorder="1"/>
    <xf numFmtId="0" fontId="0" fillId="15" borderId="12" xfId="0" applyFill="1" applyBorder="1"/>
    <xf numFmtId="0" fontId="0" fillId="15" borderId="12" xfId="0" applyFill="1" applyBorder="1" applyAlignment="1">
      <alignment wrapText="1"/>
    </xf>
    <xf numFmtId="0" fontId="0" fillId="15" borderId="10" xfId="0" applyFill="1" applyBorder="1" applyAlignment="1">
      <alignment wrapText="1"/>
    </xf>
    <xf numFmtId="0" fontId="27" fillId="15" borderId="10" xfId="0" applyFont="1" applyFill="1" applyBorder="1" applyAlignment="1">
      <alignment wrapText="1"/>
    </xf>
    <xf numFmtId="0" fontId="27" fillId="15" borderId="10" xfId="0" applyFont="1" applyFill="1" applyBorder="1" applyAlignment="1">
      <alignment horizontal="center" wrapText="1"/>
    </xf>
    <xf numFmtId="0" fontId="27" fillId="15" borderId="12" xfId="0" applyFont="1" applyFill="1" applyBorder="1" applyAlignment="1">
      <alignment wrapText="1"/>
    </xf>
    <xf numFmtId="0" fontId="6" fillId="15" borderId="10" xfId="0" applyFont="1" applyFill="1" applyBorder="1" applyAlignment="1">
      <alignment vertical="top"/>
    </xf>
    <xf numFmtId="165" fontId="5" fillId="15" borderId="10" xfId="0" applyNumberFormat="1" applyFont="1" applyFill="1" applyBorder="1" applyAlignment="1">
      <alignment vertical="top" wrapText="1"/>
    </xf>
    <xf numFmtId="2" fontId="21" fillId="15" borderId="10" xfId="0" applyNumberFormat="1" applyFont="1" applyFill="1" applyBorder="1" applyAlignment="1">
      <alignment vertical="top" wrapText="1"/>
    </xf>
    <xf numFmtId="165" fontId="5" fillId="15" borderId="10" xfId="7" applyNumberFormat="1" applyFont="1" applyFill="1" applyBorder="1" applyAlignment="1">
      <alignment vertical="top" wrapText="1"/>
    </xf>
    <xf numFmtId="43" fontId="0" fillId="15" borderId="10" xfId="0" applyNumberFormat="1" applyFill="1" applyBorder="1" applyAlignment="1">
      <alignment vertical="top" wrapText="1"/>
    </xf>
    <xf numFmtId="0" fontId="9" fillId="15" borderId="10" xfId="2" applyFill="1" applyBorder="1" applyAlignment="1">
      <alignment vertical="top" wrapText="1"/>
    </xf>
    <xf numFmtId="0" fontId="0" fillId="15" borderId="10" xfId="0" applyFill="1" applyBorder="1" applyAlignment="1">
      <alignment vertical="top" wrapText="1"/>
    </xf>
    <xf numFmtId="0" fontId="10" fillId="15" borderId="0" xfId="0" applyFont="1" applyFill="1"/>
    <xf numFmtId="0" fontId="6" fillId="15" borderId="10" xfId="0" applyFont="1" applyFill="1" applyBorder="1" applyAlignment="1">
      <alignment vertical="top" wrapText="1"/>
    </xf>
    <xf numFmtId="165" fontId="21" fillId="15" borderId="10" xfId="0" applyNumberFormat="1" applyFont="1" applyFill="1" applyBorder="1" applyAlignment="1">
      <alignment vertical="top" wrapText="1"/>
    </xf>
    <xf numFmtId="165" fontId="21" fillId="15" borderId="10" xfId="7" applyNumberFormat="1" applyFont="1" applyFill="1" applyBorder="1" applyAlignment="1">
      <alignment vertical="top" wrapText="1"/>
    </xf>
    <xf numFmtId="165" fontId="30" fillId="15" borderId="10" xfId="7" applyNumberFormat="1" applyFont="1" applyFill="1" applyBorder="1" applyAlignment="1">
      <alignment vertical="top" wrapText="1"/>
    </xf>
    <xf numFmtId="43" fontId="31" fillId="15" borderId="10" xfId="0" applyNumberFormat="1" applyFont="1" applyFill="1" applyBorder="1" applyAlignment="1">
      <alignment vertical="top" wrapText="1"/>
    </xf>
    <xf numFmtId="0" fontId="10" fillId="15" borderId="10" xfId="0" applyFont="1" applyFill="1" applyBorder="1" applyAlignment="1">
      <alignment vertical="top" wrapText="1"/>
    </xf>
    <xf numFmtId="0" fontId="0" fillId="15" borderId="10" xfId="0" applyFill="1" applyBorder="1" applyAlignment="1">
      <alignment vertical="top"/>
    </xf>
    <xf numFmtId="0" fontId="11" fillId="15" borderId="10" xfId="0" applyFont="1" applyFill="1" applyBorder="1" applyAlignment="1">
      <alignment vertical="top" wrapText="1"/>
    </xf>
    <xf numFmtId="165" fontId="21" fillId="15" borderId="10" xfId="0" applyNumberFormat="1" applyFont="1" applyFill="1" applyBorder="1"/>
    <xf numFmtId="165" fontId="30" fillId="15" borderId="10" xfId="7" applyNumberFormat="1" applyFont="1" applyFill="1" applyBorder="1"/>
    <xf numFmtId="43" fontId="31" fillId="15" borderId="10" xfId="0" applyNumberFormat="1" applyFont="1" applyFill="1" applyBorder="1"/>
    <xf numFmtId="165" fontId="5" fillId="15" borderId="10" xfId="0" applyNumberFormat="1" applyFont="1" applyFill="1" applyBorder="1"/>
    <xf numFmtId="43" fontId="0" fillId="15" borderId="10" xfId="0" applyNumberFormat="1" applyFill="1" applyBorder="1"/>
    <xf numFmtId="165" fontId="0" fillId="15" borderId="10" xfId="7" applyNumberFormat="1" applyFont="1" applyFill="1" applyBorder="1"/>
    <xf numFmtId="9" fontId="0" fillId="15" borderId="10" xfId="8" applyFont="1" applyFill="1" applyBorder="1"/>
    <xf numFmtId="0" fontId="30" fillId="15" borderId="10" xfId="0" applyFont="1" applyFill="1" applyBorder="1"/>
    <xf numFmtId="0" fontId="5" fillId="15" borderId="10" xfId="0" applyFont="1" applyFill="1" applyBorder="1" applyAlignment="1">
      <alignment vertical="top" wrapText="1"/>
    </xf>
    <xf numFmtId="2" fontId="30" fillId="15" borderId="10" xfId="0" applyNumberFormat="1" applyFont="1" applyFill="1" applyBorder="1" applyAlignment="1">
      <alignment vertical="top" wrapText="1"/>
    </xf>
    <xf numFmtId="165" fontId="31" fillId="15" borderId="10" xfId="7" applyNumberFormat="1" applyFont="1" applyFill="1" applyBorder="1"/>
    <xf numFmtId="2" fontId="5" fillId="15" borderId="10" xfId="0" applyNumberFormat="1" applyFont="1" applyFill="1" applyBorder="1" applyAlignment="1">
      <alignment vertical="top" wrapText="1"/>
    </xf>
    <xf numFmtId="0" fontId="31" fillId="15" borderId="0" xfId="0" applyFont="1" applyFill="1"/>
    <xf numFmtId="0" fontId="27" fillId="15" borderId="10" xfId="0" applyFont="1" applyFill="1" applyBorder="1" applyAlignment="1">
      <alignment horizontal="left" wrapText="1"/>
    </xf>
    <xf numFmtId="165" fontId="0" fillId="15" borderId="10" xfId="0" applyNumberFormat="1" applyFill="1" applyBorder="1" applyAlignment="1">
      <alignment vertical="top" wrapText="1"/>
    </xf>
    <xf numFmtId="165" fontId="6" fillId="15" borderId="10" xfId="0" applyNumberFormat="1" applyFont="1" applyFill="1" applyBorder="1" applyAlignment="1">
      <alignment horizontal="center" vertical="top" wrapText="1"/>
    </xf>
    <xf numFmtId="0" fontId="0" fillId="15" borderId="10" xfId="0" applyFill="1" applyBorder="1" applyAlignment="1">
      <alignment horizontal="center" vertical="top" wrapText="1"/>
    </xf>
    <xf numFmtId="165" fontId="0" fillId="11" borderId="0" xfId="0" applyNumberFormat="1" applyFill="1"/>
    <xf numFmtId="0" fontId="3" fillId="11" borderId="1" xfId="0" applyFont="1" applyFill="1" applyBorder="1"/>
    <xf numFmtId="0" fontId="0" fillId="11" borderId="2" xfId="0" applyFill="1" applyBorder="1"/>
    <xf numFmtId="165" fontId="0" fillId="11" borderId="2" xfId="0" applyNumberFormat="1" applyFill="1" applyBorder="1"/>
    <xf numFmtId="165" fontId="0" fillId="11" borderId="3" xfId="0" applyNumberFormat="1" applyFill="1" applyBorder="1"/>
    <xf numFmtId="0" fontId="3" fillId="11" borderId="0" xfId="0" applyFont="1" applyFill="1"/>
    <xf numFmtId="0" fontId="0" fillId="11" borderId="10" xfId="0" applyFill="1" applyBorder="1" applyAlignment="1">
      <alignment wrapText="1"/>
    </xf>
    <xf numFmtId="0" fontId="27" fillId="11" borderId="10" xfId="0" applyFont="1" applyFill="1" applyBorder="1" applyAlignment="1">
      <alignment wrapText="1"/>
    </xf>
    <xf numFmtId="0" fontId="27" fillId="11" borderId="10" xfId="0" applyFont="1" applyFill="1" applyBorder="1" applyAlignment="1">
      <alignment horizontal="center" wrapText="1"/>
    </xf>
    <xf numFmtId="0" fontId="27" fillId="11" borderId="0" xfId="0" applyFont="1" applyFill="1" applyAlignment="1">
      <alignment wrapText="1"/>
    </xf>
    <xf numFmtId="0" fontId="6" fillId="11" borderId="10" xfId="0" applyFont="1" applyFill="1" applyBorder="1" applyAlignment="1">
      <alignment vertical="top"/>
    </xf>
    <xf numFmtId="10" fontId="5" fillId="11" borderId="10" xfId="8" applyNumberFormat="1" applyFont="1" applyFill="1" applyBorder="1" applyAlignment="1">
      <alignment horizontal="center" vertical="top" wrapText="1"/>
    </xf>
    <xf numFmtId="165" fontId="5" fillId="11" borderId="0" xfId="7" applyNumberFormat="1" applyFont="1" applyFill="1" applyBorder="1" applyAlignment="1">
      <alignment vertical="top" wrapText="1"/>
    </xf>
    <xf numFmtId="0" fontId="0" fillId="11" borderId="0" xfId="0" applyFill="1" applyAlignment="1">
      <alignment vertical="top" wrapText="1"/>
    </xf>
    <xf numFmtId="0" fontId="10" fillId="11" borderId="0" xfId="0" applyFont="1" applyFill="1"/>
    <xf numFmtId="0" fontId="6" fillId="11" borderId="10" xfId="0" applyFont="1" applyFill="1" applyBorder="1" applyAlignment="1">
      <alignment vertical="top" wrapText="1"/>
    </xf>
    <xf numFmtId="165" fontId="30" fillId="11" borderId="0" xfId="7" applyNumberFormat="1" applyFont="1" applyFill="1" applyBorder="1" applyAlignment="1">
      <alignment vertical="top" wrapText="1"/>
    </xf>
    <xf numFmtId="0" fontId="10" fillId="11" borderId="0" xfId="0" applyFont="1" applyFill="1" applyAlignment="1">
      <alignment vertical="top" wrapText="1"/>
    </xf>
    <xf numFmtId="0" fontId="11" fillId="11" borderId="0" xfId="0" applyFont="1" applyFill="1" applyAlignment="1">
      <alignment vertical="top" wrapText="1"/>
    </xf>
    <xf numFmtId="165" fontId="30" fillId="11" borderId="0" xfId="7" applyNumberFormat="1" applyFont="1" applyFill="1" applyBorder="1"/>
    <xf numFmtId="0" fontId="31" fillId="11" borderId="0" xfId="0" applyFont="1" applyFill="1"/>
    <xf numFmtId="2" fontId="11" fillId="3" borderId="0" xfId="0" applyNumberFormat="1" applyFont="1" applyFill="1"/>
    <xf numFmtId="0" fontId="32" fillId="4" borderId="7" xfId="0" applyFont="1" applyFill="1" applyBorder="1"/>
    <xf numFmtId="165" fontId="33" fillId="5" borderId="10" xfId="7" applyNumberFormat="1" applyFont="1" applyFill="1" applyBorder="1"/>
    <xf numFmtId="165" fontId="34" fillId="5" borderId="10" xfId="7" applyNumberFormat="1" applyFont="1" applyFill="1" applyBorder="1"/>
    <xf numFmtId="0" fontId="0" fillId="3" borderId="5" xfId="0" applyFill="1" applyBorder="1" applyAlignment="1">
      <alignment horizontal="center" wrapText="1"/>
    </xf>
    <xf numFmtId="165" fontId="22" fillId="11" borderId="10" xfId="7" applyNumberFormat="1" applyFont="1" applyFill="1" applyBorder="1"/>
    <xf numFmtId="165" fontId="19" fillId="11" borderId="10" xfId="7" applyNumberFormat="1" applyFont="1" applyFill="1" applyBorder="1"/>
    <xf numFmtId="0" fontId="0" fillId="11" borderId="7" xfId="0" applyFill="1" applyBorder="1"/>
    <xf numFmtId="0" fontId="0" fillId="11" borderId="8" xfId="0" applyFill="1" applyBorder="1"/>
    <xf numFmtId="0" fontId="0" fillId="11" borderId="9" xfId="0" applyFill="1" applyBorder="1"/>
    <xf numFmtId="0" fontId="0" fillId="3" borderId="19" xfId="0" applyFill="1" applyBorder="1"/>
    <xf numFmtId="9" fontId="6" fillId="5" borderId="10" xfId="8" applyFont="1" applyFill="1" applyBorder="1" applyAlignment="1">
      <alignment horizontal="right"/>
    </xf>
    <xf numFmtId="9" fontId="4" fillId="5" borderId="10" xfId="8" applyFont="1" applyFill="1" applyBorder="1" applyAlignment="1">
      <alignment horizontal="right"/>
    </xf>
    <xf numFmtId="2" fontId="0" fillId="0" borderId="0" xfId="0" applyNumberFormat="1"/>
    <xf numFmtId="2" fontId="0" fillId="0" borderId="5" xfId="0" applyNumberFormat="1" applyBorder="1"/>
    <xf numFmtId="3" fontId="35" fillId="0" borderId="0" xfId="0" applyNumberFormat="1" applyFont="1"/>
    <xf numFmtId="3" fontId="16" fillId="0" borderId="20" xfId="0" applyNumberFormat="1" applyFont="1" applyBorder="1" applyAlignment="1">
      <alignment horizontal="right"/>
    </xf>
    <xf numFmtId="43" fontId="0" fillId="3" borderId="0" xfId="7" applyFont="1" applyFill="1"/>
    <xf numFmtId="0" fontId="5" fillId="3" borderId="0" xfId="0" applyFont="1" applyFill="1"/>
    <xf numFmtId="0" fontId="5" fillId="0" borderId="10" xfId="0" applyFont="1" applyBorder="1"/>
    <xf numFmtId="43" fontId="5" fillId="0" borderId="10" xfId="7" applyFont="1" applyFill="1" applyBorder="1"/>
    <xf numFmtId="1" fontId="5" fillId="9" borderId="10" xfId="7" applyNumberFormat="1" applyFont="1" applyFill="1" applyBorder="1"/>
    <xf numFmtId="1" fontId="8" fillId="0" borderId="10" xfId="7" applyNumberFormat="1" applyFont="1" applyFill="1" applyBorder="1"/>
    <xf numFmtId="1" fontId="8" fillId="12" borderId="10" xfId="7" applyNumberFormat="1" applyFont="1" applyFill="1" applyBorder="1"/>
    <xf numFmtId="1" fontId="5" fillId="9" borderId="10" xfId="7" applyNumberFormat="1" applyFont="1" applyFill="1" applyBorder="1" applyAlignment="1">
      <alignment horizontal="right"/>
    </xf>
    <xf numFmtId="165" fontId="21" fillId="5" borderId="10" xfId="7" applyNumberFormat="1" applyFont="1" applyFill="1" applyBorder="1" applyAlignment="1">
      <alignment horizontal="right"/>
    </xf>
    <xf numFmtId="2" fontId="21" fillId="3" borderId="10" xfId="7" applyNumberFormat="1" applyFont="1" applyFill="1" applyBorder="1" applyAlignment="1">
      <alignment horizontal="right"/>
    </xf>
    <xf numFmtId="1" fontId="22" fillId="9" borderId="10" xfId="7" applyNumberFormat="1" applyFont="1" applyFill="1" applyBorder="1" applyAlignment="1">
      <alignment horizontal="right"/>
    </xf>
    <xf numFmtId="1" fontId="21" fillId="9" borderId="10" xfId="7" applyNumberFormat="1" applyFont="1" applyFill="1" applyBorder="1" applyAlignment="1">
      <alignment horizontal="right"/>
    </xf>
    <xf numFmtId="1" fontId="21" fillId="3" borderId="10" xfId="7" applyNumberFormat="1" applyFont="1" applyFill="1" applyBorder="1" applyAlignment="1">
      <alignment horizontal="right"/>
    </xf>
    <xf numFmtId="2" fontId="21" fillId="5" borderId="10" xfId="7" applyNumberFormat="1" applyFont="1" applyFill="1" applyBorder="1" applyAlignment="1">
      <alignment horizontal="right"/>
    </xf>
    <xf numFmtId="168" fontId="5" fillId="0" borderId="10" xfId="7" applyNumberFormat="1" applyFont="1" applyFill="1" applyBorder="1"/>
    <xf numFmtId="0" fontId="5" fillId="0" borderId="0" xfId="0" applyFont="1"/>
    <xf numFmtId="0" fontId="5" fillId="0" borderId="11" xfId="0" applyFont="1" applyBorder="1"/>
    <xf numFmtId="0" fontId="8" fillId="0" borderId="10" xfId="0" applyFont="1" applyBorder="1" applyAlignment="1">
      <alignment horizontal="right"/>
    </xf>
    <xf numFmtId="43" fontId="8" fillId="0" borderId="10" xfId="7" applyFont="1" applyFill="1" applyBorder="1"/>
    <xf numFmtId="2" fontId="8" fillId="0" borderId="10" xfId="7" applyNumberFormat="1" applyFont="1" applyFill="1" applyBorder="1"/>
    <xf numFmtId="2" fontId="8" fillId="5" borderId="10" xfId="7" applyNumberFormat="1" applyFont="1" applyFill="1" applyBorder="1" applyAlignment="1">
      <alignment horizontal="right"/>
    </xf>
    <xf numFmtId="2" fontId="8" fillId="0" borderId="10" xfId="7" applyNumberFormat="1" applyFont="1" applyFill="1" applyBorder="1" applyAlignment="1">
      <alignment horizontal="right"/>
    </xf>
    <xf numFmtId="165" fontId="23" fillId="5" borderId="10" xfId="7" applyNumberFormat="1" applyFont="1" applyFill="1" applyBorder="1" applyAlignment="1">
      <alignment horizontal="right"/>
    </xf>
    <xf numFmtId="171" fontId="23" fillId="5" borderId="10" xfId="7" applyNumberFormat="1" applyFont="1" applyFill="1" applyBorder="1" applyAlignment="1">
      <alignment horizontal="right"/>
    </xf>
    <xf numFmtId="10" fontId="5" fillId="0" borderId="10" xfId="8" applyNumberFormat="1" applyFont="1" applyFill="1" applyBorder="1" applyAlignment="1">
      <alignment horizontal="right"/>
    </xf>
    <xf numFmtId="168" fontId="5" fillId="0" borderId="10" xfId="7" applyNumberFormat="1" applyFont="1" applyFill="1" applyBorder="1" applyAlignment="1">
      <alignment horizontal="right"/>
    </xf>
    <xf numFmtId="171" fontId="5" fillId="0" borderId="10" xfId="7" applyNumberFormat="1" applyFont="1" applyFill="1" applyBorder="1" applyAlignment="1">
      <alignment horizontal="right"/>
    </xf>
    <xf numFmtId="172" fontId="5" fillId="0" borderId="10" xfId="7" applyNumberFormat="1" applyFont="1" applyFill="1" applyBorder="1" applyAlignment="1">
      <alignment horizontal="right"/>
    </xf>
    <xf numFmtId="171" fontId="19" fillId="5" borderId="10" xfId="7" applyNumberFormat="1" applyFont="1" applyFill="1" applyBorder="1" applyAlignment="1">
      <alignment horizontal="right"/>
    </xf>
    <xf numFmtId="10" fontId="22" fillId="0" borderId="10" xfId="8" applyNumberFormat="1" applyFont="1" applyFill="1" applyBorder="1" applyAlignment="1">
      <alignment horizontal="right"/>
    </xf>
    <xf numFmtId="2" fontId="22" fillId="0" borderId="10" xfId="7" applyNumberFormat="1" applyFont="1" applyFill="1" applyBorder="1" applyAlignment="1">
      <alignment horizontal="right"/>
    </xf>
    <xf numFmtId="171" fontId="22" fillId="0" borderId="10" xfId="7" applyNumberFormat="1" applyFont="1" applyFill="1" applyBorder="1" applyAlignment="1">
      <alignment horizontal="right"/>
    </xf>
    <xf numFmtId="171" fontId="23" fillId="3" borderId="10" xfId="7" applyNumberFormat="1" applyFont="1" applyFill="1" applyBorder="1" applyAlignment="1">
      <alignment horizontal="right"/>
    </xf>
    <xf numFmtId="171" fontId="8" fillId="0" borderId="10" xfId="7" applyNumberFormat="1" applyFont="1" applyFill="1" applyBorder="1" applyAlignment="1">
      <alignment horizontal="right"/>
    </xf>
    <xf numFmtId="173" fontId="8" fillId="0" borderId="10" xfId="7" applyNumberFormat="1" applyFont="1" applyFill="1" applyBorder="1"/>
    <xf numFmtId="168" fontId="8" fillId="0" borderId="10" xfId="7" applyNumberFormat="1" applyFont="1" applyFill="1" applyBorder="1"/>
    <xf numFmtId="2" fontId="23" fillId="5" borderId="10" xfId="7" applyNumberFormat="1" applyFont="1" applyFill="1" applyBorder="1" applyAlignment="1">
      <alignment horizontal="right"/>
    </xf>
    <xf numFmtId="2" fontId="8" fillId="3" borderId="10" xfId="0" applyNumberFormat="1" applyFont="1" applyFill="1" applyBorder="1"/>
    <xf numFmtId="165" fontId="8" fillId="3" borderId="10" xfId="7" applyNumberFormat="1" applyFont="1" applyFill="1" applyBorder="1"/>
    <xf numFmtId="0" fontId="11" fillId="3" borderId="5" xfId="0" applyFont="1" applyFill="1" applyBorder="1"/>
    <xf numFmtId="173" fontId="8" fillId="5" borderId="10" xfId="1" applyNumberFormat="1" applyFont="1" applyFill="1" applyBorder="1"/>
    <xf numFmtId="173" fontId="0" fillId="3" borderId="0" xfId="0" applyNumberFormat="1" applyFill="1"/>
    <xf numFmtId="172" fontId="6" fillId="3" borderId="0" xfId="0" applyNumberFormat="1" applyFont="1" applyFill="1"/>
    <xf numFmtId="172" fontId="7" fillId="3" borderId="0" xfId="0" applyNumberFormat="1" applyFont="1" applyFill="1"/>
    <xf numFmtId="0" fontId="0" fillId="15" borderId="4" xfId="0" applyFill="1" applyBorder="1"/>
    <xf numFmtId="0" fontId="0" fillId="15" borderId="5" xfId="0" applyFill="1" applyBorder="1"/>
    <xf numFmtId="43" fontId="21" fillId="5" borderId="10" xfId="7" applyFont="1" applyFill="1" applyBorder="1"/>
    <xf numFmtId="165" fontId="21" fillId="15" borderId="10" xfId="7" applyNumberFormat="1" applyFont="1" applyFill="1" applyBorder="1"/>
    <xf numFmtId="171" fontId="0" fillId="15" borderId="10" xfId="8" applyNumberFormat="1" applyFont="1" applyFill="1" applyBorder="1"/>
    <xf numFmtId="165" fontId="21" fillId="11" borderId="10" xfId="7" applyNumberFormat="1" applyFont="1" applyFill="1" applyBorder="1"/>
    <xf numFmtId="171" fontId="0" fillId="15" borderId="10" xfId="0" applyNumberFormat="1" applyFill="1" applyBorder="1"/>
    <xf numFmtId="171" fontId="31" fillId="15" borderId="10" xfId="8" applyNumberFormat="1" applyFont="1" applyFill="1" applyBorder="1"/>
    <xf numFmtId="170" fontId="0" fillId="15" borderId="10" xfId="8" applyNumberFormat="1" applyFont="1" applyFill="1" applyBorder="1" applyAlignment="1">
      <alignment vertical="top" wrapText="1"/>
    </xf>
    <xf numFmtId="0" fontId="3" fillId="11" borderId="10" xfId="0" applyFont="1" applyFill="1" applyBorder="1" applyAlignment="1">
      <alignment wrapText="1"/>
    </xf>
    <xf numFmtId="2" fontId="5" fillId="11" borderId="10" xfId="8" applyNumberFormat="1" applyFont="1" applyFill="1" applyBorder="1" applyAlignment="1">
      <alignment horizontal="center" vertical="top" wrapText="1"/>
    </xf>
    <xf numFmtId="2" fontId="30" fillId="11" borderId="10" xfId="8" applyNumberFormat="1" applyFont="1" applyFill="1" applyBorder="1" applyAlignment="1">
      <alignment horizontal="center" vertical="top" wrapText="1"/>
    </xf>
    <xf numFmtId="2" fontId="38" fillId="5" borderId="10" xfId="7" applyNumberFormat="1" applyFont="1" applyFill="1" applyBorder="1" applyAlignment="1">
      <alignment horizontal="right"/>
    </xf>
    <xf numFmtId="165" fontId="39" fillId="5" borderId="10" xfId="7" applyNumberFormat="1" applyFont="1" applyFill="1" applyBorder="1"/>
    <xf numFmtId="165" fontId="38" fillId="5" borderId="10" xfId="7" applyNumberFormat="1" applyFont="1" applyFill="1" applyBorder="1" applyAlignment="1">
      <alignment horizontal="right"/>
    </xf>
    <xf numFmtId="165" fontId="14" fillId="5" borderId="10" xfId="7" applyNumberFormat="1" applyFont="1" applyFill="1" applyBorder="1"/>
    <xf numFmtId="0" fontId="40" fillId="3" borderId="0" xfId="0" quotePrefix="1" applyFont="1" applyFill="1"/>
    <xf numFmtId="0" fontId="40" fillId="3" borderId="0" xfId="0" applyFont="1" applyFill="1"/>
    <xf numFmtId="9" fontId="0" fillId="15" borderId="0" xfId="8" applyFont="1" applyFill="1"/>
    <xf numFmtId="165" fontId="5" fillId="12" borderId="10" xfId="1" applyNumberFormat="1" applyFont="1" applyFill="1" applyBorder="1"/>
    <xf numFmtId="43" fontId="21" fillId="16" borderId="10" xfId="7" applyFont="1" applyFill="1" applyBorder="1"/>
    <xf numFmtId="43" fontId="0" fillId="3" borderId="10" xfId="8" applyNumberFormat="1" applyFont="1" applyFill="1" applyBorder="1"/>
    <xf numFmtId="0" fontId="0" fillId="3" borderId="8" xfId="0" applyFill="1" applyBorder="1" applyAlignment="1">
      <alignment horizontal="center"/>
    </xf>
    <xf numFmtId="0" fontId="0" fillId="3" borderId="0" xfId="0" applyFill="1" applyAlignment="1">
      <alignment horizontal="right" wrapText="1"/>
    </xf>
    <xf numFmtId="43" fontId="11" fillId="3" borderId="0" xfId="0" applyNumberFormat="1" applyFont="1" applyFill="1"/>
    <xf numFmtId="2" fontId="0" fillId="3" borderId="0" xfId="7" applyNumberFormat="1" applyFont="1" applyFill="1"/>
    <xf numFmtId="0" fontId="42" fillId="17" borderId="0" xfId="0" applyFont="1" applyFill="1"/>
    <xf numFmtId="0" fontId="42" fillId="17" borderId="0" xfId="0" applyFont="1" applyFill="1" applyAlignment="1">
      <alignment vertical="center" wrapText="1"/>
    </xf>
    <xf numFmtId="0" fontId="3" fillId="17" borderId="0" xfId="0" applyFont="1" applyFill="1"/>
    <xf numFmtId="168" fontId="6" fillId="11" borderId="0" xfId="0" applyNumberFormat="1" applyFont="1" applyFill="1"/>
    <xf numFmtId="170" fontId="6" fillId="3" borderId="0" xfId="8" applyNumberFormat="1" applyFont="1" applyFill="1"/>
    <xf numFmtId="170" fontId="7" fillId="3" borderId="0" xfId="8" applyNumberFormat="1" applyFont="1" applyFill="1"/>
    <xf numFmtId="164" fontId="0" fillId="15" borderId="10" xfId="0" applyNumberFormat="1" applyFill="1" applyBorder="1"/>
    <xf numFmtId="164" fontId="31" fillId="15" borderId="10" xfId="0" applyNumberFormat="1" applyFont="1" applyFill="1" applyBorder="1"/>
    <xf numFmtId="164" fontId="31" fillId="15" borderId="10" xfId="0" applyNumberFormat="1" applyFont="1" applyFill="1" applyBorder="1" applyAlignment="1">
      <alignment vertical="top" wrapText="1"/>
    </xf>
    <xf numFmtId="164" fontId="0" fillId="15" borderId="10" xfId="0" applyNumberFormat="1" applyFill="1" applyBorder="1" applyAlignment="1">
      <alignment vertical="top" wrapText="1"/>
    </xf>
    <xf numFmtId="165" fontId="5" fillId="17" borderId="10" xfId="7" applyNumberFormat="1" applyFont="1" applyFill="1" applyBorder="1"/>
    <xf numFmtId="165" fontId="8" fillId="17" borderId="10" xfId="7" applyNumberFormat="1" applyFont="1" applyFill="1" applyBorder="1"/>
    <xf numFmtId="14" fontId="0" fillId="5" borderId="7" xfId="0" applyNumberFormat="1" applyFill="1" applyBorder="1" applyAlignment="1">
      <alignment horizontal="left"/>
    </xf>
    <xf numFmtId="176" fontId="46" fillId="0" borderId="0" xfId="13" applyNumberFormat="1" applyFont="1" applyAlignment="1">
      <alignment horizontal="right" vertical="center" shrinkToFit="1"/>
    </xf>
    <xf numFmtId="0" fontId="3" fillId="3" borderId="15" xfId="0" applyFont="1" applyFill="1" applyBorder="1" applyAlignment="1">
      <alignment horizontal="left" vertical="top" wrapText="1"/>
    </xf>
    <xf numFmtId="0" fontId="3" fillId="3" borderId="21" xfId="0" applyFont="1" applyFill="1" applyBorder="1" applyAlignment="1">
      <alignment vertical="top" wrapText="1"/>
    </xf>
    <xf numFmtId="0" fontId="3" fillId="3" borderId="22" xfId="0" applyFont="1" applyFill="1" applyBorder="1" applyAlignment="1">
      <alignment vertical="top" wrapText="1"/>
    </xf>
    <xf numFmtId="0" fontId="25" fillId="0" borderId="0" xfId="0" applyFont="1"/>
    <xf numFmtId="0" fontId="25" fillId="3" borderId="14" xfId="0" applyFont="1" applyFill="1" applyBorder="1"/>
    <xf numFmtId="168" fontId="0" fillId="0" borderId="0" xfId="0" applyNumberFormat="1"/>
    <xf numFmtId="168" fontId="0" fillId="3" borderId="14" xfId="0" applyNumberFormat="1" applyFill="1" applyBorder="1"/>
    <xf numFmtId="0" fontId="11" fillId="3" borderId="4" xfId="0" applyFont="1" applyFill="1" applyBorder="1"/>
    <xf numFmtId="168" fontId="0" fillId="0" borderId="19" xfId="0" applyNumberFormat="1" applyBorder="1"/>
    <xf numFmtId="0" fontId="25" fillId="0" borderId="5" xfId="0" applyFont="1" applyBorder="1"/>
    <xf numFmtId="168" fontId="0" fillId="3" borderId="19" xfId="0" applyNumberFormat="1" applyFill="1" applyBorder="1"/>
    <xf numFmtId="0" fontId="25" fillId="3" borderId="5" xfId="0" applyFont="1" applyFill="1" applyBorder="1"/>
    <xf numFmtId="168" fontId="0" fillId="3" borderId="16" xfId="0" applyNumberFormat="1" applyFill="1" applyBorder="1"/>
    <xf numFmtId="0" fontId="25" fillId="3" borderId="6" xfId="0" applyFont="1" applyFill="1" applyBorder="1"/>
    <xf numFmtId="2" fontId="11" fillId="3" borderId="0" xfId="8" applyNumberFormat="1" applyFont="1" applyFill="1"/>
    <xf numFmtId="2" fontId="0" fillId="3" borderId="0" xfId="8" applyNumberFormat="1" applyFont="1" applyFill="1"/>
    <xf numFmtId="43" fontId="1" fillId="13" borderId="10" xfId="7" applyFont="1" applyFill="1" applyBorder="1"/>
    <xf numFmtId="167" fontId="6" fillId="3" borderId="10" xfId="7" applyNumberFormat="1" applyFont="1" applyFill="1" applyBorder="1" applyAlignment="1">
      <alignment horizontal="right"/>
    </xf>
    <xf numFmtId="166" fontId="21" fillId="5" borderId="10" xfId="7" applyNumberFormat="1" applyFont="1" applyFill="1" applyBorder="1"/>
    <xf numFmtId="165" fontId="21" fillId="18" borderId="10" xfId="7" applyNumberFormat="1" applyFont="1" applyFill="1" applyBorder="1"/>
    <xf numFmtId="166" fontId="21" fillId="16" borderId="10" xfId="7" applyNumberFormat="1" applyFont="1" applyFill="1" applyBorder="1"/>
    <xf numFmtId="165" fontId="5" fillId="16" borderId="10" xfId="7" applyNumberFormat="1" applyFont="1" applyFill="1" applyBorder="1"/>
    <xf numFmtId="165" fontId="8" fillId="16" borderId="10" xfId="7" applyNumberFormat="1" applyFont="1" applyFill="1" applyBorder="1"/>
    <xf numFmtId="0" fontId="5" fillId="15" borderId="10" xfId="0" applyFont="1" applyFill="1" applyBorder="1" applyAlignment="1">
      <alignment wrapText="1"/>
    </xf>
    <xf numFmtId="0" fontId="27" fillId="10" borderId="10" xfId="0" applyFont="1" applyFill="1" applyBorder="1" applyAlignment="1">
      <alignment horizontal="left" wrapText="1"/>
    </xf>
    <xf numFmtId="165" fontId="5" fillId="10" borderId="10" xfId="7" applyNumberFormat="1" applyFont="1" applyFill="1" applyBorder="1" applyAlignment="1">
      <alignment vertical="top" wrapText="1"/>
    </xf>
    <xf numFmtId="0" fontId="0" fillId="10" borderId="7" xfId="0" applyFill="1" applyBorder="1"/>
    <xf numFmtId="0" fontId="0" fillId="10" borderId="8" xfId="0" applyFill="1" applyBorder="1"/>
    <xf numFmtId="0" fontId="0" fillId="10" borderId="9" xfId="0" applyFill="1" applyBorder="1"/>
    <xf numFmtId="0" fontId="0" fillId="10" borderId="10" xfId="0" applyFill="1" applyBorder="1"/>
    <xf numFmtId="9" fontId="0" fillId="10" borderId="10" xfId="8" applyFont="1" applyFill="1" applyBorder="1"/>
    <xf numFmtId="165" fontId="0" fillId="10" borderId="10" xfId="0" applyNumberFormat="1" applyFill="1" applyBorder="1" applyAlignment="1">
      <alignment vertical="top" wrapText="1"/>
    </xf>
    <xf numFmtId="43" fontId="0" fillId="19" borderId="0" xfId="0" applyNumberFormat="1" applyFill="1"/>
    <xf numFmtId="167" fontId="5" fillId="15" borderId="10" xfId="8" applyNumberFormat="1" applyFont="1" applyFill="1" applyBorder="1" applyAlignment="1">
      <alignment vertical="top" wrapText="1"/>
    </xf>
    <xf numFmtId="3" fontId="0" fillId="15" borderId="0" xfId="0" applyNumberFormat="1" applyFill="1"/>
    <xf numFmtId="43" fontId="0" fillId="15" borderId="0" xfId="0" applyNumberFormat="1" applyFill="1"/>
    <xf numFmtId="3" fontId="1" fillId="9" borderId="10" xfId="7" applyNumberFormat="1" applyFont="1" applyFill="1" applyBorder="1" applyAlignment="1">
      <alignment horizontal="right"/>
    </xf>
    <xf numFmtId="3" fontId="3" fillId="9" borderId="10" xfId="7" applyNumberFormat="1" applyFont="1" applyFill="1" applyBorder="1" applyAlignment="1">
      <alignment horizontal="right"/>
    </xf>
    <xf numFmtId="165" fontId="33" fillId="16" borderId="10" xfId="7" applyNumberFormat="1" applyFont="1" applyFill="1" applyBorder="1"/>
    <xf numFmtId="172" fontId="5" fillId="15" borderId="10" xfId="0" applyNumberFormat="1" applyFont="1" applyFill="1" applyBorder="1" applyAlignment="1">
      <alignment vertical="top" wrapText="1"/>
    </xf>
    <xf numFmtId="165" fontId="47" fillId="5" borderId="10" xfId="7" applyNumberFormat="1" applyFont="1" applyFill="1" applyBorder="1"/>
    <xf numFmtId="170" fontId="5" fillId="5" borderId="10" xfId="8" applyNumberFormat="1" applyFont="1" applyFill="1" applyBorder="1"/>
    <xf numFmtId="175" fontId="8" fillId="5" borderId="10" xfId="7" applyNumberFormat="1" applyFont="1" applyFill="1" applyBorder="1"/>
    <xf numFmtId="170" fontId="8" fillId="5" borderId="10" xfId="8" applyNumberFormat="1" applyFont="1" applyFill="1" applyBorder="1"/>
    <xf numFmtId="165" fontId="5" fillId="17" borderId="10" xfId="0" applyNumberFormat="1" applyFont="1" applyFill="1" applyBorder="1"/>
    <xf numFmtId="0" fontId="48" fillId="0" borderId="10" xfId="0" applyFont="1" applyBorder="1" applyAlignment="1">
      <alignment vertical="top" wrapText="1"/>
    </xf>
    <xf numFmtId="165" fontId="50" fillId="5" borderId="10" xfId="7" applyNumberFormat="1" applyFont="1" applyFill="1" applyBorder="1"/>
    <xf numFmtId="165" fontId="0" fillId="15" borderId="10" xfId="0" applyNumberFormat="1" applyFill="1" applyBorder="1" applyAlignment="1">
      <alignment horizontal="center" vertical="top" wrapText="1"/>
    </xf>
    <xf numFmtId="177" fontId="46" fillId="0" borderId="0" xfId="0" applyNumberFormat="1" applyFont="1" applyAlignment="1">
      <alignment horizontal="right" vertical="center" shrinkToFit="1"/>
    </xf>
    <xf numFmtId="2" fontId="3" fillId="20" borderId="10" xfId="7" applyNumberFormat="1" applyFont="1" applyFill="1" applyBorder="1" applyAlignment="1">
      <alignment horizontal="right"/>
    </xf>
    <xf numFmtId="165" fontId="14" fillId="16" borderId="10" xfId="7" applyNumberFormat="1" applyFont="1" applyFill="1" applyBorder="1"/>
    <xf numFmtId="10" fontId="1" fillId="9" borderId="10" xfId="8" applyNumberFormat="1" applyFont="1" applyFill="1" applyBorder="1" applyAlignment="1">
      <alignment horizontal="right"/>
    </xf>
    <xf numFmtId="165" fontId="21" fillId="16" borderId="10" xfId="7" applyNumberFormat="1" applyFont="1" applyFill="1" applyBorder="1"/>
    <xf numFmtId="1" fontId="0" fillId="15" borderId="0" xfId="0" applyNumberFormat="1" applyFill="1"/>
    <xf numFmtId="1" fontId="0" fillId="10" borderId="10" xfId="0" applyNumberFormat="1" applyFill="1" applyBorder="1" applyAlignment="1">
      <alignment vertical="top" wrapText="1"/>
    </xf>
    <xf numFmtId="0" fontId="0" fillId="3" borderId="5" xfId="0" applyFill="1" applyBorder="1" applyAlignment="1">
      <alignment horizontal="center"/>
    </xf>
    <xf numFmtId="0" fontId="0" fillId="3" borderId="0" xfId="0" applyFill="1" applyAlignment="1">
      <alignment horizontal="center"/>
    </xf>
    <xf numFmtId="0" fontId="6" fillId="3" borderId="0" xfId="0" applyFont="1" applyFill="1"/>
    <xf numFmtId="165" fontId="0" fillId="3" borderId="0" xfId="7" applyNumberFormat="1" applyFont="1" applyFill="1"/>
    <xf numFmtId="165" fontId="6" fillId="3" borderId="0" xfId="7" applyNumberFormat="1" applyFont="1" applyFill="1"/>
    <xf numFmtId="165" fontId="0" fillId="3" borderId="5" xfId="7" applyNumberFormat="1" applyFont="1" applyFill="1" applyBorder="1"/>
    <xf numFmtId="43" fontId="6" fillId="3" borderId="0" xfId="7" applyFont="1" applyFill="1"/>
    <xf numFmtId="43" fontId="0" fillId="3" borderId="5" xfId="7" applyFont="1" applyFill="1" applyBorder="1"/>
    <xf numFmtId="0" fontId="0" fillId="3" borderId="0" xfId="0" applyFill="1" applyAlignment="1">
      <alignment horizontal="center" wrapText="1"/>
    </xf>
    <xf numFmtId="0" fontId="0" fillId="4" borderId="12" xfId="0" applyFill="1" applyBorder="1" applyAlignment="1">
      <alignment vertical="top" wrapText="1"/>
    </xf>
    <xf numFmtId="0" fontId="0" fillId="4" borderId="17" xfId="0" applyFill="1" applyBorder="1" applyAlignment="1">
      <alignment vertical="top" wrapText="1"/>
    </xf>
    <xf numFmtId="2" fontId="0" fillId="19" borderId="0" xfId="0" applyNumberFormat="1" applyFill="1"/>
    <xf numFmtId="0" fontId="0" fillId="19" borderId="0" xfId="0" applyFill="1"/>
    <xf numFmtId="49" fontId="0" fillId="3" borderId="5" xfId="0" applyNumberFormat="1" applyFill="1" applyBorder="1" applyAlignment="1">
      <alignment horizontal="right" wrapText="1"/>
    </xf>
    <xf numFmtId="49" fontId="0" fillId="0" borderId="5" xfId="0" applyNumberFormat="1" applyBorder="1" applyAlignment="1">
      <alignment horizontal="right" wrapText="1"/>
    </xf>
    <xf numFmtId="49" fontId="0" fillId="3" borderId="5" xfId="0" applyNumberFormat="1" applyFill="1" applyBorder="1" applyAlignment="1">
      <alignment horizontal="right"/>
    </xf>
    <xf numFmtId="0" fontId="0" fillId="3" borderId="5" xfId="0" applyFill="1" applyBorder="1" applyAlignment="1">
      <alignment horizontal="right"/>
    </xf>
    <xf numFmtId="49" fontId="0" fillId="3" borderId="5" xfId="0" quotePrefix="1" applyNumberFormat="1" applyFill="1" applyBorder="1" applyAlignment="1">
      <alignment horizontal="right"/>
    </xf>
    <xf numFmtId="0" fontId="27" fillId="3" borderId="0" xfId="0" applyFont="1" applyFill="1" applyAlignment="1">
      <alignment horizontal="left" vertical="top" wrapText="1"/>
    </xf>
    <xf numFmtId="0" fontId="0" fillId="0" borderId="0" xfId="0" applyAlignment="1">
      <alignment horizontal="right" wrapText="1"/>
    </xf>
    <xf numFmtId="165" fontId="5" fillId="5" borderId="10" xfId="4" applyNumberFormat="1" applyFont="1" applyFill="1" applyBorder="1"/>
    <xf numFmtId="1" fontId="1" fillId="9" borderId="10" xfId="4" applyNumberFormat="1" applyFont="1" applyFill="1" applyBorder="1" applyAlignment="1">
      <alignment horizontal="right"/>
    </xf>
    <xf numFmtId="164" fontId="5" fillId="3" borderId="10" xfId="4" applyFont="1" applyFill="1" applyBorder="1"/>
    <xf numFmtId="164" fontId="1" fillId="0" borderId="10" xfId="4" applyFont="1" applyFill="1" applyBorder="1"/>
    <xf numFmtId="1" fontId="2" fillId="9" borderId="10" xfId="4" applyNumberFormat="1" applyFont="1" applyFill="1" applyBorder="1" applyAlignment="1">
      <alignment horizontal="right"/>
    </xf>
    <xf numFmtId="1" fontId="6" fillId="9" borderId="10" xfId="4" applyNumberFormat="1" applyFont="1" applyFill="1" applyBorder="1" applyAlignment="1">
      <alignment horizontal="right"/>
    </xf>
    <xf numFmtId="1" fontId="6" fillId="3" borderId="10" xfId="4" applyNumberFormat="1" applyFont="1" applyFill="1" applyBorder="1" applyAlignment="1">
      <alignment horizontal="right"/>
    </xf>
    <xf numFmtId="2" fontId="6" fillId="5" borderId="10" xfId="4" applyNumberFormat="1" applyFont="1" applyFill="1" applyBorder="1" applyAlignment="1">
      <alignment horizontal="right"/>
    </xf>
    <xf numFmtId="165" fontId="8" fillId="5" borderId="10" xfId="4" applyNumberFormat="1" applyFont="1" applyFill="1" applyBorder="1"/>
    <xf numFmtId="164" fontId="8" fillId="3" borderId="10" xfId="4" applyFont="1" applyFill="1" applyBorder="1"/>
    <xf numFmtId="164" fontId="3" fillId="0" borderId="10" xfId="4" applyFont="1" applyFill="1" applyBorder="1"/>
    <xf numFmtId="171" fontId="4" fillId="5" borderId="10" xfId="4" applyNumberFormat="1" applyFont="1" applyFill="1" applyBorder="1" applyAlignment="1">
      <alignment horizontal="right"/>
    </xf>
    <xf numFmtId="168" fontId="1" fillId="0" borderId="10" xfId="4" applyNumberFormat="1" applyFont="1" applyFill="1" applyBorder="1" applyAlignment="1">
      <alignment horizontal="right"/>
    </xf>
    <xf numFmtId="171" fontId="1" fillId="0" borderId="10" xfId="4" applyNumberFormat="1" applyFont="1" applyFill="1" applyBorder="1" applyAlignment="1">
      <alignment horizontal="right"/>
    </xf>
    <xf numFmtId="172" fontId="1" fillId="0" borderId="10" xfId="4" applyNumberFormat="1" applyFont="1" applyFill="1" applyBorder="1" applyAlignment="1">
      <alignment horizontal="right"/>
    </xf>
    <xf numFmtId="171" fontId="15" fillId="5" borderId="10" xfId="4" applyNumberFormat="1" applyFont="1" applyFill="1" applyBorder="1" applyAlignment="1">
      <alignment horizontal="right"/>
    </xf>
    <xf numFmtId="2" fontId="2" fillId="0" borderId="10" xfId="4" applyNumberFormat="1" applyFont="1" applyFill="1" applyBorder="1" applyAlignment="1">
      <alignment horizontal="right"/>
    </xf>
    <xf numFmtId="171" fontId="2" fillId="0" borderId="10" xfId="4" applyNumberFormat="1" applyFont="1" applyFill="1" applyBorder="1" applyAlignment="1">
      <alignment horizontal="right"/>
    </xf>
    <xf numFmtId="171" fontId="4" fillId="3" borderId="10" xfId="4" applyNumberFormat="1" applyFont="1" applyFill="1" applyBorder="1" applyAlignment="1">
      <alignment horizontal="right"/>
    </xf>
    <xf numFmtId="171" fontId="3" fillId="0" borderId="10" xfId="4" applyNumberFormat="1" applyFont="1" applyFill="1" applyBorder="1" applyAlignment="1">
      <alignment horizontal="right"/>
    </xf>
    <xf numFmtId="2" fontId="4" fillId="5" borderId="10" xfId="4" applyNumberFormat="1" applyFont="1" applyFill="1" applyBorder="1" applyAlignment="1">
      <alignment horizontal="right"/>
    </xf>
    <xf numFmtId="178" fontId="0" fillId="3" borderId="0" xfId="0" applyNumberFormat="1" applyFill="1"/>
    <xf numFmtId="165" fontId="21" fillId="5" borderId="10" xfId="4" applyNumberFormat="1" applyFont="1" applyFill="1" applyBorder="1"/>
    <xf numFmtId="165" fontId="5" fillId="15" borderId="10" xfId="4" applyNumberFormat="1" applyFont="1" applyFill="1" applyBorder="1" applyAlignment="1">
      <alignment vertical="top" wrapText="1"/>
    </xf>
    <xf numFmtId="165" fontId="21" fillId="15" borderId="10" xfId="4" applyNumberFormat="1" applyFont="1" applyFill="1" applyBorder="1" applyAlignment="1">
      <alignment vertical="top" wrapText="1"/>
    </xf>
    <xf numFmtId="165" fontId="30" fillId="15" borderId="10" xfId="4" applyNumberFormat="1" applyFont="1" applyFill="1" applyBorder="1" applyAlignment="1">
      <alignment vertical="top" wrapText="1"/>
    </xf>
    <xf numFmtId="165" fontId="30" fillId="15" borderId="10" xfId="4" applyNumberFormat="1" applyFont="1" applyFill="1" applyBorder="1"/>
    <xf numFmtId="165" fontId="5" fillId="10" borderId="10" xfId="4" applyNumberFormat="1" applyFont="1" applyFill="1" applyBorder="1" applyAlignment="1">
      <alignment vertical="top" wrapText="1"/>
    </xf>
    <xf numFmtId="165" fontId="0" fillId="15" borderId="10" xfId="4" applyNumberFormat="1" applyFont="1" applyFill="1" applyBorder="1"/>
    <xf numFmtId="165" fontId="31" fillId="15" borderId="10" xfId="4" applyNumberFormat="1" applyFont="1" applyFill="1" applyBorder="1"/>
    <xf numFmtId="165" fontId="5" fillId="11" borderId="0" xfId="4" applyNumberFormat="1" applyFont="1" applyFill="1" applyBorder="1" applyAlignment="1">
      <alignment vertical="top" wrapText="1"/>
    </xf>
    <xf numFmtId="165" fontId="30" fillId="11" borderId="0" xfId="4" applyNumberFormat="1" applyFont="1" applyFill="1" applyBorder="1" applyAlignment="1">
      <alignment vertical="top" wrapText="1"/>
    </xf>
    <xf numFmtId="165" fontId="30" fillId="11" borderId="0" xfId="4" applyNumberFormat="1" applyFont="1" applyFill="1" applyBorder="1"/>
    <xf numFmtId="165" fontId="5" fillId="9" borderId="10" xfId="4" applyNumberFormat="1" applyFont="1" applyFill="1" applyBorder="1"/>
    <xf numFmtId="166" fontId="5" fillId="3" borderId="10" xfId="4" applyNumberFormat="1" applyFont="1" applyFill="1" applyBorder="1"/>
    <xf numFmtId="167" fontId="6" fillId="0" borderId="10" xfId="4" applyNumberFormat="1" applyFont="1" applyFill="1" applyBorder="1" applyAlignment="1">
      <alignment horizontal="center"/>
    </xf>
    <xf numFmtId="2" fontId="1" fillId="0" borderId="10" xfId="4" applyNumberFormat="1" applyFont="1" applyFill="1" applyBorder="1"/>
    <xf numFmtId="2" fontId="1" fillId="12" borderId="10" xfId="4" applyNumberFormat="1" applyFont="1" applyFill="1" applyBorder="1"/>
    <xf numFmtId="1" fontId="1" fillId="9" borderId="10" xfId="4" applyNumberFormat="1" applyFont="1" applyFill="1" applyBorder="1"/>
    <xf numFmtId="1" fontId="3" fillId="0" borderId="10" xfId="4" applyNumberFormat="1" applyFont="1" applyFill="1" applyBorder="1"/>
    <xf numFmtId="1" fontId="3" fillId="12" borderId="10" xfId="4" applyNumberFormat="1" applyFont="1" applyFill="1" applyBorder="1"/>
    <xf numFmtId="2" fontId="6" fillId="3" borderId="10" xfId="4" applyNumberFormat="1" applyFont="1" applyFill="1" applyBorder="1" applyAlignment="1">
      <alignment horizontal="right"/>
    </xf>
    <xf numFmtId="165" fontId="5" fillId="12" borderId="10" xfId="4" applyNumberFormat="1" applyFont="1" applyFill="1" applyBorder="1"/>
    <xf numFmtId="173" fontId="1" fillId="0" borderId="10" xfId="4" applyNumberFormat="1" applyFont="1" applyFill="1" applyBorder="1"/>
    <xf numFmtId="168" fontId="1" fillId="0" borderId="10" xfId="4" applyNumberFormat="1" applyFont="1" applyFill="1" applyBorder="1"/>
    <xf numFmtId="165" fontId="8" fillId="9" borderId="10" xfId="4" applyNumberFormat="1" applyFont="1" applyFill="1" applyBorder="1" applyAlignment="1">
      <alignment horizontal="right"/>
    </xf>
    <xf numFmtId="166" fontId="8" fillId="3" borderId="10" xfId="4" applyNumberFormat="1" applyFont="1" applyFill="1" applyBorder="1"/>
    <xf numFmtId="2" fontId="3" fillId="0" borderId="10" xfId="4" applyNumberFormat="1" applyFont="1" applyFill="1" applyBorder="1"/>
    <xf numFmtId="167" fontId="4" fillId="0" borderId="10" xfId="4" applyNumberFormat="1" applyFont="1" applyFill="1" applyBorder="1" applyAlignment="1">
      <alignment horizontal="center"/>
    </xf>
    <xf numFmtId="2" fontId="3" fillId="12" borderId="10" xfId="4" applyNumberFormat="1" applyFont="1" applyFill="1" applyBorder="1"/>
    <xf numFmtId="2" fontId="3" fillId="5" borderId="10" xfId="4" applyNumberFormat="1" applyFont="1" applyFill="1" applyBorder="1" applyAlignment="1">
      <alignment horizontal="right"/>
    </xf>
    <xf numFmtId="2" fontId="3" fillId="0" borderId="10" xfId="4" applyNumberFormat="1" applyFont="1" applyFill="1" applyBorder="1" applyAlignment="1">
      <alignment horizontal="right"/>
    </xf>
    <xf numFmtId="165" fontId="23" fillId="5" borderId="10" xfId="4" applyNumberFormat="1" applyFont="1" applyFill="1" applyBorder="1"/>
    <xf numFmtId="165" fontId="8" fillId="12" borderId="10" xfId="4" applyNumberFormat="1" applyFont="1" applyFill="1" applyBorder="1"/>
    <xf numFmtId="173" fontId="3" fillId="0" borderId="10" xfId="4" applyNumberFormat="1" applyFont="1" applyFill="1" applyBorder="1"/>
    <xf numFmtId="168" fontId="3" fillId="0" borderId="10" xfId="4" applyNumberFormat="1" applyFont="1" applyFill="1" applyBorder="1"/>
    <xf numFmtId="171" fontId="6" fillId="3" borderId="0" xfId="0" applyNumberFormat="1" applyFont="1" applyFill="1"/>
    <xf numFmtId="2" fontId="0" fillId="15" borderId="0" xfId="8" applyNumberFormat="1" applyFont="1" applyFill="1"/>
    <xf numFmtId="170" fontId="0" fillId="15" borderId="0" xfId="8" applyNumberFormat="1" applyFont="1" applyFill="1"/>
    <xf numFmtId="10" fontId="0" fillId="15" borderId="0" xfId="8" applyNumberFormat="1" applyFont="1" applyFill="1"/>
    <xf numFmtId="0" fontId="0" fillId="3" borderId="7" xfId="0" applyFill="1" applyBorder="1" applyAlignment="1">
      <alignment vertical="top" wrapText="1"/>
    </xf>
    <xf numFmtId="0" fontId="0" fillId="3" borderId="10" xfId="0" applyFill="1" applyBorder="1" applyAlignment="1">
      <alignment vertical="top" wrapText="1"/>
    </xf>
    <xf numFmtId="179" fontId="0" fillId="3" borderId="0" xfId="0" applyNumberFormat="1" applyFill="1"/>
    <xf numFmtId="175" fontId="0" fillId="3" borderId="0" xfId="0" applyNumberFormat="1" applyFill="1"/>
    <xf numFmtId="173" fontId="0" fillId="21" borderId="0" xfId="0" applyNumberFormat="1" applyFill="1"/>
    <xf numFmtId="173" fontId="0" fillId="22" borderId="0" xfId="0" applyNumberFormat="1" applyFill="1"/>
    <xf numFmtId="179" fontId="3" fillId="3" borderId="0" xfId="0" applyNumberFormat="1" applyFont="1" applyFill="1"/>
    <xf numFmtId="175" fontId="3" fillId="3" borderId="0" xfId="0" applyNumberFormat="1" applyFont="1" applyFill="1"/>
    <xf numFmtId="0" fontId="3" fillId="3" borderId="0" xfId="0" applyFont="1" applyFill="1"/>
    <xf numFmtId="180" fontId="0" fillId="3" borderId="0" xfId="0" applyNumberFormat="1" applyFill="1"/>
    <xf numFmtId="0" fontId="0" fillId="3" borderId="0" xfId="0" applyFill="1" applyAlignment="1">
      <alignment horizontal="right"/>
    </xf>
    <xf numFmtId="180" fontId="0" fillId="3" borderId="8" xfId="0" applyNumberFormat="1" applyFill="1" applyBorder="1"/>
    <xf numFmtId="2" fontId="3" fillId="3" borderId="0" xfId="0" applyNumberFormat="1" applyFont="1" applyFill="1"/>
    <xf numFmtId="171" fontId="0" fillId="3" borderId="8" xfId="0" applyNumberFormat="1" applyFill="1" applyBorder="1"/>
    <xf numFmtId="171" fontId="0" fillId="3" borderId="9" xfId="0" applyNumberFormat="1" applyFill="1" applyBorder="1"/>
    <xf numFmtId="171" fontId="0" fillId="3" borderId="5" xfId="0" applyNumberFormat="1" applyFill="1" applyBorder="1"/>
    <xf numFmtId="171" fontId="0" fillId="3" borderId="0" xfId="0" applyNumberFormat="1" applyFill="1" applyAlignment="1">
      <alignment vertical="top" wrapText="1"/>
    </xf>
    <xf numFmtId="0" fontId="0" fillId="10" borderId="0" xfId="6" applyFont="1" applyFill="1" applyAlignment="1">
      <alignment horizontal="left" vertical="center" wrapText="1"/>
    </xf>
    <xf numFmtId="0" fontId="3" fillId="3" borderId="0" xfId="0" applyFont="1" applyFill="1" applyAlignment="1">
      <alignment horizontal="left" vertical="top" wrapText="1"/>
    </xf>
    <xf numFmtId="0" fontId="1" fillId="10" borderId="0" xfId="6" applyFill="1" applyAlignment="1">
      <alignment horizontal="left" vertical="top" wrapText="1"/>
    </xf>
    <xf numFmtId="0" fontId="1" fillId="10" borderId="0" xfId="6" applyFill="1" applyAlignment="1">
      <alignment horizontal="left" vertical="top"/>
    </xf>
    <xf numFmtId="0" fontId="1" fillId="10" borderId="14" xfId="6" applyFill="1" applyBorder="1" applyAlignment="1">
      <alignment horizontal="left" vertical="top"/>
    </xf>
    <xf numFmtId="0" fontId="1" fillId="10" borderId="0" xfId="6" applyFill="1" applyAlignment="1">
      <alignment horizontal="left" wrapText="1"/>
    </xf>
    <xf numFmtId="0" fontId="0" fillId="10" borderId="0" xfId="6" applyFont="1" applyFill="1" applyAlignment="1">
      <alignment horizontal="left" vertical="center" wrapText="1"/>
    </xf>
    <xf numFmtId="0" fontId="0" fillId="3" borderId="5" xfId="0" applyFill="1" applyBorder="1" applyAlignment="1">
      <alignment horizontal="center"/>
    </xf>
    <xf numFmtId="0" fontId="0" fillId="3" borderId="0" xfId="0" applyFill="1" applyAlignment="1">
      <alignment horizontal="center"/>
    </xf>
    <xf numFmtId="0" fontId="0" fillId="3" borderId="0" xfId="0" applyFill="1" applyAlignment="1">
      <alignment horizontal="left" vertical="top" wrapText="1"/>
    </xf>
    <xf numFmtId="0" fontId="0" fillId="0" borderId="5" xfId="0" applyBorder="1" applyAlignment="1">
      <alignment horizontal="center"/>
    </xf>
    <xf numFmtId="0" fontId="0" fillId="3" borderId="5" xfId="0" applyFill="1" applyBorder="1" applyAlignment="1">
      <alignment horizontal="center" wrapText="1"/>
    </xf>
    <xf numFmtId="0" fontId="0" fillId="0" borderId="0" xfId="0" applyFill="1"/>
    <xf numFmtId="0" fontId="1" fillId="10" borderId="0" xfId="6" applyFill="1" applyAlignment="1">
      <alignment vertical="center" wrapText="1"/>
    </xf>
    <xf numFmtId="0" fontId="1" fillId="10" borderId="0" xfId="6" applyFill="1" applyAlignment="1">
      <alignment vertical="center"/>
    </xf>
  </cellXfs>
  <cellStyles count="15">
    <cellStyle name="40% - Énfasis2" xfId="6" builtinId="35"/>
    <cellStyle name="Comma 2" xfId="1" xr:uid="{95589DAA-6AEC-41A6-9691-7C3CF95C3771}"/>
    <cellStyle name="Comma 3" xfId="4" xr:uid="{304F52DB-4788-4372-BC03-B802379F986D}"/>
    <cellStyle name="Comma 4" xfId="9" xr:uid="{29993822-1C2D-4514-9DF3-144FBCCE7300}"/>
    <cellStyle name="Good 2" xfId="5" xr:uid="{61FDF2FC-464C-455C-B5CD-B06F900A010A}"/>
    <cellStyle name="Hipervínculo" xfId="2" builtinId="8"/>
    <cellStyle name="Komma 2" xfId="11" xr:uid="{CA62EA7A-A829-4FEC-882C-6279C418515D}"/>
    <cellStyle name="Millares" xfId="7" builtinId="3"/>
    <cellStyle name="Millares 2" xfId="14" xr:uid="{87B15545-7816-4C2B-8188-66FE2A7DD3F5}"/>
    <cellStyle name="Normal" xfId="0" builtinId="0"/>
    <cellStyle name="Normal 2" xfId="13" xr:uid="{17AACA2E-E71C-4612-A953-6C85E5303EC8}"/>
    <cellStyle name="Percent 2" xfId="3" xr:uid="{B0D1E453-168D-4D08-BACC-FBA9AD483B4E}"/>
    <cellStyle name="Porcentaje" xfId="8" builtinId="5"/>
    <cellStyle name="Standard 2" xfId="10" xr:uid="{35C3B945-98A3-4A89-8A7E-8C36A2008BA1}"/>
    <cellStyle name="Standard 2 2" xfId="12" xr:uid="{867D1365-2434-40A5-B72E-68980FF168F5}"/>
  </cellStyles>
  <dxfs count="239">
    <dxf>
      <fill>
        <patternFill>
          <fgColor rgb="FF000000"/>
          <bgColor rgb="FFFFFFFF"/>
        </patternFill>
      </fill>
    </dxf>
    <dxf>
      <numFmt numFmtId="2" formatCode="0.00"/>
      <fill>
        <patternFill>
          <fgColor rgb="FF000000"/>
          <bgColor rgb="FFFFFFFF"/>
        </patternFill>
      </fill>
    </dxf>
    <dxf>
      <numFmt numFmtId="35" formatCode="_-* #,##0.00_-;\-* #,##0.00_-;_-* &quot;-&quot;??_-;_-@_-"/>
      <fill>
        <patternFill patternType="solid">
          <fgColor rgb="FF000000"/>
          <bgColor rgb="FFFFFFFF"/>
        </patternFill>
      </fill>
    </dxf>
    <dxf>
      <numFmt numFmtId="35" formatCode="_-* #,##0.00_-;\-* #,##0.00_-;_-* &quot;-&quot;??_-;_-@_-"/>
      <fill>
        <patternFill patternType="solid">
          <fgColor rgb="FF000000"/>
          <bgColor rgb="FFFFFFFF"/>
        </patternFill>
      </fill>
    </dxf>
    <dxf>
      <numFmt numFmtId="2" formatCode="0.00"/>
      <fill>
        <patternFill patternType="solid">
          <fgColor indexed="64"/>
          <bgColor theme="0"/>
        </patternFill>
      </fill>
    </dxf>
    <dxf>
      <numFmt numFmtId="35" formatCode="_-* #,##0.00_-;\-* #,##0.00_-;_-* &quot;-&quot;??_-;_-@_-"/>
      <fill>
        <patternFill>
          <fgColor indexed="64"/>
          <bgColor theme="0"/>
        </patternFill>
      </fill>
    </dxf>
    <dxf>
      <fill>
        <patternFill>
          <fgColor indexed="64"/>
          <bgColor theme="0"/>
        </patternFill>
      </fill>
    </dxf>
    <dxf>
      <border diagonalUp="0" diagonalDown="0">
        <left style="thin">
          <color rgb="FF000000"/>
        </left>
        <right style="thin">
          <color rgb="FF000000"/>
        </right>
        <top style="thin">
          <color rgb="FF000000"/>
        </top>
        <bottom style="thin">
          <color rgb="FF000000"/>
        </bottom>
      </border>
    </dxf>
    <dxf>
      <fill>
        <patternFill>
          <fgColor rgb="FF000000"/>
          <bgColor rgb="FFFFFFFF"/>
        </patternFill>
      </fill>
    </dxf>
    <dxf>
      <fill>
        <patternFill>
          <fgColor indexed="64"/>
          <bgColor theme="0"/>
        </patternFill>
      </fill>
      <alignment horizontal="general" vertical="top" textRotation="0" wrapText="1" indent="0" justifyLastLine="0" shrinkToFit="0" readingOrder="0"/>
      <border diagonalUp="0" diagonalDown="0" outline="0">
        <left style="thin">
          <color indexed="64"/>
        </left>
        <right style="thin">
          <color indexed="64"/>
        </right>
        <top/>
        <bottom/>
      </border>
    </dxf>
    <dxf>
      <numFmt numFmtId="2" formatCode="0.00"/>
      <fill>
        <patternFill>
          <fgColor indexed="64"/>
          <bgColor theme="0"/>
        </patternFill>
      </fill>
    </dxf>
    <dxf>
      <numFmt numFmtId="2" formatCode="0.00"/>
      <fill>
        <patternFill>
          <fgColor indexed="64"/>
          <bgColor theme="0"/>
        </patternFill>
      </fill>
    </dxf>
    <dxf>
      <fill>
        <patternFill>
          <fgColor indexed="64"/>
          <bgColor theme="0"/>
        </patternFill>
      </fill>
    </dxf>
    <dxf>
      <border diagonalUp="0" diagonalDown="0">
        <left style="thin">
          <color rgb="FF000000"/>
        </left>
        <right style="thin">
          <color rgb="FF000000"/>
        </right>
        <top style="thin">
          <color rgb="FF000000"/>
        </top>
        <bottom style="thin">
          <color rgb="FF000000"/>
        </bottom>
      </border>
    </dxf>
    <dxf>
      <fill>
        <patternFill>
          <fgColor rgb="FF000000"/>
          <bgColor rgb="FFFFFFFF"/>
        </patternFill>
      </fill>
    </dxf>
    <dxf>
      <fill>
        <patternFill>
          <fgColor indexed="64"/>
          <bgColor theme="0"/>
        </patternFill>
      </fill>
      <alignment horizontal="general" vertical="top" textRotation="0" wrapText="1" indent="0" justifyLastLine="0" shrinkToFit="0" readingOrder="0"/>
      <border diagonalUp="0" diagonalDown="0" outline="0">
        <left style="thin">
          <color indexed="64"/>
        </left>
        <right style="thin">
          <color indexed="64"/>
        </right>
        <top/>
        <bottom/>
      </border>
    </dxf>
    <dxf>
      <numFmt numFmtId="2" formatCode="0.00"/>
      <fill>
        <patternFill>
          <fgColor indexed="64"/>
          <bgColor theme="0"/>
        </patternFill>
      </fill>
    </dxf>
    <dxf>
      <numFmt numFmtId="2" formatCode="0.00"/>
      <fill>
        <patternFill>
          <fgColor indexed="64"/>
          <bgColor theme="0"/>
        </patternFill>
      </fill>
    </dxf>
    <dxf>
      <fill>
        <patternFill>
          <fgColor indexed="64"/>
          <bgColor theme="0"/>
        </patternFill>
      </fill>
    </dxf>
    <dxf>
      <border diagonalUp="0" diagonalDown="0">
        <left style="thin">
          <color rgb="FF000000"/>
        </left>
        <right style="thin">
          <color rgb="FF000000"/>
        </right>
        <top style="thin">
          <color rgb="FF000000"/>
        </top>
        <bottom style="thin">
          <color rgb="FF000000"/>
        </bottom>
      </border>
    </dxf>
    <dxf>
      <fill>
        <patternFill>
          <fgColor rgb="FF000000"/>
          <bgColor rgb="FFFFFFFF"/>
        </patternFill>
      </fill>
    </dxf>
    <dxf>
      <fill>
        <patternFill>
          <fgColor indexed="64"/>
          <bgColor theme="0"/>
        </patternFill>
      </fill>
      <alignment horizontal="general" vertical="top" textRotation="0" wrapText="1" indent="0" justifyLastLine="0" shrinkToFit="0" readingOrder="0"/>
      <border diagonalUp="0" diagonalDown="0" outline="0">
        <left style="thin">
          <color indexed="64"/>
        </left>
        <right style="thin">
          <color indexed="64"/>
        </right>
        <top/>
        <bottom/>
      </border>
    </dxf>
    <dxf>
      <numFmt numFmtId="35" formatCode="_-* #,##0.00_-;\-* #,##0.00_-;_-* &quot;-&quot;??_-;_-@_-"/>
      <fill>
        <patternFill>
          <fgColor rgb="FF000000"/>
          <bgColor rgb="FFFFFFFF"/>
        </patternFill>
      </fill>
    </dxf>
    <dxf>
      <numFmt numFmtId="35" formatCode="_-* #,##0.00_-;\-* #,##0.00_-;_-* &quot;-&quot;??_-;_-@_-"/>
      <fill>
        <patternFill>
          <fgColor rgb="FF000000"/>
          <bgColor rgb="FFFFFFFF"/>
        </patternFill>
      </fill>
    </dxf>
    <dxf>
      <numFmt numFmtId="2" formatCode="0.00"/>
      <fill>
        <patternFill patternType="solid">
          <fgColor indexed="64"/>
          <bgColor theme="0"/>
        </patternFill>
      </fill>
    </dxf>
    <dxf>
      <numFmt numFmtId="35" formatCode="_-* #,##0.00_-;\-* #,##0.00_-;_-* &quot;-&quot;??_-;_-@_-"/>
      <fill>
        <patternFill>
          <fgColor indexed="64"/>
          <bgColor theme="0"/>
        </patternFill>
      </fill>
    </dxf>
    <dxf>
      <fill>
        <patternFill>
          <fgColor indexed="64"/>
          <bgColor theme="0"/>
        </patternFill>
      </fill>
    </dxf>
    <dxf>
      <border diagonalUp="0" diagonalDown="0">
        <left style="thin">
          <color rgb="FF000000"/>
        </left>
        <right style="thin">
          <color rgb="FF000000"/>
        </right>
        <top style="thin">
          <color rgb="FF000000"/>
        </top>
        <bottom style="thin">
          <color rgb="FF000000"/>
        </bottom>
      </border>
    </dxf>
    <dxf>
      <fill>
        <patternFill>
          <fgColor rgb="FF000000"/>
          <bgColor rgb="FFFFFFFF"/>
        </patternFill>
      </fill>
    </dxf>
    <dxf>
      <fill>
        <patternFill>
          <fgColor indexed="64"/>
          <bgColor theme="0"/>
        </patternFill>
      </fill>
      <alignment horizontal="general" vertical="top" textRotation="0" wrapText="1" indent="0" justifyLastLine="0" shrinkToFit="0" readingOrder="0"/>
      <border diagonalUp="0" diagonalDown="0" outline="0">
        <left style="thin">
          <color indexed="64"/>
        </left>
        <right style="thin">
          <color indexed="64"/>
        </right>
        <top/>
        <bottom/>
      </border>
    </dxf>
    <dxf>
      <numFmt numFmtId="2" formatCode="0.00"/>
      <fill>
        <patternFill>
          <fgColor indexed="64"/>
          <bgColor theme="0"/>
        </patternFill>
      </fill>
    </dxf>
    <dxf>
      <numFmt numFmtId="2" formatCode="0.00"/>
      <fill>
        <patternFill>
          <fgColor indexed="64"/>
          <bgColor theme="0"/>
        </patternFill>
      </fill>
    </dxf>
    <dxf>
      <fill>
        <patternFill>
          <fgColor indexed="64"/>
          <bgColor theme="0"/>
        </patternFill>
      </fill>
    </dxf>
    <dxf>
      <border diagonalUp="0" diagonalDown="0">
        <left style="thin">
          <color rgb="FF000000"/>
        </left>
        <right style="thin">
          <color rgb="FF000000"/>
        </right>
        <top style="thin">
          <color rgb="FF000000"/>
        </top>
        <bottom style="thin">
          <color rgb="FF000000"/>
        </bottom>
      </border>
    </dxf>
    <dxf>
      <fill>
        <patternFill>
          <fgColor rgb="FF000000"/>
          <bgColor rgb="FFFFFFFF"/>
        </patternFill>
      </fill>
    </dxf>
    <dxf>
      <fill>
        <patternFill>
          <fgColor indexed="64"/>
          <bgColor theme="0"/>
        </patternFill>
      </fill>
      <alignment horizontal="general" vertical="top" textRotation="0" wrapText="1" indent="0" justifyLastLine="0" shrinkToFit="0" readingOrder="0"/>
      <border diagonalUp="0" diagonalDown="0" outline="0">
        <left style="thin">
          <color indexed="64"/>
        </left>
        <right style="thin">
          <color indexed="64"/>
        </right>
        <top/>
        <bottom/>
      </border>
    </dxf>
    <dxf>
      <numFmt numFmtId="35" formatCode="_-* #,##0.00_-;\-* #,##0.00_-;_-* &quot;-&quot;??_-;_-@_-"/>
      <fill>
        <patternFill>
          <fgColor rgb="FF000000"/>
          <bgColor rgb="FFFFFFFF"/>
        </patternFill>
      </fill>
    </dxf>
    <dxf>
      <numFmt numFmtId="35" formatCode="_-* #,##0.00_-;\-* #,##0.00_-;_-* &quot;-&quot;??_-;_-@_-"/>
      <fill>
        <patternFill>
          <fgColor rgb="FF000000"/>
          <bgColor rgb="FFFFFFFF"/>
        </patternFill>
      </fill>
    </dxf>
    <dxf>
      <numFmt numFmtId="2" formatCode="0.00"/>
      <fill>
        <patternFill patternType="solid">
          <fgColor indexed="64"/>
          <bgColor theme="0"/>
        </patternFill>
      </fill>
    </dxf>
    <dxf>
      <numFmt numFmtId="35" formatCode="_-* #,##0.00_-;\-* #,##0.00_-;_-* &quot;-&quot;??_-;_-@_-"/>
      <fill>
        <patternFill>
          <fgColor indexed="64"/>
          <bgColor theme="0"/>
        </patternFill>
      </fill>
    </dxf>
    <dxf>
      <fill>
        <patternFill>
          <fgColor indexed="64"/>
          <bgColor theme="0"/>
        </patternFill>
      </fill>
    </dxf>
    <dxf>
      <border diagonalUp="0" diagonalDown="0">
        <left style="thin">
          <color rgb="FF000000"/>
        </left>
        <right style="thin">
          <color rgb="FF000000"/>
        </right>
        <top style="thin">
          <color rgb="FF000000"/>
        </top>
        <bottom style="thin">
          <color rgb="FF000000"/>
        </bottom>
      </border>
    </dxf>
    <dxf>
      <fill>
        <patternFill>
          <fgColor rgb="FF000000"/>
          <bgColor rgb="FFFFFFFF"/>
        </patternFill>
      </fill>
    </dxf>
    <dxf>
      <fill>
        <patternFill>
          <fgColor indexed="64"/>
          <bgColor theme="0"/>
        </patternFill>
      </fill>
      <alignment horizontal="general" vertical="top" textRotation="0" wrapText="1" indent="0" justifyLastLine="0" shrinkToFit="0" readingOrder="0"/>
      <border diagonalUp="0" diagonalDown="0" outline="0">
        <left style="thin">
          <color indexed="64"/>
        </left>
        <right style="thin">
          <color indexed="64"/>
        </right>
        <top/>
        <bottom/>
      </border>
    </dxf>
    <dxf>
      <numFmt numFmtId="2" formatCode="0.00"/>
      <fill>
        <patternFill>
          <fgColor indexed="64"/>
          <bgColor theme="0"/>
        </patternFill>
      </fill>
    </dxf>
    <dxf>
      <numFmt numFmtId="2" formatCode="0.00"/>
      <fill>
        <patternFill>
          <fgColor indexed="64"/>
          <bgColor theme="0"/>
        </patternFill>
      </fill>
    </dxf>
    <dxf>
      <fill>
        <patternFill>
          <fgColor indexed="64"/>
          <bgColor theme="0"/>
        </patternFill>
      </fill>
    </dxf>
    <dxf>
      <border diagonalUp="0" diagonalDown="0">
        <left style="thin">
          <color rgb="FF000000"/>
        </left>
        <right style="thin">
          <color rgb="FF000000"/>
        </right>
        <top style="thin">
          <color rgb="FF000000"/>
        </top>
        <bottom style="thin">
          <color rgb="FF000000"/>
        </bottom>
      </border>
    </dxf>
    <dxf>
      <fill>
        <patternFill>
          <fgColor rgb="FF000000"/>
          <bgColor rgb="FFFFFFFF"/>
        </patternFill>
      </fill>
    </dxf>
    <dxf>
      <fill>
        <patternFill>
          <fgColor indexed="64"/>
          <bgColor theme="0"/>
        </patternFill>
      </fill>
      <alignment horizontal="general" vertical="top" textRotation="0" wrapText="1" indent="0" justifyLastLine="0" shrinkToFit="0" readingOrder="0"/>
      <border diagonalUp="0" diagonalDown="0" outline="0">
        <left style="thin">
          <color indexed="64"/>
        </left>
        <right style="thin">
          <color indexed="64"/>
        </right>
        <top/>
        <bottom/>
      </border>
    </dxf>
    <dxf>
      <numFmt numFmtId="35" formatCode="_-* #,##0.00_-;\-* #,##0.00_-;_-* &quot;-&quot;??_-;_-@_-"/>
      <fill>
        <patternFill>
          <fgColor rgb="FF000000"/>
          <bgColor rgb="FFFFFFFF"/>
        </patternFill>
      </fill>
    </dxf>
    <dxf>
      <numFmt numFmtId="35" formatCode="_-* #,##0.00_-;\-* #,##0.00_-;_-* &quot;-&quot;??_-;_-@_-"/>
      <fill>
        <patternFill>
          <fgColor rgb="FF000000"/>
          <bgColor rgb="FFFFFFFF"/>
        </patternFill>
      </fill>
    </dxf>
    <dxf>
      <numFmt numFmtId="2" formatCode="0.00"/>
      <fill>
        <patternFill patternType="solid">
          <fgColor indexed="64"/>
          <bgColor theme="0"/>
        </patternFill>
      </fill>
    </dxf>
    <dxf>
      <numFmt numFmtId="35" formatCode="_-* #,##0.00_-;\-* #,##0.00_-;_-* &quot;-&quot;??_-;_-@_-"/>
      <fill>
        <patternFill>
          <fgColor indexed="64"/>
          <bgColor theme="0"/>
        </patternFill>
      </fill>
    </dxf>
    <dxf>
      <fill>
        <patternFill>
          <fgColor indexed="64"/>
          <bgColor theme="0"/>
        </patternFill>
      </fill>
    </dxf>
    <dxf>
      <border diagonalUp="0" diagonalDown="0">
        <left style="thin">
          <color rgb="FF000000"/>
        </left>
        <right style="thin">
          <color rgb="FF000000"/>
        </right>
        <top style="thin">
          <color rgb="FF000000"/>
        </top>
        <bottom style="thin">
          <color rgb="FF000000"/>
        </bottom>
      </border>
    </dxf>
    <dxf>
      <fill>
        <patternFill>
          <fgColor rgb="FF000000"/>
          <bgColor rgb="FFFFFFFF"/>
        </patternFill>
      </fill>
    </dxf>
    <dxf>
      <fill>
        <patternFill>
          <fgColor indexed="64"/>
          <bgColor theme="0"/>
        </patternFill>
      </fill>
      <alignment horizontal="general" vertical="top" textRotation="0" wrapText="1" indent="0" justifyLastLine="0" shrinkToFit="0" readingOrder="0"/>
      <border diagonalUp="0" diagonalDown="0" outline="0">
        <left style="thin">
          <color indexed="64"/>
        </left>
        <right style="thin">
          <color indexed="64"/>
        </right>
        <top/>
        <bottom/>
      </border>
    </dxf>
    <dxf>
      <numFmt numFmtId="168" formatCode="0.000"/>
      <fill>
        <patternFill patternType="solid">
          <fgColor indexed="64"/>
          <bgColor theme="0"/>
        </patternFill>
      </fill>
    </dxf>
    <dxf>
      <numFmt numFmtId="168" formatCode="0.000"/>
      <fill>
        <patternFill patternType="solid">
          <fgColor indexed="64"/>
          <bgColor theme="0"/>
        </patternFill>
      </fill>
    </dxf>
    <dxf>
      <numFmt numFmtId="168" formatCode="0.000"/>
      <fill>
        <patternFill patternType="solid">
          <fgColor indexed="64"/>
          <bgColor theme="0"/>
        </patternFill>
      </fill>
    </dxf>
    <dxf>
      <numFmt numFmtId="168" formatCode="0.000"/>
      <fill>
        <patternFill patternType="solid">
          <fgColor indexed="64"/>
          <bgColor theme="0"/>
        </patternFill>
      </fill>
    </dxf>
    <dxf>
      <numFmt numFmtId="168" formatCode="0.000"/>
      <fill>
        <patternFill patternType="solid">
          <fgColor indexed="64"/>
          <bgColor theme="0"/>
        </patternFill>
      </fill>
    </dxf>
    <dxf>
      <numFmt numFmtId="168" formatCode="0.000"/>
      <fill>
        <patternFill patternType="solid">
          <fgColor indexed="64"/>
          <bgColor theme="0"/>
        </patternFill>
      </fill>
    </dxf>
    <dxf>
      <fill>
        <patternFill>
          <fgColor indexed="64"/>
          <bgColor theme="0"/>
        </patternFill>
      </fill>
      <alignment horizontal="general" vertical="center" textRotation="0" wrapText="1" indent="0" justifyLastLine="0" shrinkToFit="0" readingOrder="0"/>
      <border diagonalUp="0" diagonalDown="0" outline="0">
        <left/>
        <right/>
        <top style="thin">
          <color indexed="64"/>
        </top>
        <bottom style="thin">
          <color indexed="64"/>
        </bottom>
      </border>
    </dxf>
    <dxf>
      <border diagonalUp="0" diagonalDown="0">
        <left style="thin">
          <color rgb="FF000000"/>
        </left>
        <right style="thin">
          <color rgb="FF000000"/>
        </right>
        <top style="thin">
          <color rgb="FF000000"/>
        </top>
        <bottom style="thin">
          <color rgb="FF000000"/>
        </bottom>
      </border>
    </dxf>
    <dxf>
      <fill>
        <patternFill>
          <fgColor rgb="FF000000"/>
          <bgColor rgb="FFFFFFFF"/>
        </patternFill>
      </fill>
    </dxf>
    <dxf>
      <border>
        <bottom style="thin">
          <color rgb="FF000000"/>
        </bottom>
      </border>
    </dxf>
    <dxf>
      <fill>
        <patternFill>
          <fgColor indexed="64"/>
          <bgColor theme="0"/>
        </patternFill>
      </fill>
      <border diagonalUp="0" diagonalDown="0">
        <left style="thin">
          <color indexed="64"/>
        </left>
        <right style="thin">
          <color indexed="64"/>
        </right>
        <top/>
        <bottom/>
        <vertical style="thin">
          <color indexed="64"/>
        </vertical>
        <horizontal style="thin">
          <color indexed="64"/>
        </horizontal>
      </border>
    </dxf>
    <dxf>
      <numFmt numFmtId="168" formatCode="0.000"/>
      <fill>
        <patternFill patternType="solid">
          <fgColor indexed="64"/>
          <bgColor theme="0"/>
        </patternFill>
      </fill>
    </dxf>
    <dxf>
      <numFmt numFmtId="168" formatCode="0.000"/>
      <fill>
        <patternFill patternType="solid">
          <fgColor indexed="64"/>
          <bgColor theme="0"/>
        </patternFill>
      </fill>
    </dxf>
    <dxf>
      <numFmt numFmtId="168" formatCode="0.000"/>
      <fill>
        <patternFill patternType="solid">
          <fgColor indexed="64"/>
          <bgColor theme="0"/>
        </patternFill>
      </fill>
    </dxf>
    <dxf>
      <numFmt numFmtId="168" formatCode="0.000"/>
      <fill>
        <patternFill patternType="solid">
          <fgColor indexed="64"/>
          <bgColor theme="0"/>
        </patternFill>
      </fill>
    </dxf>
    <dxf>
      <numFmt numFmtId="168" formatCode="0.000"/>
      <fill>
        <patternFill patternType="solid">
          <fgColor indexed="64"/>
          <bgColor theme="0"/>
        </patternFill>
      </fill>
    </dxf>
    <dxf>
      <numFmt numFmtId="168" formatCode="0.000"/>
      <fill>
        <patternFill patternType="solid">
          <fgColor indexed="64"/>
          <bgColor theme="0"/>
        </patternFill>
      </fill>
    </dxf>
    <dxf>
      <fill>
        <patternFill>
          <fgColor indexed="64"/>
          <bgColor theme="0"/>
        </patternFill>
      </fill>
      <alignment horizontal="general" vertical="center" textRotation="0" wrapText="1" indent="0" justifyLastLine="0" shrinkToFit="0" readingOrder="0"/>
      <border diagonalUp="0" diagonalDown="0" outline="0">
        <left/>
        <right/>
        <top style="thin">
          <color indexed="64"/>
        </top>
        <bottom style="thin">
          <color indexed="64"/>
        </bottom>
      </border>
    </dxf>
    <dxf>
      <border diagonalUp="0" diagonalDown="0">
        <left style="thin">
          <color rgb="FF000000"/>
        </left>
        <right style="thin">
          <color rgb="FF000000"/>
        </right>
        <top style="thin">
          <color rgb="FF000000"/>
        </top>
        <bottom style="thin">
          <color rgb="FF000000"/>
        </bottom>
      </border>
    </dxf>
    <dxf>
      <fill>
        <patternFill>
          <fgColor rgb="FF000000"/>
          <bgColor rgb="FFFFFFFF"/>
        </patternFill>
      </fill>
    </dxf>
    <dxf>
      <border>
        <bottom style="thin">
          <color rgb="FF000000"/>
        </bottom>
      </border>
    </dxf>
    <dxf>
      <fill>
        <patternFill>
          <fgColor indexed="64"/>
          <bgColor theme="0"/>
        </patternFill>
      </fill>
      <border diagonalUp="0" diagonalDown="0">
        <left style="thin">
          <color indexed="64"/>
        </left>
        <right style="thin">
          <color indexed="64"/>
        </right>
        <top/>
        <bottom/>
        <vertical style="thin">
          <color indexed="64"/>
        </vertical>
        <horizontal style="thin">
          <color indexed="64"/>
        </horizontal>
      </border>
    </dxf>
    <dxf>
      <numFmt numFmtId="35" formatCode="_-* #,##0.00_-;\-* #,##0.00_-;_-* &quot;-&quot;??_-;_-@_-"/>
      <fill>
        <patternFill>
          <fgColor rgb="FF000000"/>
          <bgColor rgb="FFFFFFFF"/>
        </patternFill>
      </fill>
    </dxf>
    <dxf>
      <numFmt numFmtId="35" formatCode="_-* #,##0.00_-;\-* #,##0.00_-;_-* &quot;-&quot;??_-;_-@_-"/>
      <fill>
        <patternFill>
          <fgColor rgb="FF000000"/>
          <bgColor rgb="FFFFFFFF"/>
        </patternFill>
      </fill>
    </dxf>
    <dxf>
      <numFmt numFmtId="2" formatCode="0.00"/>
      <fill>
        <patternFill patternType="solid">
          <fgColor indexed="64"/>
          <bgColor theme="0"/>
        </patternFill>
      </fill>
    </dxf>
    <dxf>
      <numFmt numFmtId="35" formatCode="_-* #,##0.00_-;\-* #,##0.00_-;_-* &quot;-&quot;??_-;_-@_-"/>
      <fill>
        <patternFill>
          <fgColor indexed="64"/>
          <bgColor theme="0"/>
        </patternFill>
      </fill>
    </dxf>
    <dxf>
      <fill>
        <patternFill>
          <fgColor indexed="64"/>
          <bgColor theme="0"/>
        </patternFill>
      </fill>
    </dxf>
    <dxf>
      <border diagonalUp="0" diagonalDown="0">
        <left style="thin">
          <color rgb="FF000000"/>
        </left>
        <right style="thin">
          <color rgb="FF000000"/>
        </right>
        <top style="thin">
          <color rgb="FF000000"/>
        </top>
        <bottom style="thin">
          <color rgb="FF000000"/>
        </bottom>
      </border>
    </dxf>
    <dxf>
      <fill>
        <patternFill>
          <fgColor rgb="FF000000"/>
          <bgColor rgb="FFFFFFFF"/>
        </patternFill>
      </fill>
    </dxf>
    <dxf>
      <fill>
        <patternFill>
          <fgColor indexed="64"/>
          <bgColor theme="0"/>
        </patternFill>
      </fill>
      <alignment horizontal="general" vertical="top" textRotation="0" wrapText="1" indent="0" justifyLastLine="0" shrinkToFit="0" readingOrder="0"/>
      <border diagonalUp="0" diagonalDown="0" outline="0">
        <left style="thin">
          <color indexed="64"/>
        </left>
        <right style="thin">
          <color indexed="64"/>
        </right>
        <top/>
        <bottom/>
      </border>
    </dxf>
    <dxf>
      <numFmt numFmtId="168" formatCode="0.000"/>
      <fill>
        <patternFill patternType="solid">
          <fgColor indexed="64"/>
          <bgColor theme="0"/>
        </patternFill>
      </fill>
    </dxf>
    <dxf>
      <fill>
        <patternFill>
          <fgColor indexed="64"/>
          <bgColor theme="0"/>
        </patternFill>
      </fill>
      <alignment horizontal="general" vertical="center" textRotation="0" wrapText="1" indent="0" justifyLastLine="0" shrinkToFit="0" readingOrder="0"/>
      <border diagonalUp="0" diagonalDown="0" outline="0">
        <left/>
        <right/>
        <top style="thin">
          <color indexed="64"/>
        </top>
        <bottom style="thin">
          <color indexed="64"/>
        </bottom>
      </border>
    </dxf>
    <dxf>
      <border diagonalUp="0" diagonalDown="0">
        <left style="thin">
          <color rgb="FF000000"/>
        </left>
        <right style="thin">
          <color rgb="FF000000"/>
        </right>
        <top style="thin">
          <color rgb="FF000000"/>
        </top>
        <bottom style="thin">
          <color rgb="FF000000"/>
        </bottom>
      </border>
    </dxf>
    <dxf>
      <fill>
        <patternFill>
          <fgColor rgb="FF000000"/>
          <bgColor rgb="FFFFFFFF"/>
        </patternFill>
      </fill>
    </dxf>
    <dxf>
      <border>
        <bottom style="thin">
          <color rgb="FF000000"/>
        </bottom>
      </border>
    </dxf>
    <dxf>
      <fill>
        <patternFill>
          <fgColor indexed="64"/>
          <bgColor theme="0"/>
        </patternFill>
      </fill>
      <border diagonalUp="0" diagonalDown="0">
        <left style="thin">
          <color indexed="64"/>
        </left>
        <right style="thin">
          <color indexed="64"/>
        </right>
        <top/>
        <bottom/>
        <vertical style="thin">
          <color indexed="64"/>
        </vertical>
        <horizontal style="thin">
          <color indexed="64"/>
        </horizontal>
      </border>
    </dxf>
    <dxf>
      <numFmt numFmtId="170" formatCode="0.0%"/>
      <fill>
        <patternFill patternType="solid">
          <fgColor indexed="64"/>
          <bgColor theme="0"/>
        </patternFill>
      </fill>
    </dxf>
    <dxf>
      <numFmt numFmtId="170" formatCode="0.0%"/>
      <fill>
        <patternFill patternType="solid">
          <fgColor indexed="64"/>
          <bgColor theme="0"/>
        </patternFill>
      </fill>
    </dxf>
    <dxf>
      <numFmt numFmtId="170" formatCode="0.0%"/>
      <fill>
        <patternFill patternType="solid">
          <fgColor indexed="64"/>
          <bgColor theme="0"/>
        </patternFill>
      </fill>
    </dxf>
    <dxf>
      <numFmt numFmtId="170" formatCode="0.0%"/>
      <fill>
        <patternFill patternType="solid">
          <fgColor indexed="64"/>
          <bgColor theme="0"/>
        </patternFill>
      </fill>
    </dxf>
    <dxf>
      <numFmt numFmtId="170" formatCode="0.0%"/>
      <fill>
        <patternFill patternType="solid">
          <fgColor indexed="64"/>
          <bgColor theme="0"/>
        </patternFill>
      </fill>
    </dxf>
    <dxf>
      <numFmt numFmtId="170" formatCode="0.0%"/>
      <fill>
        <patternFill patternType="solid">
          <fgColor indexed="64"/>
          <bgColor theme="0"/>
        </patternFill>
      </fill>
    </dxf>
    <dxf>
      <fill>
        <patternFill>
          <fgColor indexed="64"/>
          <bgColor theme="0"/>
        </patternFill>
      </fill>
      <alignment horizontal="general" vertical="center" textRotation="0" wrapText="1" indent="0" justifyLastLine="0" shrinkToFit="0" readingOrder="0"/>
      <border diagonalUp="0" diagonalDown="0" outline="0">
        <left/>
        <right/>
        <top style="thin">
          <color indexed="64"/>
        </top>
        <bottom style="thin">
          <color indexed="64"/>
        </bottom>
      </border>
    </dxf>
    <dxf>
      <border diagonalUp="0" diagonalDown="0">
        <left style="thin">
          <color rgb="FF000000"/>
        </left>
        <right style="thin">
          <color rgb="FF000000"/>
        </right>
        <top style="thin">
          <color rgb="FF000000"/>
        </top>
        <bottom style="thin">
          <color rgb="FF000000"/>
        </bottom>
      </border>
    </dxf>
    <dxf>
      <fill>
        <patternFill>
          <fgColor rgb="FF000000"/>
          <bgColor rgb="FFFFFFFF"/>
        </patternFill>
      </fill>
    </dxf>
    <dxf>
      <border>
        <bottom style="thin">
          <color rgb="FF000000"/>
        </bottom>
      </border>
    </dxf>
    <dxf>
      <fill>
        <patternFill>
          <fgColor indexed="64"/>
          <bgColor theme="0"/>
        </patternFill>
      </fill>
      <border diagonalUp="0" diagonalDown="0">
        <left style="thin">
          <color indexed="64"/>
        </left>
        <right style="thin">
          <color indexed="64"/>
        </right>
        <top/>
        <bottom/>
        <vertical style="thin">
          <color indexed="64"/>
        </vertical>
        <horizontal style="thin">
          <color indexed="64"/>
        </horizontal>
      </border>
    </dxf>
    <dxf>
      <numFmt numFmtId="168" formatCode="0.000"/>
      <fill>
        <patternFill patternType="solid">
          <fgColor indexed="64"/>
          <bgColor theme="0"/>
        </patternFill>
      </fill>
    </dxf>
    <dxf>
      <numFmt numFmtId="2" formatCode="0.00"/>
      <fill>
        <patternFill patternType="solid">
          <fgColor indexed="64"/>
          <bgColor theme="0"/>
        </patternFill>
      </fill>
    </dxf>
    <dxf>
      <numFmt numFmtId="2" formatCode="0.00"/>
      <fill>
        <patternFill patternType="solid">
          <fgColor indexed="64"/>
          <bgColor theme="0"/>
        </patternFill>
      </fill>
    </dxf>
    <dxf>
      <numFmt numFmtId="2" formatCode="0.00"/>
      <fill>
        <patternFill patternType="solid">
          <fgColor indexed="64"/>
          <bgColor theme="0"/>
        </patternFill>
      </fill>
    </dxf>
    <dxf>
      <fill>
        <patternFill>
          <fgColor indexed="64"/>
          <bgColor theme="0"/>
        </patternFill>
      </fill>
      <alignment horizontal="general" vertical="center" textRotation="0" wrapText="1" indent="0" justifyLastLine="0" shrinkToFit="0" readingOrder="0"/>
      <border diagonalUp="0" diagonalDown="0" outline="0">
        <left/>
        <right/>
        <top style="thin">
          <color indexed="64"/>
        </top>
        <bottom style="thin">
          <color indexed="64"/>
        </bottom>
      </border>
    </dxf>
    <dxf>
      <border diagonalUp="0" diagonalDown="0">
        <left style="thin">
          <color rgb="FF000000"/>
        </left>
        <right style="thin">
          <color rgb="FF000000"/>
        </right>
        <top style="thin">
          <color rgb="FF000000"/>
        </top>
        <bottom style="thin">
          <color rgb="FF000000"/>
        </bottom>
      </border>
    </dxf>
    <dxf>
      <fill>
        <patternFill>
          <fgColor rgb="FF000000"/>
          <bgColor rgb="FFFFFFFF"/>
        </patternFill>
      </fill>
    </dxf>
    <dxf>
      <border>
        <bottom style="thin">
          <color rgb="FF000000"/>
        </bottom>
      </border>
    </dxf>
    <dxf>
      <fill>
        <patternFill>
          <fgColor indexed="64"/>
          <bgColor theme="0"/>
        </patternFill>
      </fill>
      <border diagonalUp="0" diagonalDown="0">
        <left style="thin">
          <color indexed="64"/>
        </left>
        <right style="thin">
          <color indexed="64"/>
        </right>
        <top/>
        <bottom/>
        <vertical style="thin">
          <color indexed="64"/>
        </vertical>
        <horizontal style="thin">
          <color indexed="64"/>
        </horizontal>
      </border>
    </dxf>
    <dxf>
      <numFmt numFmtId="2" formatCode="0.00"/>
      <fill>
        <patternFill>
          <fgColor indexed="64"/>
          <bgColor theme="0"/>
        </patternFill>
      </fill>
    </dxf>
    <dxf>
      <numFmt numFmtId="2" formatCode="0.00"/>
      <fill>
        <patternFill>
          <fgColor indexed="64"/>
          <bgColor theme="0"/>
        </patternFill>
      </fill>
    </dxf>
    <dxf>
      <fill>
        <patternFill>
          <fgColor indexed="64"/>
          <bgColor theme="0"/>
        </patternFill>
      </fill>
    </dxf>
    <dxf>
      <border diagonalUp="0" diagonalDown="0">
        <left style="thin">
          <color rgb="FF000000"/>
        </left>
        <right style="thin">
          <color rgb="FF000000"/>
        </right>
        <top style="thin">
          <color rgb="FF000000"/>
        </top>
        <bottom style="thin">
          <color rgb="FF000000"/>
        </bottom>
      </border>
    </dxf>
    <dxf>
      <fill>
        <patternFill>
          <fgColor rgb="FF000000"/>
          <bgColor rgb="FFFFFFFF"/>
        </patternFill>
      </fill>
    </dxf>
    <dxf>
      <fill>
        <patternFill>
          <fgColor indexed="64"/>
          <bgColor theme="0"/>
        </patternFill>
      </fill>
      <alignment horizontal="general" vertical="top" textRotation="0" wrapText="1" indent="0" justifyLastLine="0" shrinkToFit="0" readingOrder="0"/>
      <border diagonalUp="0" diagonalDown="0" outline="0">
        <left style="thin">
          <color indexed="64"/>
        </left>
        <right style="thin">
          <color indexed="64"/>
        </right>
        <top/>
        <bottom/>
      </border>
    </dxf>
    <dxf>
      <numFmt numFmtId="168" formatCode="0.000"/>
      <fill>
        <patternFill>
          <fgColor indexed="64"/>
          <bgColor theme="0"/>
        </patternFill>
      </fill>
    </dxf>
    <dxf>
      <numFmt numFmtId="168" formatCode="0.000"/>
      <fill>
        <patternFill>
          <fgColor indexed="64"/>
          <bgColor theme="0"/>
        </patternFill>
      </fill>
    </dxf>
    <dxf>
      <numFmt numFmtId="168" formatCode="0.000"/>
      <fill>
        <patternFill>
          <fgColor indexed="64"/>
          <bgColor theme="0"/>
        </patternFill>
      </fill>
    </dxf>
    <dxf>
      <fill>
        <patternFill>
          <fgColor indexed="64"/>
          <bgColor theme="0"/>
        </patternFill>
      </fill>
    </dxf>
    <dxf>
      <border diagonalUp="0" diagonalDown="0">
        <left style="thin">
          <color indexed="64"/>
        </left>
        <right style="thin">
          <color indexed="64"/>
        </right>
        <top style="thin">
          <color indexed="64"/>
        </top>
        <bottom style="thin">
          <color indexed="64"/>
        </bottom>
      </border>
    </dxf>
    <dxf>
      <fill>
        <patternFill>
          <fgColor indexed="64"/>
          <bgColor theme="0"/>
        </patternFill>
      </fill>
    </dxf>
    <dxf>
      <fill>
        <patternFill>
          <fgColor indexed="64"/>
          <bgColor theme="0"/>
        </patternFill>
      </fill>
      <alignment horizontal="general" vertical="top"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11"/>
        <color auto="1"/>
        <name val="Calibri"/>
        <family val="2"/>
        <scheme val="minor"/>
      </font>
      <numFmt numFmtId="168" formatCode="0.000"/>
      <fill>
        <patternFill>
          <fgColor indexed="64"/>
          <bgColor theme="0"/>
        </patternFill>
      </fill>
    </dxf>
    <dxf>
      <numFmt numFmtId="168" formatCode="0.000"/>
      <fill>
        <patternFill>
          <fgColor indexed="64"/>
          <bgColor theme="0"/>
        </patternFill>
      </fill>
    </dxf>
    <dxf>
      <numFmt numFmtId="168" formatCode="0.000"/>
      <fill>
        <patternFill>
          <fgColor indexed="64"/>
          <bgColor theme="0"/>
        </patternFill>
      </fill>
    </dxf>
    <dxf>
      <numFmt numFmtId="168" formatCode="0.000"/>
      <fill>
        <patternFill>
          <fgColor indexed="64"/>
          <bgColor theme="0"/>
        </patternFill>
      </fill>
    </dxf>
    <dxf>
      <fill>
        <patternFill>
          <fgColor indexed="64"/>
          <bgColor theme="0"/>
        </patternFill>
      </fill>
    </dxf>
    <dxf>
      <border diagonalUp="0" diagonalDown="0">
        <left style="thin">
          <color rgb="FF000000"/>
        </left>
        <right style="thin">
          <color rgb="FF000000"/>
        </right>
        <top style="thin">
          <color rgb="FF000000"/>
        </top>
        <bottom style="thin">
          <color rgb="FF000000"/>
        </bottom>
      </border>
    </dxf>
    <dxf>
      <fill>
        <patternFill>
          <fgColor rgb="FF000000"/>
          <bgColor rgb="FFFFFFFF"/>
        </patternFill>
      </fill>
    </dxf>
    <dxf>
      <fill>
        <patternFill>
          <fgColor indexed="64"/>
          <bgColor theme="0"/>
        </patternFill>
      </fill>
      <alignment horizontal="general" vertical="top" textRotation="0" wrapText="1" indent="0" justifyLastLine="0" shrinkToFit="0" readingOrder="0"/>
      <border diagonalUp="0" diagonalDown="0" outline="0">
        <left style="thin">
          <color indexed="64"/>
        </left>
        <right style="thin">
          <color indexed="64"/>
        </right>
        <top/>
        <bottom/>
      </border>
    </dxf>
    <dxf>
      <numFmt numFmtId="0" formatCode="General"/>
      <fill>
        <patternFill>
          <fgColor indexed="64"/>
          <bgColor theme="0"/>
        </patternFill>
      </fill>
    </dxf>
    <dxf>
      <numFmt numFmtId="0" formatCode="General"/>
      <fill>
        <patternFill>
          <fgColor indexed="64"/>
          <bgColor theme="0"/>
        </patternFill>
      </fill>
    </dxf>
    <dxf>
      <fill>
        <patternFill>
          <fgColor indexed="64"/>
          <bgColor theme="0"/>
        </patternFill>
      </fill>
    </dxf>
    <dxf>
      <border diagonalUp="0" diagonalDown="0">
        <left style="thin">
          <color indexed="64"/>
        </left>
        <right style="thin">
          <color indexed="64"/>
        </right>
        <top style="thin">
          <color indexed="64"/>
        </top>
        <bottom style="thin">
          <color indexed="64"/>
        </bottom>
      </border>
    </dxf>
    <dxf>
      <fill>
        <patternFill>
          <fgColor indexed="64"/>
          <bgColor theme="0"/>
        </patternFill>
      </fill>
    </dxf>
    <dxf>
      <fill>
        <patternFill>
          <fgColor indexed="64"/>
          <bgColor theme="0"/>
        </patternFill>
      </fill>
      <alignment horizontal="general" vertical="top"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9"/>
        <color theme="1"/>
        <name val="Calibri"/>
        <family val="2"/>
        <scheme val="minor"/>
      </font>
      <numFmt numFmtId="168" formatCode="0.000"/>
      <border diagonalUp="0" diagonalDown="0">
        <left/>
        <right style="thin">
          <color indexed="64"/>
        </right>
        <top/>
        <bottom/>
      </border>
    </dxf>
    <dxf>
      <font>
        <b val="0"/>
        <i val="0"/>
        <strike val="0"/>
        <condense val="0"/>
        <extend val="0"/>
        <outline val="0"/>
        <shadow val="0"/>
        <u val="none"/>
        <vertAlign val="baseline"/>
        <sz val="11"/>
        <color theme="2" tint="-0.249977111117893"/>
        <name val="Calibri"/>
        <family val="2"/>
        <scheme val="minor"/>
      </font>
      <fill>
        <patternFill patternType="solid">
          <fgColor indexed="64"/>
          <bgColor theme="0"/>
        </patternFill>
      </fill>
    </dxf>
    <dxf>
      <border outline="0">
        <left style="thin">
          <color indexed="64"/>
        </left>
      </border>
    </dxf>
    <dxf>
      <numFmt numFmtId="168" formatCode="0.000"/>
      <fill>
        <patternFill>
          <fgColor indexed="64"/>
          <bgColor theme="0"/>
        </patternFill>
      </fill>
    </dxf>
    <dxf>
      <numFmt numFmtId="168" formatCode="0.000"/>
      <fill>
        <patternFill>
          <fgColor indexed="64"/>
          <bgColor theme="0"/>
        </patternFill>
      </fill>
    </dxf>
    <dxf>
      <numFmt numFmtId="168" formatCode="0.000"/>
      <fill>
        <patternFill>
          <fgColor indexed="64"/>
          <bgColor theme="0"/>
        </patternFill>
      </fill>
    </dxf>
    <dxf>
      <numFmt numFmtId="168" formatCode="0.000"/>
      <fill>
        <patternFill>
          <fgColor indexed="64"/>
          <bgColor theme="0"/>
        </patternFill>
      </fill>
    </dxf>
    <dxf>
      <numFmt numFmtId="168" formatCode="0.000"/>
      <fill>
        <patternFill>
          <fgColor indexed="64"/>
          <bgColor theme="0"/>
        </patternFill>
      </fill>
    </dxf>
    <dxf>
      <numFmt numFmtId="168" formatCode="0.000"/>
      <fill>
        <patternFill>
          <fgColor indexed="64"/>
          <bgColor theme="0"/>
        </patternFill>
      </fill>
    </dxf>
    <dxf>
      <fill>
        <patternFill>
          <fgColor indexed="64"/>
          <bgColor theme="0"/>
        </patternFill>
      </fill>
    </dxf>
    <dxf>
      <border diagonalUp="0" diagonalDown="0">
        <left style="thin">
          <color indexed="64"/>
        </left>
        <right style="thin">
          <color indexed="64"/>
        </right>
        <top style="thin">
          <color indexed="64"/>
        </top>
        <bottom style="thin">
          <color indexed="64"/>
        </bottom>
      </border>
    </dxf>
    <dxf>
      <fill>
        <patternFill>
          <fgColor indexed="64"/>
          <bgColor theme="0"/>
        </patternFill>
      </fill>
    </dxf>
    <dxf>
      <fill>
        <patternFill>
          <fgColor indexed="64"/>
          <bgColor theme="0"/>
        </patternFill>
      </fill>
      <alignment horizontal="general" vertical="top" textRotation="0" wrapText="1" indent="0" justifyLastLine="0" shrinkToFit="0" readingOrder="0"/>
      <border diagonalUp="0" diagonalDown="0" outline="0">
        <left style="thin">
          <color indexed="64"/>
        </left>
        <right style="thin">
          <color indexed="64"/>
        </right>
        <top/>
        <bottom/>
      </border>
    </dxf>
    <dxf>
      <numFmt numFmtId="168" formatCode="0.000"/>
      <fill>
        <patternFill>
          <fgColor indexed="64"/>
          <bgColor theme="0"/>
        </patternFill>
      </fill>
    </dxf>
    <dxf>
      <numFmt numFmtId="168" formatCode="0.000"/>
      <fill>
        <patternFill>
          <fgColor indexed="64"/>
          <bgColor theme="0"/>
        </patternFill>
      </fill>
    </dxf>
    <dxf>
      <numFmt numFmtId="168" formatCode="0.000"/>
      <fill>
        <patternFill>
          <fgColor indexed="64"/>
          <bgColor theme="0"/>
        </patternFill>
      </fill>
    </dxf>
    <dxf>
      <fill>
        <patternFill>
          <fgColor indexed="64"/>
          <bgColor theme="0"/>
        </patternFill>
      </fill>
    </dxf>
    <dxf>
      <border diagonalUp="0" diagonalDown="0">
        <left style="thin">
          <color indexed="64"/>
        </left>
        <right style="thin">
          <color indexed="64"/>
        </right>
        <top style="thin">
          <color indexed="64"/>
        </top>
        <bottom style="thin">
          <color indexed="64"/>
        </bottom>
      </border>
    </dxf>
    <dxf>
      <fill>
        <patternFill>
          <fgColor indexed="64"/>
          <bgColor theme="0"/>
        </patternFill>
      </fill>
    </dxf>
    <dxf>
      <fill>
        <patternFill>
          <fgColor indexed="64"/>
          <bgColor theme="0"/>
        </patternFill>
      </fill>
      <alignment horizontal="general" vertical="top" textRotation="0" wrapText="1" indent="0" justifyLastLine="0" shrinkToFit="0" readingOrder="0"/>
      <border diagonalUp="0" diagonalDown="0" outline="0">
        <left style="thin">
          <color indexed="64"/>
        </left>
        <right style="thin">
          <color indexed="64"/>
        </right>
        <top/>
        <bottom/>
      </border>
    </dxf>
    <dxf>
      <numFmt numFmtId="172" formatCode="0.00000"/>
      <fill>
        <patternFill>
          <fgColor indexed="64"/>
          <bgColor theme="0"/>
        </patternFill>
      </fill>
    </dxf>
    <dxf>
      <fill>
        <patternFill>
          <fgColor indexed="64"/>
          <bgColor theme="0"/>
        </patternFill>
      </fill>
    </dxf>
    <dxf>
      <numFmt numFmtId="171" formatCode="0.0000"/>
      <fill>
        <patternFill>
          <fgColor indexed="64"/>
          <bgColor theme="0"/>
        </patternFill>
      </fill>
    </dxf>
    <dxf>
      <numFmt numFmtId="168" formatCode="0.000"/>
      <fill>
        <patternFill>
          <fgColor indexed="64"/>
          <bgColor theme="0"/>
        </patternFill>
      </fill>
    </dxf>
    <dxf>
      <fill>
        <patternFill>
          <fgColor indexed="64"/>
          <bgColor theme="0"/>
        </patternFill>
      </fill>
    </dxf>
    <dxf>
      <border diagonalUp="0" diagonalDown="0">
        <left style="thin">
          <color indexed="64"/>
        </left>
        <right style="thin">
          <color indexed="64"/>
        </right>
        <top style="thin">
          <color indexed="64"/>
        </top>
        <bottom style="thin">
          <color indexed="64"/>
        </bottom>
      </border>
    </dxf>
    <dxf>
      <fill>
        <patternFill>
          <fgColor indexed="64"/>
          <bgColor theme="0"/>
        </patternFill>
      </fill>
    </dxf>
    <dxf>
      <fill>
        <patternFill>
          <fgColor indexed="64"/>
          <bgColor theme="0"/>
        </patternFill>
      </fill>
      <alignment horizontal="general" vertical="top" textRotation="0" wrapText="1" indent="0" justifyLastLine="0" shrinkToFit="0" readingOrder="0"/>
      <border diagonalUp="0" diagonalDown="0" outline="0">
        <left style="thin">
          <color indexed="64"/>
        </left>
        <right style="thin">
          <color indexed="64"/>
        </right>
        <top/>
        <bottom/>
      </border>
    </dxf>
    <dxf>
      <fill>
        <patternFill>
          <fgColor indexed="64"/>
          <bgColor theme="0"/>
        </patternFill>
      </fill>
    </dxf>
    <dxf>
      <numFmt numFmtId="167" formatCode="0.0"/>
      <fill>
        <patternFill patternType="solid">
          <fgColor indexed="64"/>
          <bgColor theme="0"/>
        </patternFill>
      </fill>
    </dxf>
    <dxf>
      <fill>
        <patternFill>
          <fgColor indexed="64"/>
          <bgColor theme="0"/>
        </patternFill>
      </fill>
    </dxf>
    <dxf>
      <fill>
        <patternFill>
          <fgColor indexed="64"/>
          <bgColor theme="0"/>
        </patternFill>
      </fill>
    </dxf>
    <dxf>
      <fill>
        <patternFill>
          <fgColor indexed="64"/>
          <bgColor theme="0"/>
        </patternFill>
      </fill>
    </dxf>
    <dxf>
      <numFmt numFmtId="167" formatCode="0.0"/>
      <fill>
        <patternFill>
          <fgColor indexed="64"/>
          <bgColor theme="0"/>
        </patternFill>
      </fill>
    </dxf>
    <dxf>
      <fill>
        <patternFill>
          <fgColor indexed="64"/>
          <bgColor theme="0"/>
        </patternFill>
      </fill>
    </dxf>
    <dxf>
      <border diagonalUp="0" diagonalDown="0">
        <left style="thin">
          <color indexed="64"/>
        </left>
        <right style="thin">
          <color indexed="64"/>
        </right>
        <top style="thin">
          <color indexed="64"/>
        </top>
        <bottom style="thin">
          <color indexed="64"/>
        </bottom>
      </border>
    </dxf>
    <dxf>
      <fill>
        <patternFill>
          <fgColor indexed="64"/>
          <bgColor theme="0"/>
        </patternFill>
      </fill>
    </dxf>
    <dxf>
      <fill>
        <patternFill>
          <fgColor indexed="64"/>
          <bgColor theme="0"/>
        </patternFill>
      </fill>
      <alignment horizontal="general" vertical="top" textRotation="0" wrapText="1" indent="0" justifyLastLine="0" shrinkToFit="0" readingOrder="0"/>
      <border diagonalUp="0" diagonalDown="0" outline="0">
        <left style="thin">
          <color indexed="64"/>
        </left>
        <right style="thin">
          <color indexed="64"/>
        </right>
        <top/>
        <bottom/>
      </border>
    </dxf>
    <dxf>
      <numFmt numFmtId="168" formatCode="0.000"/>
      <fill>
        <patternFill>
          <fgColor indexed="64"/>
          <bgColor theme="0"/>
        </patternFill>
      </fill>
    </dxf>
    <dxf>
      <numFmt numFmtId="168" formatCode="0.000"/>
      <fill>
        <patternFill>
          <fgColor indexed="64"/>
          <bgColor theme="0"/>
        </patternFill>
      </fill>
    </dxf>
    <dxf>
      <numFmt numFmtId="168" formatCode="0.000"/>
      <fill>
        <patternFill>
          <fgColor indexed="64"/>
          <bgColor theme="0"/>
        </patternFill>
      </fill>
    </dxf>
    <dxf>
      <fill>
        <patternFill>
          <fgColor indexed="64"/>
          <bgColor theme="0"/>
        </patternFill>
      </fill>
    </dxf>
    <dxf>
      <border diagonalUp="0" diagonalDown="0">
        <left style="thin">
          <color indexed="64"/>
        </left>
        <right style="thin">
          <color indexed="64"/>
        </right>
        <top style="thin">
          <color indexed="64"/>
        </top>
        <bottom style="thin">
          <color indexed="64"/>
        </bottom>
      </border>
    </dxf>
    <dxf>
      <fill>
        <patternFill>
          <fgColor indexed="64"/>
          <bgColor theme="0"/>
        </patternFill>
      </fill>
    </dxf>
    <dxf>
      <fill>
        <patternFill>
          <fgColor indexed="64"/>
          <bgColor theme="0"/>
        </patternFill>
      </fill>
      <alignment horizontal="general" vertical="top" textRotation="0" wrapText="1" indent="0" justifyLastLine="0" shrinkToFit="0" readingOrder="0"/>
      <border diagonalUp="0" diagonalDown="0" outline="0">
        <left style="thin">
          <color indexed="64"/>
        </left>
        <right style="thin">
          <color indexed="64"/>
        </right>
        <top/>
        <bottom/>
      </border>
    </dxf>
    <dxf>
      <numFmt numFmtId="168" formatCode="0.000"/>
      <fill>
        <patternFill>
          <fgColor indexed="64"/>
          <bgColor theme="0"/>
        </patternFill>
      </fill>
    </dxf>
    <dxf>
      <numFmt numFmtId="168" formatCode="0.000"/>
      <fill>
        <patternFill>
          <fgColor indexed="64"/>
          <bgColor theme="0"/>
        </patternFill>
      </fill>
    </dxf>
    <dxf>
      <numFmt numFmtId="168" formatCode="0.000"/>
      <fill>
        <patternFill>
          <fgColor indexed="64"/>
          <bgColor theme="0"/>
        </patternFill>
      </fill>
    </dxf>
    <dxf>
      <numFmt numFmtId="168" formatCode="0.000"/>
      <fill>
        <patternFill>
          <fgColor indexed="64"/>
          <bgColor theme="0"/>
        </patternFill>
      </fill>
    </dxf>
    <dxf>
      <numFmt numFmtId="168" formatCode="0.000"/>
      <fill>
        <patternFill>
          <fgColor indexed="64"/>
          <bgColor theme="0"/>
        </patternFill>
      </fill>
    </dxf>
    <dxf>
      <numFmt numFmtId="168" formatCode="0.000"/>
      <fill>
        <patternFill>
          <fgColor indexed="64"/>
          <bgColor theme="0"/>
        </patternFill>
      </fill>
    </dxf>
    <dxf>
      <fill>
        <patternFill>
          <fgColor indexed="64"/>
          <bgColor theme="0"/>
        </patternFill>
      </fill>
    </dxf>
    <dxf>
      <border diagonalUp="0" diagonalDown="0">
        <left style="thin">
          <color indexed="64"/>
        </left>
        <right style="thin">
          <color indexed="64"/>
        </right>
        <top style="thin">
          <color indexed="64"/>
        </top>
        <bottom style="thin">
          <color indexed="64"/>
        </bottom>
      </border>
    </dxf>
    <dxf>
      <fill>
        <patternFill>
          <fgColor indexed="64"/>
          <bgColor theme="0"/>
        </patternFill>
      </fill>
    </dxf>
    <dxf>
      <fill>
        <patternFill>
          <fgColor indexed="64"/>
          <bgColor theme="0"/>
        </patternFill>
      </fill>
      <alignment horizontal="general" vertical="top" textRotation="0" wrapText="1" indent="0" justifyLastLine="0" shrinkToFit="0" readingOrder="0"/>
      <border diagonalUp="0" diagonalDown="0" outline="0">
        <left style="thin">
          <color indexed="64"/>
        </left>
        <right style="thin">
          <color indexed="64"/>
        </right>
        <top/>
        <bottom/>
      </border>
    </dxf>
    <dxf>
      <fill>
        <patternFill>
          <fgColor indexed="64"/>
          <bgColor theme="0"/>
        </patternFill>
      </fill>
    </dxf>
    <dxf>
      <fill>
        <patternFill>
          <fgColor indexed="64"/>
          <bgColor theme="0"/>
        </patternFill>
      </fill>
    </dxf>
    <dxf>
      <fill>
        <patternFill>
          <fgColor indexed="64"/>
          <bgColor theme="0"/>
        </patternFill>
      </fill>
    </dxf>
    <dxf>
      <fill>
        <patternFill>
          <fgColor indexed="64"/>
          <bgColor theme="0"/>
        </patternFill>
      </fill>
    </dxf>
    <dxf>
      <fill>
        <patternFill>
          <fgColor indexed="64"/>
          <bgColor theme="0"/>
        </patternFill>
      </fill>
    </dxf>
    <dxf>
      <border diagonalUp="0" diagonalDown="0">
        <left style="thin">
          <color indexed="64"/>
        </left>
        <right style="thin">
          <color indexed="64"/>
        </right>
        <top style="thin">
          <color indexed="64"/>
        </top>
        <bottom style="thin">
          <color indexed="64"/>
        </bottom>
      </border>
    </dxf>
    <dxf>
      <fill>
        <patternFill>
          <fgColor indexed="64"/>
          <bgColor theme="0"/>
        </patternFill>
      </fill>
    </dxf>
    <dxf>
      <fill>
        <patternFill>
          <fgColor indexed="64"/>
          <bgColor theme="0"/>
        </patternFill>
      </fill>
      <alignment horizontal="general" vertical="top" textRotation="0" wrapText="1" indent="0" justifyLastLine="0" shrinkToFit="0" readingOrder="0"/>
      <border diagonalUp="0" diagonalDown="0" outline="0">
        <left style="thin">
          <color indexed="64"/>
        </left>
        <right style="thin">
          <color indexed="64"/>
        </right>
        <top/>
        <bottom/>
      </border>
    </dxf>
    <dxf>
      <numFmt numFmtId="174" formatCode="0.000000"/>
      <fill>
        <patternFill patternType="solid">
          <fgColor indexed="64"/>
          <bgColor theme="0"/>
        </patternFill>
      </fill>
    </dxf>
    <dxf>
      <numFmt numFmtId="174" formatCode="0.000000"/>
      <fill>
        <patternFill patternType="solid">
          <fgColor indexed="64"/>
          <bgColor theme="0"/>
        </patternFill>
      </fill>
    </dxf>
    <dxf>
      <numFmt numFmtId="174" formatCode="0.000000"/>
      <fill>
        <patternFill patternType="solid">
          <fgColor indexed="64"/>
          <bgColor theme="0"/>
        </patternFill>
      </fill>
    </dxf>
    <dxf>
      <numFmt numFmtId="174" formatCode="0.000000"/>
      <fill>
        <patternFill patternType="solid">
          <fgColor indexed="64"/>
          <bgColor theme="0"/>
        </patternFill>
      </fill>
    </dxf>
    <dxf>
      <numFmt numFmtId="174" formatCode="0.000000"/>
      <fill>
        <patternFill patternType="solid">
          <fgColor indexed="64"/>
          <bgColor theme="0"/>
        </patternFill>
      </fill>
    </dxf>
    <dxf>
      <numFmt numFmtId="174" formatCode="0.000000"/>
      <fill>
        <patternFill patternType="solid">
          <fgColor indexed="64"/>
          <bgColor theme="0"/>
        </patternFill>
      </fill>
    </dxf>
    <dxf>
      <numFmt numFmtId="174" formatCode="0.000000"/>
      <fill>
        <patternFill patternType="solid">
          <fgColor indexed="64"/>
          <bgColor theme="0"/>
        </patternFill>
      </fill>
    </dxf>
    <dxf>
      <numFmt numFmtId="174" formatCode="0.000000"/>
      <fill>
        <patternFill patternType="solid">
          <fgColor indexed="64"/>
          <bgColor theme="0"/>
        </patternFill>
      </fill>
    </dxf>
    <dxf>
      <fill>
        <patternFill>
          <fgColor indexed="64"/>
          <bgColor theme="0"/>
        </patternFill>
      </fill>
      <alignment horizontal="general" vertical="center" textRotation="0" wrapText="1" indent="0" justifyLastLine="0" shrinkToFit="0" readingOrder="0"/>
      <border diagonalUp="0" diagonalDown="0">
        <left/>
        <right/>
        <top style="thin">
          <color indexed="64"/>
        </top>
        <bottom style="thin">
          <color indexed="64"/>
        </bottom>
      </border>
    </dxf>
    <dxf>
      <border diagonalUp="0" diagonalDown="0">
        <left style="thin">
          <color indexed="64"/>
        </left>
        <right style="thin">
          <color indexed="64"/>
        </right>
        <top style="thin">
          <color indexed="64"/>
        </top>
        <bottom style="thin">
          <color indexed="64"/>
        </bottom>
      </border>
    </dxf>
    <dxf>
      <fill>
        <patternFill>
          <fgColor indexed="64"/>
          <bgColor theme="0"/>
        </patternFill>
      </fill>
    </dxf>
    <dxf>
      <border>
        <bottom style="thin">
          <color indexed="64"/>
        </bottom>
      </border>
    </dxf>
    <dxf>
      <fill>
        <patternFill>
          <fgColor indexed="64"/>
          <bgColor theme="0"/>
        </patternFill>
      </fill>
      <border diagonalUp="0" diagonalDown="0">
        <left style="thin">
          <color indexed="64"/>
        </left>
        <right style="thin">
          <color indexed="64"/>
        </right>
        <top/>
        <bottom/>
        <vertical style="thin">
          <color indexed="64"/>
        </vertical>
        <horizontal style="thin">
          <color indexed="64"/>
        </horizontal>
      </border>
    </dxf>
    <dxf>
      <numFmt numFmtId="174" formatCode="0.000000"/>
      <fill>
        <patternFill patternType="solid">
          <fgColor indexed="64"/>
          <bgColor theme="0"/>
        </patternFill>
      </fill>
    </dxf>
    <dxf>
      <numFmt numFmtId="174" formatCode="0.000000"/>
      <fill>
        <patternFill patternType="solid">
          <fgColor indexed="64"/>
          <bgColor theme="0"/>
        </patternFill>
      </fill>
    </dxf>
    <dxf>
      <numFmt numFmtId="174" formatCode="0.000000"/>
      <fill>
        <patternFill patternType="solid">
          <fgColor indexed="64"/>
          <bgColor theme="0"/>
        </patternFill>
      </fill>
    </dxf>
    <dxf>
      <numFmt numFmtId="174" formatCode="0.000000"/>
      <fill>
        <patternFill patternType="solid">
          <fgColor indexed="64"/>
          <bgColor theme="0"/>
        </patternFill>
      </fill>
    </dxf>
    <dxf>
      <numFmt numFmtId="174" formatCode="0.000000"/>
      <fill>
        <patternFill patternType="solid">
          <fgColor indexed="64"/>
          <bgColor theme="0"/>
        </patternFill>
      </fill>
    </dxf>
    <dxf>
      <numFmt numFmtId="174" formatCode="0.000000"/>
      <fill>
        <patternFill patternType="solid">
          <fgColor indexed="64"/>
          <bgColor theme="0"/>
        </patternFill>
      </fill>
    </dxf>
    <dxf>
      <numFmt numFmtId="174" formatCode="0.000000"/>
      <fill>
        <patternFill patternType="solid">
          <fgColor indexed="64"/>
          <bgColor theme="0"/>
        </patternFill>
      </fill>
    </dxf>
    <dxf>
      <numFmt numFmtId="174" formatCode="0.000000"/>
      <fill>
        <patternFill patternType="solid">
          <fgColor indexed="64"/>
          <bgColor theme="0"/>
        </patternFill>
      </fill>
    </dxf>
    <dxf>
      <numFmt numFmtId="174" formatCode="0.000000"/>
      <fill>
        <patternFill patternType="solid">
          <fgColor indexed="64"/>
          <bgColor theme="0"/>
        </patternFill>
      </fill>
    </dxf>
    <dxf>
      <fill>
        <patternFill>
          <fgColor indexed="64"/>
          <bgColor theme="0"/>
        </patternFill>
      </fill>
      <alignment horizontal="general" vertical="center" textRotation="0" wrapText="1" indent="0" justifyLastLine="0" shrinkToFit="0" readingOrder="0"/>
      <border diagonalUp="0" diagonalDown="0">
        <left/>
        <right/>
        <top style="thin">
          <color indexed="64"/>
        </top>
        <bottom style="thin">
          <color indexed="64"/>
        </bottom>
      </border>
    </dxf>
    <dxf>
      <border diagonalUp="0" diagonalDown="0">
        <left style="thin">
          <color indexed="64"/>
        </left>
        <right style="thin">
          <color indexed="64"/>
        </right>
        <top style="thin">
          <color indexed="64"/>
        </top>
        <bottom style="thin">
          <color indexed="64"/>
        </bottom>
      </border>
    </dxf>
    <dxf>
      <fill>
        <patternFill>
          <fgColor indexed="64"/>
          <bgColor theme="0"/>
        </patternFill>
      </fill>
    </dxf>
    <dxf>
      <border>
        <bottom style="thin">
          <color indexed="64"/>
        </bottom>
      </border>
    </dxf>
    <dxf>
      <fill>
        <patternFill>
          <fgColor indexed="64"/>
          <bgColor theme="0"/>
        </patternFill>
      </fill>
      <border diagonalUp="0" diagonalDown="0">
        <left style="thin">
          <color indexed="64"/>
        </left>
        <right style="thin">
          <color indexed="64"/>
        </right>
        <top/>
        <bottom/>
        <vertical style="thin">
          <color indexed="64"/>
        </vertical>
        <horizontal style="thin">
          <color indexed="64"/>
        </horizontal>
      </border>
    </dxf>
    <dxf>
      <fill>
        <patternFill>
          <fgColor indexed="64"/>
          <bgColor theme="0"/>
        </patternFill>
      </fill>
    </dxf>
    <dxf>
      <fill>
        <patternFill>
          <fgColor indexed="64"/>
          <bgColor theme="0"/>
        </patternFill>
      </fill>
    </dxf>
    <dxf>
      <fill>
        <patternFill>
          <fgColor indexed="64"/>
          <bgColor theme="0"/>
        </patternFill>
      </fill>
    </dxf>
    <dxf>
      <numFmt numFmtId="0" formatCode="General"/>
      <fill>
        <patternFill>
          <fgColor indexed="64"/>
          <bgColor theme="0"/>
        </patternFill>
      </fill>
    </dxf>
    <dxf>
      <fill>
        <patternFill>
          <fgColor indexed="64"/>
          <bgColor theme="0"/>
        </patternFill>
      </fill>
    </dxf>
    <dxf>
      <border diagonalUp="0" diagonalDown="0">
        <left style="thin">
          <color indexed="64"/>
        </left>
        <right style="thin">
          <color indexed="64"/>
        </right>
        <top style="thin">
          <color indexed="64"/>
        </top>
        <bottom style="thin">
          <color indexed="64"/>
        </bottom>
      </border>
    </dxf>
    <dxf>
      <fill>
        <patternFill>
          <fgColor indexed="64"/>
          <bgColor theme="0"/>
        </patternFill>
      </fill>
    </dxf>
    <dxf>
      <fill>
        <patternFill>
          <fgColor indexed="64"/>
          <bgColor theme="0"/>
        </patternFill>
      </fill>
      <alignment horizontal="general" vertical="top"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2F559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65.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externalLink" Target="externalLinks/externalLink11.xml"/><Relationship Id="rId84" Type="http://schemas.openxmlformats.org/officeDocument/2006/relationships/externalLink" Target="externalLinks/externalLink32.xml"/><Relationship Id="rId138" Type="http://schemas.openxmlformats.org/officeDocument/2006/relationships/externalLink" Target="externalLinks/externalLink86.xml"/><Relationship Id="rId159" Type="http://schemas.openxmlformats.org/officeDocument/2006/relationships/externalLink" Target="externalLinks/externalLink107.xml"/><Relationship Id="rId107" Type="http://schemas.openxmlformats.org/officeDocument/2006/relationships/externalLink" Target="externalLinks/externalLink55.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externalLink" Target="externalLinks/externalLink1.xml"/><Relationship Id="rId74" Type="http://schemas.openxmlformats.org/officeDocument/2006/relationships/externalLink" Target="externalLinks/externalLink22.xml"/><Relationship Id="rId128" Type="http://schemas.openxmlformats.org/officeDocument/2006/relationships/externalLink" Target="externalLinks/externalLink76.xml"/><Relationship Id="rId149" Type="http://schemas.openxmlformats.org/officeDocument/2006/relationships/externalLink" Target="externalLinks/externalLink97.xml"/><Relationship Id="rId5" Type="http://schemas.openxmlformats.org/officeDocument/2006/relationships/worksheet" Target="worksheets/sheet5.xml"/><Relationship Id="rId95" Type="http://schemas.openxmlformats.org/officeDocument/2006/relationships/externalLink" Target="externalLinks/externalLink43.xml"/><Relationship Id="rId160" Type="http://schemas.openxmlformats.org/officeDocument/2006/relationships/externalLink" Target="externalLinks/externalLink108.xml"/><Relationship Id="rId22" Type="http://schemas.openxmlformats.org/officeDocument/2006/relationships/worksheet" Target="worksheets/sheet22.xml"/><Relationship Id="rId43" Type="http://schemas.openxmlformats.org/officeDocument/2006/relationships/worksheet" Target="worksheets/sheet43.xml"/><Relationship Id="rId64" Type="http://schemas.openxmlformats.org/officeDocument/2006/relationships/externalLink" Target="externalLinks/externalLink12.xml"/><Relationship Id="rId118" Type="http://schemas.openxmlformats.org/officeDocument/2006/relationships/externalLink" Target="externalLinks/externalLink66.xml"/><Relationship Id="rId139" Type="http://schemas.openxmlformats.org/officeDocument/2006/relationships/externalLink" Target="externalLinks/externalLink87.xml"/><Relationship Id="rId85" Type="http://schemas.openxmlformats.org/officeDocument/2006/relationships/externalLink" Target="externalLinks/externalLink33.xml"/><Relationship Id="rId150" Type="http://schemas.openxmlformats.org/officeDocument/2006/relationships/externalLink" Target="externalLinks/externalLink98.xml"/><Relationship Id="rId12" Type="http://schemas.openxmlformats.org/officeDocument/2006/relationships/worksheet" Target="worksheets/sheet12.xml"/><Relationship Id="rId33" Type="http://schemas.openxmlformats.org/officeDocument/2006/relationships/worksheet" Target="worksheets/sheet33.xml"/><Relationship Id="rId108" Type="http://schemas.openxmlformats.org/officeDocument/2006/relationships/externalLink" Target="externalLinks/externalLink56.xml"/><Relationship Id="rId129" Type="http://schemas.openxmlformats.org/officeDocument/2006/relationships/externalLink" Target="externalLinks/externalLink77.xml"/><Relationship Id="rId54" Type="http://schemas.openxmlformats.org/officeDocument/2006/relationships/externalLink" Target="externalLinks/externalLink2.xml"/><Relationship Id="rId70" Type="http://schemas.openxmlformats.org/officeDocument/2006/relationships/externalLink" Target="externalLinks/externalLink18.xml"/><Relationship Id="rId75" Type="http://schemas.openxmlformats.org/officeDocument/2006/relationships/externalLink" Target="externalLinks/externalLink23.xml"/><Relationship Id="rId91" Type="http://schemas.openxmlformats.org/officeDocument/2006/relationships/externalLink" Target="externalLinks/externalLink39.xml"/><Relationship Id="rId96" Type="http://schemas.openxmlformats.org/officeDocument/2006/relationships/externalLink" Target="externalLinks/externalLink44.xml"/><Relationship Id="rId140" Type="http://schemas.openxmlformats.org/officeDocument/2006/relationships/externalLink" Target="externalLinks/externalLink88.xml"/><Relationship Id="rId145" Type="http://schemas.openxmlformats.org/officeDocument/2006/relationships/externalLink" Target="externalLinks/externalLink93.xml"/><Relationship Id="rId161" Type="http://schemas.openxmlformats.org/officeDocument/2006/relationships/theme" Target="theme/theme1.xml"/><Relationship Id="rId16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externalLink" Target="externalLinks/externalLink62.xml"/><Relationship Id="rId119" Type="http://schemas.openxmlformats.org/officeDocument/2006/relationships/externalLink" Target="externalLinks/externalLink67.xml"/><Relationship Id="rId44" Type="http://schemas.openxmlformats.org/officeDocument/2006/relationships/worksheet" Target="worksheets/sheet44.xml"/><Relationship Id="rId60" Type="http://schemas.openxmlformats.org/officeDocument/2006/relationships/externalLink" Target="externalLinks/externalLink8.xml"/><Relationship Id="rId65" Type="http://schemas.openxmlformats.org/officeDocument/2006/relationships/externalLink" Target="externalLinks/externalLink13.xml"/><Relationship Id="rId81" Type="http://schemas.openxmlformats.org/officeDocument/2006/relationships/externalLink" Target="externalLinks/externalLink29.xml"/><Relationship Id="rId86" Type="http://schemas.openxmlformats.org/officeDocument/2006/relationships/externalLink" Target="externalLinks/externalLink34.xml"/><Relationship Id="rId130" Type="http://schemas.openxmlformats.org/officeDocument/2006/relationships/externalLink" Target="externalLinks/externalLink78.xml"/><Relationship Id="rId135" Type="http://schemas.openxmlformats.org/officeDocument/2006/relationships/externalLink" Target="externalLinks/externalLink83.xml"/><Relationship Id="rId151" Type="http://schemas.openxmlformats.org/officeDocument/2006/relationships/externalLink" Target="externalLinks/externalLink99.xml"/><Relationship Id="rId156" Type="http://schemas.openxmlformats.org/officeDocument/2006/relationships/externalLink" Target="externalLinks/externalLink104.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externalLink" Target="externalLinks/externalLink57.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externalLink" Target="externalLinks/externalLink3.xml"/><Relationship Id="rId76" Type="http://schemas.openxmlformats.org/officeDocument/2006/relationships/externalLink" Target="externalLinks/externalLink24.xml"/><Relationship Id="rId97" Type="http://schemas.openxmlformats.org/officeDocument/2006/relationships/externalLink" Target="externalLinks/externalLink45.xml"/><Relationship Id="rId104" Type="http://schemas.openxmlformats.org/officeDocument/2006/relationships/externalLink" Target="externalLinks/externalLink52.xml"/><Relationship Id="rId120" Type="http://schemas.openxmlformats.org/officeDocument/2006/relationships/externalLink" Target="externalLinks/externalLink68.xml"/><Relationship Id="rId125" Type="http://schemas.openxmlformats.org/officeDocument/2006/relationships/externalLink" Target="externalLinks/externalLink73.xml"/><Relationship Id="rId141" Type="http://schemas.openxmlformats.org/officeDocument/2006/relationships/externalLink" Target="externalLinks/externalLink89.xml"/><Relationship Id="rId146" Type="http://schemas.openxmlformats.org/officeDocument/2006/relationships/externalLink" Target="externalLinks/externalLink94.xml"/><Relationship Id="rId167" Type="http://schemas.openxmlformats.org/officeDocument/2006/relationships/customXml" Target="../customXml/item1.xml"/><Relationship Id="rId7" Type="http://schemas.openxmlformats.org/officeDocument/2006/relationships/worksheet" Target="worksheets/sheet7.xml"/><Relationship Id="rId71" Type="http://schemas.openxmlformats.org/officeDocument/2006/relationships/externalLink" Target="externalLinks/externalLink19.xml"/><Relationship Id="rId92" Type="http://schemas.openxmlformats.org/officeDocument/2006/relationships/externalLink" Target="externalLinks/externalLink40.xml"/><Relationship Id="rId162" Type="http://schemas.openxmlformats.org/officeDocument/2006/relationships/styles" Target="styles.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externalLink" Target="externalLinks/externalLink14.xml"/><Relationship Id="rId87" Type="http://schemas.openxmlformats.org/officeDocument/2006/relationships/externalLink" Target="externalLinks/externalLink35.xml"/><Relationship Id="rId110" Type="http://schemas.openxmlformats.org/officeDocument/2006/relationships/externalLink" Target="externalLinks/externalLink58.xml"/><Relationship Id="rId115" Type="http://schemas.openxmlformats.org/officeDocument/2006/relationships/externalLink" Target="externalLinks/externalLink63.xml"/><Relationship Id="rId131" Type="http://schemas.openxmlformats.org/officeDocument/2006/relationships/externalLink" Target="externalLinks/externalLink79.xml"/><Relationship Id="rId136" Type="http://schemas.openxmlformats.org/officeDocument/2006/relationships/externalLink" Target="externalLinks/externalLink84.xml"/><Relationship Id="rId157" Type="http://schemas.openxmlformats.org/officeDocument/2006/relationships/externalLink" Target="externalLinks/externalLink105.xml"/><Relationship Id="rId61" Type="http://schemas.openxmlformats.org/officeDocument/2006/relationships/externalLink" Target="externalLinks/externalLink9.xml"/><Relationship Id="rId82" Type="http://schemas.openxmlformats.org/officeDocument/2006/relationships/externalLink" Target="externalLinks/externalLink30.xml"/><Relationship Id="rId152" Type="http://schemas.openxmlformats.org/officeDocument/2006/relationships/externalLink" Target="externalLinks/externalLink100.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externalLink" Target="externalLinks/externalLink4.xml"/><Relationship Id="rId77" Type="http://schemas.openxmlformats.org/officeDocument/2006/relationships/externalLink" Target="externalLinks/externalLink25.xml"/><Relationship Id="rId100" Type="http://schemas.openxmlformats.org/officeDocument/2006/relationships/externalLink" Target="externalLinks/externalLink48.xml"/><Relationship Id="rId105" Type="http://schemas.openxmlformats.org/officeDocument/2006/relationships/externalLink" Target="externalLinks/externalLink53.xml"/><Relationship Id="rId126" Type="http://schemas.openxmlformats.org/officeDocument/2006/relationships/externalLink" Target="externalLinks/externalLink74.xml"/><Relationship Id="rId147" Type="http://schemas.openxmlformats.org/officeDocument/2006/relationships/externalLink" Target="externalLinks/externalLink95.xml"/><Relationship Id="rId168" Type="http://schemas.openxmlformats.org/officeDocument/2006/relationships/customXml" Target="../customXml/item2.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externalLink" Target="externalLinks/externalLink20.xml"/><Relationship Id="rId93" Type="http://schemas.openxmlformats.org/officeDocument/2006/relationships/externalLink" Target="externalLinks/externalLink41.xml"/><Relationship Id="rId98" Type="http://schemas.openxmlformats.org/officeDocument/2006/relationships/externalLink" Target="externalLinks/externalLink46.xml"/><Relationship Id="rId121" Type="http://schemas.openxmlformats.org/officeDocument/2006/relationships/externalLink" Target="externalLinks/externalLink69.xml"/><Relationship Id="rId142" Type="http://schemas.openxmlformats.org/officeDocument/2006/relationships/externalLink" Target="externalLinks/externalLink90.xml"/><Relationship Id="rId163" Type="http://schemas.openxmlformats.org/officeDocument/2006/relationships/sharedStrings" Target="sharedStrings.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externalLink" Target="externalLinks/externalLink15.xml"/><Relationship Id="rId116" Type="http://schemas.openxmlformats.org/officeDocument/2006/relationships/externalLink" Target="externalLinks/externalLink64.xml"/><Relationship Id="rId137" Type="http://schemas.openxmlformats.org/officeDocument/2006/relationships/externalLink" Target="externalLinks/externalLink85.xml"/><Relationship Id="rId158" Type="http://schemas.openxmlformats.org/officeDocument/2006/relationships/externalLink" Target="externalLinks/externalLink106.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externalLink" Target="externalLinks/externalLink10.xml"/><Relationship Id="rId83" Type="http://schemas.openxmlformats.org/officeDocument/2006/relationships/externalLink" Target="externalLinks/externalLink31.xml"/><Relationship Id="rId88" Type="http://schemas.openxmlformats.org/officeDocument/2006/relationships/externalLink" Target="externalLinks/externalLink36.xml"/><Relationship Id="rId111" Type="http://schemas.openxmlformats.org/officeDocument/2006/relationships/externalLink" Target="externalLinks/externalLink59.xml"/><Relationship Id="rId132" Type="http://schemas.openxmlformats.org/officeDocument/2006/relationships/externalLink" Target="externalLinks/externalLink80.xml"/><Relationship Id="rId153" Type="http://schemas.openxmlformats.org/officeDocument/2006/relationships/externalLink" Target="externalLinks/externalLink101.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externalLink" Target="externalLinks/externalLink5.xml"/><Relationship Id="rId106" Type="http://schemas.openxmlformats.org/officeDocument/2006/relationships/externalLink" Target="externalLinks/externalLink54.xml"/><Relationship Id="rId127" Type="http://schemas.openxmlformats.org/officeDocument/2006/relationships/externalLink" Target="externalLinks/externalLink75.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externalLink" Target="externalLinks/externalLink21.xml"/><Relationship Id="rId78" Type="http://schemas.openxmlformats.org/officeDocument/2006/relationships/externalLink" Target="externalLinks/externalLink26.xml"/><Relationship Id="rId94" Type="http://schemas.openxmlformats.org/officeDocument/2006/relationships/externalLink" Target="externalLinks/externalLink42.xml"/><Relationship Id="rId99" Type="http://schemas.openxmlformats.org/officeDocument/2006/relationships/externalLink" Target="externalLinks/externalLink47.xml"/><Relationship Id="rId101" Type="http://schemas.openxmlformats.org/officeDocument/2006/relationships/externalLink" Target="externalLinks/externalLink49.xml"/><Relationship Id="rId122" Type="http://schemas.openxmlformats.org/officeDocument/2006/relationships/externalLink" Target="externalLinks/externalLink70.xml"/><Relationship Id="rId143" Type="http://schemas.openxmlformats.org/officeDocument/2006/relationships/externalLink" Target="externalLinks/externalLink91.xml"/><Relationship Id="rId148" Type="http://schemas.openxmlformats.org/officeDocument/2006/relationships/externalLink" Target="externalLinks/externalLink96.xml"/><Relationship Id="rId164" Type="http://schemas.openxmlformats.org/officeDocument/2006/relationships/sheetMetadata" Target="metadata.xml"/><Relationship Id="rId16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externalLink" Target="externalLinks/externalLink16.xml"/><Relationship Id="rId89" Type="http://schemas.openxmlformats.org/officeDocument/2006/relationships/externalLink" Target="externalLinks/externalLink37.xml"/><Relationship Id="rId112" Type="http://schemas.openxmlformats.org/officeDocument/2006/relationships/externalLink" Target="externalLinks/externalLink60.xml"/><Relationship Id="rId133" Type="http://schemas.openxmlformats.org/officeDocument/2006/relationships/externalLink" Target="externalLinks/externalLink81.xml"/><Relationship Id="rId154" Type="http://schemas.openxmlformats.org/officeDocument/2006/relationships/externalLink" Target="externalLinks/externalLink102.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externalLink" Target="externalLinks/externalLink6.xml"/><Relationship Id="rId79" Type="http://schemas.openxmlformats.org/officeDocument/2006/relationships/externalLink" Target="externalLinks/externalLink27.xml"/><Relationship Id="rId102" Type="http://schemas.openxmlformats.org/officeDocument/2006/relationships/externalLink" Target="externalLinks/externalLink50.xml"/><Relationship Id="rId123" Type="http://schemas.openxmlformats.org/officeDocument/2006/relationships/externalLink" Target="externalLinks/externalLink71.xml"/><Relationship Id="rId144" Type="http://schemas.openxmlformats.org/officeDocument/2006/relationships/externalLink" Target="externalLinks/externalLink92.xml"/><Relationship Id="rId90" Type="http://schemas.openxmlformats.org/officeDocument/2006/relationships/externalLink" Target="externalLinks/externalLink38.xml"/><Relationship Id="rId165" Type="http://schemas.microsoft.com/office/2017/10/relationships/person" Target="persons/person.xml"/><Relationship Id="rId27" Type="http://schemas.openxmlformats.org/officeDocument/2006/relationships/worksheet" Target="worksheets/sheet27.xml"/><Relationship Id="rId48" Type="http://schemas.openxmlformats.org/officeDocument/2006/relationships/worksheet" Target="worksheets/sheet48.xml"/><Relationship Id="rId69" Type="http://schemas.openxmlformats.org/officeDocument/2006/relationships/externalLink" Target="externalLinks/externalLink17.xml"/><Relationship Id="rId113" Type="http://schemas.openxmlformats.org/officeDocument/2006/relationships/externalLink" Target="externalLinks/externalLink61.xml"/><Relationship Id="rId134" Type="http://schemas.openxmlformats.org/officeDocument/2006/relationships/externalLink" Target="externalLinks/externalLink82.xml"/><Relationship Id="rId80" Type="http://schemas.openxmlformats.org/officeDocument/2006/relationships/externalLink" Target="externalLinks/externalLink28.xml"/><Relationship Id="rId155" Type="http://schemas.openxmlformats.org/officeDocument/2006/relationships/externalLink" Target="externalLinks/externalLink103.xml"/><Relationship Id="rId17" Type="http://schemas.openxmlformats.org/officeDocument/2006/relationships/worksheet" Target="worksheets/sheet17.xml"/><Relationship Id="rId38" Type="http://schemas.openxmlformats.org/officeDocument/2006/relationships/worksheet" Target="worksheets/sheet38.xml"/><Relationship Id="rId59" Type="http://schemas.openxmlformats.org/officeDocument/2006/relationships/externalLink" Target="externalLinks/externalLink7.xml"/><Relationship Id="rId103" Type="http://schemas.openxmlformats.org/officeDocument/2006/relationships/externalLink" Target="externalLinks/externalLink51.xml"/><Relationship Id="rId124" Type="http://schemas.openxmlformats.org/officeDocument/2006/relationships/externalLink" Target="externalLinks/externalLink7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10.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3.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4.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6.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7.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9.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20.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2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2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2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2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8.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9.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3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3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34.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35.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37.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38.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40.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41.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43.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44.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46.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47.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49.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50.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52.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53.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55.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56.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58.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59.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61.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62.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65.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66.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73.xml.rels><?xml version="1.0" encoding="UTF-8" standalone="yes"?>
<Relationships xmlns="http://schemas.openxmlformats.org/package/2006/relationships"><Relationship Id="rId1" Type="http://schemas.openxmlformats.org/officeDocument/2006/relationships/themeOverride" Target="../theme/themeOverride1.xml"/></Relationships>
</file>

<file path=xl/charts/_rels/chart74.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75.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76.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_rels/chart77.xml.rels><?xml version="1.0" encoding="UTF-8" standalone="yes"?>
<Relationships xmlns="http://schemas.openxmlformats.org/package/2006/relationships"><Relationship Id="rId1" Type="http://schemas.openxmlformats.org/officeDocument/2006/relationships/themeOverride" Target="../theme/themeOverride2.xml"/></Relationships>
</file>

<file path=xl/charts/_rels/chart78.xml.rels><?xml version="1.0" encoding="UTF-8" standalone="yes"?>
<Relationships xmlns="http://schemas.openxmlformats.org/package/2006/relationships"><Relationship Id="rId2" Type="http://schemas.microsoft.com/office/2011/relationships/chartColorStyle" Target="colors48.xml"/><Relationship Id="rId1" Type="http://schemas.microsoft.com/office/2011/relationships/chartStyle" Target="style48.xml"/></Relationships>
</file>

<file path=xl/charts/_rels/chart79.xml.rels><?xml version="1.0" encoding="UTF-8" standalone="yes"?>
<Relationships xmlns="http://schemas.openxmlformats.org/package/2006/relationships"><Relationship Id="rId2" Type="http://schemas.microsoft.com/office/2011/relationships/chartColorStyle" Target="colors49.xml"/><Relationship Id="rId1" Type="http://schemas.microsoft.com/office/2011/relationships/chartStyle" Target="style49.xml"/></Relationships>
</file>

<file path=xl/charts/_rels/chart80.xml.rels><?xml version="1.0" encoding="UTF-8" standalone="yes"?>
<Relationships xmlns="http://schemas.openxmlformats.org/package/2006/relationships"><Relationship Id="rId2" Type="http://schemas.microsoft.com/office/2011/relationships/chartColorStyle" Target="colors50.xml"/><Relationship Id="rId1" Type="http://schemas.microsoft.com/office/2011/relationships/chartStyle" Target="style50.xml"/></Relationships>
</file>

<file path=xl/charts/_rels/chart82.xml.rels><?xml version="1.0" encoding="UTF-8" standalone="yes"?>
<Relationships xmlns="http://schemas.openxmlformats.org/package/2006/relationships"><Relationship Id="rId2" Type="http://schemas.microsoft.com/office/2011/relationships/chartColorStyle" Target="colors51.xml"/><Relationship Id="rId1" Type="http://schemas.microsoft.com/office/2011/relationships/chartStyle" Target="style51.xml"/></Relationships>
</file>

<file path=xl/charts/_rels/chart87.xml.rels><?xml version="1.0" encoding="UTF-8" standalone="yes"?>
<Relationships xmlns="http://schemas.openxmlformats.org/package/2006/relationships"><Relationship Id="rId2" Type="http://schemas.microsoft.com/office/2011/relationships/chartColorStyle" Target="colors52.xml"/><Relationship Id="rId1" Type="http://schemas.microsoft.com/office/2011/relationships/chartStyle" Target="style52.xml"/></Relationships>
</file>

<file path=xl/charts/_rels/chart88.xml.rels><?xml version="1.0" encoding="UTF-8" standalone="yes"?>
<Relationships xmlns="http://schemas.openxmlformats.org/package/2006/relationships"><Relationship Id="rId2" Type="http://schemas.microsoft.com/office/2011/relationships/chartColorStyle" Target="colors53.xml"/><Relationship Id="rId1" Type="http://schemas.microsoft.com/office/2011/relationships/chartStyle" Target="style53.xml"/></Relationships>
</file>

<file path=xl/charts/_rels/chart90.xml.rels><?xml version="1.0" encoding="UTF-8" standalone="yes"?>
<Relationships xmlns="http://schemas.openxmlformats.org/package/2006/relationships"><Relationship Id="rId2" Type="http://schemas.microsoft.com/office/2011/relationships/chartColorStyle" Target="colors54.xml"/><Relationship Id="rId1" Type="http://schemas.microsoft.com/office/2011/relationships/chartStyle" Target="style54.xml"/></Relationships>
</file>

<file path=xl/charts/_rels/chart91.xml.rels><?xml version="1.0" encoding="UTF-8" standalone="yes"?>
<Relationships xmlns="http://schemas.openxmlformats.org/package/2006/relationships"><Relationship Id="rId1" Type="http://schemas.openxmlformats.org/officeDocument/2006/relationships/chartUserShapes" Target="../drawings/drawing26.xml"/></Relationships>
</file>

<file path=xl/charts/_rels/chart92.xml.rels><?xml version="1.0" encoding="UTF-8" standalone="yes"?>
<Relationships xmlns="http://schemas.openxmlformats.org/package/2006/relationships"><Relationship Id="rId1" Type="http://schemas.openxmlformats.org/officeDocument/2006/relationships/chartUserShapes" Target="../drawings/drawing27.xml"/></Relationships>
</file>

<file path=xl/charts/_rels/chart93.xml.rels><?xml version="1.0" encoding="UTF-8" standalone="yes"?>
<Relationships xmlns="http://schemas.openxmlformats.org/package/2006/relationships"><Relationship Id="rId1" Type="http://schemas.openxmlformats.org/officeDocument/2006/relationships/chartUserShapes" Target="../drawings/drawing28.xml"/></Relationships>
</file>

<file path=xl/charts/_rels/chart94.xml.rels><?xml version="1.0" encoding="UTF-8" standalone="yes"?>
<Relationships xmlns="http://schemas.openxmlformats.org/package/2006/relationships"><Relationship Id="rId1" Type="http://schemas.openxmlformats.org/officeDocument/2006/relationships/chartUserShapes" Target="../drawings/drawing2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457409308717575"/>
          <c:y val="4.6087571003560986E-2"/>
          <c:w val="0.82558175067451101"/>
          <c:h val="0.64272676146640684"/>
        </c:manualLayout>
      </c:layout>
      <c:lineChart>
        <c:grouping val="standard"/>
        <c:varyColors val="0"/>
        <c:ser>
          <c:idx val="1"/>
          <c:order val="0"/>
          <c:tx>
            <c:strRef>
              <c:f>'2AT'!$D$45</c:f>
              <c:strCache>
                <c:ptCount val="1"/>
                <c:pt idx="0">
                  <c:v>Observed (National Accounts)</c:v>
                </c:pt>
              </c:strCache>
            </c:strRef>
          </c:tx>
          <c:spPr>
            <a:ln w="25400" cap="rnd">
              <a:solidFill>
                <a:schemeClr val="tx1">
                  <a:lumMod val="65000"/>
                  <a:lumOff val="35000"/>
                </a:schemeClr>
              </a:solidFill>
              <a:prstDash val="sysDash"/>
              <a:round/>
            </a:ln>
            <a:effectLst/>
          </c:spPr>
          <c:marker>
            <c:symbol val="none"/>
          </c:marker>
          <c:cat>
            <c:numRef>
              <c:extLst>
                <c:ext xmlns:c15="http://schemas.microsoft.com/office/drawing/2012/chart" uri="{02D57815-91ED-43cb-92C2-25804820EDAC}">
                  <c15:fullRef>
                    <c15:sqref>'2AT'!$B$46:$B$53</c15:sqref>
                  </c15:fullRef>
                </c:ext>
              </c:extLst>
              <c:f>'2AT'!$B$46:$B$50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'2AT'!$D$46:$D$53</c15:sqref>
                  </c15:fullRef>
                </c:ext>
              </c:extLst>
              <c:f>'2AT'!$D$46:$D$50</c:f>
              <c:numCache>
                <c:formatCode>_-* #,##0_-;\-* #,##0_-;_-* "-"??_-;_-@_-</c:formatCode>
                <c:ptCount val="5"/>
                <c:pt idx="0">
                  <c:v>35423.870975869992</c:v>
                </c:pt>
                <c:pt idx="1">
                  <c:v>33038.60827058</c:v>
                </c:pt>
                <c:pt idx="2">
                  <c:v>35926.165163490004</c:v>
                </c:pt>
                <c:pt idx="3">
                  <c:v>39362.615145670003</c:v>
                </c:pt>
                <c:pt idx="4">
                  <c:v>40476.986698880006</c:v>
                </c:pt>
              </c:numCache>
            </c:numRef>
          </c:val>
          <c:smooth val="0"/>
          <c:extLst>
            <c:ext xmlns:c16="http://schemas.microsoft.com/office/drawing/2014/chart" uri="{C3380CC4-5D6E-409C-BE32-E72D297353CC}">
              <c16:uniqueId val="{00000000-A1E3-46E8-BC63-D4B1E4985CF7}"/>
            </c:ext>
          </c:extLst>
        </c:ser>
        <c:ser>
          <c:idx val="0"/>
          <c:order val="1"/>
          <c:tx>
            <c:strRef>
              <c:f>'2AT'!$C$45</c:f>
              <c:strCache>
                <c:ptCount val="1"/>
                <c:pt idx="0">
                  <c:v>Baseline simulation (before reescaling)</c:v>
                </c:pt>
              </c:strCache>
            </c:strRef>
          </c:tx>
          <c:spPr>
            <a:ln w="25400" cap="rnd">
              <a:noFill/>
              <a:round/>
            </a:ln>
            <a:effectLst/>
          </c:spPr>
          <c:marker>
            <c:symbol val="circle"/>
            <c:size val="8"/>
            <c:spPr>
              <a:solidFill>
                <a:schemeClr val="bg1">
                  <a:lumMod val="85000"/>
                </a:schemeClr>
              </a:solidFill>
              <a:ln w="25400">
                <a:noFill/>
              </a:ln>
              <a:effectLst/>
            </c:spPr>
          </c:marker>
          <c:cat>
            <c:numRef>
              <c:extLst>
                <c:ext xmlns:c15="http://schemas.microsoft.com/office/drawing/2012/chart" uri="{02D57815-91ED-43cb-92C2-25804820EDAC}">
                  <c15:fullRef>
                    <c15:sqref>'2AT'!$B$46:$B$53</c15:sqref>
                  </c15:fullRef>
                </c:ext>
              </c:extLst>
              <c:f>'2AT'!$B$46:$B$50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'2AT'!$C$46:$C$53</c15:sqref>
                  </c15:fullRef>
                </c:ext>
              </c:extLst>
              <c:f>'2AT'!$C$46:$C$50</c:f>
              <c:numCache>
                <c:formatCode>_-* #,##0_-;\-* #,##0_-;_-* "-"??_-;_-@_-</c:formatCode>
                <c:ptCount val="5"/>
                <c:pt idx="0">
                  <c:v>35100.628394222265</c:v>
                </c:pt>
                <c:pt idx="1">
                  <c:v>34142.854579258943</c:v>
                </c:pt>
                <c:pt idx="2">
                  <c:v>35775.171256676265</c:v>
                </c:pt>
                <c:pt idx="3">
                  <c:v>36652.976262777527</c:v>
                </c:pt>
                <c:pt idx="4">
                  <c:v>39318.046383387518</c:v>
                </c:pt>
              </c:numCache>
            </c:numRef>
          </c:val>
          <c:smooth val="0"/>
          <c:extLst>
            <c:ext xmlns:c16="http://schemas.microsoft.com/office/drawing/2014/chart" uri="{C3380CC4-5D6E-409C-BE32-E72D297353CC}">
              <c16:uniqueId val="{00000001-A1E3-46E8-BC63-D4B1E4985CF7}"/>
            </c:ext>
          </c:extLst>
        </c:ser>
        <c:ser>
          <c:idx val="3"/>
          <c:order val="3"/>
          <c:tx>
            <c:strRef>
              <c:f>'2AT'!$F$45</c:f>
              <c:strCache>
                <c:ptCount val="1"/>
                <c:pt idx="0">
                  <c:v>Baseline simulation (after reescaling)</c:v>
                </c:pt>
              </c:strCache>
            </c:strRef>
          </c:tx>
          <c:spPr>
            <a:ln w="25400" cap="rnd">
              <a:noFill/>
              <a:round/>
            </a:ln>
            <a:effectLst/>
          </c:spPr>
          <c:marker>
            <c:symbol val="circle"/>
            <c:size val="7"/>
            <c:spPr>
              <a:solidFill>
                <a:schemeClr val="tx1"/>
              </a:solidFill>
              <a:ln w="9525">
                <a:solidFill>
                  <a:schemeClr val="tx1"/>
                </a:solidFill>
              </a:ln>
              <a:effectLst/>
            </c:spPr>
          </c:marker>
          <c:cat>
            <c:numRef>
              <c:extLst>
                <c:ext xmlns:c15="http://schemas.microsoft.com/office/drawing/2012/chart" uri="{02D57815-91ED-43cb-92C2-25804820EDAC}">
                  <c15:fullRef>
                    <c15:sqref>'2AT'!$B$46:$B$53</c15:sqref>
                  </c15:fullRef>
                </c:ext>
              </c:extLst>
              <c:f>'2AT'!$B$46:$B$50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'2AT'!$F$46:$F$53</c15:sqref>
                  </c15:fullRef>
                </c:ext>
              </c:extLst>
              <c:f>'2AT'!$F$46:$F$50</c:f>
              <c:numCache>
                <c:formatCode>General</c:formatCode>
                <c:ptCount val="5"/>
                <c:pt idx="0" formatCode="_-* #,##0_-;\-* #,##0_-;_-* &quot;-&quot;??_-;_-@_-">
                  <c:v>35423.870975869992</c:v>
                </c:pt>
                <c:pt idx="4" formatCode="_-* #,##0_-;\-* #,##0_-;_-* &quot;-&quot;??_-;_-@_-">
                  <c:v>40476.986698880013</c:v>
                </c:pt>
              </c:numCache>
            </c:numRef>
          </c:val>
          <c:smooth val="0"/>
          <c:extLst>
            <c:ext xmlns:c16="http://schemas.microsoft.com/office/drawing/2014/chart" uri="{C3380CC4-5D6E-409C-BE32-E72D297353CC}">
              <c16:uniqueId val="{00000002-A1E3-46E8-BC63-D4B1E4985CF7}"/>
            </c:ext>
          </c:extLst>
        </c:ser>
        <c:ser>
          <c:idx val="4"/>
          <c:order val="4"/>
          <c:tx>
            <c:strRef>
              <c:f>'2AT'!$G$45</c:f>
              <c:strCache>
                <c:ptCount val="1"/>
                <c:pt idx="0">
                  <c:v>Unchanged legislation since 2019/2023</c:v>
                </c:pt>
              </c:strCache>
            </c:strRef>
          </c:tx>
          <c:spPr>
            <a:ln w="25400" cap="rnd">
              <a:noFill/>
              <a:round/>
            </a:ln>
            <a:effectLst/>
          </c:spPr>
          <c:marker>
            <c:symbol val="circle"/>
            <c:size val="6"/>
            <c:spPr>
              <a:noFill/>
              <a:ln w="25400">
                <a:solidFill>
                  <a:srgbClr val="C00000"/>
                </a:solidFill>
              </a:ln>
              <a:effectLst/>
            </c:spPr>
          </c:marker>
          <c:cat>
            <c:numRef>
              <c:extLst>
                <c:ext xmlns:c15="http://schemas.microsoft.com/office/drawing/2012/chart" uri="{02D57815-91ED-43cb-92C2-25804820EDAC}">
                  <c15:fullRef>
                    <c15:sqref>'2AT'!$B$46:$B$53</c15:sqref>
                  </c15:fullRef>
                </c:ext>
              </c:extLst>
              <c:f>'2AT'!$B$46:$B$50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'2AT'!$G$46:$G$53</c15:sqref>
                  </c15:fullRef>
                </c:ext>
              </c:extLst>
              <c:f>'2AT'!$G$46:$G$50</c:f>
              <c:numCache>
                <c:formatCode>General</c:formatCode>
                <c:ptCount val="5"/>
                <c:pt idx="4" formatCode="_-* #,##0_-;\-* #,##0_-;_-* &quot;-&quot;??_-;_-@_-">
                  <c:v>48322.698877448791</c:v>
                </c:pt>
              </c:numCache>
            </c:numRef>
          </c:val>
          <c:smooth val="0"/>
          <c:extLst>
            <c:ext xmlns:c16="http://schemas.microsoft.com/office/drawing/2014/chart" uri="{C3380CC4-5D6E-409C-BE32-E72D297353CC}">
              <c16:uniqueId val="{00000003-A1E3-46E8-BC63-D4B1E4985CF7}"/>
            </c:ext>
          </c:extLst>
        </c:ser>
        <c:ser>
          <c:idx val="5"/>
          <c:order val="5"/>
          <c:tx>
            <c:strRef>
              <c:f>'2AT'!$H$45</c:f>
              <c:strCache>
                <c:ptCount val="1"/>
                <c:pt idx="0">
                  <c:v>Indexing with tax base growth</c:v>
                </c:pt>
              </c:strCache>
            </c:strRef>
          </c:tx>
          <c:spPr>
            <a:ln w="25400" cap="rnd">
              <a:noFill/>
              <a:round/>
            </a:ln>
            <a:effectLst/>
          </c:spPr>
          <c:marker>
            <c:symbol val="square"/>
            <c:size val="5"/>
            <c:spPr>
              <a:noFill/>
              <a:ln w="25400">
                <a:solidFill>
                  <a:schemeClr val="accent6">
                    <a:lumMod val="75000"/>
                  </a:schemeClr>
                </a:solidFill>
              </a:ln>
              <a:effectLst/>
            </c:spPr>
          </c:marker>
          <c:cat>
            <c:numRef>
              <c:extLst>
                <c:ext xmlns:c15="http://schemas.microsoft.com/office/drawing/2012/chart" uri="{02D57815-91ED-43cb-92C2-25804820EDAC}">
                  <c15:fullRef>
                    <c15:sqref>'2AT'!$B$46:$B$53</c15:sqref>
                  </c15:fullRef>
                </c:ext>
              </c:extLst>
              <c:f>'2AT'!$B$46:$B$50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'2AT'!$H$46:$H$53</c15:sqref>
                  </c15:fullRef>
                </c:ext>
              </c:extLst>
              <c:f>'2AT'!$H$46:$H$50</c:f>
              <c:numCache>
                <c:formatCode>General</c:formatCode>
                <c:ptCount val="5"/>
                <c:pt idx="4" formatCode="_-* #,##0_-;\-* #,##0_-;_-* &quot;-&quot;??_-;_-@_-">
                  <c:v>43032.604891992334</c:v>
                </c:pt>
              </c:numCache>
            </c:numRef>
          </c:val>
          <c:smooth val="0"/>
          <c:extLst>
            <c:ext xmlns:c16="http://schemas.microsoft.com/office/drawing/2014/chart" uri="{C3380CC4-5D6E-409C-BE32-E72D297353CC}">
              <c16:uniqueId val="{00000004-A1E3-46E8-BC63-D4B1E4985CF7}"/>
            </c:ext>
          </c:extLst>
        </c:ser>
        <c:ser>
          <c:idx val="6"/>
          <c:order val="6"/>
          <c:tx>
            <c:strRef>
              <c:f>'2AT'!$I$45</c:f>
              <c:strCache>
                <c:ptCount val="1"/>
                <c:pt idx="0">
                  <c:v>Indexing with lagged HCPI</c:v>
                </c:pt>
              </c:strCache>
            </c:strRef>
          </c:tx>
          <c:spPr>
            <a:ln w="25400" cap="rnd">
              <a:noFill/>
              <a:round/>
            </a:ln>
            <a:effectLst/>
          </c:spPr>
          <c:marker>
            <c:symbol val="diamond"/>
            <c:size val="6"/>
            <c:spPr>
              <a:noFill/>
              <a:ln w="25400">
                <a:solidFill>
                  <a:schemeClr val="accent4"/>
                </a:solidFill>
              </a:ln>
              <a:effectLst/>
            </c:spPr>
          </c:marker>
          <c:cat>
            <c:numRef>
              <c:extLst>
                <c:ext xmlns:c15="http://schemas.microsoft.com/office/drawing/2012/chart" uri="{02D57815-91ED-43cb-92C2-25804820EDAC}">
                  <c15:fullRef>
                    <c15:sqref>'2AT'!$B$46:$B$53</c15:sqref>
                  </c15:fullRef>
                </c:ext>
              </c:extLst>
              <c:f>'2AT'!$B$46:$B$50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'2AT'!$I$46:$I$53</c15:sqref>
                  </c15:fullRef>
                </c:ext>
              </c:extLst>
              <c:f>'2AT'!$I$46:$I$50</c:f>
              <c:numCache>
                <c:formatCode>General</c:formatCode>
                <c:ptCount val="5"/>
                <c:pt idx="4" formatCode="_-* #,##0_-;\-* #,##0_-;_-* &quot;-&quot;??_-;_-@_-">
                  <c:v>43229.425913609746</c:v>
                </c:pt>
              </c:numCache>
            </c:numRef>
          </c:val>
          <c:smooth val="0"/>
          <c:extLst>
            <c:ext xmlns:c16="http://schemas.microsoft.com/office/drawing/2014/chart" uri="{C3380CC4-5D6E-409C-BE32-E72D297353CC}">
              <c16:uniqueId val="{00000005-A1E3-46E8-BC63-D4B1E4985CF7}"/>
            </c:ext>
          </c:extLst>
        </c:ser>
        <c:ser>
          <c:idx val="7"/>
          <c:order val="7"/>
          <c:tx>
            <c:strRef>
              <c:f>'2AT'!$J$45</c:f>
              <c:strCache>
                <c:ptCount val="1"/>
                <c:pt idx="0">
                  <c:v>Indexing with concurrent HCPI</c:v>
                </c:pt>
              </c:strCache>
            </c:strRef>
          </c:tx>
          <c:spPr>
            <a:ln w="25400" cap="rnd">
              <a:noFill/>
              <a:round/>
            </a:ln>
            <a:effectLst/>
          </c:spPr>
          <c:marker>
            <c:symbol val="triangle"/>
            <c:size val="6"/>
            <c:spPr>
              <a:noFill/>
              <a:ln w="25400">
                <a:solidFill>
                  <a:schemeClr val="accent5">
                    <a:lumMod val="75000"/>
                  </a:schemeClr>
                </a:solidFill>
              </a:ln>
              <a:effectLst/>
            </c:spPr>
          </c:marker>
          <c:cat>
            <c:numRef>
              <c:extLst>
                <c:ext xmlns:c15="http://schemas.microsoft.com/office/drawing/2012/chart" uri="{02D57815-91ED-43cb-92C2-25804820EDAC}">
                  <c15:fullRef>
                    <c15:sqref>'2AT'!$B$46:$B$53</c15:sqref>
                  </c15:fullRef>
                </c:ext>
              </c:extLst>
              <c:f>'2AT'!$B$46:$B$50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'2AT'!$J$46:$J$53</c15:sqref>
                  </c15:fullRef>
                </c:ext>
              </c:extLst>
              <c:f>'2AT'!$J$46:$J$50</c:f>
              <c:numCache>
                <c:formatCode>General</c:formatCode>
                <c:ptCount val="5"/>
                <c:pt idx="4" formatCode="_-* #,##0_-;\-* #,##0_-;_-* &quot;-&quot;??_-;_-@_-">
                  <c:v>41006.411085270462</c:v>
                </c:pt>
              </c:numCache>
            </c:numRef>
          </c:val>
          <c:smooth val="0"/>
          <c:extLst>
            <c:ext xmlns:c16="http://schemas.microsoft.com/office/drawing/2014/chart" uri="{C3380CC4-5D6E-409C-BE32-E72D297353CC}">
              <c16:uniqueId val="{00000006-A1E3-46E8-BC63-D4B1E4985CF7}"/>
            </c:ext>
          </c:extLst>
        </c:ser>
        <c:ser>
          <c:idx val="8"/>
          <c:order val="8"/>
          <c:tx>
            <c:strRef>
              <c:f>'2AT'!$K$45</c:f>
              <c:strCache>
                <c:ptCount val="1"/>
                <c:pt idx="0">
                  <c:v>Baseline w/o "indexation measures"</c:v>
                </c:pt>
              </c:strCache>
            </c:strRef>
          </c:tx>
          <c:spPr>
            <a:ln w="28575" cap="rnd">
              <a:noFill/>
              <a:round/>
            </a:ln>
            <a:effectLst/>
          </c:spPr>
          <c:marker>
            <c:symbol val="dash"/>
            <c:size val="9"/>
            <c:spPr>
              <a:solidFill>
                <a:schemeClr val="tx1">
                  <a:lumMod val="65000"/>
                  <a:lumOff val="35000"/>
                </a:schemeClr>
              </a:solidFill>
              <a:ln w="9525">
                <a:solidFill>
                  <a:schemeClr val="tx1">
                    <a:lumMod val="65000"/>
                    <a:lumOff val="35000"/>
                  </a:schemeClr>
                </a:solidFill>
              </a:ln>
              <a:effectLst/>
            </c:spPr>
          </c:marker>
          <c:cat>
            <c:strLit>
              <c:ptCount val="5"/>
              <c:pt idx="0">
                <c:v>2019</c:v>
              </c:pt>
              <c:pt idx="1">
                <c:v>2020</c:v>
              </c:pt>
              <c:pt idx="2">
                <c:v>2021</c:v>
              </c:pt>
              <c:pt idx="3">
                <c:v>2022</c:v>
              </c:pt>
              <c:pt idx="4">
                <c:v>2023</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'2AT'!$K$46:$K$53</c15:sqref>
                  </c15:fullRef>
                </c:ext>
              </c:extLst>
              <c:f>'2AT'!$K$46:$K$50</c:f>
              <c:numCache>
                <c:formatCode>General</c:formatCode>
                <c:ptCount val="5"/>
                <c:pt idx="4" formatCode="_-* #,##0_-;\-* #,##0_-;_-* &quot;-&quot;??_-;_-@_-">
                  <c:v>42644.029540406424</c:v>
                </c:pt>
              </c:numCache>
            </c:numRef>
          </c:val>
          <c:smooth val="0"/>
          <c:extLst>
            <c:ext xmlns:c16="http://schemas.microsoft.com/office/drawing/2014/chart" uri="{C3380CC4-5D6E-409C-BE32-E72D297353CC}">
              <c16:uniqueId val="{00000007-A1E3-46E8-BC63-D4B1E4985CF7}"/>
            </c:ext>
          </c:extLst>
        </c:ser>
        <c:dLbls>
          <c:showLegendKey val="0"/>
          <c:showVal val="0"/>
          <c:showCatName val="0"/>
          <c:showSerName val="0"/>
          <c:showPercent val="0"/>
          <c:showBubbleSize val="0"/>
        </c:dLbls>
        <c:smooth val="0"/>
        <c:axId val="709475840"/>
        <c:axId val="605168576"/>
        <c:extLst>
          <c:ext xmlns:c15="http://schemas.microsoft.com/office/drawing/2012/chart" uri="{02D57815-91ED-43cb-92C2-25804820EDAC}">
            <c15:filteredLineSeries>
              <c15:ser>
                <c:idx val="2"/>
                <c:order val="2"/>
                <c:tx>
                  <c:strRef>
                    <c:extLst>
                      <c:ext uri="{02D57815-91ED-43cb-92C2-25804820EDAC}">
                        <c15:formulaRef>
                          <c15:sqref>'2AT'!$E$45</c15:sqref>
                        </c15:formulaRef>
                      </c:ext>
                    </c:extLst>
                    <c:strCache>
                      <c:ptCount val="1"/>
                      <c:pt idx="0">
                        <c:v>Reescaling factor
</c:v>
                      </c:pt>
                    </c:strCache>
                  </c:strRef>
                </c:tx>
                <c:spPr>
                  <a:ln w="25400" cap="rnd">
                    <a:noFill/>
                    <a:round/>
                  </a:ln>
                  <a:effectLst/>
                </c:spPr>
                <c:marker>
                  <c:symbol val="circle"/>
                  <c:size val="5"/>
                  <c:spPr>
                    <a:solidFill>
                      <a:schemeClr val="accent3"/>
                    </a:solidFill>
                    <a:ln w="9525">
                      <a:solidFill>
                        <a:schemeClr val="accent3"/>
                      </a:solidFill>
                    </a:ln>
                    <a:effectLst/>
                  </c:spPr>
                </c:marker>
                <c:cat>
                  <c:numRef>
                    <c:extLst>
                      <c:ext uri="{02D57815-91ED-43cb-92C2-25804820EDAC}">
                        <c15:fullRef>
                          <c15:sqref>'2AT'!$B$46:$B$53</c15:sqref>
                        </c15:fullRef>
                        <c15:formulaRef>
                          <c15:sqref>'2AT'!$B$46:$B$50</c15:sqref>
                        </c15:formulaRef>
                      </c:ext>
                    </c:extLst>
                    <c:numCache>
                      <c:formatCode>General</c:formatCode>
                      <c:ptCount val="5"/>
                      <c:pt idx="0">
                        <c:v>2019</c:v>
                      </c:pt>
                      <c:pt idx="1">
                        <c:v>2020</c:v>
                      </c:pt>
                      <c:pt idx="2">
                        <c:v>2021</c:v>
                      </c:pt>
                      <c:pt idx="3">
                        <c:v>2022</c:v>
                      </c:pt>
                      <c:pt idx="4">
                        <c:v>2023</c:v>
                      </c:pt>
                    </c:numCache>
                  </c:numRef>
                </c:cat>
                <c:val>
                  <c:numRef>
                    <c:extLst>
                      <c:ext uri="{02D57815-91ED-43cb-92C2-25804820EDAC}">
                        <c15:fullRef>
                          <c15:sqref>'2AT'!$E$46:$E$53</c15:sqref>
                        </c15:fullRef>
                        <c15:formulaRef>
                          <c15:sqref>'2AT'!$E$46:$E$50</c15:sqref>
                        </c15:formulaRef>
                      </c:ext>
                    </c:extLst>
                    <c:numCache>
                      <c:formatCode>General</c:formatCode>
                      <c:ptCount val="5"/>
                    </c:numCache>
                  </c:numRef>
                </c:val>
                <c:smooth val="0"/>
                <c:extLst>
                  <c:ext xmlns:c16="http://schemas.microsoft.com/office/drawing/2014/chart" uri="{C3380CC4-5D6E-409C-BE32-E72D297353CC}">
                    <c16:uniqueId val="{00000008-A1E3-46E8-BC63-D4B1E4985CF7}"/>
                  </c:ext>
                </c:extLst>
              </c15:ser>
            </c15:filteredLineSeries>
          </c:ext>
        </c:extLst>
      </c:lineChart>
      <c:catAx>
        <c:axId val="709475840"/>
        <c:scaling>
          <c:orientation val="minMax"/>
        </c:scaling>
        <c:delete val="0"/>
        <c:axPos val="b"/>
        <c:numFmt formatCode="General" sourceLinked="1"/>
        <c:majorTickMark val="out"/>
        <c:minorTickMark val="none"/>
        <c:tickLblPos val="nextTo"/>
        <c:spPr>
          <a:noFill/>
          <a:ln w="6350" cap="flat" cmpd="sng" algn="ctr">
            <a:solidFill>
              <a:schemeClr val="tx1"/>
            </a:solidFill>
            <a:round/>
          </a:ln>
          <a:effectLst/>
        </c:spPr>
        <c:txPr>
          <a:bodyPr rot="-60000000" spcFirstLastPara="1" vertOverflow="ellipsis" vert="horz" wrap="square" anchor="ctr" anchorCtr="1"/>
          <a:lstStyle/>
          <a:p>
            <a:pPr>
              <a:defRPr sz="950" b="0" i="0" u="none" strike="noStrike" kern="1200" baseline="0">
                <a:solidFill>
                  <a:schemeClr val="tx1"/>
                </a:solidFill>
                <a:latin typeface="Times New Roman" panose="02020603050405020304" pitchFamily="18" charset="0"/>
                <a:ea typeface="+mn-ea"/>
                <a:cs typeface="+mn-cs"/>
              </a:defRPr>
            </a:pPr>
            <a:endParaRPr lang="es-ES_tradnl"/>
          </a:p>
        </c:txPr>
        <c:crossAx val="605168576"/>
        <c:crosses val="autoZero"/>
        <c:auto val="1"/>
        <c:lblAlgn val="ctr"/>
        <c:lblOffset val="100"/>
        <c:noMultiLvlLbl val="0"/>
      </c:catAx>
      <c:valAx>
        <c:axId val="6051685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s-ES_tradnl" sz="1050">
                    <a:solidFill>
                      <a:sysClr val="windowText" lastClr="000000"/>
                    </a:solidFill>
                    <a:latin typeface="Times New Roman" panose="02020603050405020304" pitchFamily="18" charset="0"/>
                    <a:cs typeface="Times New Roman" panose="02020603050405020304" pitchFamily="18" charset="0"/>
                  </a:rPr>
                  <a:t>Million euros</a:t>
                </a:r>
              </a:p>
            </c:rich>
          </c:tx>
          <c:layout>
            <c:manualLayout>
              <c:xMode val="edge"/>
              <c:yMode val="edge"/>
              <c:x val="0"/>
              <c:y val="0.27024653144012073"/>
            </c:manualLayout>
          </c:layout>
          <c:overlay val="0"/>
          <c:spPr>
            <a:noFill/>
            <a:ln>
              <a:noFill/>
            </a:ln>
            <a:effectLst/>
          </c:spPr>
          <c:txPr>
            <a:bodyPr rot="-5400000" spcFirstLastPara="1" vertOverflow="ellipsis" vert="horz" wrap="square" anchor="ctr" anchorCtr="1"/>
            <a:lstStyle/>
            <a:p>
              <a:pPr>
                <a:defRPr sz="10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title>
        <c:numFmt formatCode="#,##0" sourceLinked="0"/>
        <c:majorTickMark val="out"/>
        <c:minorTickMark val="none"/>
        <c:tickLblPos val="nextTo"/>
        <c:spPr>
          <a:noFill/>
          <a:ln w="6350">
            <a:solidFill>
              <a:schemeClr val="tx1">
                <a:lumMod val="65000"/>
                <a:lumOff val="35000"/>
              </a:schemeClr>
            </a:solidFill>
          </a:ln>
          <a:effectLst/>
        </c:spPr>
        <c:txPr>
          <a:bodyPr rot="-60000000" spcFirstLastPara="1" vertOverflow="ellipsis" vert="horz" wrap="square" anchor="ctr" anchorCtr="1"/>
          <a:lstStyle/>
          <a:p>
            <a:pPr>
              <a:defRPr sz="950" b="0" i="0" u="none" strike="noStrike" kern="1200" baseline="0">
                <a:solidFill>
                  <a:schemeClr val="tx1"/>
                </a:solidFill>
                <a:latin typeface="Times New Roman" panose="02020603050405020304" pitchFamily="18" charset="0"/>
                <a:ea typeface="+mn-ea"/>
                <a:cs typeface="+mn-cs"/>
              </a:defRPr>
            </a:pPr>
            <a:endParaRPr lang="es-ES_tradnl"/>
          </a:p>
        </c:txPr>
        <c:crossAx val="709475840"/>
        <c:crosses val="autoZero"/>
        <c:crossBetween val="between"/>
      </c:valAx>
      <c:spPr>
        <a:noFill/>
        <a:ln>
          <a:noFill/>
        </a:ln>
        <a:effectLst/>
      </c:spPr>
    </c:plotArea>
    <c:legend>
      <c:legendPos val="b"/>
      <c:layout>
        <c:manualLayout>
          <c:xMode val="edge"/>
          <c:yMode val="edge"/>
          <c:x val="0"/>
          <c:y val="0.73648087849247201"/>
          <c:w val="1"/>
          <c:h val="0.26351912150752793"/>
        </c:manualLayout>
      </c:layout>
      <c:overlay val="0"/>
      <c:spPr>
        <a:noFill/>
        <a:ln>
          <a:noFill/>
        </a:ln>
        <a:effectLst/>
      </c:spPr>
      <c:txPr>
        <a:bodyPr rot="0" spcFirstLastPara="1" vertOverflow="ellipsis" vert="horz" wrap="square" anchor="ctr" anchorCtr="1"/>
        <a:lstStyle/>
        <a:p>
          <a:pPr>
            <a:defRPr sz="9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legend>
    <c:plotVisOnly val="1"/>
    <c:dispBlanksAs val="gap"/>
    <c:showDLblsOverMax val="0"/>
  </c:chart>
  <c:spPr>
    <a:solidFill>
      <a:schemeClr val="bg1"/>
    </a:solidFill>
    <a:ln w="9525" cap="flat" cmpd="sng" algn="ctr">
      <a:noFill/>
      <a:round/>
    </a:ln>
    <a:effectLst/>
  </c:spPr>
  <c:txPr>
    <a:bodyPr/>
    <a:lstStyle/>
    <a:p>
      <a:pPr>
        <a:defRPr/>
      </a:pPr>
      <a:endParaRPr lang="es-ES_tradnl"/>
    </a:p>
  </c:txPr>
  <c:printSettings>
    <c:headerFooter/>
    <c:pageMargins b="0.75" l="0.25" r="0.25" t="0.75" header="0.3" footer="0.3"/>
    <c:pageSetup paperSize="9"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457409308717575"/>
          <c:y val="4.6087571003560986E-2"/>
          <c:w val="0.82558175067451101"/>
          <c:h val="0.6515011552844524"/>
        </c:manualLayout>
      </c:layout>
      <c:lineChart>
        <c:grouping val="standard"/>
        <c:varyColors val="0"/>
        <c:ser>
          <c:idx val="1"/>
          <c:order val="0"/>
          <c:tx>
            <c:strRef>
              <c:f>'2AT'!$C$64</c:f>
              <c:strCache>
                <c:ptCount val="1"/>
                <c:pt idx="0">
                  <c:v>Baseline simulation
</c:v>
                </c:pt>
              </c:strCache>
            </c:strRef>
          </c:tx>
          <c:spPr>
            <a:ln w="28575" cap="rnd">
              <a:noFill/>
              <a:round/>
            </a:ln>
            <a:effectLst/>
          </c:spPr>
          <c:marker>
            <c:symbol val="circle"/>
            <c:size val="7"/>
            <c:spPr>
              <a:solidFill>
                <a:schemeClr val="tx1"/>
              </a:solidFill>
              <a:ln w="9525">
                <a:noFill/>
              </a:ln>
              <a:effectLst/>
            </c:spPr>
          </c:marker>
          <c:cat>
            <c:numRef>
              <c:extLst>
                <c:ext xmlns:c15="http://schemas.microsoft.com/office/drawing/2012/chart" uri="{02D57815-91ED-43cb-92C2-25804820EDAC}">
                  <c15:fullRef>
                    <c15:sqref>'2AT'!$B$65:$B$72</c15:sqref>
                  </c15:fullRef>
                </c:ext>
              </c:extLst>
              <c:f>'2AT'!$B$65:$B$69</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'2AT'!$C$65:$C$72</c15:sqref>
                  </c15:fullRef>
                </c:ext>
              </c:extLst>
              <c:f>'2AT'!$C$65:$C$69</c:f>
              <c:numCache>
                <c:formatCode>0.00</c:formatCode>
                <c:ptCount val="5"/>
                <c:pt idx="0">
                  <c:v>13.394287195365411</c:v>
                </c:pt>
                <c:pt idx="1">
                  <c:v>12.786396484237439</c:v>
                </c:pt>
                <c:pt idx="2">
                  <c:v>13.033943383386227</c:v>
                </c:pt>
                <c:pt idx="3">
                  <c:v>12.805692552443073</c:v>
                </c:pt>
                <c:pt idx="4">
                  <c:v>12.815526995511552</c:v>
                </c:pt>
              </c:numCache>
            </c:numRef>
          </c:val>
          <c:smooth val="0"/>
          <c:extLst>
            <c:ext xmlns:c16="http://schemas.microsoft.com/office/drawing/2014/chart" uri="{C3380CC4-5D6E-409C-BE32-E72D297353CC}">
              <c16:uniqueId val="{00000000-AAD9-4B76-AB60-0B710FDBB8BD}"/>
            </c:ext>
          </c:extLst>
        </c:ser>
        <c:ser>
          <c:idx val="0"/>
          <c:order val="1"/>
          <c:tx>
            <c:strRef>
              <c:f>'2AT'!$D$64</c:f>
              <c:strCache>
                <c:ptCount val="1"/>
                <c:pt idx="0">
                  <c:v>Legislation unchanged since 2019/2023</c:v>
                </c:pt>
              </c:strCache>
            </c:strRef>
          </c:tx>
          <c:spPr>
            <a:ln w="28575" cap="rnd">
              <a:noFill/>
              <a:round/>
            </a:ln>
            <a:effectLst/>
          </c:spPr>
          <c:marker>
            <c:symbol val="circle"/>
            <c:size val="7"/>
            <c:spPr>
              <a:noFill/>
              <a:ln w="25400">
                <a:solidFill>
                  <a:srgbClr val="C00000"/>
                </a:solidFill>
              </a:ln>
              <a:effectLst/>
            </c:spPr>
          </c:marker>
          <c:cat>
            <c:numRef>
              <c:extLst>
                <c:ext xmlns:c15="http://schemas.microsoft.com/office/drawing/2012/chart" uri="{02D57815-91ED-43cb-92C2-25804820EDAC}">
                  <c15:fullRef>
                    <c15:sqref>'2AT'!$B$65:$B$72</c15:sqref>
                  </c15:fullRef>
                </c:ext>
              </c:extLst>
              <c:f>'2AT'!$B$65:$B$69</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'2AT'!$D$65:$D$72</c15:sqref>
                  </c15:fullRef>
                </c:ext>
              </c:extLst>
              <c:f>'2AT'!$D$65:$D$69</c:f>
              <c:numCache>
                <c:formatCode>0.00%</c:formatCode>
                <c:ptCount val="5"/>
                <c:pt idx="4" formatCode="0.00">
                  <c:v>15.299578908057802</c:v>
                </c:pt>
              </c:numCache>
            </c:numRef>
          </c:val>
          <c:smooth val="0"/>
          <c:extLst>
            <c:ext xmlns:c16="http://schemas.microsoft.com/office/drawing/2014/chart" uri="{C3380CC4-5D6E-409C-BE32-E72D297353CC}">
              <c16:uniqueId val="{00000001-AAD9-4B76-AB60-0B710FDBB8BD}"/>
            </c:ext>
          </c:extLst>
        </c:ser>
        <c:ser>
          <c:idx val="2"/>
          <c:order val="2"/>
          <c:tx>
            <c:strRef>
              <c:f>'2AT'!$E$64</c:f>
              <c:strCache>
                <c:ptCount val="1"/>
                <c:pt idx="0">
                  <c:v>Index with tax base growth</c:v>
                </c:pt>
              </c:strCache>
            </c:strRef>
          </c:tx>
          <c:spPr>
            <a:ln w="28575" cap="rnd">
              <a:noFill/>
              <a:round/>
            </a:ln>
            <a:effectLst/>
          </c:spPr>
          <c:marker>
            <c:symbol val="square"/>
            <c:size val="6"/>
            <c:spPr>
              <a:noFill/>
              <a:ln w="25400">
                <a:solidFill>
                  <a:schemeClr val="accent6">
                    <a:lumMod val="75000"/>
                  </a:schemeClr>
                </a:solidFill>
              </a:ln>
              <a:effectLst/>
            </c:spPr>
          </c:marker>
          <c:cat>
            <c:numRef>
              <c:extLst>
                <c:ext xmlns:c15="http://schemas.microsoft.com/office/drawing/2012/chart" uri="{02D57815-91ED-43cb-92C2-25804820EDAC}">
                  <c15:fullRef>
                    <c15:sqref>'2AT'!$B$65:$B$72</c15:sqref>
                  </c15:fullRef>
                </c:ext>
              </c:extLst>
              <c:f>'2AT'!$B$65:$B$69</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'2AT'!$E$65:$E$72</c15:sqref>
                  </c15:fullRef>
                </c:ext>
              </c:extLst>
              <c:f>'2AT'!$E$65:$E$69</c:f>
              <c:numCache>
                <c:formatCode>0.00%</c:formatCode>
                <c:ptCount val="5"/>
                <c:pt idx="4" formatCode="0.00">
                  <c:v>13.624668105439028</c:v>
                </c:pt>
              </c:numCache>
            </c:numRef>
          </c:val>
          <c:smooth val="0"/>
          <c:extLst xmlns:c15="http://schemas.microsoft.com/office/drawing/2012/chart">
            <c:ext xmlns:c16="http://schemas.microsoft.com/office/drawing/2014/chart" uri="{C3380CC4-5D6E-409C-BE32-E72D297353CC}">
              <c16:uniqueId val="{00000002-AAD9-4B76-AB60-0B710FDBB8BD}"/>
            </c:ext>
          </c:extLst>
        </c:ser>
        <c:ser>
          <c:idx val="3"/>
          <c:order val="3"/>
          <c:tx>
            <c:strRef>
              <c:f>'2AT'!$F$64</c:f>
              <c:strCache>
                <c:ptCount val="1"/>
                <c:pt idx="0">
                  <c:v>Index with lagged HCPI</c:v>
                </c:pt>
              </c:strCache>
            </c:strRef>
          </c:tx>
          <c:spPr>
            <a:ln w="28575" cap="rnd">
              <a:noFill/>
              <a:round/>
            </a:ln>
            <a:effectLst/>
          </c:spPr>
          <c:marker>
            <c:symbol val="diamond"/>
            <c:size val="7"/>
            <c:spPr>
              <a:noFill/>
              <a:ln w="25400">
                <a:solidFill>
                  <a:schemeClr val="accent4"/>
                </a:solidFill>
              </a:ln>
              <a:effectLst/>
            </c:spPr>
          </c:marker>
          <c:cat>
            <c:numRef>
              <c:extLst>
                <c:ext xmlns:c15="http://schemas.microsoft.com/office/drawing/2012/chart" uri="{02D57815-91ED-43cb-92C2-25804820EDAC}">
                  <c15:fullRef>
                    <c15:sqref>'2AT'!$B$65:$B$72</c15:sqref>
                  </c15:fullRef>
                </c:ext>
              </c:extLst>
              <c:f>'2AT'!$B$65:$B$69</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'2AT'!$F$65:$F$72</c15:sqref>
                  </c15:fullRef>
                </c:ext>
              </c:extLst>
              <c:f>'2AT'!$F$65:$F$69</c:f>
              <c:numCache>
                <c:formatCode>0.00%</c:formatCode>
                <c:ptCount val="5"/>
                <c:pt idx="4" formatCode="0.00">
                  <c:v>13.686984135399133</c:v>
                </c:pt>
              </c:numCache>
            </c:numRef>
          </c:val>
          <c:smooth val="0"/>
          <c:extLst>
            <c:ext xmlns:c16="http://schemas.microsoft.com/office/drawing/2014/chart" uri="{C3380CC4-5D6E-409C-BE32-E72D297353CC}">
              <c16:uniqueId val="{00000003-AAD9-4B76-AB60-0B710FDBB8BD}"/>
            </c:ext>
          </c:extLst>
        </c:ser>
        <c:ser>
          <c:idx val="4"/>
          <c:order val="4"/>
          <c:tx>
            <c:strRef>
              <c:f>'2AT'!$G$64</c:f>
              <c:strCache>
                <c:ptCount val="1"/>
                <c:pt idx="0">
                  <c:v>Index with concurrent HCPI</c:v>
                </c:pt>
              </c:strCache>
            </c:strRef>
          </c:tx>
          <c:spPr>
            <a:ln w="28575" cap="rnd">
              <a:noFill/>
              <a:round/>
            </a:ln>
            <a:effectLst/>
          </c:spPr>
          <c:marker>
            <c:symbol val="triangle"/>
            <c:size val="6"/>
            <c:spPr>
              <a:noFill/>
              <a:ln w="25400">
                <a:solidFill>
                  <a:schemeClr val="accent5">
                    <a:lumMod val="75000"/>
                  </a:schemeClr>
                </a:solidFill>
              </a:ln>
              <a:effectLst/>
            </c:spPr>
          </c:marker>
          <c:cat>
            <c:numRef>
              <c:extLst>
                <c:ext xmlns:c15="http://schemas.microsoft.com/office/drawing/2012/chart" uri="{02D57815-91ED-43cb-92C2-25804820EDAC}">
                  <c15:fullRef>
                    <c15:sqref>'2AT'!$B$65:$B$72</c15:sqref>
                  </c15:fullRef>
                </c:ext>
              </c:extLst>
              <c:f>'2AT'!$B$65:$B$69</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'2AT'!$G$65:$G$72</c15:sqref>
                  </c15:fullRef>
                </c:ext>
              </c:extLst>
              <c:f>'2AT'!$G$65:$G$69</c:f>
              <c:numCache>
                <c:formatCode>0.00%</c:formatCode>
                <c:ptCount val="5"/>
                <c:pt idx="4" formatCode="0.00">
                  <c:v>12.983149466184665</c:v>
                </c:pt>
              </c:numCache>
            </c:numRef>
          </c:val>
          <c:smooth val="0"/>
          <c:extLst>
            <c:ext xmlns:c16="http://schemas.microsoft.com/office/drawing/2014/chart" uri="{C3380CC4-5D6E-409C-BE32-E72D297353CC}">
              <c16:uniqueId val="{00000004-AAD9-4B76-AB60-0B710FDBB8BD}"/>
            </c:ext>
          </c:extLst>
        </c:ser>
        <c:dLbls>
          <c:showLegendKey val="0"/>
          <c:showVal val="0"/>
          <c:showCatName val="0"/>
          <c:showSerName val="0"/>
          <c:showPercent val="0"/>
          <c:showBubbleSize val="0"/>
        </c:dLbls>
        <c:marker val="1"/>
        <c:smooth val="0"/>
        <c:axId val="709475840"/>
        <c:axId val="605168576"/>
        <c:extLst/>
      </c:lineChart>
      <c:catAx>
        <c:axId val="709475840"/>
        <c:scaling>
          <c:orientation val="minMax"/>
        </c:scaling>
        <c:delete val="0"/>
        <c:axPos val="b"/>
        <c:numFmt formatCode="General" sourceLinked="1"/>
        <c:majorTickMark val="out"/>
        <c:minorTickMark val="none"/>
        <c:tickLblPos val="nextTo"/>
        <c:spPr>
          <a:noFill/>
          <a:ln w="635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mn-cs"/>
              </a:defRPr>
            </a:pPr>
            <a:endParaRPr lang="es-ES_tradnl"/>
          </a:p>
        </c:txPr>
        <c:crossAx val="605168576"/>
        <c:crosses val="autoZero"/>
        <c:auto val="1"/>
        <c:lblAlgn val="ctr"/>
        <c:lblOffset val="100"/>
        <c:noMultiLvlLbl val="0"/>
      </c:catAx>
      <c:valAx>
        <c:axId val="6051685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s-ES_tradnl" sz="1050">
                    <a:solidFill>
                      <a:sysClr val="windowText" lastClr="000000"/>
                    </a:solidFill>
                    <a:latin typeface="Times New Roman" panose="02020603050405020304" pitchFamily="18" charset="0"/>
                    <a:cs typeface="Times New Roman" panose="02020603050405020304" pitchFamily="18" charset="0"/>
                  </a:rPr>
                  <a:t>Rate</a:t>
                </a:r>
              </a:p>
            </c:rich>
          </c:tx>
          <c:overlay val="0"/>
          <c:spPr>
            <a:noFill/>
            <a:ln>
              <a:noFill/>
            </a:ln>
            <a:effectLst/>
          </c:spPr>
          <c:txPr>
            <a:bodyPr rot="-5400000" spcFirstLastPara="1" vertOverflow="ellipsis" vert="horz" wrap="square" anchor="ctr" anchorCtr="1"/>
            <a:lstStyle/>
            <a:p>
              <a:pPr>
                <a:defRPr sz="10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title>
        <c:numFmt formatCode="#,##0.0" sourceLinked="0"/>
        <c:majorTickMark val="out"/>
        <c:minorTickMark val="none"/>
        <c:tickLblPos val="nextTo"/>
        <c:spPr>
          <a:noFill/>
          <a:ln w="6350">
            <a:solidFill>
              <a:schemeClr val="tx1">
                <a:lumMod val="65000"/>
                <a:lumOff val="35000"/>
              </a:schemeClr>
            </a:solidFill>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mn-cs"/>
              </a:defRPr>
            </a:pPr>
            <a:endParaRPr lang="es-ES_tradnl"/>
          </a:p>
        </c:txPr>
        <c:crossAx val="709475840"/>
        <c:crosses val="autoZero"/>
        <c:crossBetween val="between"/>
      </c:valAx>
      <c:spPr>
        <a:noFill/>
        <a:ln>
          <a:noFill/>
        </a:ln>
        <a:effectLst/>
      </c:spPr>
    </c:plotArea>
    <c:legend>
      <c:legendPos val="b"/>
      <c:layout>
        <c:manualLayout>
          <c:xMode val="edge"/>
          <c:yMode val="edge"/>
          <c:x val="8.1926620958132398E-2"/>
          <c:y val="0.78900773467278962"/>
          <c:w val="0.8223310520657221"/>
          <c:h val="0.1997652991480407"/>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legend>
    <c:plotVisOnly val="1"/>
    <c:dispBlanksAs val="gap"/>
    <c:showDLblsOverMax val="0"/>
  </c:chart>
  <c:spPr>
    <a:solidFill>
      <a:schemeClr val="bg1"/>
    </a:solidFill>
    <a:ln w="9525" cap="flat" cmpd="sng" algn="ctr">
      <a:noFill/>
      <a:round/>
    </a:ln>
    <a:effectLst/>
  </c:spPr>
  <c:txPr>
    <a:bodyPr/>
    <a:lstStyle/>
    <a:p>
      <a:pPr>
        <a:defRPr/>
      </a:pPr>
      <a:endParaRPr lang="es-ES_tradnl"/>
    </a:p>
  </c:txPr>
  <c:printSettings>
    <c:headerFooter/>
    <c:pageMargins b="0.75" l="0.84" r="0.25" t="0.75" header="0.3" footer="0.3"/>
    <c:pageSetup paperSize="9" orientation="landscape"/>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457409308717575"/>
          <c:y val="4.6087571003560986E-2"/>
          <c:w val="0.82558175067451101"/>
          <c:h val="0.64272676146640684"/>
        </c:manualLayout>
      </c:layout>
      <c:lineChart>
        <c:grouping val="standard"/>
        <c:varyColors val="0"/>
        <c:ser>
          <c:idx val="1"/>
          <c:order val="0"/>
          <c:tx>
            <c:strRef>
              <c:f>'2AT'!$W$45</c:f>
              <c:strCache>
                <c:ptCount val="1"/>
                <c:pt idx="0">
                  <c:v>Observed (National Accounts)</c:v>
                </c:pt>
              </c:strCache>
            </c:strRef>
          </c:tx>
          <c:spPr>
            <a:ln w="25400" cap="rnd">
              <a:solidFill>
                <a:schemeClr val="tx1">
                  <a:lumMod val="65000"/>
                  <a:lumOff val="35000"/>
                </a:schemeClr>
              </a:solidFill>
              <a:prstDash val="sysDash"/>
              <a:round/>
            </a:ln>
            <a:effectLst/>
          </c:spPr>
          <c:marker>
            <c:symbol val="none"/>
          </c:marker>
          <c:cat>
            <c:numRef>
              <c:extLst>
                <c:ext xmlns:c15="http://schemas.microsoft.com/office/drawing/2012/chart" uri="{02D57815-91ED-43cb-92C2-25804820EDAC}">
                  <c15:fullRef>
                    <c15:sqref>'2AT'!$U$46:$U$53</c15:sqref>
                  </c15:fullRef>
                </c:ext>
              </c:extLst>
              <c:f>'2AT'!$U$46:$U$50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'2AT'!$W$46:$W$53</c15:sqref>
                  </c15:fullRef>
                </c:ext>
              </c:extLst>
              <c:f>'2AT'!$W$46:$W$50</c:f>
              <c:numCache>
                <c:formatCode>0.0%</c:formatCode>
                <c:ptCount val="5"/>
                <c:pt idx="0">
                  <c:v>8.9520507756752257E-2</c:v>
                </c:pt>
                <c:pt idx="1">
                  <c:v>8.6871036327855491E-2</c:v>
                </c:pt>
                <c:pt idx="2">
                  <c:v>8.8437541790846591E-2</c:v>
                </c:pt>
                <c:pt idx="3">
                  <c:v>8.786152008978311E-2</c:v>
                </c:pt>
                <c:pt idx="4">
                  <c:v>8.5534026695513118E-2</c:v>
                </c:pt>
              </c:numCache>
            </c:numRef>
          </c:val>
          <c:smooth val="0"/>
          <c:extLst>
            <c:ext xmlns:c16="http://schemas.microsoft.com/office/drawing/2014/chart" uri="{C3380CC4-5D6E-409C-BE32-E72D297353CC}">
              <c16:uniqueId val="{00000000-9274-4B7C-8114-87BB28FDE78F}"/>
            </c:ext>
          </c:extLst>
        </c:ser>
        <c:ser>
          <c:idx val="0"/>
          <c:order val="1"/>
          <c:tx>
            <c:strRef>
              <c:f>'2AT'!$V$45</c:f>
              <c:strCache>
                <c:ptCount val="1"/>
                <c:pt idx="0">
                  <c:v>Baseline simulation (before reescaling)</c:v>
                </c:pt>
              </c:strCache>
            </c:strRef>
          </c:tx>
          <c:spPr>
            <a:ln w="25400" cap="rnd">
              <a:noFill/>
              <a:round/>
            </a:ln>
            <a:effectLst/>
          </c:spPr>
          <c:marker>
            <c:symbol val="circle"/>
            <c:size val="8"/>
            <c:spPr>
              <a:solidFill>
                <a:schemeClr val="bg1">
                  <a:lumMod val="85000"/>
                </a:schemeClr>
              </a:solidFill>
              <a:ln w="25400">
                <a:noFill/>
              </a:ln>
              <a:effectLst/>
            </c:spPr>
          </c:marker>
          <c:cat>
            <c:numRef>
              <c:extLst>
                <c:ext xmlns:c15="http://schemas.microsoft.com/office/drawing/2012/chart" uri="{02D57815-91ED-43cb-92C2-25804820EDAC}">
                  <c15:fullRef>
                    <c15:sqref>'2AT'!$U$46:$U$53</c15:sqref>
                  </c15:fullRef>
                </c:ext>
              </c:extLst>
              <c:f>'2AT'!$U$46:$U$50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'2AT'!$V$46:$V$53</c15:sqref>
                  </c15:fullRef>
                </c:ext>
              </c:extLst>
              <c:f>'2AT'!$V$46:$V$50</c:f>
              <c:numCache>
                <c:formatCode>0.0%</c:formatCode>
                <c:ptCount val="5"/>
                <c:pt idx="0">
                  <c:v>8.8703633732526627E-2</c:v>
                </c:pt>
                <c:pt idx="1">
                  <c:v>8.9774518835669503E-2</c:v>
                </c:pt>
                <c:pt idx="2">
                  <c:v>8.8065848071708044E-2</c:v>
                </c:pt>
                <c:pt idx="3">
                  <c:v>8.1813319525255737E-2</c:v>
                </c:pt>
                <c:pt idx="4">
                  <c:v>8.3085009612762162E-2</c:v>
                </c:pt>
              </c:numCache>
            </c:numRef>
          </c:val>
          <c:smooth val="0"/>
          <c:extLst>
            <c:ext xmlns:c16="http://schemas.microsoft.com/office/drawing/2014/chart" uri="{C3380CC4-5D6E-409C-BE32-E72D297353CC}">
              <c16:uniqueId val="{00000001-9274-4B7C-8114-87BB28FDE78F}"/>
            </c:ext>
          </c:extLst>
        </c:ser>
        <c:ser>
          <c:idx val="3"/>
          <c:order val="2"/>
          <c:tx>
            <c:strRef>
              <c:f>'2AT'!$Y$45</c:f>
              <c:strCache>
                <c:ptCount val="1"/>
                <c:pt idx="0">
                  <c:v>Baseline simulation (after reescaling)</c:v>
                </c:pt>
              </c:strCache>
            </c:strRef>
          </c:tx>
          <c:spPr>
            <a:ln w="25400" cap="rnd">
              <a:noFill/>
              <a:round/>
            </a:ln>
            <a:effectLst/>
          </c:spPr>
          <c:marker>
            <c:symbol val="circle"/>
            <c:size val="7"/>
            <c:spPr>
              <a:solidFill>
                <a:schemeClr val="tx1"/>
              </a:solidFill>
              <a:ln w="9525">
                <a:solidFill>
                  <a:schemeClr val="tx1"/>
                </a:solidFill>
              </a:ln>
              <a:effectLst/>
            </c:spPr>
          </c:marker>
          <c:cat>
            <c:numRef>
              <c:extLst>
                <c:ext xmlns:c15="http://schemas.microsoft.com/office/drawing/2012/chart" uri="{02D57815-91ED-43cb-92C2-25804820EDAC}">
                  <c15:fullRef>
                    <c15:sqref>'2AT'!$U$46:$U$53</c15:sqref>
                  </c15:fullRef>
                </c:ext>
              </c:extLst>
              <c:f>'2AT'!$U$46:$U$50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'2AT'!$Y$46:$Y$53</c15:sqref>
                  </c15:fullRef>
                </c:ext>
              </c:extLst>
              <c:f>'2AT'!$Y$46:$Y$50</c:f>
              <c:numCache>
                <c:formatCode>0.0%</c:formatCode>
                <c:ptCount val="5"/>
                <c:pt idx="0">
                  <c:v>8.9520507756752257E-2</c:v>
                </c:pt>
                <c:pt idx="4">
                  <c:v>8.5534026695513146E-2</c:v>
                </c:pt>
              </c:numCache>
            </c:numRef>
          </c:val>
          <c:smooth val="0"/>
          <c:extLst>
            <c:ext xmlns:c16="http://schemas.microsoft.com/office/drawing/2014/chart" uri="{C3380CC4-5D6E-409C-BE32-E72D297353CC}">
              <c16:uniqueId val="{00000002-9274-4B7C-8114-87BB28FDE78F}"/>
            </c:ext>
          </c:extLst>
        </c:ser>
        <c:ser>
          <c:idx val="4"/>
          <c:order val="3"/>
          <c:tx>
            <c:strRef>
              <c:f>'2AT'!$Z$45</c:f>
              <c:strCache>
                <c:ptCount val="1"/>
                <c:pt idx="0">
                  <c:v>Unchanged legislation since 2019/2023</c:v>
                </c:pt>
              </c:strCache>
            </c:strRef>
          </c:tx>
          <c:spPr>
            <a:ln w="25400" cap="rnd">
              <a:noFill/>
              <a:round/>
            </a:ln>
            <a:effectLst/>
          </c:spPr>
          <c:marker>
            <c:symbol val="circle"/>
            <c:size val="6"/>
            <c:spPr>
              <a:noFill/>
              <a:ln w="25400">
                <a:solidFill>
                  <a:srgbClr val="C00000"/>
                </a:solidFill>
              </a:ln>
              <a:effectLst/>
            </c:spPr>
          </c:marker>
          <c:cat>
            <c:numRef>
              <c:extLst>
                <c:ext xmlns:c15="http://schemas.microsoft.com/office/drawing/2012/chart" uri="{02D57815-91ED-43cb-92C2-25804820EDAC}">
                  <c15:fullRef>
                    <c15:sqref>'2AT'!$U$46:$U$53</c15:sqref>
                  </c15:fullRef>
                </c:ext>
              </c:extLst>
              <c:f>'2AT'!$U$46:$U$50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'2AT'!$Z$46:$Z$53</c15:sqref>
                  </c15:fullRef>
                </c:ext>
              </c:extLst>
              <c:f>'2AT'!$Z$46:$Z$50</c:f>
              <c:numCache>
                <c:formatCode>0.0%</c:formatCode>
                <c:ptCount val="5"/>
                <c:pt idx="4">
                  <c:v>0.10211320932882866</c:v>
                </c:pt>
              </c:numCache>
            </c:numRef>
          </c:val>
          <c:smooth val="0"/>
          <c:extLst>
            <c:ext xmlns:c16="http://schemas.microsoft.com/office/drawing/2014/chart" uri="{C3380CC4-5D6E-409C-BE32-E72D297353CC}">
              <c16:uniqueId val="{00000003-9274-4B7C-8114-87BB28FDE78F}"/>
            </c:ext>
          </c:extLst>
        </c:ser>
        <c:ser>
          <c:idx val="5"/>
          <c:order val="4"/>
          <c:tx>
            <c:strRef>
              <c:f>'2AT'!$AA$45</c:f>
              <c:strCache>
                <c:ptCount val="1"/>
                <c:pt idx="0">
                  <c:v>Indexing with tax base growth</c:v>
                </c:pt>
              </c:strCache>
            </c:strRef>
          </c:tx>
          <c:spPr>
            <a:ln w="25400" cap="rnd">
              <a:noFill/>
              <a:round/>
            </a:ln>
            <a:effectLst/>
          </c:spPr>
          <c:marker>
            <c:symbol val="square"/>
            <c:size val="5"/>
            <c:spPr>
              <a:noFill/>
              <a:ln w="25400">
                <a:solidFill>
                  <a:schemeClr val="accent6">
                    <a:lumMod val="75000"/>
                  </a:schemeClr>
                </a:solidFill>
              </a:ln>
              <a:effectLst/>
            </c:spPr>
          </c:marker>
          <c:cat>
            <c:numRef>
              <c:extLst>
                <c:ext xmlns:c15="http://schemas.microsoft.com/office/drawing/2012/chart" uri="{02D57815-91ED-43cb-92C2-25804820EDAC}">
                  <c15:fullRef>
                    <c15:sqref>'2AT'!$U$46:$U$53</c15:sqref>
                  </c15:fullRef>
                </c:ext>
              </c:extLst>
              <c:f>'2AT'!$U$46:$U$50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'2AT'!$AA$46:$AA$53</c15:sqref>
                  </c15:fullRef>
                </c:ext>
              </c:extLst>
              <c:f>'2AT'!$AA$46:$AA$50</c:f>
              <c:numCache>
                <c:formatCode>0.0%</c:formatCode>
                <c:ptCount val="5"/>
                <c:pt idx="4">
                  <c:v>9.0934436473527974E-2</c:v>
                </c:pt>
              </c:numCache>
            </c:numRef>
          </c:val>
          <c:smooth val="0"/>
          <c:extLst>
            <c:ext xmlns:c16="http://schemas.microsoft.com/office/drawing/2014/chart" uri="{C3380CC4-5D6E-409C-BE32-E72D297353CC}">
              <c16:uniqueId val="{00000004-9274-4B7C-8114-87BB28FDE78F}"/>
            </c:ext>
          </c:extLst>
        </c:ser>
        <c:ser>
          <c:idx val="6"/>
          <c:order val="5"/>
          <c:tx>
            <c:strRef>
              <c:f>'2AT'!$AB$45</c:f>
              <c:strCache>
                <c:ptCount val="1"/>
                <c:pt idx="0">
                  <c:v>Indexing with lagged HCPI</c:v>
                </c:pt>
              </c:strCache>
            </c:strRef>
          </c:tx>
          <c:spPr>
            <a:ln w="25400" cap="rnd">
              <a:noFill/>
              <a:round/>
            </a:ln>
            <a:effectLst/>
          </c:spPr>
          <c:marker>
            <c:symbol val="diamond"/>
            <c:size val="6"/>
            <c:spPr>
              <a:noFill/>
              <a:ln w="25400">
                <a:solidFill>
                  <a:schemeClr val="accent4"/>
                </a:solidFill>
              </a:ln>
              <a:effectLst/>
            </c:spPr>
          </c:marker>
          <c:cat>
            <c:numRef>
              <c:extLst>
                <c:ext xmlns:c15="http://schemas.microsoft.com/office/drawing/2012/chart" uri="{02D57815-91ED-43cb-92C2-25804820EDAC}">
                  <c15:fullRef>
                    <c15:sqref>'2AT'!$U$46:$U$53</c15:sqref>
                  </c15:fullRef>
                </c:ext>
              </c:extLst>
              <c:f>'2AT'!$U$46:$U$50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'2AT'!$AB$46:$AB$53</c15:sqref>
                  </c15:fullRef>
                </c:ext>
              </c:extLst>
              <c:f>'2AT'!$AB$46:$AB$50</c:f>
              <c:numCache>
                <c:formatCode>0.0%</c:formatCode>
                <c:ptCount val="5"/>
                <c:pt idx="4">
                  <c:v>9.1350349215316345E-2</c:v>
                </c:pt>
              </c:numCache>
            </c:numRef>
          </c:val>
          <c:smooth val="0"/>
          <c:extLst>
            <c:ext xmlns:c16="http://schemas.microsoft.com/office/drawing/2014/chart" uri="{C3380CC4-5D6E-409C-BE32-E72D297353CC}">
              <c16:uniqueId val="{00000005-9274-4B7C-8114-87BB28FDE78F}"/>
            </c:ext>
          </c:extLst>
        </c:ser>
        <c:ser>
          <c:idx val="7"/>
          <c:order val="6"/>
          <c:tx>
            <c:strRef>
              <c:f>'2AT'!$AC$45</c:f>
              <c:strCache>
                <c:ptCount val="1"/>
                <c:pt idx="0">
                  <c:v>Indexing with concurrent HCPI</c:v>
                </c:pt>
              </c:strCache>
            </c:strRef>
          </c:tx>
          <c:spPr>
            <a:ln w="25400" cap="rnd">
              <a:noFill/>
              <a:round/>
            </a:ln>
            <a:effectLst/>
          </c:spPr>
          <c:marker>
            <c:symbol val="triangle"/>
            <c:size val="6"/>
            <c:spPr>
              <a:noFill/>
              <a:ln w="25400">
                <a:solidFill>
                  <a:schemeClr val="accent5">
                    <a:lumMod val="75000"/>
                  </a:schemeClr>
                </a:solidFill>
              </a:ln>
              <a:effectLst/>
            </c:spPr>
          </c:marker>
          <c:cat>
            <c:numRef>
              <c:extLst>
                <c:ext xmlns:c15="http://schemas.microsoft.com/office/drawing/2012/chart" uri="{02D57815-91ED-43cb-92C2-25804820EDAC}">
                  <c15:fullRef>
                    <c15:sqref>'2AT'!$U$46:$U$53</c15:sqref>
                  </c15:fullRef>
                </c:ext>
              </c:extLst>
              <c:f>'2AT'!$U$46:$U$50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'2AT'!$AC$46:$AC$53</c15:sqref>
                  </c15:fullRef>
                </c:ext>
              </c:extLst>
              <c:f>'2AT'!$AC$46:$AC$50</c:f>
              <c:numCache>
                <c:formatCode>0.0%</c:formatCode>
                <c:ptCount val="5"/>
                <c:pt idx="4">
                  <c:v>8.6652780913450744E-2</c:v>
                </c:pt>
              </c:numCache>
            </c:numRef>
          </c:val>
          <c:smooth val="0"/>
          <c:extLst>
            <c:ext xmlns:c16="http://schemas.microsoft.com/office/drawing/2014/chart" uri="{C3380CC4-5D6E-409C-BE32-E72D297353CC}">
              <c16:uniqueId val="{00000006-9274-4B7C-8114-87BB28FDE78F}"/>
            </c:ext>
          </c:extLst>
        </c:ser>
        <c:dLbls>
          <c:showLegendKey val="0"/>
          <c:showVal val="0"/>
          <c:showCatName val="0"/>
          <c:showSerName val="0"/>
          <c:showPercent val="0"/>
          <c:showBubbleSize val="0"/>
        </c:dLbls>
        <c:smooth val="0"/>
        <c:axId val="709475840"/>
        <c:axId val="605168576"/>
        <c:extLst/>
      </c:lineChart>
      <c:catAx>
        <c:axId val="709475840"/>
        <c:scaling>
          <c:orientation val="minMax"/>
        </c:scaling>
        <c:delete val="0"/>
        <c:axPos val="b"/>
        <c:numFmt formatCode="General" sourceLinked="1"/>
        <c:majorTickMark val="out"/>
        <c:minorTickMark val="none"/>
        <c:tickLblPos val="nextTo"/>
        <c:spPr>
          <a:noFill/>
          <a:ln w="6350" cap="flat" cmpd="sng" algn="ctr">
            <a:solidFill>
              <a:schemeClr val="tx1"/>
            </a:solidFill>
            <a:round/>
          </a:ln>
          <a:effectLst/>
        </c:spPr>
        <c:txPr>
          <a:bodyPr rot="-60000000" spcFirstLastPara="1" vertOverflow="ellipsis" vert="horz" wrap="square" anchor="ctr" anchorCtr="1"/>
          <a:lstStyle/>
          <a:p>
            <a:pPr>
              <a:defRPr sz="950" b="0" i="0" u="none" strike="noStrike" kern="1200" baseline="0">
                <a:solidFill>
                  <a:schemeClr val="tx1"/>
                </a:solidFill>
                <a:latin typeface="Times New Roman" panose="02020603050405020304" pitchFamily="18" charset="0"/>
                <a:ea typeface="+mn-ea"/>
                <a:cs typeface="+mn-cs"/>
              </a:defRPr>
            </a:pPr>
            <a:endParaRPr lang="es-ES_tradnl"/>
          </a:p>
        </c:txPr>
        <c:crossAx val="605168576"/>
        <c:crosses val="autoZero"/>
        <c:auto val="1"/>
        <c:lblAlgn val="ctr"/>
        <c:lblOffset val="100"/>
        <c:noMultiLvlLbl val="0"/>
      </c:catAx>
      <c:valAx>
        <c:axId val="6051685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s-ES_tradnl" sz="1050">
                    <a:solidFill>
                      <a:sysClr val="windowText" lastClr="000000"/>
                    </a:solidFill>
                    <a:latin typeface="Times New Roman" panose="02020603050405020304" pitchFamily="18" charset="0"/>
                    <a:cs typeface="Times New Roman" panose="02020603050405020304" pitchFamily="18" charset="0"/>
                  </a:rPr>
                  <a:t>Share of GDP</a:t>
                </a:r>
              </a:p>
            </c:rich>
          </c:tx>
          <c:overlay val="0"/>
          <c:spPr>
            <a:noFill/>
            <a:ln>
              <a:noFill/>
            </a:ln>
            <a:effectLst/>
          </c:spPr>
        </c:title>
        <c:numFmt formatCode="0%" sourceLinked="0"/>
        <c:majorTickMark val="out"/>
        <c:minorTickMark val="none"/>
        <c:tickLblPos val="nextTo"/>
        <c:spPr>
          <a:noFill/>
          <a:ln w="6350">
            <a:solidFill>
              <a:schemeClr val="tx1">
                <a:lumMod val="65000"/>
                <a:lumOff val="35000"/>
              </a:schemeClr>
            </a:solidFill>
          </a:ln>
          <a:effectLst/>
        </c:spPr>
        <c:txPr>
          <a:bodyPr rot="-60000000" spcFirstLastPara="1" vertOverflow="ellipsis" vert="horz" wrap="square" anchor="ctr" anchorCtr="1"/>
          <a:lstStyle/>
          <a:p>
            <a:pPr>
              <a:defRPr sz="950" b="0" i="0" u="none" strike="noStrike" kern="1200" baseline="0">
                <a:solidFill>
                  <a:schemeClr val="tx1"/>
                </a:solidFill>
                <a:latin typeface="Times New Roman" panose="02020603050405020304" pitchFamily="18" charset="0"/>
                <a:ea typeface="+mn-ea"/>
                <a:cs typeface="+mn-cs"/>
              </a:defRPr>
            </a:pPr>
            <a:endParaRPr lang="es-ES_tradnl"/>
          </a:p>
        </c:txPr>
        <c:crossAx val="709475840"/>
        <c:crosses val="autoZero"/>
        <c:crossBetween val="between"/>
      </c:valAx>
    </c:plotArea>
    <c:legend>
      <c:legendPos val="b"/>
      <c:layout>
        <c:manualLayout>
          <c:xMode val="edge"/>
          <c:yMode val="edge"/>
          <c:x val="0"/>
          <c:y val="0.80216933512597055"/>
          <c:w val="1"/>
          <c:h val="0.19783066487402948"/>
        </c:manualLayout>
      </c:layout>
      <c:overlay val="0"/>
      <c:spPr>
        <a:noFill/>
        <a:ln>
          <a:noFill/>
        </a:ln>
        <a:effectLst/>
      </c:spPr>
      <c:txPr>
        <a:bodyPr rot="0" spcFirstLastPara="1" vertOverflow="ellipsis" vert="horz" wrap="square" anchor="ctr" anchorCtr="1"/>
        <a:lstStyle/>
        <a:p>
          <a:pPr>
            <a:defRPr sz="9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legend>
    <c:plotVisOnly val="1"/>
    <c:dispBlanksAs val="gap"/>
    <c:showDLblsOverMax val="0"/>
  </c:chart>
  <c:spPr>
    <a:solidFill>
      <a:schemeClr val="bg1"/>
    </a:solidFill>
    <a:ln w="9525" cap="flat" cmpd="sng" algn="ctr">
      <a:noFill/>
      <a:round/>
    </a:ln>
    <a:effectLst/>
  </c:spPr>
  <c:txPr>
    <a:bodyPr/>
    <a:lstStyle/>
    <a:p>
      <a:pPr>
        <a:defRPr/>
      </a:pPr>
      <a:endParaRPr lang="es-ES_tradnl"/>
    </a:p>
  </c:txPr>
  <c:printSettings>
    <c:headerFooter/>
    <c:pageMargins b="0.75" l="0.25" r="0.25" t="0.75" header="0.3" footer="0.3"/>
    <c:pageSetup paperSize="9" orientation="landscape"/>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457409308717575"/>
          <c:y val="4.6087571003560986E-2"/>
          <c:w val="0.82558175067451101"/>
          <c:h val="0.64272676146640684"/>
        </c:manualLayout>
      </c:layout>
      <c:lineChart>
        <c:grouping val="standard"/>
        <c:varyColors val="0"/>
        <c:ser>
          <c:idx val="1"/>
          <c:order val="0"/>
          <c:tx>
            <c:strRef>
              <c:f>'2BE'!$D$45</c:f>
              <c:strCache>
                <c:ptCount val="1"/>
                <c:pt idx="0">
                  <c:v>Observed (National Accounts)</c:v>
                </c:pt>
              </c:strCache>
            </c:strRef>
          </c:tx>
          <c:spPr>
            <a:ln w="25400" cap="rnd">
              <a:solidFill>
                <a:schemeClr val="tx1">
                  <a:lumMod val="65000"/>
                  <a:lumOff val="35000"/>
                </a:schemeClr>
              </a:solidFill>
              <a:prstDash val="sysDash"/>
              <a:round/>
            </a:ln>
            <a:effectLst/>
          </c:spPr>
          <c:marker>
            <c:symbol val="none"/>
          </c:marker>
          <c:cat>
            <c:numRef>
              <c:extLst>
                <c:ext xmlns:c15="http://schemas.microsoft.com/office/drawing/2012/chart" uri="{02D57815-91ED-43cb-92C2-25804820EDAC}">
                  <c15:fullRef>
                    <c15:sqref>'2BE'!$B$46:$B$53</c15:sqref>
                  </c15:fullRef>
                </c:ext>
              </c:extLst>
              <c:f>'2BE'!$B$46:$B$50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'2BE'!$D$46:$D$53</c15:sqref>
                  </c15:fullRef>
                </c:ext>
              </c:extLst>
              <c:f>'2BE'!$D$46:$D$50</c:f>
              <c:numCache>
                <c:formatCode>_-* #,##0_-;\-* #,##0_-;_-* "-"??_-;_-@_-</c:formatCode>
                <c:ptCount val="5"/>
                <c:pt idx="0">
                  <c:v>53857.599999999999</c:v>
                </c:pt>
                <c:pt idx="1">
                  <c:v>54002.7</c:v>
                </c:pt>
                <c:pt idx="2">
                  <c:v>56806.400000000001</c:v>
                </c:pt>
                <c:pt idx="3">
                  <c:v>65872.600000000006</c:v>
                </c:pt>
                <c:pt idx="4">
                  <c:v>69325.100000000006</c:v>
                </c:pt>
              </c:numCache>
            </c:numRef>
          </c:val>
          <c:smooth val="0"/>
          <c:extLst>
            <c:ext xmlns:c16="http://schemas.microsoft.com/office/drawing/2014/chart" uri="{C3380CC4-5D6E-409C-BE32-E72D297353CC}">
              <c16:uniqueId val="{00000000-E0F4-445C-8475-4E335E2D18D0}"/>
            </c:ext>
          </c:extLst>
        </c:ser>
        <c:ser>
          <c:idx val="0"/>
          <c:order val="1"/>
          <c:tx>
            <c:strRef>
              <c:f>'2BE'!$C$45</c:f>
              <c:strCache>
                <c:ptCount val="1"/>
                <c:pt idx="0">
                  <c:v>Baseline simulation (before reescaling)</c:v>
                </c:pt>
              </c:strCache>
            </c:strRef>
          </c:tx>
          <c:spPr>
            <a:ln w="25400" cap="rnd">
              <a:noFill/>
              <a:round/>
            </a:ln>
            <a:effectLst/>
          </c:spPr>
          <c:marker>
            <c:symbol val="circle"/>
            <c:size val="8"/>
            <c:spPr>
              <a:solidFill>
                <a:schemeClr val="bg1">
                  <a:lumMod val="85000"/>
                </a:schemeClr>
              </a:solidFill>
              <a:ln w="25400">
                <a:noFill/>
              </a:ln>
              <a:effectLst/>
            </c:spPr>
          </c:marker>
          <c:cat>
            <c:numRef>
              <c:extLst>
                <c:ext xmlns:c15="http://schemas.microsoft.com/office/drawing/2012/chart" uri="{02D57815-91ED-43cb-92C2-25804820EDAC}">
                  <c15:fullRef>
                    <c15:sqref>'2BE'!$B$46:$B$53</c15:sqref>
                  </c15:fullRef>
                </c:ext>
              </c:extLst>
              <c:f>'2BE'!$B$46:$B$50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'2BE'!$C$46:$C$53</c15:sqref>
                  </c15:fullRef>
                </c:ext>
              </c:extLst>
              <c:f>'2BE'!$C$46:$C$50</c:f>
              <c:numCache>
                <c:formatCode>_-* #,##0_-;\-* #,##0_-;_-* "-"??_-;_-@_-</c:formatCode>
                <c:ptCount val="5"/>
                <c:pt idx="0">
                  <c:v>56574.474559379909</c:v>
                </c:pt>
                <c:pt idx="1">
                  <c:v>59708.177410230041</c:v>
                </c:pt>
                <c:pt idx="2">
                  <c:v>61364.77112959692</c:v>
                </c:pt>
                <c:pt idx="3">
                  <c:v>67305.02712126603</c:v>
                </c:pt>
                <c:pt idx="4">
                  <c:v>73283.586538071293</c:v>
                </c:pt>
              </c:numCache>
            </c:numRef>
          </c:val>
          <c:smooth val="0"/>
          <c:extLst>
            <c:ext xmlns:c16="http://schemas.microsoft.com/office/drawing/2014/chart" uri="{C3380CC4-5D6E-409C-BE32-E72D297353CC}">
              <c16:uniqueId val="{00000001-E0F4-445C-8475-4E335E2D18D0}"/>
            </c:ext>
          </c:extLst>
        </c:ser>
        <c:ser>
          <c:idx val="3"/>
          <c:order val="3"/>
          <c:tx>
            <c:strRef>
              <c:f>'2BE'!$F$45</c:f>
              <c:strCache>
                <c:ptCount val="1"/>
                <c:pt idx="0">
                  <c:v>Baseline simulation (after reescaling)</c:v>
                </c:pt>
              </c:strCache>
            </c:strRef>
          </c:tx>
          <c:spPr>
            <a:ln w="25400" cap="rnd">
              <a:noFill/>
              <a:round/>
            </a:ln>
            <a:effectLst/>
          </c:spPr>
          <c:marker>
            <c:symbol val="circle"/>
            <c:size val="7"/>
            <c:spPr>
              <a:solidFill>
                <a:schemeClr val="tx1"/>
              </a:solidFill>
              <a:ln w="9525">
                <a:solidFill>
                  <a:schemeClr val="tx1"/>
                </a:solidFill>
              </a:ln>
              <a:effectLst/>
            </c:spPr>
          </c:marker>
          <c:cat>
            <c:numRef>
              <c:extLst>
                <c:ext xmlns:c15="http://schemas.microsoft.com/office/drawing/2012/chart" uri="{02D57815-91ED-43cb-92C2-25804820EDAC}">
                  <c15:fullRef>
                    <c15:sqref>'2BE'!$B$46:$B$53</c15:sqref>
                  </c15:fullRef>
                </c:ext>
              </c:extLst>
              <c:f>'2BE'!$B$46:$B$50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'2BE'!$F$46:$F$53</c15:sqref>
                  </c15:fullRef>
                </c:ext>
              </c:extLst>
              <c:f>'2BE'!$F$46:$F$50</c:f>
              <c:numCache>
                <c:formatCode>General</c:formatCode>
                <c:ptCount val="5"/>
                <c:pt idx="0" formatCode="_-* #,##0_-;\-* #,##0_-;_-* &quot;-&quot;??_-;_-@_-">
                  <c:v>53857.599999999999</c:v>
                </c:pt>
                <c:pt idx="4" formatCode="_-* #,##0_-;\-* #,##0_-;_-* &quot;-&quot;??_-;_-@_-">
                  <c:v>69325.100000000006</c:v>
                </c:pt>
              </c:numCache>
            </c:numRef>
          </c:val>
          <c:smooth val="0"/>
          <c:extLst>
            <c:ext xmlns:c16="http://schemas.microsoft.com/office/drawing/2014/chart" uri="{C3380CC4-5D6E-409C-BE32-E72D297353CC}">
              <c16:uniqueId val="{00000002-E0F4-445C-8475-4E335E2D18D0}"/>
            </c:ext>
          </c:extLst>
        </c:ser>
        <c:ser>
          <c:idx val="4"/>
          <c:order val="4"/>
          <c:tx>
            <c:strRef>
              <c:f>'2BE'!$G$45</c:f>
              <c:strCache>
                <c:ptCount val="1"/>
                <c:pt idx="0">
                  <c:v>Unchanged legislation since 2019/2023</c:v>
                </c:pt>
              </c:strCache>
            </c:strRef>
          </c:tx>
          <c:spPr>
            <a:ln w="25400" cap="rnd">
              <a:noFill/>
              <a:round/>
            </a:ln>
            <a:effectLst/>
          </c:spPr>
          <c:marker>
            <c:symbol val="circle"/>
            <c:size val="6"/>
            <c:spPr>
              <a:noFill/>
              <a:ln w="25400">
                <a:solidFill>
                  <a:srgbClr val="C00000"/>
                </a:solidFill>
              </a:ln>
              <a:effectLst/>
            </c:spPr>
          </c:marker>
          <c:cat>
            <c:numRef>
              <c:extLst>
                <c:ext xmlns:c15="http://schemas.microsoft.com/office/drawing/2012/chart" uri="{02D57815-91ED-43cb-92C2-25804820EDAC}">
                  <c15:fullRef>
                    <c15:sqref>'2BE'!$B$46:$B$53</c15:sqref>
                  </c15:fullRef>
                </c:ext>
              </c:extLst>
              <c:f>'2BE'!$B$46:$B$50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'2BE'!$G$46:$G$53</c15:sqref>
                  </c15:fullRef>
                </c:ext>
              </c:extLst>
              <c:f>'2BE'!$G$46:$G$50</c:f>
              <c:numCache>
                <c:formatCode>General</c:formatCode>
                <c:ptCount val="5"/>
                <c:pt idx="4" formatCode="_-* #,##0_-;\-* #,##0_-;_-* &quot;-&quot;??_-;_-@_-">
                  <c:v>77010.723758060718</c:v>
                </c:pt>
              </c:numCache>
            </c:numRef>
          </c:val>
          <c:smooth val="0"/>
          <c:extLst>
            <c:ext xmlns:c16="http://schemas.microsoft.com/office/drawing/2014/chart" uri="{C3380CC4-5D6E-409C-BE32-E72D297353CC}">
              <c16:uniqueId val="{00000003-E0F4-445C-8475-4E335E2D18D0}"/>
            </c:ext>
          </c:extLst>
        </c:ser>
        <c:ser>
          <c:idx val="5"/>
          <c:order val="5"/>
          <c:tx>
            <c:strRef>
              <c:f>'2BE'!$H$45</c:f>
              <c:strCache>
                <c:ptCount val="1"/>
                <c:pt idx="0">
                  <c:v>Indexing with tax base growth</c:v>
                </c:pt>
              </c:strCache>
            </c:strRef>
          </c:tx>
          <c:spPr>
            <a:ln w="25400" cap="rnd">
              <a:noFill/>
              <a:round/>
            </a:ln>
            <a:effectLst/>
          </c:spPr>
          <c:marker>
            <c:symbol val="square"/>
            <c:size val="5"/>
            <c:spPr>
              <a:noFill/>
              <a:ln w="25400">
                <a:solidFill>
                  <a:schemeClr val="accent6">
                    <a:lumMod val="75000"/>
                  </a:schemeClr>
                </a:solidFill>
              </a:ln>
              <a:effectLst/>
            </c:spPr>
          </c:marker>
          <c:cat>
            <c:numRef>
              <c:extLst>
                <c:ext xmlns:c15="http://schemas.microsoft.com/office/drawing/2012/chart" uri="{02D57815-91ED-43cb-92C2-25804820EDAC}">
                  <c15:fullRef>
                    <c15:sqref>'2BE'!$B$46:$B$53</c15:sqref>
                  </c15:fullRef>
                </c:ext>
              </c:extLst>
              <c:f>'2BE'!$B$46:$B$50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'2BE'!$H$46:$H$53</c15:sqref>
                  </c15:fullRef>
                </c:ext>
              </c:extLst>
              <c:f>'2BE'!$H$46:$H$50</c:f>
              <c:numCache>
                <c:formatCode>General</c:formatCode>
                <c:ptCount val="5"/>
                <c:pt idx="4" formatCode="_-* #,##0_-;\-* #,##0_-;_-* &quot;-&quot;??_-;_-@_-">
                  <c:v>65284.192812850029</c:v>
                </c:pt>
              </c:numCache>
            </c:numRef>
          </c:val>
          <c:smooth val="0"/>
          <c:extLst>
            <c:ext xmlns:c16="http://schemas.microsoft.com/office/drawing/2014/chart" uri="{C3380CC4-5D6E-409C-BE32-E72D297353CC}">
              <c16:uniqueId val="{00000004-E0F4-445C-8475-4E335E2D18D0}"/>
            </c:ext>
          </c:extLst>
        </c:ser>
        <c:ser>
          <c:idx val="6"/>
          <c:order val="6"/>
          <c:tx>
            <c:strRef>
              <c:f>'2BE'!$I$45</c:f>
              <c:strCache>
                <c:ptCount val="1"/>
                <c:pt idx="0">
                  <c:v>Indexing with lagged HCPI</c:v>
                </c:pt>
              </c:strCache>
            </c:strRef>
          </c:tx>
          <c:spPr>
            <a:ln w="25400" cap="rnd">
              <a:noFill/>
              <a:round/>
            </a:ln>
            <a:effectLst/>
          </c:spPr>
          <c:marker>
            <c:symbol val="diamond"/>
            <c:size val="6"/>
            <c:spPr>
              <a:noFill/>
              <a:ln w="25400">
                <a:solidFill>
                  <a:schemeClr val="accent4"/>
                </a:solidFill>
              </a:ln>
              <a:effectLst/>
            </c:spPr>
          </c:marker>
          <c:cat>
            <c:numRef>
              <c:extLst>
                <c:ext xmlns:c15="http://schemas.microsoft.com/office/drawing/2012/chart" uri="{02D57815-91ED-43cb-92C2-25804820EDAC}">
                  <c15:fullRef>
                    <c15:sqref>'2BE'!$B$46:$B$53</c15:sqref>
                  </c15:fullRef>
                </c:ext>
              </c:extLst>
              <c:f>'2BE'!$B$46:$B$50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'2BE'!$I$46:$I$53</c15:sqref>
                  </c15:fullRef>
                </c:ext>
              </c:extLst>
              <c:f>'2BE'!$I$46:$I$50</c:f>
              <c:numCache>
                <c:formatCode>General</c:formatCode>
                <c:ptCount val="5"/>
                <c:pt idx="4" formatCode="_-* #,##0_-;\-* #,##0_-;_-* &quot;-&quot;??_-;_-@_-">
                  <c:v>68223.7408788209</c:v>
                </c:pt>
              </c:numCache>
            </c:numRef>
          </c:val>
          <c:smooth val="0"/>
          <c:extLst>
            <c:ext xmlns:c16="http://schemas.microsoft.com/office/drawing/2014/chart" uri="{C3380CC4-5D6E-409C-BE32-E72D297353CC}">
              <c16:uniqueId val="{00000005-E0F4-445C-8475-4E335E2D18D0}"/>
            </c:ext>
          </c:extLst>
        </c:ser>
        <c:ser>
          <c:idx val="7"/>
          <c:order val="7"/>
          <c:tx>
            <c:strRef>
              <c:f>'2BE'!$J$45</c:f>
              <c:strCache>
                <c:ptCount val="1"/>
                <c:pt idx="0">
                  <c:v>Indexing with concurrent HCPI</c:v>
                </c:pt>
              </c:strCache>
            </c:strRef>
          </c:tx>
          <c:spPr>
            <a:ln w="25400" cap="rnd">
              <a:noFill/>
              <a:round/>
            </a:ln>
            <a:effectLst/>
          </c:spPr>
          <c:marker>
            <c:symbol val="triangle"/>
            <c:size val="6"/>
            <c:spPr>
              <a:noFill/>
              <a:ln w="25400">
                <a:solidFill>
                  <a:schemeClr val="accent5">
                    <a:lumMod val="75000"/>
                  </a:schemeClr>
                </a:solidFill>
              </a:ln>
              <a:effectLst/>
            </c:spPr>
          </c:marker>
          <c:cat>
            <c:numRef>
              <c:extLst>
                <c:ext xmlns:c15="http://schemas.microsoft.com/office/drawing/2012/chart" uri="{02D57815-91ED-43cb-92C2-25804820EDAC}">
                  <c15:fullRef>
                    <c15:sqref>'2BE'!$B$46:$B$53</c15:sqref>
                  </c15:fullRef>
                </c:ext>
              </c:extLst>
              <c:f>'2BE'!$B$46:$B$50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'2BE'!$J$46:$J$53</c15:sqref>
                  </c15:fullRef>
                </c:ext>
              </c:extLst>
              <c:f>'2BE'!$J$46:$J$50</c:f>
              <c:numCache>
                <c:formatCode>General</c:formatCode>
                <c:ptCount val="5"/>
                <c:pt idx="4" formatCode="_-* #,##0_-;\-* #,##0_-;_-* &quot;-&quot;??_-;_-@_-">
                  <c:v>67612.8851634413</c:v>
                </c:pt>
              </c:numCache>
            </c:numRef>
          </c:val>
          <c:smooth val="0"/>
          <c:extLst>
            <c:ext xmlns:c16="http://schemas.microsoft.com/office/drawing/2014/chart" uri="{C3380CC4-5D6E-409C-BE32-E72D297353CC}">
              <c16:uniqueId val="{00000006-E0F4-445C-8475-4E335E2D18D0}"/>
            </c:ext>
          </c:extLst>
        </c:ser>
        <c:ser>
          <c:idx val="8"/>
          <c:order val="8"/>
          <c:tx>
            <c:strRef>
              <c:f>'2BE'!$K$45</c:f>
              <c:strCache>
                <c:ptCount val="1"/>
                <c:pt idx="0">
                  <c:v>Baseline w/o "indexation measures"</c:v>
                </c:pt>
              </c:strCache>
            </c:strRef>
          </c:tx>
          <c:spPr>
            <a:ln w="28575" cap="rnd">
              <a:noFill/>
              <a:round/>
            </a:ln>
            <a:effectLst/>
          </c:spPr>
          <c:marker>
            <c:symbol val="dash"/>
            <c:size val="9"/>
            <c:spPr>
              <a:solidFill>
                <a:schemeClr val="tx1">
                  <a:lumMod val="65000"/>
                  <a:lumOff val="35000"/>
                </a:schemeClr>
              </a:solidFill>
              <a:ln w="9525">
                <a:solidFill>
                  <a:schemeClr val="tx1">
                    <a:lumMod val="65000"/>
                    <a:lumOff val="35000"/>
                  </a:schemeClr>
                </a:solidFill>
              </a:ln>
              <a:effectLst/>
            </c:spPr>
          </c:marker>
          <c:cat>
            <c:strLit>
              <c:ptCount val="5"/>
              <c:pt idx="0">
                <c:v>2019</c:v>
              </c:pt>
              <c:pt idx="1">
                <c:v>2020</c:v>
              </c:pt>
              <c:pt idx="2">
                <c:v>2021</c:v>
              </c:pt>
              <c:pt idx="3">
                <c:v>2022</c:v>
              </c:pt>
              <c:pt idx="4">
                <c:v>2023</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'2BE'!$K$46:$K$53</c15:sqref>
                  </c15:fullRef>
                </c:ext>
              </c:extLst>
              <c:f>'2BE'!$K$46:$K$50</c:f>
              <c:numCache>
                <c:formatCode>General</c:formatCode>
                <c:ptCount val="5"/>
                <c:pt idx="4" formatCode="_-* #,##0_-;\-* #,##0_-;_-* &quot;-&quot;??_-;_-@_-">
                  <c:v>77654.073465691079</c:v>
                </c:pt>
              </c:numCache>
            </c:numRef>
          </c:val>
          <c:smooth val="0"/>
          <c:extLst>
            <c:ext xmlns:c16="http://schemas.microsoft.com/office/drawing/2014/chart" uri="{C3380CC4-5D6E-409C-BE32-E72D297353CC}">
              <c16:uniqueId val="{00000007-E0F4-445C-8475-4E335E2D18D0}"/>
            </c:ext>
          </c:extLst>
        </c:ser>
        <c:dLbls>
          <c:showLegendKey val="0"/>
          <c:showVal val="0"/>
          <c:showCatName val="0"/>
          <c:showSerName val="0"/>
          <c:showPercent val="0"/>
          <c:showBubbleSize val="0"/>
        </c:dLbls>
        <c:smooth val="0"/>
        <c:axId val="709475840"/>
        <c:axId val="605168576"/>
        <c:extLst>
          <c:ext xmlns:c15="http://schemas.microsoft.com/office/drawing/2012/chart" uri="{02D57815-91ED-43cb-92C2-25804820EDAC}">
            <c15:filteredLineSeries>
              <c15:ser>
                <c:idx val="2"/>
                <c:order val="2"/>
                <c:tx>
                  <c:strRef>
                    <c:extLst>
                      <c:ext uri="{02D57815-91ED-43cb-92C2-25804820EDAC}">
                        <c15:formulaRef>
                          <c15:sqref>'2BE'!$E$45</c15:sqref>
                        </c15:formulaRef>
                      </c:ext>
                    </c:extLst>
                    <c:strCache>
                      <c:ptCount val="1"/>
                      <c:pt idx="0">
                        <c:v>Reescaling factor
</c:v>
                      </c:pt>
                    </c:strCache>
                  </c:strRef>
                </c:tx>
                <c:spPr>
                  <a:ln w="25400" cap="rnd">
                    <a:noFill/>
                    <a:round/>
                  </a:ln>
                  <a:effectLst/>
                </c:spPr>
                <c:marker>
                  <c:symbol val="circle"/>
                  <c:size val="5"/>
                  <c:spPr>
                    <a:solidFill>
                      <a:schemeClr val="accent3"/>
                    </a:solidFill>
                    <a:ln w="9525">
                      <a:solidFill>
                        <a:schemeClr val="accent3"/>
                      </a:solidFill>
                    </a:ln>
                    <a:effectLst/>
                  </c:spPr>
                </c:marker>
                <c:cat>
                  <c:numRef>
                    <c:extLst>
                      <c:ext uri="{02D57815-91ED-43cb-92C2-25804820EDAC}">
                        <c15:fullRef>
                          <c15:sqref>'2BE'!$B$46:$B$53</c15:sqref>
                        </c15:fullRef>
                        <c15:formulaRef>
                          <c15:sqref>'2BE'!$B$46:$B$50</c15:sqref>
                        </c15:formulaRef>
                      </c:ext>
                    </c:extLst>
                    <c:numCache>
                      <c:formatCode>General</c:formatCode>
                      <c:ptCount val="5"/>
                      <c:pt idx="0">
                        <c:v>2019</c:v>
                      </c:pt>
                      <c:pt idx="1">
                        <c:v>2020</c:v>
                      </c:pt>
                      <c:pt idx="2">
                        <c:v>2021</c:v>
                      </c:pt>
                      <c:pt idx="3">
                        <c:v>2022</c:v>
                      </c:pt>
                      <c:pt idx="4">
                        <c:v>2023</c:v>
                      </c:pt>
                    </c:numCache>
                  </c:numRef>
                </c:cat>
                <c:val>
                  <c:numRef>
                    <c:extLst>
                      <c:ext uri="{02D57815-91ED-43cb-92C2-25804820EDAC}">
                        <c15:fullRef>
                          <c15:sqref>'2BE'!$E$46:$E$53</c15:sqref>
                        </c15:fullRef>
                        <c15:formulaRef>
                          <c15:sqref>'2BE'!$E$46:$E$50</c15:sqref>
                        </c15:formulaRef>
                      </c:ext>
                    </c:extLst>
                    <c:numCache>
                      <c:formatCode>General</c:formatCode>
                      <c:ptCount val="5"/>
                    </c:numCache>
                  </c:numRef>
                </c:val>
                <c:smooth val="0"/>
                <c:extLst>
                  <c:ext xmlns:c16="http://schemas.microsoft.com/office/drawing/2014/chart" uri="{C3380CC4-5D6E-409C-BE32-E72D297353CC}">
                    <c16:uniqueId val="{00000008-E0F4-445C-8475-4E335E2D18D0}"/>
                  </c:ext>
                </c:extLst>
              </c15:ser>
            </c15:filteredLineSeries>
          </c:ext>
        </c:extLst>
      </c:lineChart>
      <c:catAx>
        <c:axId val="709475840"/>
        <c:scaling>
          <c:orientation val="minMax"/>
        </c:scaling>
        <c:delete val="0"/>
        <c:axPos val="b"/>
        <c:numFmt formatCode="General" sourceLinked="1"/>
        <c:majorTickMark val="out"/>
        <c:minorTickMark val="none"/>
        <c:tickLblPos val="nextTo"/>
        <c:spPr>
          <a:noFill/>
          <a:ln w="6350" cap="flat" cmpd="sng" algn="ctr">
            <a:solidFill>
              <a:schemeClr val="tx1"/>
            </a:solidFill>
            <a:round/>
          </a:ln>
          <a:effectLst/>
        </c:spPr>
        <c:txPr>
          <a:bodyPr rot="-60000000" spcFirstLastPara="1" vertOverflow="ellipsis" vert="horz" wrap="square" anchor="ctr" anchorCtr="1"/>
          <a:lstStyle/>
          <a:p>
            <a:pPr>
              <a:defRPr sz="950" b="0" i="0" u="none" strike="noStrike" kern="1200" baseline="0">
                <a:solidFill>
                  <a:schemeClr val="tx1"/>
                </a:solidFill>
                <a:latin typeface="Times New Roman" panose="02020603050405020304" pitchFamily="18" charset="0"/>
                <a:ea typeface="+mn-ea"/>
                <a:cs typeface="+mn-cs"/>
              </a:defRPr>
            </a:pPr>
            <a:endParaRPr lang="es-ES_tradnl"/>
          </a:p>
        </c:txPr>
        <c:crossAx val="605168576"/>
        <c:crosses val="autoZero"/>
        <c:auto val="1"/>
        <c:lblAlgn val="ctr"/>
        <c:lblOffset val="100"/>
        <c:noMultiLvlLbl val="0"/>
      </c:catAx>
      <c:valAx>
        <c:axId val="605168576"/>
        <c:scaling>
          <c:orientation val="minMax"/>
          <c:min val="50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s-ES_tradnl" sz="1050">
                    <a:solidFill>
                      <a:sysClr val="windowText" lastClr="000000"/>
                    </a:solidFill>
                    <a:latin typeface="Times New Roman" panose="02020603050405020304" pitchFamily="18" charset="0"/>
                    <a:cs typeface="Times New Roman" panose="02020603050405020304" pitchFamily="18" charset="0"/>
                  </a:rPr>
                  <a:t>Million euros</a:t>
                </a:r>
              </a:p>
            </c:rich>
          </c:tx>
          <c:layout>
            <c:manualLayout>
              <c:xMode val="edge"/>
              <c:yMode val="edge"/>
              <c:x val="0"/>
              <c:y val="0.27024653144012073"/>
            </c:manualLayout>
          </c:layout>
          <c:overlay val="0"/>
          <c:spPr>
            <a:noFill/>
            <a:ln>
              <a:noFill/>
            </a:ln>
            <a:effectLst/>
          </c:spPr>
          <c:txPr>
            <a:bodyPr rot="-5400000" spcFirstLastPara="1" vertOverflow="ellipsis" vert="horz" wrap="square" anchor="ctr" anchorCtr="1"/>
            <a:lstStyle/>
            <a:p>
              <a:pPr>
                <a:defRPr sz="10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title>
        <c:numFmt formatCode="#,##0" sourceLinked="0"/>
        <c:majorTickMark val="out"/>
        <c:minorTickMark val="none"/>
        <c:tickLblPos val="nextTo"/>
        <c:spPr>
          <a:noFill/>
          <a:ln w="6350">
            <a:solidFill>
              <a:schemeClr val="tx1">
                <a:lumMod val="65000"/>
                <a:lumOff val="35000"/>
              </a:schemeClr>
            </a:solidFill>
          </a:ln>
          <a:effectLst/>
        </c:spPr>
        <c:txPr>
          <a:bodyPr rot="-60000000" spcFirstLastPara="1" vertOverflow="ellipsis" vert="horz" wrap="square" anchor="ctr" anchorCtr="1"/>
          <a:lstStyle/>
          <a:p>
            <a:pPr>
              <a:defRPr sz="950" b="0" i="0" u="none" strike="noStrike" kern="1200" baseline="0">
                <a:solidFill>
                  <a:schemeClr val="tx1"/>
                </a:solidFill>
                <a:latin typeface="Times New Roman" panose="02020603050405020304" pitchFamily="18" charset="0"/>
                <a:ea typeface="+mn-ea"/>
                <a:cs typeface="+mn-cs"/>
              </a:defRPr>
            </a:pPr>
            <a:endParaRPr lang="es-ES_tradnl"/>
          </a:p>
        </c:txPr>
        <c:crossAx val="709475840"/>
        <c:crosses val="autoZero"/>
        <c:crossBetween val="between"/>
      </c:valAx>
      <c:spPr>
        <a:noFill/>
        <a:ln>
          <a:noFill/>
        </a:ln>
        <a:effectLst/>
      </c:spPr>
    </c:plotArea>
    <c:legend>
      <c:legendPos val="b"/>
      <c:layout>
        <c:manualLayout>
          <c:xMode val="edge"/>
          <c:yMode val="edge"/>
          <c:x val="0"/>
          <c:y val="0.73648087849247201"/>
          <c:w val="1"/>
          <c:h val="0.26351912150752793"/>
        </c:manualLayout>
      </c:layout>
      <c:overlay val="0"/>
      <c:spPr>
        <a:noFill/>
        <a:ln>
          <a:noFill/>
        </a:ln>
        <a:effectLst/>
      </c:spPr>
      <c:txPr>
        <a:bodyPr rot="0" spcFirstLastPara="1" vertOverflow="ellipsis" vert="horz" wrap="square" anchor="ctr" anchorCtr="1"/>
        <a:lstStyle/>
        <a:p>
          <a:pPr>
            <a:defRPr sz="9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legend>
    <c:plotVisOnly val="1"/>
    <c:dispBlanksAs val="gap"/>
    <c:showDLblsOverMax val="0"/>
  </c:chart>
  <c:spPr>
    <a:solidFill>
      <a:schemeClr val="bg1"/>
    </a:solidFill>
    <a:ln w="9525" cap="flat" cmpd="sng" algn="ctr">
      <a:noFill/>
      <a:round/>
    </a:ln>
    <a:effectLst/>
  </c:spPr>
  <c:txPr>
    <a:bodyPr/>
    <a:lstStyle/>
    <a:p>
      <a:pPr>
        <a:defRPr/>
      </a:pPr>
      <a:endParaRPr lang="es-ES_tradnl"/>
    </a:p>
  </c:txPr>
  <c:printSettings>
    <c:headerFooter/>
    <c:pageMargins b="0.75" l="0.25" r="0.25" t="0.75" header="0.3" footer="0.3"/>
    <c:pageSetup paperSize="9" orientation="landscape"/>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457409308717575"/>
          <c:y val="4.6087571003560986E-2"/>
          <c:w val="0.82558175067451101"/>
          <c:h val="0.6515011552844524"/>
        </c:manualLayout>
      </c:layout>
      <c:lineChart>
        <c:grouping val="standard"/>
        <c:varyColors val="0"/>
        <c:ser>
          <c:idx val="1"/>
          <c:order val="0"/>
          <c:tx>
            <c:strRef>
              <c:f>'2BE'!$C$64</c:f>
              <c:strCache>
                <c:ptCount val="1"/>
                <c:pt idx="0">
                  <c:v>Baseline simulation
</c:v>
                </c:pt>
              </c:strCache>
            </c:strRef>
          </c:tx>
          <c:spPr>
            <a:ln w="28575" cap="rnd">
              <a:noFill/>
              <a:round/>
            </a:ln>
            <a:effectLst/>
          </c:spPr>
          <c:marker>
            <c:symbol val="circle"/>
            <c:size val="7"/>
            <c:spPr>
              <a:solidFill>
                <a:schemeClr val="tx1"/>
              </a:solidFill>
              <a:ln w="9525">
                <a:noFill/>
              </a:ln>
              <a:effectLst/>
            </c:spPr>
          </c:marker>
          <c:cat>
            <c:numRef>
              <c:extLst>
                <c:ext xmlns:c15="http://schemas.microsoft.com/office/drawing/2012/chart" uri="{02D57815-91ED-43cb-92C2-25804820EDAC}">
                  <c15:fullRef>
                    <c15:sqref>'2BE'!$B$65:$B$72</c15:sqref>
                  </c15:fullRef>
                </c:ext>
              </c:extLst>
              <c:f>'2BE'!$B$65:$B$69</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'2BE'!$C$65:$C$72</c15:sqref>
                  </c15:fullRef>
                </c:ext>
              </c:extLst>
              <c:f>'2BE'!$C$65:$C$69</c:f>
              <c:numCache>
                <c:formatCode>0.00</c:formatCode>
                <c:ptCount val="5"/>
                <c:pt idx="0">
                  <c:v>20.245576485173249</c:v>
                </c:pt>
                <c:pt idx="1">
                  <c:v>20.661170192122281</c:v>
                </c:pt>
                <c:pt idx="2">
                  <c:v>20.864809193695546</c:v>
                </c:pt>
                <c:pt idx="3">
                  <c:v>21.584047630227488</c:v>
                </c:pt>
                <c:pt idx="4">
                  <c:v>21.568472135823413</c:v>
                </c:pt>
              </c:numCache>
            </c:numRef>
          </c:val>
          <c:smooth val="0"/>
          <c:extLst>
            <c:ext xmlns:c16="http://schemas.microsoft.com/office/drawing/2014/chart" uri="{C3380CC4-5D6E-409C-BE32-E72D297353CC}">
              <c16:uniqueId val="{00000000-D69D-4DB1-A1AF-9BB16FBC46CD}"/>
            </c:ext>
          </c:extLst>
        </c:ser>
        <c:ser>
          <c:idx val="0"/>
          <c:order val="1"/>
          <c:tx>
            <c:strRef>
              <c:f>'2BE'!$D$64</c:f>
              <c:strCache>
                <c:ptCount val="1"/>
                <c:pt idx="0">
                  <c:v>Legislation unchanged since 2019/2023</c:v>
                </c:pt>
              </c:strCache>
            </c:strRef>
          </c:tx>
          <c:spPr>
            <a:ln w="28575" cap="rnd">
              <a:noFill/>
              <a:round/>
            </a:ln>
            <a:effectLst/>
          </c:spPr>
          <c:marker>
            <c:symbol val="circle"/>
            <c:size val="7"/>
            <c:spPr>
              <a:noFill/>
              <a:ln w="25400">
                <a:solidFill>
                  <a:srgbClr val="C00000"/>
                </a:solidFill>
              </a:ln>
              <a:effectLst/>
            </c:spPr>
          </c:marker>
          <c:cat>
            <c:numRef>
              <c:extLst>
                <c:ext xmlns:c15="http://schemas.microsoft.com/office/drawing/2012/chart" uri="{02D57815-91ED-43cb-92C2-25804820EDAC}">
                  <c15:fullRef>
                    <c15:sqref>'2BE'!$B$65:$B$72</c15:sqref>
                  </c15:fullRef>
                </c:ext>
              </c:extLst>
              <c:f>'2BE'!$B$65:$B$69</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'2BE'!$D$65:$D$72</c15:sqref>
                  </c15:fullRef>
                </c:ext>
              </c:extLst>
              <c:f>'2BE'!$D$65:$D$69</c:f>
              <c:numCache>
                <c:formatCode>0.00%</c:formatCode>
                <c:ptCount val="5"/>
                <c:pt idx="4" formatCode="0.00">
                  <c:v>23.959628612657273</c:v>
                </c:pt>
              </c:numCache>
            </c:numRef>
          </c:val>
          <c:smooth val="0"/>
          <c:extLst>
            <c:ext xmlns:c16="http://schemas.microsoft.com/office/drawing/2014/chart" uri="{C3380CC4-5D6E-409C-BE32-E72D297353CC}">
              <c16:uniqueId val="{00000001-D69D-4DB1-A1AF-9BB16FBC46CD}"/>
            </c:ext>
          </c:extLst>
        </c:ser>
        <c:ser>
          <c:idx val="2"/>
          <c:order val="2"/>
          <c:tx>
            <c:strRef>
              <c:f>'2BE'!$E$64</c:f>
              <c:strCache>
                <c:ptCount val="1"/>
                <c:pt idx="0">
                  <c:v>Index with tax base growth</c:v>
                </c:pt>
              </c:strCache>
            </c:strRef>
          </c:tx>
          <c:spPr>
            <a:ln w="28575" cap="rnd">
              <a:noFill/>
              <a:round/>
            </a:ln>
            <a:effectLst/>
          </c:spPr>
          <c:marker>
            <c:symbol val="square"/>
            <c:size val="6"/>
            <c:spPr>
              <a:noFill/>
              <a:ln w="25400">
                <a:solidFill>
                  <a:schemeClr val="accent6">
                    <a:lumMod val="75000"/>
                  </a:schemeClr>
                </a:solidFill>
              </a:ln>
              <a:effectLst/>
            </c:spPr>
          </c:marker>
          <c:cat>
            <c:numRef>
              <c:extLst>
                <c:ext xmlns:c15="http://schemas.microsoft.com/office/drawing/2012/chart" uri="{02D57815-91ED-43cb-92C2-25804820EDAC}">
                  <c15:fullRef>
                    <c15:sqref>'2BE'!$B$65:$B$72</c15:sqref>
                  </c15:fullRef>
                </c:ext>
              </c:extLst>
              <c:f>'2BE'!$B$65:$B$69</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'2BE'!$E$65:$E$72</c15:sqref>
                  </c15:fullRef>
                </c:ext>
              </c:extLst>
              <c:f>'2BE'!$E$65:$E$69</c:f>
              <c:numCache>
                <c:formatCode>0.00%</c:formatCode>
                <c:ptCount val="5"/>
                <c:pt idx="4" formatCode="0.00">
                  <c:v>20.311262350774527</c:v>
                </c:pt>
              </c:numCache>
            </c:numRef>
          </c:val>
          <c:smooth val="0"/>
          <c:extLst xmlns:c15="http://schemas.microsoft.com/office/drawing/2012/chart">
            <c:ext xmlns:c16="http://schemas.microsoft.com/office/drawing/2014/chart" uri="{C3380CC4-5D6E-409C-BE32-E72D297353CC}">
              <c16:uniqueId val="{00000002-D69D-4DB1-A1AF-9BB16FBC46CD}"/>
            </c:ext>
          </c:extLst>
        </c:ser>
        <c:ser>
          <c:idx val="3"/>
          <c:order val="3"/>
          <c:tx>
            <c:strRef>
              <c:f>'2BE'!$F$64</c:f>
              <c:strCache>
                <c:ptCount val="1"/>
                <c:pt idx="0">
                  <c:v>Index with lagged HCPI</c:v>
                </c:pt>
              </c:strCache>
            </c:strRef>
          </c:tx>
          <c:spPr>
            <a:ln w="28575" cap="rnd">
              <a:noFill/>
              <a:round/>
            </a:ln>
            <a:effectLst/>
          </c:spPr>
          <c:marker>
            <c:symbol val="diamond"/>
            <c:size val="7"/>
            <c:spPr>
              <a:noFill/>
              <a:ln w="25400">
                <a:solidFill>
                  <a:schemeClr val="accent4"/>
                </a:solidFill>
              </a:ln>
              <a:effectLst/>
            </c:spPr>
          </c:marker>
          <c:cat>
            <c:numRef>
              <c:extLst>
                <c:ext xmlns:c15="http://schemas.microsoft.com/office/drawing/2012/chart" uri="{02D57815-91ED-43cb-92C2-25804820EDAC}">
                  <c15:fullRef>
                    <c15:sqref>'2BE'!$B$65:$B$72</c15:sqref>
                  </c15:fullRef>
                </c:ext>
              </c:extLst>
              <c:f>'2BE'!$B$65:$B$69</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'2BE'!$F$65:$F$72</c15:sqref>
                  </c15:fullRef>
                </c:ext>
              </c:extLst>
              <c:f>'2BE'!$F$65:$F$69</c:f>
              <c:numCache>
                <c:formatCode>0.00%</c:formatCode>
                <c:ptCount val="5"/>
                <c:pt idx="4" formatCode="0.00">
                  <c:v>21.22581653898062</c:v>
                </c:pt>
              </c:numCache>
            </c:numRef>
          </c:val>
          <c:smooth val="0"/>
          <c:extLst>
            <c:ext xmlns:c16="http://schemas.microsoft.com/office/drawing/2014/chart" uri="{C3380CC4-5D6E-409C-BE32-E72D297353CC}">
              <c16:uniqueId val="{00000003-D69D-4DB1-A1AF-9BB16FBC46CD}"/>
            </c:ext>
          </c:extLst>
        </c:ser>
        <c:ser>
          <c:idx val="4"/>
          <c:order val="4"/>
          <c:tx>
            <c:strRef>
              <c:f>'2BE'!$G$64</c:f>
              <c:strCache>
                <c:ptCount val="1"/>
                <c:pt idx="0">
                  <c:v>Index with concurrent HCPI</c:v>
                </c:pt>
              </c:strCache>
            </c:strRef>
          </c:tx>
          <c:spPr>
            <a:ln w="28575" cap="rnd">
              <a:noFill/>
              <a:round/>
            </a:ln>
            <a:effectLst/>
          </c:spPr>
          <c:marker>
            <c:symbol val="triangle"/>
            <c:size val="6"/>
            <c:spPr>
              <a:noFill/>
              <a:ln w="25400">
                <a:solidFill>
                  <a:schemeClr val="accent5">
                    <a:lumMod val="75000"/>
                  </a:schemeClr>
                </a:solidFill>
              </a:ln>
              <a:effectLst/>
            </c:spPr>
          </c:marker>
          <c:cat>
            <c:numRef>
              <c:extLst>
                <c:ext xmlns:c15="http://schemas.microsoft.com/office/drawing/2012/chart" uri="{02D57815-91ED-43cb-92C2-25804820EDAC}">
                  <c15:fullRef>
                    <c15:sqref>'2BE'!$B$65:$B$72</c15:sqref>
                  </c15:fullRef>
                </c:ext>
              </c:extLst>
              <c:f>'2BE'!$B$65:$B$69</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'2BE'!$G$65:$G$72</c15:sqref>
                  </c15:fullRef>
                </c:ext>
              </c:extLst>
              <c:f>'2BE'!$G$65:$G$69</c:f>
              <c:numCache>
                <c:formatCode>0.00%</c:formatCode>
                <c:ptCount val="5"/>
                <c:pt idx="4" formatCode="0.00">
                  <c:v>21.035766694462932</c:v>
                </c:pt>
              </c:numCache>
            </c:numRef>
          </c:val>
          <c:smooth val="0"/>
          <c:extLst>
            <c:ext xmlns:c16="http://schemas.microsoft.com/office/drawing/2014/chart" uri="{C3380CC4-5D6E-409C-BE32-E72D297353CC}">
              <c16:uniqueId val="{00000004-D69D-4DB1-A1AF-9BB16FBC46CD}"/>
            </c:ext>
          </c:extLst>
        </c:ser>
        <c:dLbls>
          <c:showLegendKey val="0"/>
          <c:showVal val="0"/>
          <c:showCatName val="0"/>
          <c:showSerName val="0"/>
          <c:showPercent val="0"/>
          <c:showBubbleSize val="0"/>
        </c:dLbls>
        <c:marker val="1"/>
        <c:smooth val="0"/>
        <c:axId val="709475840"/>
        <c:axId val="605168576"/>
        <c:extLst/>
      </c:lineChart>
      <c:catAx>
        <c:axId val="709475840"/>
        <c:scaling>
          <c:orientation val="minMax"/>
        </c:scaling>
        <c:delete val="0"/>
        <c:axPos val="b"/>
        <c:numFmt formatCode="General" sourceLinked="1"/>
        <c:majorTickMark val="out"/>
        <c:minorTickMark val="none"/>
        <c:tickLblPos val="nextTo"/>
        <c:spPr>
          <a:noFill/>
          <a:ln w="635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mn-cs"/>
              </a:defRPr>
            </a:pPr>
            <a:endParaRPr lang="es-ES_tradnl"/>
          </a:p>
        </c:txPr>
        <c:crossAx val="605168576"/>
        <c:crosses val="autoZero"/>
        <c:auto val="1"/>
        <c:lblAlgn val="ctr"/>
        <c:lblOffset val="100"/>
        <c:noMultiLvlLbl val="0"/>
      </c:catAx>
      <c:valAx>
        <c:axId val="6051685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s-ES_tradnl" sz="1050">
                    <a:solidFill>
                      <a:sysClr val="windowText" lastClr="000000"/>
                    </a:solidFill>
                    <a:latin typeface="Times New Roman" panose="02020603050405020304" pitchFamily="18" charset="0"/>
                    <a:cs typeface="Times New Roman" panose="02020603050405020304" pitchFamily="18" charset="0"/>
                  </a:rPr>
                  <a:t>Rate</a:t>
                </a:r>
              </a:p>
            </c:rich>
          </c:tx>
          <c:overlay val="0"/>
          <c:spPr>
            <a:noFill/>
            <a:ln>
              <a:noFill/>
            </a:ln>
            <a:effectLst/>
          </c:spPr>
          <c:txPr>
            <a:bodyPr rot="-5400000" spcFirstLastPara="1" vertOverflow="ellipsis" vert="horz" wrap="square" anchor="ctr" anchorCtr="1"/>
            <a:lstStyle/>
            <a:p>
              <a:pPr>
                <a:defRPr sz="10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title>
        <c:numFmt formatCode="#,##0.0" sourceLinked="0"/>
        <c:majorTickMark val="out"/>
        <c:minorTickMark val="none"/>
        <c:tickLblPos val="nextTo"/>
        <c:spPr>
          <a:noFill/>
          <a:ln w="6350">
            <a:solidFill>
              <a:schemeClr val="tx1">
                <a:lumMod val="65000"/>
                <a:lumOff val="35000"/>
              </a:schemeClr>
            </a:solidFill>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mn-cs"/>
              </a:defRPr>
            </a:pPr>
            <a:endParaRPr lang="es-ES_tradnl"/>
          </a:p>
        </c:txPr>
        <c:crossAx val="709475840"/>
        <c:crosses val="autoZero"/>
        <c:crossBetween val="between"/>
      </c:valAx>
      <c:spPr>
        <a:noFill/>
        <a:ln>
          <a:noFill/>
        </a:ln>
        <a:effectLst/>
      </c:spPr>
    </c:plotArea>
    <c:legend>
      <c:legendPos val="b"/>
      <c:layout>
        <c:manualLayout>
          <c:xMode val="edge"/>
          <c:yMode val="edge"/>
          <c:x val="8.1926620958132398E-2"/>
          <c:y val="0.78900773467278962"/>
          <c:w val="0.8223310520657221"/>
          <c:h val="0.1997652991480407"/>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legend>
    <c:plotVisOnly val="1"/>
    <c:dispBlanksAs val="gap"/>
    <c:showDLblsOverMax val="0"/>
  </c:chart>
  <c:spPr>
    <a:solidFill>
      <a:schemeClr val="bg1"/>
    </a:solidFill>
    <a:ln w="9525" cap="flat" cmpd="sng" algn="ctr">
      <a:noFill/>
      <a:round/>
    </a:ln>
    <a:effectLst/>
  </c:spPr>
  <c:txPr>
    <a:bodyPr/>
    <a:lstStyle/>
    <a:p>
      <a:pPr>
        <a:defRPr/>
      </a:pPr>
      <a:endParaRPr lang="es-ES_tradnl"/>
    </a:p>
  </c:txPr>
  <c:printSettings>
    <c:headerFooter/>
    <c:pageMargins b="0.75" l="0.84" r="0.25" t="0.75" header="0.3" footer="0.3"/>
    <c:pageSetup paperSize="9" orientation="landscape"/>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457409308717575"/>
          <c:y val="4.6087571003560986E-2"/>
          <c:w val="0.82558175067451101"/>
          <c:h val="0.64272676146640684"/>
        </c:manualLayout>
      </c:layout>
      <c:lineChart>
        <c:grouping val="standard"/>
        <c:varyColors val="0"/>
        <c:ser>
          <c:idx val="1"/>
          <c:order val="0"/>
          <c:tx>
            <c:strRef>
              <c:f>'2BE'!$W$45</c:f>
              <c:strCache>
                <c:ptCount val="1"/>
                <c:pt idx="0">
                  <c:v>Observed (National Accounts)</c:v>
                </c:pt>
              </c:strCache>
            </c:strRef>
          </c:tx>
          <c:spPr>
            <a:ln w="25400" cap="rnd">
              <a:solidFill>
                <a:schemeClr val="tx1">
                  <a:lumMod val="65000"/>
                  <a:lumOff val="35000"/>
                </a:schemeClr>
              </a:solidFill>
              <a:prstDash val="sysDash"/>
              <a:round/>
            </a:ln>
            <a:effectLst/>
          </c:spPr>
          <c:marker>
            <c:symbol val="none"/>
          </c:marker>
          <c:cat>
            <c:numRef>
              <c:extLst>
                <c:ext xmlns:c15="http://schemas.microsoft.com/office/drawing/2012/chart" uri="{02D57815-91ED-43cb-92C2-25804820EDAC}">
                  <c15:fullRef>
                    <c15:sqref>'2BE'!$U$46:$U$53</c15:sqref>
                  </c15:fullRef>
                </c:ext>
              </c:extLst>
              <c:f>'2BE'!$U$46:$U$50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'2BE'!$W$46:$W$53</c15:sqref>
                  </c15:fullRef>
                </c:ext>
              </c:extLst>
              <c:f>'2BE'!$W$46:$W$50</c:f>
              <c:numCache>
                <c:formatCode>0.0%</c:formatCode>
                <c:ptCount val="5"/>
                <c:pt idx="0">
                  <c:v>0.11233324204720918</c:v>
                </c:pt>
                <c:pt idx="1">
                  <c:v>0.11644764462990799</c:v>
                </c:pt>
                <c:pt idx="2">
                  <c:v>0.11226046552806275</c:v>
                </c:pt>
                <c:pt idx="3">
                  <c:v>0.11688997976376629</c:v>
                </c:pt>
                <c:pt idx="4">
                  <c:v>0.11625474618854355</c:v>
                </c:pt>
              </c:numCache>
            </c:numRef>
          </c:val>
          <c:smooth val="0"/>
          <c:extLst>
            <c:ext xmlns:c16="http://schemas.microsoft.com/office/drawing/2014/chart" uri="{C3380CC4-5D6E-409C-BE32-E72D297353CC}">
              <c16:uniqueId val="{00000000-0040-48B6-B726-6D6FD98A7FDE}"/>
            </c:ext>
          </c:extLst>
        </c:ser>
        <c:ser>
          <c:idx val="0"/>
          <c:order val="1"/>
          <c:tx>
            <c:strRef>
              <c:f>'2BE'!$V$45</c:f>
              <c:strCache>
                <c:ptCount val="1"/>
                <c:pt idx="0">
                  <c:v>Baseline simulation (before reescaling)</c:v>
                </c:pt>
              </c:strCache>
            </c:strRef>
          </c:tx>
          <c:spPr>
            <a:ln w="25400" cap="rnd">
              <a:noFill/>
              <a:round/>
            </a:ln>
            <a:effectLst/>
          </c:spPr>
          <c:marker>
            <c:symbol val="circle"/>
            <c:size val="8"/>
            <c:spPr>
              <a:solidFill>
                <a:schemeClr val="bg1">
                  <a:lumMod val="85000"/>
                </a:schemeClr>
              </a:solidFill>
              <a:ln w="25400">
                <a:noFill/>
              </a:ln>
              <a:effectLst/>
            </c:spPr>
          </c:marker>
          <c:cat>
            <c:numRef>
              <c:extLst>
                <c:ext xmlns:c15="http://schemas.microsoft.com/office/drawing/2012/chart" uri="{02D57815-91ED-43cb-92C2-25804820EDAC}">
                  <c15:fullRef>
                    <c15:sqref>'2BE'!$U$46:$U$53</c15:sqref>
                  </c15:fullRef>
                </c:ext>
              </c:extLst>
              <c:f>'2BE'!$U$46:$U$50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'2BE'!$V$46:$V$53</c15:sqref>
                  </c15:fullRef>
                </c:ext>
              </c:extLst>
              <c:f>'2BE'!$V$46:$V$50</c:f>
              <c:numCache>
                <c:formatCode>0.0%</c:formatCode>
                <c:ptCount val="5"/>
                <c:pt idx="0">
                  <c:v>0.11799995069168513</c:v>
                </c:pt>
                <c:pt idx="1">
                  <c:v>0.12875053700214931</c:v>
                </c:pt>
                <c:pt idx="2">
                  <c:v>0.12126869109874196</c:v>
                </c:pt>
                <c:pt idx="3">
                  <c:v>0.11943180105543924</c:v>
                </c:pt>
                <c:pt idx="4">
                  <c:v>0.12289293131592519</c:v>
                </c:pt>
              </c:numCache>
            </c:numRef>
          </c:val>
          <c:smooth val="0"/>
          <c:extLst>
            <c:ext xmlns:c16="http://schemas.microsoft.com/office/drawing/2014/chart" uri="{C3380CC4-5D6E-409C-BE32-E72D297353CC}">
              <c16:uniqueId val="{00000001-0040-48B6-B726-6D6FD98A7FDE}"/>
            </c:ext>
          </c:extLst>
        </c:ser>
        <c:ser>
          <c:idx val="3"/>
          <c:order val="2"/>
          <c:tx>
            <c:strRef>
              <c:f>'2BE'!$Y$45</c:f>
              <c:strCache>
                <c:ptCount val="1"/>
                <c:pt idx="0">
                  <c:v>Baseline simulation (after reescaling)</c:v>
                </c:pt>
              </c:strCache>
            </c:strRef>
          </c:tx>
          <c:spPr>
            <a:ln w="25400" cap="rnd">
              <a:noFill/>
              <a:round/>
            </a:ln>
            <a:effectLst/>
          </c:spPr>
          <c:marker>
            <c:symbol val="circle"/>
            <c:size val="7"/>
            <c:spPr>
              <a:solidFill>
                <a:schemeClr val="tx1"/>
              </a:solidFill>
              <a:ln w="9525">
                <a:solidFill>
                  <a:schemeClr val="tx1"/>
                </a:solidFill>
              </a:ln>
              <a:effectLst/>
            </c:spPr>
          </c:marker>
          <c:cat>
            <c:numRef>
              <c:extLst>
                <c:ext xmlns:c15="http://schemas.microsoft.com/office/drawing/2012/chart" uri="{02D57815-91ED-43cb-92C2-25804820EDAC}">
                  <c15:fullRef>
                    <c15:sqref>'2BE'!$U$46:$U$53</c15:sqref>
                  </c15:fullRef>
                </c:ext>
              </c:extLst>
              <c:f>'2BE'!$U$46:$U$50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'2BE'!$Y$46:$Y$53</c15:sqref>
                  </c15:fullRef>
                </c:ext>
              </c:extLst>
              <c:f>'2BE'!$Y$46:$Y$50</c:f>
              <c:numCache>
                <c:formatCode>0.0%</c:formatCode>
                <c:ptCount val="5"/>
                <c:pt idx="0">
                  <c:v>0.11233324204720918</c:v>
                </c:pt>
                <c:pt idx="4">
                  <c:v>0.11625474618854355</c:v>
                </c:pt>
              </c:numCache>
            </c:numRef>
          </c:val>
          <c:smooth val="0"/>
          <c:extLst>
            <c:ext xmlns:c16="http://schemas.microsoft.com/office/drawing/2014/chart" uri="{C3380CC4-5D6E-409C-BE32-E72D297353CC}">
              <c16:uniqueId val="{00000002-0040-48B6-B726-6D6FD98A7FDE}"/>
            </c:ext>
          </c:extLst>
        </c:ser>
        <c:ser>
          <c:idx val="4"/>
          <c:order val="3"/>
          <c:tx>
            <c:strRef>
              <c:f>'2BE'!$Z$45</c:f>
              <c:strCache>
                <c:ptCount val="1"/>
                <c:pt idx="0">
                  <c:v>Unchanged legislation since 2019/2023</c:v>
                </c:pt>
              </c:strCache>
            </c:strRef>
          </c:tx>
          <c:spPr>
            <a:ln w="25400" cap="rnd">
              <a:noFill/>
              <a:round/>
            </a:ln>
            <a:effectLst/>
          </c:spPr>
          <c:marker>
            <c:symbol val="circle"/>
            <c:size val="6"/>
            <c:spPr>
              <a:noFill/>
              <a:ln w="25400">
                <a:solidFill>
                  <a:srgbClr val="C00000"/>
                </a:solidFill>
              </a:ln>
              <a:effectLst/>
            </c:spPr>
          </c:marker>
          <c:cat>
            <c:numRef>
              <c:extLst>
                <c:ext xmlns:c15="http://schemas.microsoft.com/office/drawing/2012/chart" uri="{02D57815-91ED-43cb-92C2-25804820EDAC}">
                  <c15:fullRef>
                    <c15:sqref>'2BE'!$U$46:$U$53</c15:sqref>
                  </c15:fullRef>
                </c:ext>
              </c:extLst>
              <c:f>'2BE'!$U$46:$U$50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'2BE'!$Z$46:$Z$53</c15:sqref>
                  </c15:fullRef>
                </c:ext>
              </c:extLst>
              <c:f>'2BE'!$Z$46:$Z$50</c:f>
              <c:numCache>
                <c:formatCode>0.0%</c:formatCode>
                <c:ptCount val="5"/>
                <c:pt idx="4">
                  <c:v>0.12914315513846195</c:v>
                </c:pt>
              </c:numCache>
            </c:numRef>
          </c:val>
          <c:smooth val="0"/>
          <c:extLst>
            <c:ext xmlns:c16="http://schemas.microsoft.com/office/drawing/2014/chart" uri="{C3380CC4-5D6E-409C-BE32-E72D297353CC}">
              <c16:uniqueId val="{00000003-0040-48B6-B726-6D6FD98A7FDE}"/>
            </c:ext>
          </c:extLst>
        </c:ser>
        <c:ser>
          <c:idx val="5"/>
          <c:order val="4"/>
          <c:tx>
            <c:strRef>
              <c:f>'2BE'!$AA$45</c:f>
              <c:strCache>
                <c:ptCount val="1"/>
                <c:pt idx="0">
                  <c:v>Indexing with tax base growth</c:v>
                </c:pt>
              </c:strCache>
            </c:strRef>
          </c:tx>
          <c:spPr>
            <a:ln w="25400" cap="rnd">
              <a:noFill/>
              <a:round/>
            </a:ln>
            <a:effectLst/>
          </c:spPr>
          <c:marker>
            <c:symbol val="square"/>
            <c:size val="5"/>
            <c:spPr>
              <a:noFill/>
              <a:ln w="25400">
                <a:solidFill>
                  <a:schemeClr val="accent6">
                    <a:lumMod val="75000"/>
                  </a:schemeClr>
                </a:solidFill>
              </a:ln>
              <a:effectLst/>
            </c:spPr>
          </c:marker>
          <c:cat>
            <c:numRef>
              <c:extLst>
                <c:ext xmlns:c15="http://schemas.microsoft.com/office/drawing/2012/chart" uri="{02D57815-91ED-43cb-92C2-25804820EDAC}">
                  <c15:fullRef>
                    <c15:sqref>'2BE'!$U$46:$U$53</c15:sqref>
                  </c15:fullRef>
                </c:ext>
              </c:extLst>
              <c:f>'2BE'!$U$46:$U$50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'2BE'!$AA$46:$AA$53</c15:sqref>
                  </c15:fullRef>
                </c:ext>
              </c:extLst>
              <c:f>'2BE'!$AA$46:$AA$50</c:f>
              <c:numCache>
                <c:formatCode>0.0%</c:formatCode>
                <c:ptCount val="5"/>
                <c:pt idx="4">
                  <c:v>0.10947834573021631</c:v>
                </c:pt>
              </c:numCache>
            </c:numRef>
          </c:val>
          <c:smooth val="0"/>
          <c:extLst>
            <c:ext xmlns:c16="http://schemas.microsoft.com/office/drawing/2014/chart" uri="{C3380CC4-5D6E-409C-BE32-E72D297353CC}">
              <c16:uniqueId val="{00000004-0040-48B6-B726-6D6FD98A7FDE}"/>
            </c:ext>
          </c:extLst>
        </c:ser>
        <c:ser>
          <c:idx val="6"/>
          <c:order val="5"/>
          <c:tx>
            <c:strRef>
              <c:f>'2BE'!$AB$45</c:f>
              <c:strCache>
                <c:ptCount val="1"/>
                <c:pt idx="0">
                  <c:v>Indexing with lagged HCPI</c:v>
                </c:pt>
              </c:strCache>
            </c:strRef>
          </c:tx>
          <c:spPr>
            <a:ln w="25400" cap="rnd">
              <a:noFill/>
              <a:round/>
            </a:ln>
            <a:effectLst/>
          </c:spPr>
          <c:marker>
            <c:symbol val="diamond"/>
            <c:size val="6"/>
            <c:spPr>
              <a:noFill/>
              <a:ln w="25400">
                <a:solidFill>
                  <a:schemeClr val="accent4"/>
                </a:solidFill>
              </a:ln>
              <a:effectLst/>
            </c:spPr>
          </c:marker>
          <c:cat>
            <c:numRef>
              <c:extLst>
                <c:ext xmlns:c15="http://schemas.microsoft.com/office/drawing/2012/chart" uri="{02D57815-91ED-43cb-92C2-25804820EDAC}">
                  <c15:fullRef>
                    <c15:sqref>'2BE'!$U$46:$U$53</c15:sqref>
                  </c15:fullRef>
                </c:ext>
              </c:extLst>
              <c:f>'2BE'!$U$46:$U$50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'2BE'!$AB$46:$AB$53</c15:sqref>
                  </c15:fullRef>
                </c:ext>
              </c:extLst>
              <c:f>'2BE'!$AB$46:$AB$50</c:f>
              <c:numCache>
                <c:formatCode>0.0%</c:formatCode>
                <c:ptCount val="5"/>
                <c:pt idx="4">
                  <c:v>0.11440782169661906</c:v>
                </c:pt>
              </c:numCache>
            </c:numRef>
          </c:val>
          <c:smooth val="0"/>
          <c:extLst>
            <c:ext xmlns:c16="http://schemas.microsoft.com/office/drawing/2014/chart" uri="{C3380CC4-5D6E-409C-BE32-E72D297353CC}">
              <c16:uniqueId val="{00000005-0040-48B6-B726-6D6FD98A7FDE}"/>
            </c:ext>
          </c:extLst>
        </c:ser>
        <c:ser>
          <c:idx val="7"/>
          <c:order val="6"/>
          <c:tx>
            <c:strRef>
              <c:f>'2BE'!$AC$45</c:f>
              <c:strCache>
                <c:ptCount val="1"/>
                <c:pt idx="0">
                  <c:v>Indexing with concurrent HCPI</c:v>
                </c:pt>
              </c:strCache>
            </c:strRef>
          </c:tx>
          <c:spPr>
            <a:ln w="25400" cap="rnd">
              <a:noFill/>
              <a:round/>
            </a:ln>
            <a:effectLst/>
          </c:spPr>
          <c:marker>
            <c:symbol val="triangle"/>
            <c:size val="6"/>
            <c:spPr>
              <a:noFill/>
              <a:ln w="25400">
                <a:solidFill>
                  <a:schemeClr val="accent5">
                    <a:lumMod val="75000"/>
                  </a:schemeClr>
                </a:solidFill>
              </a:ln>
              <a:effectLst/>
            </c:spPr>
          </c:marker>
          <c:cat>
            <c:numRef>
              <c:extLst>
                <c:ext xmlns:c15="http://schemas.microsoft.com/office/drawing/2012/chart" uri="{02D57815-91ED-43cb-92C2-25804820EDAC}">
                  <c15:fullRef>
                    <c15:sqref>'2BE'!$U$46:$U$53</c15:sqref>
                  </c15:fullRef>
                </c:ext>
              </c:extLst>
              <c:f>'2BE'!$U$46:$U$50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'2BE'!$AC$46:$AC$53</c15:sqref>
                  </c15:fullRef>
                </c:ext>
              </c:extLst>
              <c:f>'2BE'!$AC$46:$AC$50</c:f>
              <c:numCache>
                <c:formatCode>0.0%</c:formatCode>
                <c:ptCount val="5"/>
                <c:pt idx="4">
                  <c:v>0.11338344703074371</c:v>
                </c:pt>
              </c:numCache>
            </c:numRef>
          </c:val>
          <c:smooth val="0"/>
          <c:extLst>
            <c:ext xmlns:c16="http://schemas.microsoft.com/office/drawing/2014/chart" uri="{C3380CC4-5D6E-409C-BE32-E72D297353CC}">
              <c16:uniqueId val="{00000006-0040-48B6-B726-6D6FD98A7FDE}"/>
            </c:ext>
          </c:extLst>
        </c:ser>
        <c:dLbls>
          <c:showLegendKey val="0"/>
          <c:showVal val="0"/>
          <c:showCatName val="0"/>
          <c:showSerName val="0"/>
          <c:showPercent val="0"/>
          <c:showBubbleSize val="0"/>
        </c:dLbls>
        <c:smooth val="0"/>
        <c:axId val="709475840"/>
        <c:axId val="605168576"/>
        <c:extLst/>
      </c:lineChart>
      <c:catAx>
        <c:axId val="709475840"/>
        <c:scaling>
          <c:orientation val="minMax"/>
        </c:scaling>
        <c:delete val="0"/>
        <c:axPos val="b"/>
        <c:numFmt formatCode="General" sourceLinked="1"/>
        <c:majorTickMark val="out"/>
        <c:minorTickMark val="none"/>
        <c:tickLblPos val="nextTo"/>
        <c:spPr>
          <a:noFill/>
          <a:ln w="6350" cap="flat" cmpd="sng" algn="ctr">
            <a:solidFill>
              <a:schemeClr val="tx1"/>
            </a:solidFill>
            <a:round/>
          </a:ln>
          <a:effectLst/>
        </c:spPr>
        <c:txPr>
          <a:bodyPr rot="-60000000" spcFirstLastPara="1" vertOverflow="ellipsis" vert="horz" wrap="square" anchor="ctr" anchorCtr="1"/>
          <a:lstStyle/>
          <a:p>
            <a:pPr>
              <a:defRPr sz="950" b="0" i="0" u="none" strike="noStrike" kern="1200" baseline="0">
                <a:solidFill>
                  <a:schemeClr val="tx1"/>
                </a:solidFill>
                <a:latin typeface="Times New Roman" panose="02020603050405020304" pitchFamily="18" charset="0"/>
                <a:ea typeface="+mn-ea"/>
                <a:cs typeface="+mn-cs"/>
              </a:defRPr>
            </a:pPr>
            <a:endParaRPr lang="es-ES_tradnl"/>
          </a:p>
        </c:txPr>
        <c:crossAx val="605168576"/>
        <c:crosses val="autoZero"/>
        <c:auto val="1"/>
        <c:lblAlgn val="ctr"/>
        <c:lblOffset val="100"/>
        <c:noMultiLvlLbl val="0"/>
      </c:catAx>
      <c:valAx>
        <c:axId val="6051685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s-ES_tradnl" sz="1050">
                    <a:solidFill>
                      <a:sysClr val="windowText" lastClr="000000"/>
                    </a:solidFill>
                    <a:latin typeface="Times New Roman" panose="02020603050405020304" pitchFamily="18" charset="0"/>
                    <a:cs typeface="Times New Roman" panose="02020603050405020304" pitchFamily="18" charset="0"/>
                  </a:rPr>
                  <a:t>Share of GDP</a:t>
                </a:r>
              </a:p>
            </c:rich>
          </c:tx>
          <c:overlay val="0"/>
          <c:spPr>
            <a:noFill/>
            <a:ln>
              <a:noFill/>
            </a:ln>
            <a:effectLst/>
          </c:spPr>
        </c:title>
        <c:numFmt formatCode="0%" sourceLinked="0"/>
        <c:majorTickMark val="out"/>
        <c:minorTickMark val="none"/>
        <c:tickLblPos val="nextTo"/>
        <c:spPr>
          <a:noFill/>
          <a:ln w="6350">
            <a:solidFill>
              <a:schemeClr val="tx1">
                <a:lumMod val="65000"/>
                <a:lumOff val="35000"/>
              </a:schemeClr>
            </a:solidFill>
          </a:ln>
          <a:effectLst/>
        </c:spPr>
        <c:txPr>
          <a:bodyPr rot="-60000000" spcFirstLastPara="1" vertOverflow="ellipsis" vert="horz" wrap="square" anchor="ctr" anchorCtr="1"/>
          <a:lstStyle/>
          <a:p>
            <a:pPr>
              <a:defRPr sz="950" b="0" i="0" u="none" strike="noStrike" kern="1200" baseline="0">
                <a:solidFill>
                  <a:schemeClr val="tx1"/>
                </a:solidFill>
                <a:latin typeface="Times New Roman" panose="02020603050405020304" pitchFamily="18" charset="0"/>
                <a:ea typeface="+mn-ea"/>
                <a:cs typeface="+mn-cs"/>
              </a:defRPr>
            </a:pPr>
            <a:endParaRPr lang="es-ES_tradnl"/>
          </a:p>
        </c:txPr>
        <c:crossAx val="709475840"/>
        <c:crosses val="autoZero"/>
        <c:crossBetween val="between"/>
      </c:valAx>
    </c:plotArea>
    <c:legend>
      <c:legendPos val="b"/>
      <c:layout>
        <c:manualLayout>
          <c:xMode val="edge"/>
          <c:yMode val="edge"/>
          <c:x val="0"/>
          <c:y val="0.80216933512597055"/>
          <c:w val="1"/>
          <c:h val="0.19783066487402948"/>
        </c:manualLayout>
      </c:layout>
      <c:overlay val="0"/>
      <c:spPr>
        <a:noFill/>
        <a:ln>
          <a:noFill/>
        </a:ln>
        <a:effectLst/>
      </c:spPr>
      <c:txPr>
        <a:bodyPr rot="0" spcFirstLastPara="1" vertOverflow="ellipsis" vert="horz" wrap="square" anchor="ctr" anchorCtr="1"/>
        <a:lstStyle/>
        <a:p>
          <a:pPr>
            <a:defRPr sz="9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legend>
    <c:plotVisOnly val="1"/>
    <c:dispBlanksAs val="gap"/>
    <c:showDLblsOverMax val="0"/>
  </c:chart>
  <c:spPr>
    <a:solidFill>
      <a:schemeClr val="bg1"/>
    </a:solidFill>
    <a:ln w="9525" cap="flat" cmpd="sng" algn="ctr">
      <a:noFill/>
      <a:round/>
    </a:ln>
    <a:effectLst/>
  </c:spPr>
  <c:txPr>
    <a:bodyPr/>
    <a:lstStyle/>
    <a:p>
      <a:pPr>
        <a:defRPr/>
      </a:pPr>
      <a:endParaRPr lang="es-ES_tradnl"/>
    </a:p>
  </c:txPr>
  <c:printSettings>
    <c:headerFooter/>
    <c:pageMargins b="0.75" l="0.25" r="0.25" t="0.75" header="0.3" footer="0.3"/>
    <c:pageSetup paperSize="9" orientation="landscape"/>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457409308717575"/>
          <c:y val="4.6087571003560986E-2"/>
          <c:w val="0.82558175067451101"/>
          <c:h val="0.64272676146640684"/>
        </c:manualLayout>
      </c:layout>
      <c:lineChart>
        <c:grouping val="standard"/>
        <c:varyColors val="0"/>
        <c:ser>
          <c:idx val="1"/>
          <c:order val="0"/>
          <c:tx>
            <c:strRef>
              <c:f>'2CY'!$D$45</c:f>
              <c:strCache>
                <c:ptCount val="1"/>
                <c:pt idx="0">
                  <c:v>Observed (National Accounts)</c:v>
                </c:pt>
              </c:strCache>
            </c:strRef>
          </c:tx>
          <c:spPr>
            <a:ln w="25400" cap="rnd">
              <a:solidFill>
                <a:schemeClr val="tx1">
                  <a:lumMod val="65000"/>
                  <a:lumOff val="35000"/>
                </a:schemeClr>
              </a:solidFill>
              <a:prstDash val="sysDash"/>
              <a:round/>
            </a:ln>
            <a:effectLst/>
          </c:spPr>
          <c:marker>
            <c:symbol val="none"/>
          </c:marker>
          <c:cat>
            <c:numRef>
              <c:extLst>
                <c:ext xmlns:c15="http://schemas.microsoft.com/office/drawing/2012/chart" uri="{02D57815-91ED-43cb-92C2-25804820EDAC}">
                  <c15:fullRef>
                    <c15:sqref>'2CY'!$B$46:$B$53</c15:sqref>
                  </c15:fullRef>
                </c:ext>
              </c:extLst>
              <c:f>'2CY'!$B$46:$B$50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'2CY'!$D$46:$D$53</c15:sqref>
                  </c15:fullRef>
                </c:ext>
              </c:extLst>
              <c:f>'2CY'!$D$46:$D$50</c:f>
              <c:numCache>
                <c:formatCode>_-* #,##0_-;\-* #,##0_-;_-* "-"??_-;_-@_-</c:formatCode>
                <c:ptCount val="5"/>
                <c:pt idx="0">
                  <c:v>735.3</c:v>
                </c:pt>
                <c:pt idx="1">
                  <c:v>730.2</c:v>
                </c:pt>
                <c:pt idx="2">
                  <c:v>827.6</c:v>
                </c:pt>
                <c:pt idx="3">
                  <c:v>971.9</c:v>
                </c:pt>
                <c:pt idx="4">
                  <c:v>1174.4000000000001</c:v>
                </c:pt>
              </c:numCache>
            </c:numRef>
          </c:val>
          <c:smooth val="0"/>
          <c:extLst>
            <c:ext xmlns:c16="http://schemas.microsoft.com/office/drawing/2014/chart" uri="{C3380CC4-5D6E-409C-BE32-E72D297353CC}">
              <c16:uniqueId val="{00000000-685E-47DD-B0AA-D46FA8387511}"/>
            </c:ext>
          </c:extLst>
        </c:ser>
        <c:ser>
          <c:idx val="0"/>
          <c:order val="1"/>
          <c:tx>
            <c:strRef>
              <c:f>'2CY'!$C$45</c:f>
              <c:strCache>
                <c:ptCount val="1"/>
                <c:pt idx="0">
                  <c:v>Baseline simulation (before reescaling)</c:v>
                </c:pt>
              </c:strCache>
            </c:strRef>
          </c:tx>
          <c:spPr>
            <a:ln w="25400" cap="rnd">
              <a:noFill/>
              <a:round/>
            </a:ln>
            <a:effectLst/>
          </c:spPr>
          <c:marker>
            <c:symbol val="circle"/>
            <c:size val="8"/>
            <c:spPr>
              <a:solidFill>
                <a:schemeClr val="bg1">
                  <a:lumMod val="85000"/>
                </a:schemeClr>
              </a:solidFill>
              <a:ln w="25400">
                <a:noFill/>
              </a:ln>
              <a:effectLst/>
            </c:spPr>
          </c:marker>
          <c:cat>
            <c:numRef>
              <c:extLst>
                <c:ext xmlns:c15="http://schemas.microsoft.com/office/drawing/2012/chart" uri="{02D57815-91ED-43cb-92C2-25804820EDAC}">
                  <c15:fullRef>
                    <c15:sqref>'2CY'!$B$46:$B$53</c15:sqref>
                  </c15:fullRef>
                </c:ext>
              </c:extLst>
              <c:f>'2CY'!$B$46:$B$50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'2CY'!$C$46:$C$53</c15:sqref>
                  </c15:fullRef>
                </c:ext>
              </c:extLst>
              <c:f>'2CY'!$C$46:$C$50</c:f>
              <c:numCache>
                <c:formatCode>_-* #,##0_-;\-* #,##0_-;_-* "-"??_-;_-@_-</c:formatCode>
                <c:ptCount val="5"/>
                <c:pt idx="0">
                  <c:v>820.97606588159852</c:v>
                </c:pt>
                <c:pt idx="1">
                  <c:v>797.63946832680051</c:v>
                </c:pt>
                <c:pt idx="2">
                  <c:v>867.9088520268009</c:v>
                </c:pt>
                <c:pt idx="3">
                  <c:v>936.15014547480041</c:v>
                </c:pt>
                <c:pt idx="4">
                  <c:v>1061.8647935615986</c:v>
                </c:pt>
              </c:numCache>
            </c:numRef>
          </c:val>
          <c:smooth val="0"/>
          <c:extLst>
            <c:ext xmlns:c16="http://schemas.microsoft.com/office/drawing/2014/chart" uri="{C3380CC4-5D6E-409C-BE32-E72D297353CC}">
              <c16:uniqueId val="{00000001-685E-47DD-B0AA-D46FA8387511}"/>
            </c:ext>
          </c:extLst>
        </c:ser>
        <c:ser>
          <c:idx val="3"/>
          <c:order val="3"/>
          <c:tx>
            <c:strRef>
              <c:f>'2CY'!$F$45</c:f>
              <c:strCache>
                <c:ptCount val="1"/>
                <c:pt idx="0">
                  <c:v>Baseline simulation (after reescaling)</c:v>
                </c:pt>
              </c:strCache>
            </c:strRef>
          </c:tx>
          <c:spPr>
            <a:ln w="25400" cap="rnd">
              <a:noFill/>
              <a:round/>
            </a:ln>
            <a:effectLst/>
          </c:spPr>
          <c:marker>
            <c:symbol val="circle"/>
            <c:size val="7"/>
            <c:spPr>
              <a:solidFill>
                <a:schemeClr val="tx1"/>
              </a:solidFill>
              <a:ln w="9525">
                <a:solidFill>
                  <a:schemeClr val="tx1"/>
                </a:solidFill>
              </a:ln>
              <a:effectLst/>
            </c:spPr>
          </c:marker>
          <c:cat>
            <c:numRef>
              <c:extLst>
                <c:ext xmlns:c15="http://schemas.microsoft.com/office/drawing/2012/chart" uri="{02D57815-91ED-43cb-92C2-25804820EDAC}">
                  <c15:fullRef>
                    <c15:sqref>'2CY'!$B$46:$B$53</c15:sqref>
                  </c15:fullRef>
                </c:ext>
              </c:extLst>
              <c:f>'2CY'!$B$46:$B$50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'2CY'!$F$46:$F$53</c15:sqref>
                  </c15:fullRef>
                </c:ext>
              </c:extLst>
              <c:f>'2CY'!$F$46:$F$50</c:f>
              <c:numCache>
                <c:formatCode>General</c:formatCode>
                <c:ptCount val="5"/>
                <c:pt idx="0" formatCode="_-* #,##0_-;\-* #,##0_-;_-* &quot;-&quot;??_-;_-@_-">
                  <c:v>735.3</c:v>
                </c:pt>
                <c:pt idx="4" formatCode="_-* #,##0_-;\-* #,##0_-;_-* &quot;-&quot;??_-;_-@_-">
                  <c:v>1174.4000000000001</c:v>
                </c:pt>
              </c:numCache>
            </c:numRef>
          </c:val>
          <c:smooth val="0"/>
          <c:extLst>
            <c:ext xmlns:c16="http://schemas.microsoft.com/office/drawing/2014/chart" uri="{C3380CC4-5D6E-409C-BE32-E72D297353CC}">
              <c16:uniqueId val="{00000002-685E-47DD-B0AA-D46FA8387511}"/>
            </c:ext>
          </c:extLst>
        </c:ser>
        <c:ser>
          <c:idx val="4"/>
          <c:order val="4"/>
          <c:tx>
            <c:strRef>
              <c:f>'2CY'!$G$45</c:f>
              <c:strCache>
                <c:ptCount val="1"/>
                <c:pt idx="0">
                  <c:v>Unchanged legislation since 2019/2023</c:v>
                </c:pt>
              </c:strCache>
            </c:strRef>
          </c:tx>
          <c:spPr>
            <a:ln w="25400" cap="rnd">
              <a:noFill/>
              <a:round/>
            </a:ln>
            <a:effectLst/>
          </c:spPr>
          <c:marker>
            <c:symbol val="circle"/>
            <c:size val="6"/>
            <c:spPr>
              <a:noFill/>
              <a:ln w="25400">
                <a:solidFill>
                  <a:srgbClr val="C00000"/>
                </a:solidFill>
              </a:ln>
              <a:effectLst/>
            </c:spPr>
          </c:marker>
          <c:cat>
            <c:numRef>
              <c:extLst>
                <c:ext xmlns:c15="http://schemas.microsoft.com/office/drawing/2012/chart" uri="{02D57815-91ED-43cb-92C2-25804820EDAC}">
                  <c15:fullRef>
                    <c15:sqref>'2CY'!$B$46:$B$53</c15:sqref>
                  </c15:fullRef>
                </c:ext>
              </c:extLst>
              <c:f>'2CY'!$B$46:$B$50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'2CY'!$G$46:$G$53</c15:sqref>
                  </c15:fullRef>
                </c:ext>
              </c:extLst>
              <c:f>'2CY'!$G$46:$G$50</c:f>
              <c:numCache>
                <c:formatCode>General</c:formatCode>
                <c:ptCount val="5"/>
                <c:pt idx="4" formatCode="_-* #,##0_-;\-* #,##0_-;_-* &quot;-&quot;??_-;_-@_-">
                  <c:v>1207.8244874159539</c:v>
                </c:pt>
              </c:numCache>
            </c:numRef>
          </c:val>
          <c:smooth val="0"/>
          <c:extLst>
            <c:ext xmlns:c16="http://schemas.microsoft.com/office/drawing/2014/chart" uri="{C3380CC4-5D6E-409C-BE32-E72D297353CC}">
              <c16:uniqueId val="{00000003-685E-47DD-B0AA-D46FA8387511}"/>
            </c:ext>
          </c:extLst>
        </c:ser>
        <c:ser>
          <c:idx val="5"/>
          <c:order val="5"/>
          <c:tx>
            <c:strRef>
              <c:f>'2CY'!$H$45</c:f>
              <c:strCache>
                <c:ptCount val="1"/>
                <c:pt idx="0">
                  <c:v>Indexing with tax base growth</c:v>
                </c:pt>
              </c:strCache>
            </c:strRef>
          </c:tx>
          <c:spPr>
            <a:ln w="25400" cap="rnd">
              <a:noFill/>
              <a:round/>
            </a:ln>
            <a:effectLst/>
          </c:spPr>
          <c:marker>
            <c:symbol val="square"/>
            <c:size val="5"/>
            <c:spPr>
              <a:noFill/>
              <a:ln w="25400">
                <a:solidFill>
                  <a:schemeClr val="accent6">
                    <a:lumMod val="75000"/>
                  </a:schemeClr>
                </a:solidFill>
              </a:ln>
              <a:effectLst/>
            </c:spPr>
          </c:marker>
          <c:cat>
            <c:numRef>
              <c:extLst>
                <c:ext xmlns:c15="http://schemas.microsoft.com/office/drawing/2012/chart" uri="{02D57815-91ED-43cb-92C2-25804820EDAC}">
                  <c15:fullRef>
                    <c15:sqref>'2CY'!$B$46:$B$53</c15:sqref>
                  </c15:fullRef>
                </c:ext>
              </c:extLst>
              <c:f>'2CY'!$B$46:$B$50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'2CY'!$H$46:$H$53</c15:sqref>
                  </c15:fullRef>
                </c:ext>
              </c:extLst>
              <c:f>'2CY'!$H$46:$H$50</c:f>
              <c:numCache>
                <c:formatCode>General</c:formatCode>
                <c:ptCount val="5"/>
                <c:pt idx="4" formatCode="_-* #,##0_-;\-* #,##0_-;_-* &quot;-&quot;??_-;_-@_-">
                  <c:v>1034.2231374264884</c:v>
                </c:pt>
              </c:numCache>
            </c:numRef>
          </c:val>
          <c:smooth val="0"/>
          <c:extLst>
            <c:ext xmlns:c16="http://schemas.microsoft.com/office/drawing/2014/chart" uri="{C3380CC4-5D6E-409C-BE32-E72D297353CC}">
              <c16:uniqueId val="{00000004-685E-47DD-B0AA-D46FA8387511}"/>
            </c:ext>
          </c:extLst>
        </c:ser>
        <c:ser>
          <c:idx val="6"/>
          <c:order val="6"/>
          <c:tx>
            <c:strRef>
              <c:f>'2CY'!$I$45</c:f>
              <c:strCache>
                <c:ptCount val="1"/>
                <c:pt idx="0">
                  <c:v>Indexing with lagged HCPI</c:v>
                </c:pt>
              </c:strCache>
            </c:strRef>
          </c:tx>
          <c:spPr>
            <a:ln w="25400" cap="rnd">
              <a:noFill/>
              <a:round/>
            </a:ln>
            <a:effectLst/>
          </c:spPr>
          <c:marker>
            <c:symbol val="diamond"/>
            <c:size val="6"/>
            <c:spPr>
              <a:noFill/>
              <a:ln w="25400">
                <a:solidFill>
                  <a:schemeClr val="accent4"/>
                </a:solidFill>
              </a:ln>
              <a:effectLst/>
            </c:spPr>
          </c:marker>
          <c:cat>
            <c:numRef>
              <c:extLst>
                <c:ext xmlns:c15="http://schemas.microsoft.com/office/drawing/2012/chart" uri="{02D57815-91ED-43cb-92C2-25804820EDAC}">
                  <c15:fullRef>
                    <c15:sqref>'2CY'!$B$46:$B$53</c15:sqref>
                  </c15:fullRef>
                </c:ext>
              </c:extLst>
              <c:f>'2CY'!$B$46:$B$50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'2CY'!$I$46:$I$53</c15:sqref>
                  </c15:fullRef>
                </c:ext>
              </c:extLst>
              <c:f>'2CY'!$I$46:$I$50</c:f>
              <c:numCache>
                <c:formatCode>General</c:formatCode>
                <c:ptCount val="5"/>
                <c:pt idx="4" formatCode="_-* #,##0_-;\-* #,##0_-;_-* &quot;-&quot;??_-;_-@_-">
                  <c:v>1085.8297721920153</c:v>
                </c:pt>
              </c:numCache>
            </c:numRef>
          </c:val>
          <c:smooth val="0"/>
          <c:extLst>
            <c:ext xmlns:c16="http://schemas.microsoft.com/office/drawing/2014/chart" uri="{C3380CC4-5D6E-409C-BE32-E72D297353CC}">
              <c16:uniqueId val="{00000005-685E-47DD-B0AA-D46FA8387511}"/>
            </c:ext>
          </c:extLst>
        </c:ser>
        <c:ser>
          <c:idx val="7"/>
          <c:order val="7"/>
          <c:tx>
            <c:strRef>
              <c:f>'2CY'!$J$45</c:f>
              <c:strCache>
                <c:ptCount val="1"/>
                <c:pt idx="0">
                  <c:v>Indexing with concurrent HCPI</c:v>
                </c:pt>
              </c:strCache>
            </c:strRef>
          </c:tx>
          <c:spPr>
            <a:ln w="25400" cap="rnd">
              <a:noFill/>
              <a:round/>
            </a:ln>
            <a:effectLst/>
          </c:spPr>
          <c:marker>
            <c:symbol val="triangle"/>
            <c:size val="6"/>
            <c:spPr>
              <a:noFill/>
              <a:ln w="25400">
                <a:solidFill>
                  <a:schemeClr val="accent5">
                    <a:lumMod val="75000"/>
                  </a:schemeClr>
                </a:solidFill>
              </a:ln>
              <a:effectLst/>
            </c:spPr>
          </c:marker>
          <c:cat>
            <c:numRef>
              <c:extLst>
                <c:ext xmlns:c15="http://schemas.microsoft.com/office/drawing/2012/chart" uri="{02D57815-91ED-43cb-92C2-25804820EDAC}">
                  <c15:fullRef>
                    <c15:sqref>'2CY'!$B$46:$B$53</c15:sqref>
                  </c15:fullRef>
                </c:ext>
              </c:extLst>
              <c:f>'2CY'!$B$46:$B$50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'2CY'!$J$46:$J$53</c15:sqref>
                  </c15:fullRef>
                </c:ext>
              </c:extLst>
              <c:f>'2CY'!$J$46:$J$50</c:f>
              <c:numCache>
                <c:formatCode>General</c:formatCode>
                <c:ptCount val="5"/>
                <c:pt idx="4" formatCode="_-* #,##0_-;\-* #,##0_-;_-* &quot;-&quot;??_-;_-@_-">
                  <c:v>1037.8637684923474</c:v>
                </c:pt>
              </c:numCache>
            </c:numRef>
          </c:val>
          <c:smooth val="0"/>
          <c:extLst>
            <c:ext xmlns:c16="http://schemas.microsoft.com/office/drawing/2014/chart" uri="{C3380CC4-5D6E-409C-BE32-E72D297353CC}">
              <c16:uniqueId val="{00000006-685E-47DD-B0AA-D46FA8387511}"/>
            </c:ext>
          </c:extLst>
        </c:ser>
        <c:ser>
          <c:idx val="8"/>
          <c:order val="8"/>
          <c:tx>
            <c:strRef>
              <c:f>'2CY'!$K$45</c:f>
              <c:strCache>
                <c:ptCount val="1"/>
                <c:pt idx="0">
                  <c:v>Baseline w/o "indexation measures"</c:v>
                </c:pt>
              </c:strCache>
            </c:strRef>
          </c:tx>
          <c:spPr>
            <a:ln w="28575" cap="rnd">
              <a:noFill/>
              <a:round/>
            </a:ln>
            <a:effectLst/>
          </c:spPr>
          <c:marker>
            <c:symbol val="dash"/>
            <c:size val="9"/>
            <c:spPr>
              <a:solidFill>
                <a:schemeClr val="tx1">
                  <a:lumMod val="65000"/>
                  <a:lumOff val="35000"/>
                </a:schemeClr>
              </a:solidFill>
              <a:ln w="9525">
                <a:solidFill>
                  <a:schemeClr val="tx1">
                    <a:lumMod val="65000"/>
                    <a:lumOff val="35000"/>
                  </a:schemeClr>
                </a:solidFill>
              </a:ln>
              <a:effectLst/>
            </c:spPr>
          </c:marker>
          <c:cat>
            <c:strLit>
              <c:ptCount val="5"/>
              <c:pt idx="0">
                <c:v>2019</c:v>
              </c:pt>
              <c:pt idx="1">
                <c:v>2020</c:v>
              </c:pt>
              <c:pt idx="2">
                <c:v>2021</c:v>
              </c:pt>
              <c:pt idx="3">
                <c:v>2022</c:v>
              </c:pt>
              <c:pt idx="4">
                <c:v>2023</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'2CY'!$K$46:$K$53</c15:sqref>
                  </c15:fullRef>
                </c:ext>
              </c:extLst>
              <c:f>'2CY'!$K$46:$K$50</c:f>
              <c:numCache>
                <c:formatCode>General</c:formatCode>
                <c:ptCount val="5"/>
                <c:pt idx="4" formatCode="_-* #,##0_-;\-* #,##0_-;_-* &quot;-&quot;??_-;_-@_-">
                  <c:v>1174.4000000000001</c:v>
                </c:pt>
              </c:numCache>
            </c:numRef>
          </c:val>
          <c:smooth val="0"/>
          <c:extLst>
            <c:ext xmlns:c16="http://schemas.microsoft.com/office/drawing/2014/chart" uri="{C3380CC4-5D6E-409C-BE32-E72D297353CC}">
              <c16:uniqueId val="{00000007-685E-47DD-B0AA-D46FA8387511}"/>
            </c:ext>
          </c:extLst>
        </c:ser>
        <c:dLbls>
          <c:showLegendKey val="0"/>
          <c:showVal val="0"/>
          <c:showCatName val="0"/>
          <c:showSerName val="0"/>
          <c:showPercent val="0"/>
          <c:showBubbleSize val="0"/>
        </c:dLbls>
        <c:smooth val="0"/>
        <c:axId val="709475840"/>
        <c:axId val="605168576"/>
        <c:extLst>
          <c:ext xmlns:c15="http://schemas.microsoft.com/office/drawing/2012/chart" uri="{02D57815-91ED-43cb-92C2-25804820EDAC}">
            <c15:filteredLineSeries>
              <c15:ser>
                <c:idx val="2"/>
                <c:order val="2"/>
                <c:tx>
                  <c:strRef>
                    <c:extLst>
                      <c:ext uri="{02D57815-91ED-43cb-92C2-25804820EDAC}">
                        <c15:formulaRef>
                          <c15:sqref>'2CY'!$E$45</c15:sqref>
                        </c15:formulaRef>
                      </c:ext>
                    </c:extLst>
                    <c:strCache>
                      <c:ptCount val="1"/>
                      <c:pt idx="0">
                        <c:v>Reescaling factor
</c:v>
                      </c:pt>
                    </c:strCache>
                  </c:strRef>
                </c:tx>
                <c:spPr>
                  <a:ln w="25400" cap="rnd">
                    <a:noFill/>
                    <a:round/>
                  </a:ln>
                  <a:effectLst/>
                </c:spPr>
                <c:marker>
                  <c:symbol val="circle"/>
                  <c:size val="5"/>
                  <c:spPr>
                    <a:solidFill>
                      <a:schemeClr val="accent3"/>
                    </a:solidFill>
                    <a:ln w="9525">
                      <a:solidFill>
                        <a:schemeClr val="accent3"/>
                      </a:solidFill>
                    </a:ln>
                    <a:effectLst/>
                  </c:spPr>
                </c:marker>
                <c:cat>
                  <c:numRef>
                    <c:extLst>
                      <c:ext uri="{02D57815-91ED-43cb-92C2-25804820EDAC}">
                        <c15:fullRef>
                          <c15:sqref>'2CY'!$B$46:$B$53</c15:sqref>
                        </c15:fullRef>
                        <c15:formulaRef>
                          <c15:sqref>'2CY'!$B$46:$B$50</c15:sqref>
                        </c15:formulaRef>
                      </c:ext>
                    </c:extLst>
                    <c:numCache>
                      <c:formatCode>General</c:formatCode>
                      <c:ptCount val="5"/>
                      <c:pt idx="0">
                        <c:v>2019</c:v>
                      </c:pt>
                      <c:pt idx="1">
                        <c:v>2020</c:v>
                      </c:pt>
                      <c:pt idx="2">
                        <c:v>2021</c:v>
                      </c:pt>
                      <c:pt idx="3">
                        <c:v>2022</c:v>
                      </c:pt>
                      <c:pt idx="4">
                        <c:v>2023</c:v>
                      </c:pt>
                    </c:numCache>
                  </c:numRef>
                </c:cat>
                <c:val>
                  <c:numRef>
                    <c:extLst>
                      <c:ext uri="{02D57815-91ED-43cb-92C2-25804820EDAC}">
                        <c15:fullRef>
                          <c15:sqref>'2CY'!$E$46:$E$53</c15:sqref>
                        </c15:fullRef>
                        <c15:formulaRef>
                          <c15:sqref>'2CY'!$E$46:$E$50</c15:sqref>
                        </c15:formulaRef>
                      </c:ext>
                    </c:extLst>
                    <c:numCache>
                      <c:formatCode>General</c:formatCode>
                      <c:ptCount val="5"/>
                    </c:numCache>
                  </c:numRef>
                </c:val>
                <c:smooth val="0"/>
                <c:extLst>
                  <c:ext xmlns:c16="http://schemas.microsoft.com/office/drawing/2014/chart" uri="{C3380CC4-5D6E-409C-BE32-E72D297353CC}">
                    <c16:uniqueId val="{00000008-685E-47DD-B0AA-D46FA8387511}"/>
                  </c:ext>
                </c:extLst>
              </c15:ser>
            </c15:filteredLineSeries>
          </c:ext>
        </c:extLst>
      </c:lineChart>
      <c:catAx>
        <c:axId val="709475840"/>
        <c:scaling>
          <c:orientation val="minMax"/>
        </c:scaling>
        <c:delete val="0"/>
        <c:axPos val="b"/>
        <c:numFmt formatCode="General" sourceLinked="1"/>
        <c:majorTickMark val="out"/>
        <c:minorTickMark val="none"/>
        <c:tickLblPos val="nextTo"/>
        <c:spPr>
          <a:noFill/>
          <a:ln w="6350" cap="flat" cmpd="sng" algn="ctr">
            <a:solidFill>
              <a:schemeClr val="tx1"/>
            </a:solidFill>
            <a:round/>
          </a:ln>
          <a:effectLst/>
        </c:spPr>
        <c:txPr>
          <a:bodyPr rot="-60000000" spcFirstLastPara="1" vertOverflow="ellipsis" vert="horz" wrap="square" anchor="ctr" anchorCtr="1"/>
          <a:lstStyle/>
          <a:p>
            <a:pPr>
              <a:defRPr sz="950" b="0" i="0" u="none" strike="noStrike" kern="1200" baseline="0">
                <a:solidFill>
                  <a:schemeClr val="tx1"/>
                </a:solidFill>
                <a:latin typeface="Times New Roman" panose="02020603050405020304" pitchFamily="18" charset="0"/>
                <a:ea typeface="+mn-ea"/>
                <a:cs typeface="+mn-cs"/>
              </a:defRPr>
            </a:pPr>
            <a:endParaRPr lang="es-ES_tradnl"/>
          </a:p>
        </c:txPr>
        <c:crossAx val="605168576"/>
        <c:crosses val="autoZero"/>
        <c:auto val="1"/>
        <c:lblAlgn val="ctr"/>
        <c:lblOffset val="100"/>
        <c:noMultiLvlLbl val="0"/>
      </c:catAx>
      <c:valAx>
        <c:axId val="6051685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s-ES_tradnl" sz="1050">
                    <a:solidFill>
                      <a:sysClr val="windowText" lastClr="000000"/>
                    </a:solidFill>
                    <a:latin typeface="Times New Roman" panose="02020603050405020304" pitchFamily="18" charset="0"/>
                    <a:cs typeface="Times New Roman" panose="02020603050405020304" pitchFamily="18" charset="0"/>
                  </a:rPr>
                  <a:t>Million euros</a:t>
                </a:r>
              </a:p>
            </c:rich>
          </c:tx>
          <c:layout>
            <c:manualLayout>
              <c:xMode val="edge"/>
              <c:yMode val="edge"/>
              <c:x val="0"/>
              <c:y val="0.27024653144012073"/>
            </c:manualLayout>
          </c:layout>
          <c:overlay val="0"/>
          <c:spPr>
            <a:noFill/>
            <a:ln>
              <a:noFill/>
            </a:ln>
            <a:effectLst/>
          </c:spPr>
          <c:txPr>
            <a:bodyPr rot="-5400000" spcFirstLastPara="1" vertOverflow="ellipsis" vert="horz" wrap="square" anchor="ctr" anchorCtr="1"/>
            <a:lstStyle/>
            <a:p>
              <a:pPr>
                <a:defRPr sz="10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title>
        <c:numFmt formatCode="#,##0" sourceLinked="0"/>
        <c:majorTickMark val="out"/>
        <c:minorTickMark val="none"/>
        <c:tickLblPos val="nextTo"/>
        <c:spPr>
          <a:noFill/>
          <a:ln w="6350">
            <a:solidFill>
              <a:schemeClr val="tx1">
                <a:lumMod val="65000"/>
                <a:lumOff val="35000"/>
              </a:schemeClr>
            </a:solidFill>
          </a:ln>
          <a:effectLst/>
        </c:spPr>
        <c:txPr>
          <a:bodyPr rot="-60000000" spcFirstLastPara="1" vertOverflow="ellipsis" vert="horz" wrap="square" anchor="ctr" anchorCtr="1"/>
          <a:lstStyle/>
          <a:p>
            <a:pPr>
              <a:defRPr sz="950" b="0" i="0" u="none" strike="noStrike" kern="1200" baseline="0">
                <a:solidFill>
                  <a:schemeClr val="tx1"/>
                </a:solidFill>
                <a:latin typeface="Times New Roman" panose="02020603050405020304" pitchFamily="18" charset="0"/>
                <a:ea typeface="+mn-ea"/>
                <a:cs typeface="+mn-cs"/>
              </a:defRPr>
            </a:pPr>
            <a:endParaRPr lang="es-ES_tradnl"/>
          </a:p>
        </c:txPr>
        <c:crossAx val="709475840"/>
        <c:crosses val="autoZero"/>
        <c:crossBetween val="between"/>
      </c:valAx>
      <c:spPr>
        <a:noFill/>
        <a:ln>
          <a:noFill/>
        </a:ln>
        <a:effectLst/>
      </c:spPr>
    </c:plotArea>
    <c:legend>
      <c:legendPos val="b"/>
      <c:layout>
        <c:manualLayout>
          <c:xMode val="edge"/>
          <c:yMode val="edge"/>
          <c:x val="0"/>
          <c:y val="0.73648087849247201"/>
          <c:w val="1"/>
          <c:h val="0.26351912150752793"/>
        </c:manualLayout>
      </c:layout>
      <c:overlay val="0"/>
      <c:spPr>
        <a:noFill/>
        <a:ln>
          <a:noFill/>
        </a:ln>
        <a:effectLst/>
      </c:spPr>
      <c:txPr>
        <a:bodyPr rot="0" spcFirstLastPara="1" vertOverflow="ellipsis" vert="horz" wrap="square" anchor="ctr" anchorCtr="1"/>
        <a:lstStyle/>
        <a:p>
          <a:pPr>
            <a:defRPr sz="9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legend>
    <c:plotVisOnly val="1"/>
    <c:dispBlanksAs val="gap"/>
    <c:showDLblsOverMax val="0"/>
  </c:chart>
  <c:spPr>
    <a:solidFill>
      <a:schemeClr val="bg1"/>
    </a:solidFill>
    <a:ln w="9525" cap="flat" cmpd="sng" algn="ctr">
      <a:noFill/>
      <a:round/>
    </a:ln>
    <a:effectLst/>
  </c:spPr>
  <c:txPr>
    <a:bodyPr/>
    <a:lstStyle/>
    <a:p>
      <a:pPr>
        <a:defRPr/>
      </a:pPr>
      <a:endParaRPr lang="es-ES_tradnl"/>
    </a:p>
  </c:txPr>
  <c:printSettings>
    <c:headerFooter/>
    <c:pageMargins b="0.75" l="0.25" r="0.25" t="0.75" header="0.3" footer="0.3"/>
    <c:pageSetup paperSize="9" orientation="landscape"/>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457409308717575"/>
          <c:y val="4.6087571003560986E-2"/>
          <c:w val="0.82558175067451101"/>
          <c:h val="0.6515011552844524"/>
        </c:manualLayout>
      </c:layout>
      <c:lineChart>
        <c:grouping val="standard"/>
        <c:varyColors val="0"/>
        <c:ser>
          <c:idx val="1"/>
          <c:order val="0"/>
          <c:tx>
            <c:strRef>
              <c:f>'2CY'!$C$64</c:f>
              <c:strCache>
                <c:ptCount val="1"/>
                <c:pt idx="0">
                  <c:v>Baseline simulation
</c:v>
                </c:pt>
              </c:strCache>
            </c:strRef>
          </c:tx>
          <c:spPr>
            <a:ln w="28575" cap="rnd">
              <a:noFill/>
              <a:round/>
            </a:ln>
            <a:effectLst/>
          </c:spPr>
          <c:marker>
            <c:symbol val="circle"/>
            <c:size val="7"/>
            <c:spPr>
              <a:solidFill>
                <a:schemeClr val="tx1"/>
              </a:solidFill>
              <a:ln w="9525">
                <a:noFill/>
              </a:ln>
              <a:effectLst/>
            </c:spPr>
          </c:marker>
          <c:cat>
            <c:numRef>
              <c:extLst>
                <c:ext xmlns:c15="http://schemas.microsoft.com/office/drawing/2012/chart" uri="{02D57815-91ED-43cb-92C2-25804820EDAC}">
                  <c15:fullRef>
                    <c15:sqref>'2CY'!$B$65:$B$72</c15:sqref>
                  </c15:fullRef>
                </c:ext>
              </c:extLst>
              <c:f>'2CY'!$B$65:$B$69</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'2CY'!$C$65:$C$72</c15:sqref>
                  </c15:fullRef>
                </c:ext>
              </c:extLst>
              <c:f>'2CY'!$C$65:$C$69</c:f>
              <c:numCache>
                <c:formatCode>0.00</c:formatCode>
                <c:ptCount val="5"/>
                <c:pt idx="0">
                  <c:v>6.9267514488688313</c:v>
                </c:pt>
                <c:pt idx="1">
                  <c:v>6.7521144710857266</c:v>
                </c:pt>
                <c:pt idx="2">
                  <c:v>7.0692145148984764</c:v>
                </c:pt>
                <c:pt idx="3">
                  <c:v>7.3698294563465856</c:v>
                </c:pt>
                <c:pt idx="4">
                  <c:v>7.9026628754337205</c:v>
                </c:pt>
              </c:numCache>
            </c:numRef>
          </c:val>
          <c:smooth val="0"/>
          <c:extLst>
            <c:ext xmlns:c16="http://schemas.microsoft.com/office/drawing/2014/chart" uri="{C3380CC4-5D6E-409C-BE32-E72D297353CC}">
              <c16:uniqueId val="{00000000-C4BA-4611-8727-50EAFC5EA155}"/>
            </c:ext>
          </c:extLst>
        </c:ser>
        <c:ser>
          <c:idx val="0"/>
          <c:order val="1"/>
          <c:tx>
            <c:strRef>
              <c:f>'2CY'!$D$64</c:f>
              <c:strCache>
                <c:ptCount val="1"/>
                <c:pt idx="0">
                  <c:v>Legislation unchanged since 2019/2023</c:v>
                </c:pt>
              </c:strCache>
            </c:strRef>
          </c:tx>
          <c:spPr>
            <a:ln w="28575" cap="rnd">
              <a:noFill/>
              <a:round/>
            </a:ln>
            <a:effectLst/>
          </c:spPr>
          <c:marker>
            <c:symbol val="circle"/>
            <c:size val="7"/>
            <c:spPr>
              <a:noFill/>
              <a:ln w="25400">
                <a:solidFill>
                  <a:srgbClr val="C00000"/>
                </a:solidFill>
              </a:ln>
              <a:effectLst/>
            </c:spPr>
          </c:marker>
          <c:cat>
            <c:numRef>
              <c:extLst>
                <c:ext xmlns:c15="http://schemas.microsoft.com/office/drawing/2012/chart" uri="{02D57815-91ED-43cb-92C2-25804820EDAC}">
                  <c15:fullRef>
                    <c15:sqref>'2CY'!$B$65:$B$72</c15:sqref>
                  </c15:fullRef>
                </c:ext>
              </c:extLst>
              <c:f>'2CY'!$B$65:$B$69</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'2CY'!$D$65:$D$72</c15:sqref>
                  </c15:fullRef>
                </c:ext>
              </c:extLst>
              <c:f>'2CY'!$D$65:$D$69</c:f>
              <c:numCache>
                <c:formatCode>0.00%</c:formatCode>
                <c:ptCount val="5"/>
                <c:pt idx="4" formatCode="0.00">
                  <c:v>8.1275798167079536</c:v>
                </c:pt>
              </c:numCache>
            </c:numRef>
          </c:val>
          <c:smooth val="0"/>
          <c:extLst>
            <c:ext xmlns:c16="http://schemas.microsoft.com/office/drawing/2014/chart" uri="{C3380CC4-5D6E-409C-BE32-E72D297353CC}">
              <c16:uniqueId val="{00000001-C4BA-4611-8727-50EAFC5EA155}"/>
            </c:ext>
          </c:extLst>
        </c:ser>
        <c:ser>
          <c:idx val="2"/>
          <c:order val="2"/>
          <c:tx>
            <c:strRef>
              <c:f>'2CY'!$E$64</c:f>
              <c:strCache>
                <c:ptCount val="1"/>
                <c:pt idx="0">
                  <c:v>Index with tax base growth</c:v>
                </c:pt>
              </c:strCache>
            </c:strRef>
          </c:tx>
          <c:spPr>
            <a:ln w="28575" cap="rnd">
              <a:noFill/>
              <a:round/>
            </a:ln>
            <a:effectLst/>
          </c:spPr>
          <c:marker>
            <c:symbol val="square"/>
            <c:size val="6"/>
            <c:spPr>
              <a:noFill/>
              <a:ln w="25400">
                <a:solidFill>
                  <a:schemeClr val="accent6">
                    <a:lumMod val="75000"/>
                  </a:schemeClr>
                </a:solidFill>
              </a:ln>
              <a:effectLst/>
            </c:spPr>
          </c:marker>
          <c:cat>
            <c:numRef>
              <c:extLst>
                <c:ext xmlns:c15="http://schemas.microsoft.com/office/drawing/2012/chart" uri="{02D57815-91ED-43cb-92C2-25804820EDAC}">
                  <c15:fullRef>
                    <c15:sqref>'2CY'!$B$65:$B$72</c15:sqref>
                  </c15:fullRef>
                </c:ext>
              </c:extLst>
              <c:f>'2CY'!$B$65:$B$69</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'2CY'!$E$65:$E$72</c15:sqref>
                  </c15:fullRef>
                </c:ext>
              </c:extLst>
              <c:f>'2CY'!$E$65:$E$69</c:f>
              <c:numCache>
                <c:formatCode>0.00%</c:formatCode>
                <c:ptCount val="5"/>
                <c:pt idx="4" formatCode="0.00">
                  <c:v>6.9593978142497406</c:v>
                </c:pt>
              </c:numCache>
            </c:numRef>
          </c:val>
          <c:smooth val="0"/>
          <c:extLst xmlns:c15="http://schemas.microsoft.com/office/drawing/2012/chart">
            <c:ext xmlns:c16="http://schemas.microsoft.com/office/drawing/2014/chart" uri="{C3380CC4-5D6E-409C-BE32-E72D297353CC}">
              <c16:uniqueId val="{00000002-C4BA-4611-8727-50EAFC5EA155}"/>
            </c:ext>
          </c:extLst>
        </c:ser>
        <c:ser>
          <c:idx val="3"/>
          <c:order val="3"/>
          <c:tx>
            <c:strRef>
              <c:f>'2CY'!$F$64</c:f>
              <c:strCache>
                <c:ptCount val="1"/>
                <c:pt idx="0">
                  <c:v>Index with lagged HCPI</c:v>
                </c:pt>
              </c:strCache>
            </c:strRef>
          </c:tx>
          <c:spPr>
            <a:ln w="28575" cap="rnd">
              <a:noFill/>
              <a:round/>
            </a:ln>
            <a:effectLst/>
          </c:spPr>
          <c:marker>
            <c:symbol val="diamond"/>
            <c:size val="7"/>
            <c:spPr>
              <a:noFill/>
              <a:ln w="25400">
                <a:solidFill>
                  <a:schemeClr val="accent4"/>
                </a:solidFill>
              </a:ln>
              <a:effectLst/>
            </c:spPr>
          </c:marker>
          <c:cat>
            <c:numRef>
              <c:extLst>
                <c:ext xmlns:c15="http://schemas.microsoft.com/office/drawing/2012/chart" uri="{02D57815-91ED-43cb-92C2-25804820EDAC}">
                  <c15:fullRef>
                    <c15:sqref>'2CY'!$B$65:$B$72</c15:sqref>
                  </c15:fullRef>
                </c:ext>
              </c:extLst>
              <c:f>'2CY'!$B$65:$B$69</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'2CY'!$F$65:$F$72</c15:sqref>
                  </c15:fullRef>
                </c:ext>
              </c:extLst>
              <c:f>'2CY'!$F$65:$F$69</c:f>
              <c:numCache>
                <c:formatCode>0.00%</c:formatCode>
                <c:ptCount val="5"/>
                <c:pt idx="4" formatCode="0.00">
                  <c:v>7.3066643645627494</c:v>
                </c:pt>
              </c:numCache>
            </c:numRef>
          </c:val>
          <c:smooth val="0"/>
          <c:extLst>
            <c:ext xmlns:c16="http://schemas.microsoft.com/office/drawing/2014/chart" uri="{C3380CC4-5D6E-409C-BE32-E72D297353CC}">
              <c16:uniqueId val="{00000003-C4BA-4611-8727-50EAFC5EA155}"/>
            </c:ext>
          </c:extLst>
        </c:ser>
        <c:ser>
          <c:idx val="4"/>
          <c:order val="4"/>
          <c:tx>
            <c:strRef>
              <c:f>'2CY'!$G$64</c:f>
              <c:strCache>
                <c:ptCount val="1"/>
                <c:pt idx="0">
                  <c:v>Index with concurrent HCPI</c:v>
                </c:pt>
              </c:strCache>
            </c:strRef>
          </c:tx>
          <c:spPr>
            <a:ln w="28575" cap="rnd">
              <a:noFill/>
              <a:round/>
            </a:ln>
            <a:effectLst/>
          </c:spPr>
          <c:marker>
            <c:symbol val="triangle"/>
            <c:size val="6"/>
            <c:spPr>
              <a:noFill/>
              <a:ln w="25400">
                <a:solidFill>
                  <a:schemeClr val="accent5">
                    <a:lumMod val="75000"/>
                  </a:schemeClr>
                </a:solidFill>
              </a:ln>
              <a:effectLst/>
            </c:spPr>
          </c:marker>
          <c:cat>
            <c:numRef>
              <c:extLst>
                <c:ext xmlns:c15="http://schemas.microsoft.com/office/drawing/2012/chart" uri="{02D57815-91ED-43cb-92C2-25804820EDAC}">
                  <c15:fullRef>
                    <c15:sqref>'2CY'!$B$65:$B$72</c15:sqref>
                  </c15:fullRef>
                </c:ext>
              </c:extLst>
              <c:f>'2CY'!$B$65:$B$69</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'2CY'!$G$65:$G$72</c15:sqref>
                  </c15:fullRef>
                </c:ext>
              </c:extLst>
              <c:f>'2CY'!$G$65:$G$69</c:f>
              <c:numCache>
                <c:formatCode>0.00%</c:formatCode>
                <c:ptCount val="5"/>
                <c:pt idx="4" formatCode="0.00">
                  <c:v>6.9838960090447983</c:v>
                </c:pt>
              </c:numCache>
            </c:numRef>
          </c:val>
          <c:smooth val="0"/>
          <c:extLst>
            <c:ext xmlns:c16="http://schemas.microsoft.com/office/drawing/2014/chart" uri="{C3380CC4-5D6E-409C-BE32-E72D297353CC}">
              <c16:uniqueId val="{00000004-C4BA-4611-8727-50EAFC5EA155}"/>
            </c:ext>
          </c:extLst>
        </c:ser>
        <c:dLbls>
          <c:showLegendKey val="0"/>
          <c:showVal val="0"/>
          <c:showCatName val="0"/>
          <c:showSerName val="0"/>
          <c:showPercent val="0"/>
          <c:showBubbleSize val="0"/>
        </c:dLbls>
        <c:marker val="1"/>
        <c:smooth val="0"/>
        <c:axId val="709475840"/>
        <c:axId val="605168576"/>
        <c:extLst/>
      </c:lineChart>
      <c:catAx>
        <c:axId val="709475840"/>
        <c:scaling>
          <c:orientation val="minMax"/>
        </c:scaling>
        <c:delete val="0"/>
        <c:axPos val="b"/>
        <c:numFmt formatCode="General" sourceLinked="1"/>
        <c:majorTickMark val="out"/>
        <c:minorTickMark val="none"/>
        <c:tickLblPos val="nextTo"/>
        <c:spPr>
          <a:noFill/>
          <a:ln w="635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mn-cs"/>
              </a:defRPr>
            </a:pPr>
            <a:endParaRPr lang="es-ES_tradnl"/>
          </a:p>
        </c:txPr>
        <c:crossAx val="605168576"/>
        <c:crosses val="autoZero"/>
        <c:auto val="1"/>
        <c:lblAlgn val="ctr"/>
        <c:lblOffset val="100"/>
        <c:noMultiLvlLbl val="0"/>
      </c:catAx>
      <c:valAx>
        <c:axId val="6051685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s-ES_tradnl" sz="1050">
                    <a:solidFill>
                      <a:sysClr val="windowText" lastClr="000000"/>
                    </a:solidFill>
                    <a:latin typeface="Times New Roman" panose="02020603050405020304" pitchFamily="18" charset="0"/>
                    <a:cs typeface="Times New Roman" panose="02020603050405020304" pitchFamily="18" charset="0"/>
                  </a:rPr>
                  <a:t>Rate</a:t>
                </a:r>
              </a:p>
            </c:rich>
          </c:tx>
          <c:overlay val="0"/>
          <c:spPr>
            <a:noFill/>
            <a:ln>
              <a:noFill/>
            </a:ln>
            <a:effectLst/>
          </c:spPr>
          <c:txPr>
            <a:bodyPr rot="-5400000" spcFirstLastPara="1" vertOverflow="ellipsis" vert="horz" wrap="square" anchor="ctr" anchorCtr="1"/>
            <a:lstStyle/>
            <a:p>
              <a:pPr>
                <a:defRPr sz="10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title>
        <c:numFmt formatCode="#,##0.0" sourceLinked="0"/>
        <c:majorTickMark val="out"/>
        <c:minorTickMark val="none"/>
        <c:tickLblPos val="nextTo"/>
        <c:spPr>
          <a:noFill/>
          <a:ln w="6350">
            <a:solidFill>
              <a:schemeClr val="tx1">
                <a:lumMod val="65000"/>
                <a:lumOff val="35000"/>
              </a:schemeClr>
            </a:solidFill>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mn-cs"/>
              </a:defRPr>
            </a:pPr>
            <a:endParaRPr lang="es-ES_tradnl"/>
          </a:p>
        </c:txPr>
        <c:crossAx val="709475840"/>
        <c:crosses val="autoZero"/>
        <c:crossBetween val="between"/>
      </c:valAx>
      <c:spPr>
        <a:noFill/>
        <a:ln>
          <a:noFill/>
        </a:ln>
        <a:effectLst/>
      </c:spPr>
    </c:plotArea>
    <c:legend>
      <c:legendPos val="b"/>
      <c:layout>
        <c:manualLayout>
          <c:xMode val="edge"/>
          <c:yMode val="edge"/>
          <c:x val="8.1926620958132398E-2"/>
          <c:y val="0.78900773467278962"/>
          <c:w val="0.8223310520657221"/>
          <c:h val="0.1997652991480407"/>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legend>
    <c:plotVisOnly val="1"/>
    <c:dispBlanksAs val="gap"/>
    <c:showDLblsOverMax val="0"/>
  </c:chart>
  <c:spPr>
    <a:solidFill>
      <a:schemeClr val="bg1"/>
    </a:solidFill>
    <a:ln w="9525" cap="flat" cmpd="sng" algn="ctr">
      <a:noFill/>
      <a:round/>
    </a:ln>
    <a:effectLst/>
  </c:spPr>
  <c:txPr>
    <a:bodyPr/>
    <a:lstStyle/>
    <a:p>
      <a:pPr>
        <a:defRPr/>
      </a:pPr>
      <a:endParaRPr lang="es-ES_tradnl"/>
    </a:p>
  </c:txPr>
  <c:printSettings>
    <c:headerFooter/>
    <c:pageMargins b="0.75" l="0.84" r="0.25" t="0.75" header="0.3" footer="0.3"/>
    <c:pageSetup paperSize="9" orientation="landscape"/>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457409308717575"/>
          <c:y val="4.6087571003560986E-2"/>
          <c:w val="0.82558175067451101"/>
          <c:h val="0.64272676146640684"/>
        </c:manualLayout>
      </c:layout>
      <c:lineChart>
        <c:grouping val="standard"/>
        <c:varyColors val="0"/>
        <c:ser>
          <c:idx val="1"/>
          <c:order val="0"/>
          <c:tx>
            <c:strRef>
              <c:f>'2CY'!$W$45</c:f>
              <c:strCache>
                <c:ptCount val="1"/>
                <c:pt idx="0">
                  <c:v>Observed (National Accounts)</c:v>
                </c:pt>
              </c:strCache>
            </c:strRef>
          </c:tx>
          <c:spPr>
            <a:ln w="25400" cap="rnd">
              <a:solidFill>
                <a:schemeClr val="tx1">
                  <a:lumMod val="65000"/>
                  <a:lumOff val="35000"/>
                </a:schemeClr>
              </a:solidFill>
              <a:prstDash val="sysDash"/>
              <a:round/>
            </a:ln>
            <a:effectLst/>
          </c:spPr>
          <c:marker>
            <c:symbol val="none"/>
          </c:marker>
          <c:cat>
            <c:numRef>
              <c:extLst>
                <c:ext xmlns:c15="http://schemas.microsoft.com/office/drawing/2012/chart" uri="{02D57815-91ED-43cb-92C2-25804820EDAC}">
                  <c15:fullRef>
                    <c15:sqref>'2CY'!$U$46:$U$53</c15:sqref>
                  </c15:fullRef>
                </c:ext>
              </c:extLst>
              <c:f>'2CY'!$U$46:$U$50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'2CY'!$W$46:$W$53</c15:sqref>
                  </c15:fullRef>
                </c:ext>
              </c:extLst>
              <c:f>'2CY'!$W$46:$W$50</c:f>
              <c:numCache>
                <c:formatCode>0.0%</c:formatCode>
                <c:ptCount val="5"/>
                <c:pt idx="0">
                  <c:v>3.1421868389677317E-2</c:v>
                </c:pt>
                <c:pt idx="1">
                  <c:v>3.2636678943040009E-2</c:v>
                </c:pt>
                <c:pt idx="2">
                  <c:v>3.2227288834545037E-2</c:v>
                </c:pt>
                <c:pt idx="3">
                  <c:v>3.3040179224019826E-2</c:v>
                </c:pt>
                <c:pt idx="4">
                  <c:v>3.7472878111040206E-2</c:v>
                </c:pt>
              </c:numCache>
            </c:numRef>
          </c:val>
          <c:smooth val="0"/>
          <c:extLst>
            <c:ext xmlns:c16="http://schemas.microsoft.com/office/drawing/2014/chart" uri="{C3380CC4-5D6E-409C-BE32-E72D297353CC}">
              <c16:uniqueId val="{00000000-0AC8-4D3A-B1F1-15F062109D55}"/>
            </c:ext>
          </c:extLst>
        </c:ser>
        <c:ser>
          <c:idx val="0"/>
          <c:order val="1"/>
          <c:tx>
            <c:strRef>
              <c:f>'2CY'!$V$45</c:f>
              <c:strCache>
                <c:ptCount val="1"/>
                <c:pt idx="0">
                  <c:v>Baseline simulation (before reescaling)</c:v>
                </c:pt>
              </c:strCache>
            </c:strRef>
          </c:tx>
          <c:spPr>
            <a:ln w="25400" cap="rnd">
              <a:noFill/>
              <a:round/>
            </a:ln>
            <a:effectLst/>
          </c:spPr>
          <c:marker>
            <c:symbol val="circle"/>
            <c:size val="8"/>
            <c:spPr>
              <a:solidFill>
                <a:schemeClr val="bg1">
                  <a:lumMod val="85000"/>
                </a:schemeClr>
              </a:solidFill>
              <a:ln w="25400">
                <a:noFill/>
              </a:ln>
              <a:effectLst/>
            </c:spPr>
          </c:marker>
          <c:cat>
            <c:numRef>
              <c:extLst>
                <c:ext xmlns:c15="http://schemas.microsoft.com/office/drawing/2012/chart" uri="{02D57815-91ED-43cb-92C2-25804820EDAC}">
                  <c15:fullRef>
                    <c15:sqref>'2CY'!$U$46:$U$53</c15:sqref>
                  </c15:fullRef>
                </c:ext>
              </c:extLst>
              <c:f>'2CY'!$U$46:$U$50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'2CY'!$V$46:$V$53</c15:sqref>
                  </c15:fullRef>
                </c:ext>
              </c:extLst>
              <c:f>'2CY'!$V$46:$V$50</c:f>
              <c:numCache>
                <c:formatCode>0.0%</c:formatCode>
                <c:ptCount val="5"/>
                <c:pt idx="0">
                  <c:v>3.5083097909977753E-2</c:v>
                </c:pt>
                <c:pt idx="1">
                  <c:v>3.5650921994082339E-2</c:v>
                </c:pt>
                <c:pt idx="2">
                  <c:v>3.3796942069026246E-2</c:v>
                </c:pt>
                <c:pt idx="3">
                  <c:v>3.182484678164383E-2</c:v>
                </c:pt>
                <c:pt idx="4">
                  <c:v>3.3882092966228419E-2</c:v>
                </c:pt>
              </c:numCache>
            </c:numRef>
          </c:val>
          <c:smooth val="0"/>
          <c:extLst>
            <c:ext xmlns:c16="http://schemas.microsoft.com/office/drawing/2014/chart" uri="{C3380CC4-5D6E-409C-BE32-E72D297353CC}">
              <c16:uniqueId val="{00000001-0AC8-4D3A-B1F1-15F062109D55}"/>
            </c:ext>
          </c:extLst>
        </c:ser>
        <c:ser>
          <c:idx val="3"/>
          <c:order val="2"/>
          <c:tx>
            <c:strRef>
              <c:f>'2CY'!$Y$45</c:f>
              <c:strCache>
                <c:ptCount val="1"/>
                <c:pt idx="0">
                  <c:v>Baseline simulation (after reescaling)</c:v>
                </c:pt>
              </c:strCache>
            </c:strRef>
          </c:tx>
          <c:spPr>
            <a:ln w="25400" cap="rnd">
              <a:noFill/>
              <a:round/>
            </a:ln>
            <a:effectLst/>
          </c:spPr>
          <c:marker>
            <c:symbol val="circle"/>
            <c:size val="7"/>
            <c:spPr>
              <a:solidFill>
                <a:schemeClr val="tx1"/>
              </a:solidFill>
              <a:ln w="9525">
                <a:solidFill>
                  <a:schemeClr val="tx1"/>
                </a:solidFill>
              </a:ln>
              <a:effectLst/>
            </c:spPr>
          </c:marker>
          <c:cat>
            <c:numRef>
              <c:extLst>
                <c:ext xmlns:c15="http://schemas.microsoft.com/office/drawing/2012/chart" uri="{02D57815-91ED-43cb-92C2-25804820EDAC}">
                  <c15:fullRef>
                    <c15:sqref>'2CY'!$U$46:$U$53</c15:sqref>
                  </c15:fullRef>
                </c:ext>
              </c:extLst>
              <c:f>'2CY'!$U$46:$U$50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'2CY'!$Y$46:$Y$53</c15:sqref>
                  </c15:fullRef>
                </c:ext>
              </c:extLst>
              <c:f>'2CY'!$Y$46:$Y$50</c:f>
              <c:numCache>
                <c:formatCode>0.0%</c:formatCode>
                <c:ptCount val="5"/>
                <c:pt idx="0">
                  <c:v>3.1421868389677317E-2</c:v>
                </c:pt>
                <c:pt idx="4">
                  <c:v>3.7472878111040206E-2</c:v>
                </c:pt>
              </c:numCache>
            </c:numRef>
          </c:val>
          <c:smooth val="0"/>
          <c:extLst>
            <c:ext xmlns:c16="http://schemas.microsoft.com/office/drawing/2014/chart" uri="{C3380CC4-5D6E-409C-BE32-E72D297353CC}">
              <c16:uniqueId val="{00000002-0AC8-4D3A-B1F1-15F062109D55}"/>
            </c:ext>
          </c:extLst>
        </c:ser>
        <c:ser>
          <c:idx val="4"/>
          <c:order val="3"/>
          <c:tx>
            <c:strRef>
              <c:f>'2CY'!$Z$45</c:f>
              <c:strCache>
                <c:ptCount val="1"/>
                <c:pt idx="0">
                  <c:v>Unchanged legislation since 2019/2023</c:v>
                </c:pt>
              </c:strCache>
            </c:strRef>
          </c:tx>
          <c:spPr>
            <a:ln w="25400" cap="rnd">
              <a:noFill/>
              <a:round/>
            </a:ln>
            <a:effectLst/>
          </c:spPr>
          <c:marker>
            <c:symbol val="circle"/>
            <c:size val="6"/>
            <c:spPr>
              <a:noFill/>
              <a:ln w="25400">
                <a:solidFill>
                  <a:srgbClr val="C00000"/>
                </a:solidFill>
              </a:ln>
              <a:effectLst/>
            </c:spPr>
          </c:marker>
          <c:cat>
            <c:numRef>
              <c:extLst>
                <c:ext xmlns:c15="http://schemas.microsoft.com/office/drawing/2012/chart" uri="{02D57815-91ED-43cb-92C2-25804820EDAC}">
                  <c15:fullRef>
                    <c15:sqref>'2CY'!$U$46:$U$53</c15:sqref>
                  </c15:fullRef>
                </c:ext>
              </c:extLst>
              <c:f>'2CY'!$U$46:$U$50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'2CY'!$Z$46:$Z$53</c15:sqref>
                  </c15:fullRef>
                </c:ext>
              </c:extLst>
              <c:f>'2CY'!$Z$46:$Z$50</c:f>
              <c:numCache>
                <c:formatCode>0.0%</c:formatCode>
                <c:ptCount val="5"/>
                <c:pt idx="4">
                  <c:v>3.853939015366796E-2</c:v>
                </c:pt>
              </c:numCache>
            </c:numRef>
          </c:val>
          <c:smooth val="0"/>
          <c:extLst>
            <c:ext xmlns:c16="http://schemas.microsoft.com/office/drawing/2014/chart" uri="{C3380CC4-5D6E-409C-BE32-E72D297353CC}">
              <c16:uniqueId val="{00000003-0AC8-4D3A-B1F1-15F062109D55}"/>
            </c:ext>
          </c:extLst>
        </c:ser>
        <c:ser>
          <c:idx val="5"/>
          <c:order val="4"/>
          <c:tx>
            <c:strRef>
              <c:f>'2CY'!$AA$45</c:f>
              <c:strCache>
                <c:ptCount val="1"/>
                <c:pt idx="0">
                  <c:v>Indexing with tax base growth</c:v>
                </c:pt>
              </c:strCache>
            </c:strRef>
          </c:tx>
          <c:spPr>
            <a:ln w="25400" cap="rnd">
              <a:noFill/>
              <a:round/>
            </a:ln>
            <a:effectLst/>
          </c:spPr>
          <c:marker>
            <c:symbol val="square"/>
            <c:size val="5"/>
            <c:spPr>
              <a:noFill/>
              <a:ln w="25400">
                <a:solidFill>
                  <a:schemeClr val="accent6">
                    <a:lumMod val="75000"/>
                  </a:schemeClr>
                </a:solidFill>
              </a:ln>
              <a:effectLst/>
            </c:spPr>
          </c:marker>
          <c:cat>
            <c:numRef>
              <c:extLst>
                <c:ext xmlns:c15="http://schemas.microsoft.com/office/drawing/2012/chart" uri="{02D57815-91ED-43cb-92C2-25804820EDAC}">
                  <c15:fullRef>
                    <c15:sqref>'2CY'!$U$46:$U$53</c15:sqref>
                  </c15:fullRef>
                </c:ext>
              </c:extLst>
              <c:f>'2CY'!$U$46:$U$50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'2CY'!$AA$46:$AA$53</c15:sqref>
                  </c15:fullRef>
                </c:ext>
              </c:extLst>
              <c:f>'2CY'!$AA$46:$AA$50</c:f>
              <c:numCache>
                <c:formatCode>0.0%</c:formatCode>
                <c:ptCount val="5"/>
                <c:pt idx="4">
                  <c:v>3.3000100109332749E-2</c:v>
                </c:pt>
              </c:numCache>
            </c:numRef>
          </c:val>
          <c:smooth val="0"/>
          <c:extLst>
            <c:ext xmlns:c16="http://schemas.microsoft.com/office/drawing/2014/chart" uri="{C3380CC4-5D6E-409C-BE32-E72D297353CC}">
              <c16:uniqueId val="{00000004-0AC8-4D3A-B1F1-15F062109D55}"/>
            </c:ext>
          </c:extLst>
        </c:ser>
        <c:ser>
          <c:idx val="6"/>
          <c:order val="5"/>
          <c:tx>
            <c:strRef>
              <c:f>'2CY'!$AB$45</c:f>
              <c:strCache>
                <c:ptCount val="1"/>
                <c:pt idx="0">
                  <c:v>Indexing with lagged HCPI</c:v>
                </c:pt>
              </c:strCache>
            </c:strRef>
          </c:tx>
          <c:spPr>
            <a:ln w="25400" cap="rnd">
              <a:noFill/>
              <a:round/>
            </a:ln>
            <a:effectLst/>
          </c:spPr>
          <c:marker>
            <c:symbol val="diamond"/>
            <c:size val="6"/>
            <c:spPr>
              <a:noFill/>
              <a:ln w="25400">
                <a:solidFill>
                  <a:schemeClr val="accent4"/>
                </a:solidFill>
              </a:ln>
              <a:effectLst/>
            </c:spPr>
          </c:marker>
          <c:cat>
            <c:numRef>
              <c:extLst>
                <c:ext xmlns:c15="http://schemas.microsoft.com/office/drawing/2012/chart" uri="{02D57815-91ED-43cb-92C2-25804820EDAC}">
                  <c15:fullRef>
                    <c15:sqref>'2CY'!$U$46:$U$53</c15:sqref>
                  </c15:fullRef>
                </c:ext>
              </c:extLst>
              <c:f>'2CY'!$U$46:$U$50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'2CY'!$AB$46:$AB$53</c15:sqref>
                  </c15:fullRef>
                </c:ext>
              </c:extLst>
              <c:f>'2CY'!$AB$46:$AB$50</c:f>
              <c:numCache>
                <c:formatCode>0.0%</c:formatCode>
                <c:ptCount val="5"/>
                <c:pt idx="4">
                  <c:v>3.4646770012508467E-2</c:v>
                </c:pt>
              </c:numCache>
            </c:numRef>
          </c:val>
          <c:smooth val="0"/>
          <c:extLst>
            <c:ext xmlns:c16="http://schemas.microsoft.com/office/drawing/2014/chart" uri="{C3380CC4-5D6E-409C-BE32-E72D297353CC}">
              <c16:uniqueId val="{00000005-0AC8-4D3A-B1F1-15F062109D55}"/>
            </c:ext>
          </c:extLst>
        </c:ser>
        <c:ser>
          <c:idx val="7"/>
          <c:order val="6"/>
          <c:tx>
            <c:strRef>
              <c:f>'2CY'!$AC$45</c:f>
              <c:strCache>
                <c:ptCount val="1"/>
                <c:pt idx="0">
                  <c:v>Indexing with concurrent HCPI</c:v>
                </c:pt>
              </c:strCache>
            </c:strRef>
          </c:tx>
          <c:spPr>
            <a:ln w="25400" cap="rnd">
              <a:noFill/>
              <a:round/>
            </a:ln>
            <a:effectLst/>
          </c:spPr>
          <c:marker>
            <c:symbol val="triangle"/>
            <c:size val="6"/>
            <c:spPr>
              <a:noFill/>
              <a:ln w="25400">
                <a:solidFill>
                  <a:schemeClr val="accent5">
                    <a:lumMod val="75000"/>
                  </a:schemeClr>
                </a:solidFill>
              </a:ln>
              <a:effectLst/>
            </c:spPr>
          </c:marker>
          <c:cat>
            <c:numRef>
              <c:extLst>
                <c:ext xmlns:c15="http://schemas.microsoft.com/office/drawing/2012/chart" uri="{02D57815-91ED-43cb-92C2-25804820EDAC}">
                  <c15:fullRef>
                    <c15:sqref>'2CY'!$U$46:$U$53</c15:sqref>
                  </c15:fullRef>
                </c:ext>
              </c:extLst>
              <c:f>'2CY'!$U$46:$U$50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'2CY'!$AC$46:$AC$53</c15:sqref>
                  </c15:fullRef>
                </c:ext>
              </c:extLst>
              <c:f>'2CY'!$AC$46:$AC$50</c:f>
              <c:numCache>
                <c:formatCode>0.0%</c:formatCode>
                <c:ptCount val="5"/>
                <c:pt idx="4">
                  <c:v>3.3116265746405471E-2</c:v>
                </c:pt>
              </c:numCache>
            </c:numRef>
          </c:val>
          <c:smooth val="0"/>
          <c:extLst>
            <c:ext xmlns:c16="http://schemas.microsoft.com/office/drawing/2014/chart" uri="{C3380CC4-5D6E-409C-BE32-E72D297353CC}">
              <c16:uniqueId val="{00000006-0AC8-4D3A-B1F1-15F062109D55}"/>
            </c:ext>
          </c:extLst>
        </c:ser>
        <c:dLbls>
          <c:showLegendKey val="0"/>
          <c:showVal val="0"/>
          <c:showCatName val="0"/>
          <c:showSerName val="0"/>
          <c:showPercent val="0"/>
          <c:showBubbleSize val="0"/>
        </c:dLbls>
        <c:smooth val="0"/>
        <c:axId val="709475840"/>
        <c:axId val="605168576"/>
        <c:extLst/>
      </c:lineChart>
      <c:catAx>
        <c:axId val="709475840"/>
        <c:scaling>
          <c:orientation val="minMax"/>
        </c:scaling>
        <c:delete val="0"/>
        <c:axPos val="b"/>
        <c:numFmt formatCode="General" sourceLinked="1"/>
        <c:majorTickMark val="out"/>
        <c:minorTickMark val="none"/>
        <c:tickLblPos val="nextTo"/>
        <c:spPr>
          <a:noFill/>
          <a:ln w="6350" cap="flat" cmpd="sng" algn="ctr">
            <a:solidFill>
              <a:schemeClr val="tx1"/>
            </a:solidFill>
            <a:round/>
          </a:ln>
          <a:effectLst/>
        </c:spPr>
        <c:txPr>
          <a:bodyPr rot="-60000000" spcFirstLastPara="1" vertOverflow="ellipsis" vert="horz" wrap="square" anchor="ctr" anchorCtr="1"/>
          <a:lstStyle/>
          <a:p>
            <a:pPr>
              <a:defRPr sz="950" b="0" i="0" u="none" strike="noStrike" kern="1200" baseline="0">
                <a:solidFill>
                  <a:schemeClr val="tx1"/>
                </a:solidFill>
                <a:latin typeface="Times New Roman" panose="02020603050405020304" pitchFamily="18" charset="0"/>
                <a:ea typeface="+mn-ea"/>
                <a:cs typeface="+mn-cs"/>
              </a:defRPr>
            </a:pPr>
            <a:endParaRPr lang="es-ES_tradnl"/>
          </a:p>
        </c:txPr>
        <c:crossAx val="605168576"/>
        <c:crosses val="autoZero"/>
        <c:auto val="1"/>
        <c:lblAlgn val="ctr"/>
        <c:lblOffset val="100"/>
        <c:noMultiLvlLbl val="0"/>
      </c:catAx>
      <c:valAx>
        <c:axId val="6051685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s-ES_tradnl" sz="1050">
                    <a:solidFill>
                      <a:sysClr val="windowText" lastClr="000000"/>
                    </a:solidFill>
                    <a:latin typeface="Times New Roman" panose="02020603050405020304" pitchFamily="18" charset="0"/>
                    <a:cs typeface="Times New Roman" panose="02020603050405020304" pitchFamily="18" charset="0"/>
                  </a:rPr>
                  <a:t>Share of GDP</a:t>
                </a:r>
              </a:p>
            </c:rich>
          </c:tx>
          <c:overlay val="0"/>
          <c:spPr>
            <a:noFill/>
            <a:ln>
              <a:noFill/>
            </a:ln>
            <a:effectLst/>
          </c:spPr>
        </c:title>
        <c:numFmt formatCode="0%" sourceLinked="0"/>
        <c:majorTickMark val="out"/>
        <c:minorTickMark val="none"/>
        <c:tickLblPos val="nextTo"/>
        <c:spPr>
          <a:noFill/>
          <a:ln w="6350">
            <a:solidFill>
              <a:schemeClr val="tx1">
                <a:lumMod val="65000"/>
                <a:lumOff val="35000"/>
              </a:schemeClr>
            </a:solidFill>
          </a:ln>
          <a:effectLst/>
        </c:spPr>
        <c:txPr>
          <a:bodyPr rot="-60000000" spcFirstLastPara="1" vertOverflow="ellipsis" vert="horz" wrap="square" anchor="ctr" anchorCtr="1"/>
          <a:lstStyle/>
          <a:p>
            <a:pPr>
              <a:defRPr sz="950" b="0" i="0" u="none" strike="noStrike" kern="1200" baseline="0">
                <a:solidFill>
                  <a:schemeClr val="tx1"/>
                </a:solidFill>
                <a:latin typeface="Times New Roman" panose="02020603050405020304" pitchFamily="18" charset="0"/>
                <a:ea typeface="+mn-ea"/>
                <a:cs typeface="+mn-cs"/>
              </a:defRPr>
            </a:pPr>
            <a:endParaRPr lang="es-ES_tradnl"/>
          </a:p>
        </c:txPr>
        <c:crossAx val="709475840"/>
        <c:crosses val="autoZero"/>
        <c:crossBetween val="between"/>
      </c:valAx>
    </c:plotArea>
    <c:legend>
      <c:legendPos val="b"/>
      <c:layout>
        <c:manualLayout>
          <c:xMode val="edge"/>
          <c:yMode val="edge"/>
          <c:x val="0"/>
          <c:y val="0.80216933512597055"/>
          <c:w val="1"/>
          <c:h val="0.19783066487402948"/>
        </c:manualLayout>
      </c:layout>
      <c:overlay val="0"/>
      <c:spPr>
        <a:noFill/>
        <a:ln>
          <a:noFill/>
        </a:ln>
        <a:effectLst/>
      </c:spPr>
      <c:txPr>
        <a:bodyPr rot="0" spcFirstLastPara="1" vertOverflow="ellipsis" vert="horz" wrap="square" anchor="ctr" anchorCtr="1"/>
        <a:lstStyle/>
        <a:p>
          <a:pPr>
            <a:defRPr sz="9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legend>
    <c:plotVisOnly val="1"/>
    <c:dispBlanksAs val="gap"/>
    <c:showDLblsOverMax val="0"/>
  </c:chart>
  <c:spPr>
    <a:solidFill>
      <a:schemeClr val="bg1"/>
    </a:solidFill>
    <a:ln w="9525" cap="flat" cmpd="sng" algn="ctr">
      <a:noFill/>
      <a:round/>
    </a:ln>
    <a:effectLst/>
  </c:spPr>
  <c:txPr>
    <a:bodyPr/>
    <a:lstStyle/>
    <a:p>
      <a:pPr>
        <a:defRPr/>
      </a:pPr>
      <a:endParaRPr lang="es-ES_tradnl"/>
    </a:p>
  </c:txPr>
  <c:printSettings>
    <c:headerFooter/>
    <c:pageMargins b="0.75" l="0.25" r="0.25" t="0.75" header="0.3" footer="0.3"/>
    <c:pageSetup paperSize="9" orientation="landscape"/>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457409308717575"/>
          <c:y val="4.6087571003560986E-2"/>
          <c:w val="0.82558175067451101"/>
          <c:h val="0.64272676146640684"/>
        </c:manualLayout>
      </c:layout>
      <c:lineChart>
        <c:grouping val="standard"/>
        <c:varyColors val="0"/>
        <c:ser>
          <c:idx val="1"/>
          <c:order val="0"/>
          <c:tx>
            <c:strRef>
              <c:f>'2DE'!$D$45</c:f>
              <c:strCache>
                <c:ptCount val="1"/>
                <c:pt idx="0">
                  <c:v>Observed (National Accounts)</c:v>
                </c:pt>
              </c:strCache>
            </c:strRef>
          </c:tx>
          <c:spPr>
            <a:ln w="25400" cap="rnd">
              <a:solidFill>
                <a:schemeClr val="tx1">
                  <a:lumMod val="65000"/>
                  <a:lumOff val="35000"/>
                </a:schemeClr>
              </a:solidFill>
              <a:prstDash val="sysDash"/>
              <a:round/>
            </a:ln>
            <a:effectLst/>
          </c:spPr>
          <c:marker>
            <c:symbol val="none"/>
          </c:marker>
          <c:cat>
            <c:numRef>
              <c:extLst>
                <c:ext xmlns:c15="http://schemas.microsoft.com/office/drawing/2012/chart" uri="{02D57815-91ED-43cb-92C2-25804820EDAC}">
                  <c15:fullRef>
                    <c15:sqref>'2DE'!$B$46:$B$53</c15:sqref>
                  </c15:fullRef>
                </c:ext>
              </c:extLst>
              <c:f>'2DE'!$B$46:$B$50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'2DE'!$D$46:$D$53</c15:sqref>
                  </c15:fullRef>
                </c:ext>
              </c:extLst>
              <c:f>'2DE'!$D$46:$D$50</c:f>
              <c:numCache>
                <c:formatCode>_-* #,##0_-;\-* #,##0_-;_-* "-"??_-;_-@_-</c:formatCode>
                <c:ptCount val="5"/>
                <c:pt idx="0">
                  <c:v>339185</c:v>
                </c:pt>
                <c:pt idx="1">
                  <c:v>327953</c:v>
                </c:pt>
                <c:pt idx="2">
                  <c:v>348321</c:v>
                </c:pt>
                <c:pt idx="3">
                  <c:v>376777</c:v>
                </c:pt>
                <c:pt idx="4">
                  <c:v>374828</c:v>
                </c:pt>
              </c:numCache>
            </c:numRef>
          </c:val>
          <c:smooth val="0"/>
          <c:extLst>
            <c:ext xmlns:c16="http://schemas.microsoft.com/office/drawing/2014/chart" uri="{C3380CC4-5D6E-409C-BE32-E72D297353CC}">
              <c16:uniqueId val="{00000000-90C4-422D-998D-7EF8802606AB}"/>
            </c:ext>
          </c:extLst>
        </c:ser>
        <c:ser>
          <c:idx val="0"/>
          <c:order val="1"/>
          <c:tx>
            <c:strRef>
              <c:f>'2DE'!$C$45</c:f>
              <c:strCache>
                <c:ptCount val="1"/>
                <c:pt idx="0">
                  <c:v>Baseline simulation (before reescaling)</c:v>
                </c:pt>
              </c:strCache>
            </c:strRef>
          </c:tx>
          <c:spPr>
            <a:ln w="25400" cap="rnd">
              <a:noFill/>
              <a:round/>
            </a:ln>
            <a:effectLst/>
          </c:spPr>
          <c:marker>
            <c:symbol val="circle"/>
            <c:size val="8"/>
            <c:spPr>
              <a:solidFill>
                <a:schemeClr val="bg1">
                  <a:lumMod val="85000"/>
                </a:schemeClr>
              </a:solidFill>
              <a:ln w="25400">
                <a:noFill/>
              </a:ln>
              <a:effectLst/>
            </c:spPr>
          </c:marker>
          <c:cat>
            <c:numRef>
              <c:extLst>
                <c:ext xmlns:c15="http://schemas.microsoft.com/office/drawing/2012/chart" uri="{02D57815-91ED-43cb-92C2-25804820EDAC}">
                  <c15:fullRef>
                    <c15:sqref>'2DE'!$B$46:$B$53</c15:sqref>
                  </c15:fullRef>
                </c:ext>
              </c:extLst>
              <c:f>'2DE'!$B$46:$B$50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'2DE'!$C$46:$C$53</c15:sqref>
                  </c15:fullRef>
                </c:ext>
              </c:extLst>
              <c:f>'2DE'!$C$46:$C$50</c:f>
              <c:numCache>
                <c:formatCode>_-* #,##0_-;\-* #,##0_-;_-* "-"??_-;_-@_-</c:formatCode>
                <c:ptCount val="5"/>
                <c:pt idx="0">
                  <c:v>402013.56128081831</c:v>
                </c:pt>
                <c:pt idx="1">
                  <c:v>400379.82603715261</c:v>
                </c:pt>
                <c:pt idx="2">
                  <c:v>400467.11392231908</c:v>
                </c:pt>
                <c:pt idx="3">
                  <c:v>426442.98669986631</c:v>
                </c:pt>
                <c:pt idx="4">
                  <c:v>429507.45188720006</c:v>
                </c:pt>
              </c:numCache>
            </c:numRef>
          </c:val>
          <c:smooth val="0"/>
          <c:extLst>
            <c:ext xmlns:c16="http://schemas.microsoft.com/office/drawing/2014/chart" uri="{C3380CC4-5D6E-409C-BE32-E72D297353CC}">
              <c16:uniqueId val="{00000001-90C4-422D-998D-7EF8802606AB}"/>
            </c:ext>
          </c:extLst>
        </c:ser>
        <c:ser>
          <c:idx val="3"/>
          <c:order val="3"/>
          <c:tx>
            <c:strRef>
              <c:f>'2DE'!$F$45</c:f>
              <c:strCache>
                <c:ptCount val="1"/>
                <c:pt idx="0">
                  <c:v>Baseline simulation (after reescaling)</c:v>
                </c:pt>
              </c:strCache>
            </c:strRef>
          </c:tx>
          <c:spPr>
            <a:ln w="25400" cap="rnd">
              <a:noFill/>
              <a:round/>
            </a:ln>
            <a:effectLst/>
          </c:spPr>
          <c:marker>
            <c:symbol val="circle"/>
            <c:size val="7"/>
            <c:spPr>
              <a:solidFill>
                <a:schemeClr val="tx1"/>
              </a:solidFill>
              <a:ln w="9525">
                <a:solidFill>
                  <a:schemeClr val="tx1"/>
                </a:solidFill>
              </a:ln>
              <a:effectLst/>
            </c:spPr>
          </c:marker>
          <c:cat>
            <c:numRef>
              <c:extLst>
                <c:ext xmlns:c15="http://schemas.microsoft.com/office/drawing/2012/chart" uri="{02D57815-91ED-43cb-92C2-25804820EDAC}">
                  <c15:fullRef>
                    <c15:sqref>'2DE'!$B$46:$B$53</c15:sqref>
                  </c15:fullRef>
                </c:ext>
              </c:extLst>
              <c:f>'2DE'!$B$46:$B$50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'2DE'!$F$46:$F$53</c15:sqref>
                  </c15:fullRef>
                </c:ext>
              </c:extLst>
              <c:f>'2DE'!$F$46:$F$50</c:f>
              <c:numCache>
                <c:formatCode>General</c:formatCode>
                <c:ptCount val="5"/>
                <c:pt idx="0" formatCode="_-* #,##0_-;\-* #,##0_-;_-* &quot;-&quot;??_-;_-@_-">
                  <c:v>339185</c:v>
                </c:pt>
                <c:pt idx="4" formatCode="_-* #,##0_-;\-* #,##0_-;_-* &quot;-&quot;??_-;_-@_-">
                  <c:v>374828</c:v>
                </c:pt>
              </c:numCache>
            </c:numRef>
          </c:val>
          <c:smooth val="0"/>
          <c:extLst>
            <c:ext xmlns:c16="http://schemas.microsoft.com/office/drawing/2014/chart" uri="{C3380CC4-5D6E-409C-BE32-E72D297353CC}">
              <c16:uniqueId val="{00000002-90C4-422D-998D-7EF8802606AB}"/>
            </c:ext>
          </c:extLst>
        </c:ser>
        <c:ser>
          <c:idx val="4"/>
          <c:order val="4"/>
          <c:tx>
            <c:strRef>
              <c:f>'2DE'!$G$45</c:f>
              <c:strCache>
                <c:ptCount val="1"/>
                <c:pt idx="0">
                  <c:v>Unchanged legislation since 2019/2023</c:v>
                </c:pt>
              </c:strCache>
            </c:strRef>
          </c:tx>
          <c:spPr>
            <a:ln w="25400" cap="rnd">
              <a:noFill/>
              <a:round/>
            </a:ln>
            <a:effectLst/>
          </c:spPr>
          <c:marker>
            <c:symbol val="circle"/>
            <c:size val="6"/>
            <c:spPr>
              <a:noFill/>
              <a:ln w="25400">
                <a:solidFill>
                  <a:srgbClr val="C00000"/>
                </a:solidFill>
              </a:ln>
              <a:effectLst/>
            </c:spPr>
          </c:marker>
          <c:cat>
            <c:numRef>
              <c:extLst>
                <c:ext xmlns:c15="http://schemas.microsoft.com/office/drawing/2012/chart" uri="{02D57815-91ED-43cb-92C2-25804820EDAC}">
                  <c15:fullRef>
                    <c15:sqref>'2DE'!$B$46:$B$53</c15:sqref>
                  </c15:fullRef>
                </c:ext>
              </c:extLst>
              <c:f>'2DE'!$B$46:$B$50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'2DE'!$G$46:$G$53</c15:sqref>
                  </c15:fullRef>
                </c:ext>
              </c:extLst>
              <c:f>'2DE'!$G$46:$G$50</c:f>
              <c:numCache>
                <c:formatCode>General</c:formatCode>
                <c:ptCount val="5"/>
                <c:pt idx="4" formatCode="_-* #,##0_-;\-* #,##0_-;_-* &quot;-&quot;??_-;_-@_-">
                  <c:v>424413.32126204914</c:v>
                </c:pt>
              </c:numCache>
            </c:numRef>
          </c:val>
          <c:smooth val="0"/>
          <c:extLst>
            <c:ext xmlns:c16="http://schemas.microsoft.com/office/drawing/2014/chart" uri="{C3380CC4-5D6E-409C-BE32-E72D297353CC}">
              <c16:uniqueId val="{00000003-90C4-422D-998D-7EF8802606AB}"/>
            </c:ext>
          </c:extLst>
        </c:ser>
        <c:ser>
          <c:idx val="5"/>
          <c:order val="5"/>
          <c:tx>
            <c:strRef>
              <c:f>'2DE'!$H$45</c:f>
              <c:strCache>
                <c:ptCount val="1"/>
                <c:pt idx="0">
                  <c:v>Indexing with tax base growth</c:v>
                </c:pt>
              </c:strCache>
            </c:strRef>
          </c:tx>
          <c:spPr>
            <a:ln w="25400" cap="rnd">
              <a:noFill/>
              <a:round/>
            </a:ln>
            <a:effectLst/>
          </c:spPr>
          <c:marker>
            <c:symbol val="square"/>
            <c:size val="5"/>
            <c:spPr>
              <a:noFill/>
              <a:ln w="25400">
                <a:solidFill>
                  <a:schemeClr val="accent6">
                    <a:lumMod val="75000"/>
                  </a:schemeClr>
                </a:solidFill>
              </a:ln>
              <a:effectLst/>
            </c:spPr>
          </c:marker>
          <c:cat>
            <c:numRef>
              <c:extLst>
                <c:ext xmlns:c15="http://schemas.microsoft.com/office/drawing/2012/chart" uri="{02D57815-91ED-43cb-92C2-25804820EDAC}">
                  <c15:fullRef>
                    <c15:sqref>'2DE'!$B$46:$B$53</c15:sqref>
                  </c15:fullRef>
                </c:ext>
              </c:extLst>
              <c:f>'2DE'!$B$46:$B$50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'2DE'!$H$46:$H$53</c15:sqref>
                  </c15:fullRef>
                </c:ext>
              </c:extLst>
              <c:f>'2DE'!$H$46:$H$50</c:f>
              <c:numCache>
                <c:formatCode>General</c:formatCode>
                <c:ptCount val="5"/>
                <c:pt idx="4" formatCode="_-* #,##0_-;\-* #,##0_-;_-* &quot;-&quot;??_-;_-@_-">
                  <c:v>393500.42957394669</c:v>
                </c:pt>
              </c:numCache>
            </c:numRef>
          </c:val>
          <c:smooth val="0"/>
          <c:extLst>
            <c:ext xmlns:c16="http://schemas.microsoft.com/office/drawing/2014/chart" uri="{C3380CC4-5D6E-409C-BE32-E72D297353CC}">
              <c16:uniqueId val="{00000004-90C4-422D-998D-7EF8802606AB}"/>
            </c:ext>
          </c:extLst>
        </c:ser>
        <c:ser>
          <c:idx val="6"/>
          <c:order val="6"/>
          <c:tx>
            <c:strRef>
              <c:f>'2DE'!$I$45</c:f>
              <c:strCache>
                <c:ptCount val="1"/>
                <c:pt idx="0">
                  <c:v>Indexing with lagged HCPI</c:v>
                </c:pt>
              </c:strCache>
            </c:strRef>
          </c:tx>
          <c:spPr>
            <a:ln w="25400" cap="rnd">
              <a:noFill/>
              <a:round/>
            </a:ln>
            <a:effectLst/>
          </c:spPr>
          <c:marker>
            <c:symbol val="diamond"/>
            <c:size val="6"/>
            <c:spPr>
              <a:noFill/>
              <a:ln w="25400">
                <a:solidFill>
                  <a:schemeClr val="accent4"/>
                </a:solidFill>
              </a:ln>
              <a:effectLst/>
            </c:spPr>
          </c:marker>
          <c:cat>
            <c:numRef>
              <c:extLst>
                <c:ext xmlns:c15="http://schemas.microsoft.com/office/drawing/2012/chart" uri="{02D57815-91ED-43cb-92C2-25804820EDAC}">
                  <c15:fullRef>
                    <c15:sqref>'2DE'!$B$46:$B$53</c15:sqref>
                  </c15:fullRef>
                </c:ext>
              </c:extLst>
              <c:f>'2DE'!$B$46:$B$50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'2DE'!$I$46:$I$53</c15:sqref>
                  </c15:fullRef>
                </c:ext>
              </c:extLst>
              <c:f>'2DE'!$I$46:$I$50</c:f>
              <c:numCache>
                <c:formatCode>General</c:formatCode>
                <c:ptCount val="5"/>
                <c:pt idx="4" formatCode="_-* #,##0_-;\-* #,##0_-;_-* &quot;-&quot;??_-;_-@_-">
                  <c:v>393438.82148744533</c:v>
                </c:pt>
              </c:numCache>
            </c:numRef>
          </c:val>
          <c:smooth val="0"/>
          <c:extLst>
            <c:ext xmlns:c16="http://schemas.microsoft.com/office/drawing/2014/chart" uri="{C3380CC4-5D6E-409C-BE32-E72D297353CC}">
              <c16:uniqueId val="{00000005-90C4-422D-998D-7EF8802606AB}"/>
            </c:ext>
          </c:extLst>
        </c:ser>
        <c:ser>
          <c:idx val="7"/>
          <c:order val="7"/>
          <c:tx>
            <c:strRef>
              <c:f>'2DE'!$J$45</c:f>
              <c:strCache>
                <c:ptCount val="1"/>
                <c:pt idx="0">
                  <c:v>Indexing with concurrent HCPI</c:v>
                </c:pt>
              </c:strCache>
            </c:strRef>
          </c:tx>
          <c:spPr>
            <a:ln w="25400" cap="rnd">
              <a:noFill/>
              <a:round/>
            </a:ln>
            <a:effectLst/>
          </c:spPr>
          <c:marker>
            <c:symbol val="triangle"/>
            <c:size val="6"/>
            <c:spPr>
              <a:noFill/>
              <a:ln w="25400">
                <a:solidFill>
                  <a:schemeClr val="accent5">
                    <a:lumMod val="75000"/>
                  </a:schemeClr>
                </a:solidFill>
              </a:ln>
              <a:effectLst/>
            </c:spPr>
          </c:marker>
          <c:cat>
            <c:numRef>
              <c:extLst>
                <c:ext xmlns:c15="http://schemas.microsoft.com/office/drawing/2012/chart" uri="{02D57815-91ED-43cb-92C2-25804820EDAC}">
                  <c15:fullRef>
                    <c15:sqref>'2DE'!$B$46:$B$53</c15:sqref>
                  </c15:fullRef>
                </c:ext>
              </c:extLst>
              <c:f>'2DE'!$B$46:$B$50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'2DE'!$J$46:$J$53</c15:sqref>
                  </c15:fullRef>
                </c:ext>
              </c:extLst>
              <c:f>'2DE'!$J$46:$J$50</c:f>
              <c:numCache>
                <c:formatCode>General</c:formatCode>
                <c:ptCount val="5"/>
                <c:pt idx="4" formatCode="_-* #,##0_-;\-* #,##0_-;_-* &quot;-&quot;??_-;_-@_-">
                  <c:v>382836.9741681572</c:v>
                </c:pt>
              </c:numCache>
            </c:numRef>
          </c:val>
          <c:smooth val="0"/>
          <c:extLst>
            <c:ext xmlns:c16="http://schemas.microsoft.com/office/drawing/2014/chart" uri="{C3380CC4-5D6E-409C-BE32-E72D297353CC}">
              <c16:uniqueId val="{00000006-90C4-422D-998D-7EF8802606AB}"/>
            </c:ext>
          </c:extLst>
        </c:ser>
        <c:ser>
          <c:idx val="8"/>
          <c:order val="8"/>
          <c:tx>
            <c:strRef>
              <c:f>'2DE'!$K$45</c:f>
              <c:strCache>
                <c:ptCount val="1"/>
                <c:pt idx="0">
                  <c:v>Baseline w/o "indexation measures"</c:v>
                </c:pt>
              </c:strCache>
            </c:strRef>
          </c:tx>
          <c:spPr>
            <a:ln w="28575" cap="rnd">
              <a:noFill/>
              <a:round/>
            </a:ln>
            <a:effectLst/>
          </c:spPr>
          <c:marker>
            <c:symbol val="dash"/>
            <c:size val="9"/>
            <c:spPr>
              <a:solidFill>
                <a:schemeClr val="tx1">
                  <a:lumMod val="65000"/>
                  <a:lumOff val="35000"/>
                </a:schemeClr>
              </a:solidFill>
              <a:ln w="9525">
                <a:solidFill>
                  <a:schemeClr val="tx1">
                    <a:lumMod val="65000"/>
                    <a:lumOff val="35000"/>
                  </a:schemeClr>
                </a:solidFill>
              </a:ln>
              <a:effectLst/>
            </c:spPr>
          </c:marker>
          <c:cat>
            <c:strLit>
              <c:ptCount val="5"/>
              <c:pt idx="0">
                <c:v>2019</c:v>
              </c:pt>
              <c:pt idx="1">
                <c:v>2020</c:v>
              </c:pt>
              <c:pt idx="2">
                <c:v>2021</c:v>
              </c:pt>
              <c:pt idx="3">
                <c:v>2022</c:v>
              </c:pt>
              <c:pt idx="4">
                <c:v>2023</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'2DE'!$K$46:$K$53</c15:sqref>
                  </c15:fullRef>
                </c:ext>
              </c:extLst>
              <c:f>'2DE'!$K$46:$K$50</c:f>
              <c:numCache>
                <c:formatCode>General</c:formatCode>
                <c:ptCount val="5"/>
                <c:pt idx="4" formatCode="_-* #,##0_-;\-* #,##0_-;_-* &quot;-&quot;??_-;_-@_-">
                  <c:v>402688.30876271456</c:v>
                </c:pt>
              </c:numCache>
            </c:numRef>
          </c:val>
          <c:smooth val="0"/>
          <c:extLst>
            <c:ext xmlns:c16="http://schemas.microsoft.com/office/drawing/2014/chart" uri="{C3380CC4-5D6E-409C-BE32-E72D297353CC}">
              <c16:uniqueId val="{00000007-90C4-422D-998D-7EF8802606AB}"/>
            </c:ext>
          </c:extLst>
        </c:ser>
        <c:dLbls>
          <c:showLegendKey val="0"/>
          <c:showVal val="0"/>
          <c:showCatName val="0"/>
          <c:showSerName val="0"/>
          <c:showPercent val="0"/>
          <c:showBubbleSize val="0"/>
        </c:dLbls>
        <c:smooth val="0"/>
        <c:axId val="709475840"/>
        <c:axId val="605168576"/>
        <c:extLst>
          <c:ext xmlns:c15="http://schemas.microsoft.com/office/drawing/2012/chart" uri="{02D57815-91ED-43cb-92C2-25804820EDAC}">
            <c15:filteredLineSeries>
              <c15:ser>
                <c:idx val="2"/>
                <c:order val="2"/>
                <c:tx>
                  <c:strRef>
                    <c:extLst>
                      <c:ext uri="{02D57815-91ED-43cb-92C2-25804820EDAC}">
                        <c15:formulaRef>
                          <c15:sqref>'2DE'!$E$45</c15:sqref>
                        </c15:formulaRef>
                      </c:ext>
                    </c:extLst>
                    <c:strCache>
                      <c:ptCount val="1"/>
                      <c:pt idx="0">
                        <c:v>Reescaling factor
</c:v>
                      </c:pt>
                    </c:strCache>
                  </c:strRef>
                </c:tx>
                <c:spPr>
                  <a:ln w="25400" cap="rnd">
                    <a:noFill/>
                    <a:round/>
                  </a:ln>
                  <a:effectLst/>
                </c:spPr>
                <c:marker>
                  <c:symbol val="circle"/>
                  <c:size val="5"/>
                  <c:spPr>
                    <a:solidFill>
                      <a:schemeClr val="accent3"/>
                    </a:solidFill>
                    <a:ln w="9525">
                      <a:solidFill>
                        <a:schemeClr val="accent3"/>
                      </a:solidFill>
                    </a:ln>
                    <a:effectLst/>
                  </c:spPr>
                </c:marker>
                <c:cat>
                  <c:numRef>
                    <c:extLst>
                      <c:ext uri="{02D57815-91ED-43cb-92C2-25804820EDAC}">
                        <c15:fullRef>
                          <c15:sqref>'2DE'!$B$46:$B$53</c15:sqref>
                        </c15:fullRef>
                        <c15:formulaRef>
                          <c15:sqref>'2DE'!$B$46:$B$50</c15:sqref>
                        </c15:formulaRef>
                      </c:ext>
                    </c:extLst>
                    <c:numCache>
                      <c:formatCode>General</c:formatCode>
                      <c:ptCount val="5"/>
                      <c:pt idx="0">
                        <c:v>2019</c:v>
                      </c:pt>
                      <c:pt idx="1">
                        <c:v>2020</c:v>
                      </c:pt>
                      <c:pt idx="2">
                        <c:v>2021</c:v>
                      </c:pt>
                      <c:pt idx="3">
                        <c:v>2022</c:v>
                      </c:pt>
                      <c:pt idx="4">
                        <c:v>2023</c:v>
                      </c:pt>
                    </c:numCache>
                  </c:numRef>
                </c:cat>
                <c:val>
                  <c:numRef>
                    <c:extLst>
                      <c:ext uri="{02D57815-91ED-43cb-92C2-25804820EDAC}">
                        <c15:fullRef>
                          <c15:sqref>'2DE'!$E$46:$E$53</c15:sqref>
                        </c15:fullRef>
                        <c15:formulaRef>
                          <c15:sqref>'2DE'!$E$46:$E$50</c15:sqref>
                        </c15:formulaRef>
                      </c:ext>
                    </c:extLst>
                    <c:numCache>
                      <c:formatCode>General</c:formatCode>
                      <c:ptCount val="5"/>
                    </c:numCache>
                  </c:numRef>
                </c:val>
                <c:smooth val="0"/>
                <c:extLst>
                  <c:ext xmlns:c16="http://schemas.microsoft.com/office/drawing/2014/chart" uri="{C3380CC4-5D6E-409C-BE32-E72D297353CC}">
                    <c16:uniqueId val="{00000008-90C4-422D-998D-7EF8802606AB}"/>
                  </c:ext>
                </c:extLst>
              </c15:ser>
            </c15:filteredLineSeries>
          </c:ext>
        </c:extLst>
      </c:lineChart>
      <c:catAx>
        <c:axId val="709475840"/>
        <c:scaling>
          <c:orientation val="minMax"/>
        </c:scaling>
        <c:delete val="0"/>
        <c:axPos val="b"/>
        <c:numFmt formatCode="General" sourceLinked="1"/>
        <c:majorTickMark val="out"/>
        <c:minorTickMark val="none"/>
        <c:tickLblPos val="nextTo"/>
        <c:spPr>
          <a:noFill/>
          <a:ln w="6350" cap="flat" cmpd="sng" algn="ctr">
            <a:solidFill>
              <a:schemeClr val="tx1"/>
            </a:solidFill>
            <a:round/>
          </a:ln>
          <a:effectLst/>
        </c:spPr>
        <c:txPr>
          <a:bodyPr rot="-60000000" spcFirstLastPara="1" vertOverflow="ellipsis" vert="horz" wrap="square" anchor="ctr" anchorCtr="1"/>
          <a:lstStyle/>
          <a:p>
            <a:pPr>
              <a:defRPr sz="950" b="0" i="0" u="none" strike="noStrike" kern="1200" baseline="0">
                <a:solidFill>
                  <a:schemeClr val="tx1"/>
                </a:solidFill>
                <a:latin typeface="Times New Roman" panose="02020603050405020304" pitchFamily="18" charset="0"/>
                <a:ea typeface="+mn-ea"/>
                <a:cs typeface="+mn-cs"/>
              </a:defRPr>
            </a:pPr>
            <a:endParaRPr lang="es-ES_tradnl"/>
          </a:p>
        </c:txPr>
        <c:crossAx val="605168576"/>
        <c:crosses val="autoZero"/>
        <c:auto val="1"/>
        <c:lblAlgn val="ctr"/>
        <c:lblOffset val="100"/>
        <c:noMultiLvlLbl val="0"/>
      </c:catAx>
      <c:valAx>
        <c:axId val="6051685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s-ES_tradnl" sz="1050">
                    <a:solidFill>
                      <a:sysClr val="windowText" lastClr="000000"/>
                    </a:solidFill>
                    <a:latin typeface="Times New Roman" panose="02020603050405020304" pitchFamily="18" charset="0"/>
                    <a:cs typeface="Times New Roman" panose="02020603050405020304" pitchFamily="18" charset="0"/>
                  </a:rPr>
                  <a:t>Million euros</a:t>
                </a:r>
              </a:p>
            </c:rich>
          </c:tx>
          <c:layout>
            <c:manualLayout>
              <c:xMode val="edge"/>
              <c:yMode val="edge"/>
              <c:x val="0"/>
              <c:y val="0.27024653144012073"/>
            </c:manualLayout>
          </c:layout>
          <c:overlay val="0"/>
          <c:spPr>
            <a:noFill/>
            <a:ln>
              <a:noFill/>
            </a:ln>
            <a:effectLst/>
          </c:spPr>
          <c:txPr>
            <a:bodyPr rot="-5400000" spcFirstLastPara="1" vertOverflow="ellipsis" vert="horz" wrap="square" anchor="ctr" anchorCtr="1"/>
            <a:lstStyle/>
            <a:p>
              <a:pPr>
                <a:defRPr sz="10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title>
        <c:numFmt formatCode="#,##0" sourceLinked="0"/>
        <c:majorTickMark val="out"/>
        <c:minorTickMark val="none"/>
        <c:tickLblPos val="nextTo"/>
        <c:spPr>
          <a:noFill/>
          <a:ln w="6350">
            <a:solidFill>
              <a:schemeClr val="tx1">
                <a:lumMod val="65000"/>
                <a:lumOff val="35000"/>
              </a:schemeClr>
            </a:solidFill>
          </a:ln>
          <a:effectLst/>
        </c:spPr>
        <c:txPr>
          <a:bodyPr rot="-60000000" spcFirstLastPara="1" vertOverflow="ellipsis" vert="horz" wrap="square" anchor="ctr" anchorCtr="1"/>
          <a:lstStyle/>
          <a:p>
            <a:pPr>
              <a:defRPr sz="950" b="0" i="0" u="none" strike="noStrike" kern="1200" baseline="0">
                <a:solidFill>
                  <a:schemeClr val="tx1"/>
                </a:solidFill>
                <a:latin typeface="Times New Roman" panose="02020603050405020304" pitchFamily="18" charset="0"/>
                <a:ea typeface="+mn-ea"/>
                <a:cs typeface="+mn-cs"/>
              </a:defRPr>
            </a:pPr>
            <a:endParaRPr lang="es-ES_tradnl"/>
          </a:p>
        </c:txPr>
        <c:crossAx val="709475840"/>
        <c:crosses val="autoZero"/>
        <c:crossBetween val="between"/>
      </c:valAx>
      <c:spPr>
        <a:noFill/>
        <a:ln>
          <a:noFill/>
        </a:ln>
        <a:effectLst/>
      </c:spPr>
    </c:plotArea>
    <c:legend>
      <c:legendPos val="b"/>
      <c:layout>
        <c:manualLayout>
          <c:xMode val="edge"/>
          <c:yMode val="edge"/>
          <c:x val="0"/>
          <c:y val="0.73648087849247201"/>
          <c:w val="1"/>
          <c:h val="0.26351912150752793"/>
        </c:manualLayout>
      </c:layout>
      <c:overlay val="0"/>
      <c:spPr>
        <a:noFill/>
        <a:ln>
          <a:noFill/>
        </a:ln>
        <a:effectLst/>
      </c:spPr>
      <c:txPr>
        <a:bodyPr rot="0" spcFirstLastPara="1" vertOverflow="ellipsis" vert="horz" wrap="square" anchor="ctr" anchorCtr="1"/>
        <a:lstStyle/>
        <a:p>
          <a:pPr>
            <a:defRPr sz="9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legend>
    <c:plotVisOnly val="1"/>
    <c:dispBlanksAs val="gap"/>
    <c:showDLblsOverMax val="0"/>
  </c:chart>
  <c:spPr>
    <a:solidFill>
      <a:schemeClr val="bg1"/>
    </a:solidFill>
    <a:ln w="9525" cap="flat" cmpd="sng" algn="ctr">
      <a:noFill/>
      <a:round/>
    </a:ln>
    <a:effectLst/>
  </c:spPr>
  <c:txPr>
    <a:bodyPr/>
    <a:lstStyle/>
    <a:p>
      <a:pPr>
        <a:defRPr/>
      </a:pPr>
      <a:endParaRPr lang="es-ES_tradnl"/>
    </a:p>
  </c:txPr>
  <c:printSettings>
    <c:headerFooter/>
    <c:pageMargins b="0.75" l="0.25" r="0.25" t="0.75" header="0.3" footer="0.3"/>
    <c:pageSetup paperSize="9" orientation="landscape"/>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457409308717575"/>
          <c:y val="4.6087571003560986E-2"/>
          <c:w val="0.82558175067451101"/>
          <c:h val="0.6515011552844524"/>
        </c:manualLayout>
      </c:layout>
      <c:lineChart>
        <c:grouping val="standard"/>
        <c:varyColors val="0"/>
        <c:ser>
          <c:idx val="1"/>
          <c:order val="0"/>
          <c:tx>
            <c:strRef>
              <c:f>'2DE'!$C$64</c:f>
              <c:strCache>
                <c:ptCount val="1"/>
                <c:pt idx="0">
                  <c:v>Baseline simulation
</c:v>
                </c:pt>
              </c:strCache>
            </c:strRef>
          </c:tx>
          <c:spPr>
            <a:ln w="28575" cap="rnd">
              <a:noFill/>
              <a:round/>
            </a:ln>
            <a:effectLst/>
          </c:spPr>
          <c:marker>
            <c:symbol val="circle"/>
            <c:size val="7"/>
            <c:spPr>
              <a:solidFill>
                <a:schemeClr val="tx1"/>
              </a:solidFill>
              <a:ln w="9525">
                <a:noFill/>
              </a:ln>
              <a:effectLst/>
            </c:spPr>
          </c:marker>
          <c:cat>
            <c:numRef>
              <c:extLst>
                <c:ext xmlns:c15="http://schemas.microsoft.com/office/drawing/2012/chart" uri="{02D57815-91ED-43cb-92C2-25804820EDAC}">
                  <c15:fullRef>
                    <c15:sqref>'2DE'!$B$65:$B$72</c15:sqref>
                  </c15:fullRef>
                </c:ext>
              </c:extLst>
              <c:f>'2DE'!$B$65:$B$69</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'2DE'!$C$65:$C$72</c15:sqref>
                  </c15:fullRef>
                </c:ext>
              </c:extLst>
              <c:f>'2DE'!$C$65:$C$69</c:f>
              <c:numCache>
                <c:formatCode>0.00</c:formatCode>
                <c:ptCount val="5"/>
                <c:pt idx="0">
                  <c:v>18.858577831124361</c:v>
                </c:pt>
                <c:pt idx="1">
                  <c:v>18.585401775970734</c:v>
                </c:pt>
                <c:pt idx="2">
                  <c:v>18.090479889231265</c:v>
                </c:pt>
                <c:pt idx="3">
                  <c:v>18.443725494452853</c:v>
                </c:pt>
                <c:pt idx="4">
                  <c:v>17.90065301033205</c:v>
                </c:pt>
              </c:numCache>
            </c:numRef>
          </c:val>
          <c:smooth val="0"/>
          <c:extLst>
            <c:ext xmlns:c16="http://schemas.microsoft.com/office/drawing/2014/chart" uri="{C3380CC4-5D6E-409C-BE32-E72D297353CC}">
              <c16:uniqueId val="{00000000-99A3-4752-B9F5-50387F1E5496}"/>
            </c:ext>
          </c:extLst>
        </c:ser>
        <c:ser>
          <c:idx val="0"/>
          <c:order val="1"/>
          <c:tx>
            <c:strRef>
              <c:f>'2DE'!$D$64</c:f>
              <c:strCache>
                <c:ptCount val="1"/>
                <c:pt idx="0">
                  <c:v>Legislation unchanged since 2019/2023</c:v>
                </c:pt>
              </c:strCache>
            </c:strRef>
          </c:tx>
          <c:spPr>
            <a:ln w="28575" cap="rnd">
              <a:noFill/>
              <a:round/>
            </a:ln>
            <a:effectLst/>
          </c:spPr>
          <c:marker>
            <c:symbol val="circle"/>
            <c:size val="7"/>
            <c:spPr>
              <a:noFill/>
              <a:ln w="25400">
                <a:solidFill>
                  <a:srgbClr val="C00000"/>
                </a:solidFill>
              </a:ln>
              <a:effectLst/>
            </c:spPr>
          </c:marker>
          <c:cat>
            <c:numRef>
              <c:extLst>
                <c:ext xmlns:c15="http://schemas.microsoft.com/office/drawing/2012/chart" uri="{02D57815-91ED-43cb-92C2-25804820EDAC}">
                  <c15:fullRef>
                    <c15:sqref>'2DE'!$B$65:$B$72</c15:sqref>
                  </c15:fullRef>
                </c:ext>
              </c:extLst>
              <c:f>'2DE'!$B$65:$B$69</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'2DE'!$D$65:$D$72</c15:sqref>
                  </c15:fullRef>
                </c:ext>
              </c:extLst>
              <c:f>'2DE'!$D$65:$D$69</c:f>
              <c:numCache>
                <c:formatCode>0.00%</c:formatCode>
                <c:ptCount val="5"/>
                <c:pt idx="4" formatCode="0.00">
                  <c:v>20.268698167891738</c:v>
                </c:pt>
              </c:numCache>
            </c:numRef>
          </c:val>
          <c:smooth val="0"/>
          <c:extLst>
            <c:ext xmlns:c16="http://schemas.microsoft.com/office/drawing/2014/chart" uri="{C3380CC4-5D6E-409C-BE32-E72D297353CC}">
              <c16:uniqueId val="{00000001-99A3-4752-B9F5-50387F1E5496}"/>
            </c:ext>
          </c:extLst>
        </c:ser>
        <c:ser>
          <c:idx val="2"/>
          <c:order val="2"/>
          <c:tx>
            <c:strRef>
              <c:f>'2DE'!$E$64</c:f>
              <c:strCache>
                <c:ptCount val="1"/>
                <c:pt idx="0">
                  <c:v>Index with tax base growth</c:v>
                </c:pt>
              </c:strCache>
            </c:strRef>
          </c:tx>
          <c:spPr>
            <a:ln w="28575" cap="rnd">
              <a:noFill/>
              <a:round/>
            </a:ln>
            <a:effectLst/>
          </c:spPr>
          <c:marker>
            <c:symbol val="square"/>
            <c:size val="6"/>
            <c:spPr>
              <a:noFill/>
              <a:ln w="25400">
                <a:solidFill>
                  <a:schemeClr val="accent6">
                    <a:lumMod val="75000"/>
                  </a:schemeClr>
                </a:solidFill>
              </a:ln>
              <a:effectLst/>
            </c:spPr>
          </c:marker>
          <c:cat>
            <c:numRef>
              <c:extLst>
                <c:ext xmlns:c15="http://schemas.microsoft.com/office/drawing/2012/chart" uri="{02D57815-91ED-43cb-92C2-25804820EDAC}">
                  <c15:fullRef>
                    <c15:sqref>'2DE'!$B$65:$B$72</c15:sqref>
                  </c15:fullRef>
                </c:ext>
              </c:extLst>
              <c:f>'2DE'!$B$65:$B$69</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'2DE'!$E$65:$E$72</c15:sqref>
                  </c15:fullRef>
                </c:ext>
              </c:extLst>
              <c:f>'2DE'!$E$65:$E$69</c:f>
              <c:numCache>
                <c:formatCode>0.00%</c:formatCode>
                <c:ptCount val="5"/>
                <c:pt idx="4" formatCode="0.00">
                  <c:v>18.792391841644235</c:v>
                </c:pt>
              </c:numCache>
            </c:numRef>
          </c:val>
          <c:smooth val="0"/>
          <c:extLst xmlns:c15="http://schemas.microsoft.com/office/drawing/2012/chart">
            <c:ext xmlns:c16="http://schemas.microsoft.com/office/drawing/2014/chart" uri="{C3380CC4-5D6E-409C-BE32-E72D297353CC}">
              <c16:uniqueId val="{00000002-99A3-4752-B9F5-50387F1E5496}"/>
            </c:ext>
          </c:extLst>
        </c:ser>
        <c:ser>
          <c:idx val="3"/>
          <c:order val="3"/>
          <c:tx>
            <c:strRef>
              <c:f>'2DE'!$F$64</c:f>
              <c:strCache>
                <c:ptCount val="1"/>
                <c:pt idx="0">
                  <c:v>Index with lagged HCPI</c:v>
                </c:pt>
              </c:strCache>
            </c:strRef>
          </c:tx>
          <c:spPr>
            <a:ln w="28575" cap="rnd">
              <a:noFill/>
              <a:round/>
            </a:ln>
            <a:effectLst/>
          </c:spPr>
          <c:marker>
            <c:symbol val="diamond"/>
            <c:size val="7"/>
            <c:spPr>
              <a:noFill/>
              <a:ln w="25400">
                <a:solidFill>
                  <a:schemeClr val="accent4"/>
                </a:solidFill>
              </a:ln>
              <a:effectLst/>
            </c:spPr>
          </c:marker>
          <c:cat>
            <c:numRef>
              <c:extLst>
                <c:ext xmlns:c15="http://schemas.microsoft.com/office/drawing/2012/chart" uri="{02D57815-91ED-43cb-92C2-25804820EDAC}">
                  <c15:fullRef>
                    <c15:sqref>'2DE'!$B$65:$B$72</c15:sqref>
                  </c15:fullRef>
                </c:ext>
              </c:extLst>
              <c:f>'2DE'!$B$65:$B$69</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'2DE'!$F$65:$F$72</c15:sqref>
                  </c15:fullRef>
                </c:ext>
              </c:extLst>
              <c:f>'2DE'!$F$65:$F$69</c:f>
              <c:numCache>
                <c:formatCode>0.00%</c:formatCode>
                <c:ptCount val="5"/>
                <c:pt idx="4" formatCode="0.00">
                  <c:v>18.789449625536868</c:v>
                </c:pt>
              </c:numCache>
            </c:numRef>
          </c:val>
          <c:smooth val="0"/>
          <c:extLst>
            <c:ext xmlns:c16="http://schemas.microsoft.com/office/drawing/2014/chart" uri="{C3380CC4-5D6E-409C-BE32-E72D297353CC}">
              <c16:uniqueId val="{00000003-99A3-4752-B9F5-50387F1E5496}"/>
            </c:ext>
          </c:extLst>
        </c:ser>
        <c:ser>
          <c:idx val="4"/>
          <c:order val="4"/>
          <c:tx>
            <c:strRef>
              <c:f>'2DE'!$G$64</c:f>
              <c:strCache>
                <c:ptCount val="1"/>
                <c:pt idx="0">
                  <c:v>Index with concurrent HCPI</c:v>
                </c:pt>
              </c:strCache>
            </c:strRef>
          </c:tx>
          <c:spPr>
            <a:ln w="28575" cap="rnd">
              <a:noFill/>
              <a:round/>
            </a:ln>
            <a:effectLst/>
          </c:spPr>
          <c:marker>
            <c:symbol val="triangle"/>
            <c:size val="6"/>
            <c:spPr>
              <a:noFill/>
              <a:ln w="25400">
                <a:solidFill>
                  <a:schemeClr val="accent5">
                    <a:lumMod val="75000"/>
                  </a:schemeClr>
                </a:solidFill>
              </a:ln>
              <a:effectLst/>
            </c:spPr>
          </c:marker>
          <c:cat>
            <c:numRef>
              <c:extLst>
                <c:ext xmlns:c15="http://schemas.microsoft.com/office/drawing/2012/chart" uri="{02D57815-91ED-43cb-92C2-25804820EDAC}">
                  <c15:fullRef>
                    <c15:sqref>'2DE'!$B$65:$B$72</c15:sqref>
                  </c15:fullRef>
                </c:ext>
              </c:extLst>
              <c:f>'2DE'!$B$65:$B$69</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'2DE'!$G$65:$G$72</c15:sqref>
                  </c15:fullRef>
                </c:ext>
              </c:extLst>
              <c:f>'2DE'!$G$65:$G$69</c:f>
              <c:numCache>
                <c:formatCode>0.00%</c:formatCode>
                <c:ptCount val="5"/>
                <c:pt idx="4" formatCode="0.00">
                  <c:v>18.283137423323868</c:v>
                </c:pt>
              </c:numCache>
            </c:numRef>
          </c:val>
          <c:smooth val="0"/>
          <c:extLst>
            <c:ext xmlns:c16="http://schemas.microsoft.com/office/drawing/2014/chart" uri="{C3380CC4-5D6E-409C-BE32-E72D297353CC}">
              <c16:uniqueId val="{00000004-99A3-4752-B9F5-50387F1E5496}"/>
            </c:ext>
          </c:extLst>
        </c:ser>
        <c:dLbls>
          <c:showLegendKey val="0"/>
          <c:showVal val="0"/>
          <c:showCatName val="0"/>
          <c:showSerName val="0"/>
          <c:showPercent val="0"/>
          <c:showBubbleSize val="0"/>
        </c:dLbls>
        <c:marker val="1"/>
        <c:smooth val="0"/>
        <c:axId val="709475840"/>
        <c:axId val="605168576"/>
        <c:extLst/>
      </c:lineChart>
      <c:catAx>
        <c:axId val="709475840"/>
        <c:scaling>
          <c:orientation val="minMax"/>
        </c:scaling>
        <c:delete val="0"/>
        <c:axPos val="b"/>
        <c:numFmt formatCode="General" sourceLinked="1"/>
        <c:majorTickMark val="out"/>
        <c:minorTickMark val="none"/>
        <c:tickLblPos val="nextTo"/>
        <c:spPr>
          <a:noFill/>
          <a:ln w="635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mn-cs"/>
              </a:defRPr>
            </a:pPr>
            <a:endParaRPr lang="es-ES_tradnl"/>
          </a:p>
        </c:txPr>
        <c:crossAx val="605168576"/>
        <c:crosses val="autoZero"/>
        <c:auto val="1"/>
        <c:lblAlgn val="ctr"/>
        <c:lblOffset val="100"/>
        <c:noMultiLvlLbl val="0"/>
      </c:catAx>
      <c:valAx>
        <c:axId val="6051685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s-ES_tradnl" sz="1050">
                    <a:solidFill>
                      <a:sysClr val="windowText" lastClr="000000"/>
                    </a:solidFill>
                    <a:latin typeface="Times New Roman" panose="02020603050405020304" pitchFamily="18" charset="0"/>
                    <a:cs typeface="Times New Roman" panose="02020603050405020304" pitchFamily="18" charset="0"/>
                  </a:rPr>
                  <a:t>Rate</a:t>
                </a:r>
              </a:p>
            </c:rich>
          </c:tx>
          <c:overlay val="0"/>
          <c:spPr>
            <a:noFill/>
            <a:ln>
              <a:noFill/>
            </a:ln>
            <a:effectLst/>
          </c:spPr>
          <c:txPr>
            <a:bodyPr rot="-5400000" spcFirstLastPara="1" vertOverflow="ellipsis" vert="horz" wrap="square" anchor="ctr" anchorCtr="1"/>
            <a:lstStyle/>
            <a:p>
              <a:pPr>
                <a:defRPr sz="10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title>
        <c:numFmt formatCode="#,##0.0" sourceLinked="0"/>
        <c:majorTickMark val="out"/>
        <c:minorTickMark val="none"/>
        <c:tickLblPos val="nextTo"/>
        <c:spPr>
          <a:noFill/>
          <a:ln w="6350">
            <a:solidFill>
              <a:schemeClr val="tx1">
                <a:lumMod val="65000"/>
                <a:lumOff val="35000"/>
              </a:schemeClr>
            </a:solidFill>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mn-cs"/>
              </a:defRPr>
            </a:pPr>
            <a:endParaRPr lang="es-ES_tradnl"/>
          </a:p>
        </c:txPr>
        <c:crossAx val="709475840"/>
        <c:crosses val="autoZero"/>
        <c:crossBetween val="between"/>
      </c:valAx>
      <c:spPr>
        <a:noFill/>
        <a:ln>
          <a:noFill/>
        </a:ln>
        <a:effectLst/>
      </c:spPr>
    </c:plotArea>
    <c:legend>
      <c:legendPos val="b"/>
      <c:layout>
        <c:manualLayout>
          <c:xMode val="edge"/>
          <c:yMode val="edge"/>
          <c:x val="8.1926620958132398E-2"/>
          <c:y val="0.78900773467278962"/>
          <c:w val="0.8223310520657221"/>
          <c:h val="0.1997652991480407"/>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legend>
    <c:plotVisOnly val="1"/>
    <c:dispBlanksAs val="gap"/>
    <c:showDLblsOverMax val="0"/>
  </c:chart>
  <c:spPr>
    <a:solidFill>
      <a:schemeClr val="bg1"/>
    </a:solidFill>
    <a:ln w="9525" cap="flat" cmpd="sng" algn="ctr">
      <a:noFill/>
      <a:round/>
    </a:ln>
    <a:effectLst/>
  </c:spPr>
  <c:txPr>
    <a:bodyPr/>
    <a:lstStyle/>
    <a:p>
      <a:pPr>
        <a:defRPr/>
      </a:pPr>
      <a:endParaRPr lang="es-ES_tradnl"/>
    </a:p>
  </c:txPr>
  <c:printSettings>
    <c:headerFooter/>
    <c:pageMargins b="0.75" l="0.84" r="0.25" t="0.75" header="0.3" footer="0.3"/>
    <c:pageSetup paperSize="9" orientation="landscape"/>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457409308717575"/>
          <c:y val="4.6087571003560986E-2"/>
          <c:w val="0.82558175067451101"/>
          <c:h val="0.64272676146640684"/>
        </c:manualLayout>
      </c:layout>
      <c:lineChart>
        <c:grouping val="standard"/>
        <c:varyColors val="0"/>
        <c:ser>
          <c:idx val="1"/>
          <c:order val="0"/>
          <c:tx>
            <c:strRef>
              <c:f>'2DE'!$W$45</c:f>
              <c:strCache>
                <c:ptCount val="1"/>
                <c:pt idx="0">
                  <c:v>Observed (National Accounts)</c:v>
                </c:pt>
              </c:strCache>
            </c:strRef>
          </c:tx>
          <c:spPr>
            <a:ln w="25400" cap="rnd">
              <a:solidFill>
                <a:schemeClr val="tx1">
                  <a:lumMod val="65000"/>
                  <a:lumOff val="35000"/>
                </a:schemeClr>
              </a:solidFill>
              <a:prstDash val="sysDash"/>
              <a:round/>
            </a:ln>
            <a:effectLst/>
          </c:spPr>
          <c:marker>
            <c:symbol val="none"/>
          </c:marker>
          <c:cat>
            <c:numRef>
              <c:extLst>
                <c:ext xmlns:c15="http://schemas.microsoft.com/office/drawing/2012/chart" uri="{02D57815-91ED-43cb-92C2-25804820EDAC}">
                  <c15:fullRef>
                    <c15:sqref>'2DE'!$U$46:$U$53</c15:sqref>
                  </c15:fullRef>
                </c:ext>
              </c:extLst>
              <c:f>'2DE'!$U$46:$U$50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'2DE'!$W$46:$W$53</c15:sqref>
                  </c15:fullRef>
                </c:ext>
              </c:extLst>
              <c:f>'2DE'!$W$46:$W$50</c:f>
              <c:numCache>
                <c:formatCode>0.0%</c:formatCode>
                <c:ptCount val="5"/>
                <c:pt idx="0">
                  <c:v>9.595375231973928E-2</c:v>
                </c:pt>
                <c:pt idx="1">
                  <c:v>9.5069311982189347E-2</c:v>
                </c:pt>
                <c:pt idx="2">
                  <c:v>9.4743584861524399E-2</c:v>
                </c:pt>
                <c:pt idx="3">
                  <c:v>9.5293701076166262E-2</c:v>
                </c:pt>
                <c:pt idx="4">
                  <c:v>8.9552866409432455E-2</c:v>
                </c:pt>
              </c:numCache>
            </c:numRef>
          </c:val>
          <c:smooth val="0"/>
          <c:extLst>
            <c:ext xmlns:c16="http://schemas.microsoft.com/office/drawing/2014/chart" uri="{C3380CC4-5D6E-409C-BE32-E72D297353CC}">
              <c16:uniqueId val="{00000000-70C6-4B42-A04B-E39F05A92288}"/>
            </c:ext>
          </c:extLst>
        </c:ser>
        <c:ser>
          <c:idx val="0"/>
          <c:order val="1"/>
          <c:tx>
            <c:strRef>
              <c:f>'2DE'!$V$45</c:f>
              <c:strCache>
                <c:ptCount val="1"/>
                <c:pt idx="0">
                  <c:v>Baseline simulation (before reescaling)</c:v>
                </c:pt>
              </c:strCache>
            </c:strRef>
          </c:tx>
          <c:spPr>
            <a:ln w="25400" cap="rnd">
              <a:noFill/>
              <a:round/>
            </a:ln>
            <a:effectLst/>
          </c:spPr>
          <c:marker>
            <c:symbol val="circle"/>
            <c:size val="8"/>
            <c:spPr>
              <a:solidFill>
                <a:schemeClr val="bg1">
                  <a:lumMod val="85000"/>
                </a:schemeClr>
              </a:solidFill>
              <a:ln w="25400">
                <a:noFill/>
              </a:ln>
              <a:effectLst/>
            </c:spPr>
          </c:marker>
          <c:cat>
            <c:numRef>
              <c:extLst>
                <c:ext xmlns:c15="http://schemas.microsoft.com/office/drawing/2012/chart" uri="{02D57815-91ED-43cb-92C2-25804820EDAC}">
                  <c15:fullRef>
                    <c15:sqref>'2DE'!$U$46:$U$53</c15:sqref>
                  </c15:fullRef>
                </c:ext>
              </c:extLst>
              <c:f>'2DE'!$U$46:$U$50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'2DE'!$V$46:$V$53</c15:sqref>
                  </c15:fullRef>
                </c:ext>
              </c:extLst>
              <c:f>'2DE'!$V$46:$V$50</c:f>
              <c:numCache>
                <c:formatCode>0.0%</c:formatCode>
                <c:ptCount val="5"/>
                <c:pt idx="0">
                  <c:v>0.11372764033880027</c:v>
                </c:pt>
                <c:pt idx="1">
                  <c:v>0.1160649074498503</c:v>
                </c:pt>
                <c:pt idx="2">
                  <c:v>0.10892736869769264</c:v>
                </c:pt>
                <c:pt idx="3">
                  <c:v>0.10785512518175103</c:v>
                </c:pt>
                <c:pt idx="4">
                  <c:v>0.10261672943512802</c:v>
                </c:pt>
              </c:numCache>
            </c:numRef>
          </c:val>
          <c:smooth val="0"/>
          <c:extLst>
            <c:ext xmlns:c16="http://schemas.microsoft.com/office/drawing/2014/chart" uri="{C3380CC4-5D6E-409C-BE32-E72D297353CC}">
              <c16:uniqueId val="{00000001-70C6-4B42-A04B-E39F05A92288}"/>
            </c:ext>
          </c:extLst>
        </c:ser>
        <c:ser>
          <c:idx val="3"/>
          <c:order val="2"/>
          <c:tx>
            <c:strRef>
              <c:f>'2DE'!$Y$45</c:f>
              <c:strCache>
                <c:ptCount val="1"/>
                <c:pt idx="0">
                  <c:v>Baseline simulation (after reescaling)</c:v>
                </c:pt>
              </c:strCache>
            </c:strRef>
          </c:tx>
          <c:spPr>
            <a:ln w="25400" cap="rnd">
              <a:noFill/>
              <a:round/>
            </a:ln>
            <a:effectLst/>
          </c:spPr>
          <c:marker>
            <c:symbol val="circle"/>
            <c:size val="7"/>
            <c:spPr>
              <a:solidFill>
                <a:schemeClr val="tx1"/>
              </a:solidFill>
              <a:ln w="9525">
                <a:solidFill>
                  <a:schemeClr val="tx1"/>
                </a:solidFill>
              </a:ln>
              <a:effectLst/>
            </c:spPr>
          </c:marker>
          <c:cat>
            <c:numRef>
              <c:extLst>
                <c:ext xmlns:c15="http://schemas.microsoft.com/office/drawing/2012/chart" uri="{02D57815-91ED-43cb-92C2-25804820EDAC}">
                  <c15:fullRef>
                    <c15:sqref>'2DE'!$U$46:$U$53</c15:sqref>
                  </c15:fullRef>
                </c:ext>
              </c:extLst>
              <c:f>'2DE'!$U$46:$U$50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'2DE'!$Y$46:$Y$53</c15:sqref>
                  </c15:fullRef>
                </c:ext>
              </c:extLst>
              <c:f>'2DE'!$Y$46:$Y$50</c:f>
              <c:numCache>
                <c:formatCode>0.0%</c:formatCode>
                <c:ptCount val="5"/>
                <c:pt idx="0">
                  <c:v>9.595375231973928E-2</c:v>
                </c:pt>
                <c:pt idx="4">
                  <c:v>8.9552866409432455E-2</c:v>
                </c:pt>
              </c:numCache>
            </c:numRef>
          </c:val>
          <c:smooth val="0"/>
          <c:extLst>
            <c:ext xmlns:c16="http://schemas.microsoft.com/office/drawing/2014/chart" uri="{C3380CC4-5D6E-409C-BE32-E72D297353CC}">
              <c16:uniqueId val="{00000002-70C6-4B42-A04B-E39F05A92288}"/>
            </c:ext>
          </c:extLst>
        </c:ser>
        <c:ser>
          <c:idx val="4"/>
          <c:order val="3"/>
          <c:tx>
            <c:strRef>
              <c:f>'2DE'!$Z$45</c:f>
              <c:strCache>
                <c:ptCount val="1"/>
                <c:pt idx="0">
                  <c:v>Unchanged legislation since 2019/2023</c:v>
                </c:pt>
              </c:strCache>
            </c:strRef>
          </c:tx>
          <c:spPr>
            <a:ln w="25400" cap="rnd">
              <a:noFill/>
              <a:round/>
            </a:ln>
            <a:effectLst/>
          </c:spPr>
          <c:marker>
            <c:symbol val="circle"/>
            <c:size val="6"/>
            <c:spPr>
              <a:noFill/>
              <a:ln w="25400">
                <a:solidFill>
                  <a:srgbClr val="C00000"/>
                </a:solidFill>
              </a:ln>
              <a:effectLst/>
            </c:spPr>
          </c:marker>
          <c:cat>
            <c:numRef>
              <c:extLst>
                <c:ext xmlns:c15="http://schemas.microsoft.com/office/drawing/2012/chart" uri="{02D57815-91ED-43cb-92C2-25804820EDAC}">
                  <c15:fullRef>
                    <c15:sqref>'2DE'!$U$46:$U$53</c15:sqref>
                  </c15:fullRef>
                </c:ext>
              </c:extLst>
              <c:f>'2DE'!$U$46:$U$50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'2DE'!$Z$46:$Z$53</c15:sqref>
                  </c15:fullRef>
                </c:ext>
              </c:extLst>
              <c:f>'2DE'!$Z$46:$Z$50</c:f>
              <c:numCache>
                <c:formatCode>0.0%</c:formatCode>
                <c:ptCount val="5"/>
                <c:pt idx="4">
                  <c:v>0.10139965387154594</c:v>
                </c:pt>
              </c:numCache>
            </c:numRef>
          </c:val>
          <c:smooth val="0"/>
          <c:extLst>
            <c:ext xmlns:c16="http://schemas.microsoft.com/office/drawing/2014/chart" uri="{C3380CC4-5D6E-409C-BE32-E72D297353CC}">
              <c16:uniqueId val="{00000003-70C6-4B42-A04B-E39F05A92288}"/>
            </c:ext>
          </c:extLst>
        </c:ser>
        <c:ser>
          <c:idx val="5"/>
          <c:order val="4"/>
          <c:tx>
            <c:strRef>
              <c:f>'2DE'!$AA$45</c:f>
              <c:strCache>
                <c:ptCount val="1"/>
                <c:pt idx="0">
                  <c:v>Indexing with tax base growth</c:v>
                </c:pt>
              </c:strCache>
            </c:strRef>
          </c:tx>
          <c:spPr>
            <a:ln w="25400" cap="rnd">
              <a:noFill/>
              <a:round/>
            </a:ln>
            <a:effectLst/>
          </c:spPr>
          <c:marker>
            <c:symbol val="square"/>
            <c:size val="5"/>
            <c:spPr>
              <a:noFill/>
              <a:ln w="25400">
                <a:solidFill>
                  <a:schemeClr val="accent6">
                    <a:lumMod val="75000"/>
                  </a:schemeClr>
                </a:solidFill>
              </a:ln>
              <a:effectLst/>
            </c:spPr>
          </c:marker>
          <c:cat>
            <c:numRef>
              <c:extLst>
                <c:ext xmlns:c15="http://schemas.microsoft.com/office/drawing/2012/chart" uri="{02D57815-91ED-43cb-92C2-25804820EDAC}">
                  <c15:fullRef>
                    <c15:sqref>'2DE'!$U$46:$U$53</c15:sqref>
                  </c15:fullRef>
                </c:ext>
              </c:extLst>
              <c:f>'2DE'!$U$46:$U$50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'2DE'!$AA$46:$AA$53</c15:sqref>
                  </c15:fullRef>
                </c:ext>
              </c:extLst>
              <c:f>'2DE'!$AA$46:$AA$50</c:f>
              <c:numCache>
                <c:formatCode>0.0%</c:formatCode>
                <c:ptCount val="5"/>
                <c:pt idx="4">
                  <c:v>9.4014031506957682E-2</c:v>
                </c:pt>
              </c:numCache>
            </c:numRef>
          </c:val>
          <c:smooth val="0"/>
          <c:extLst>
            <c:ext xmlns:c16="http://schemas.microsoft.com/office/drawing/2014/chart" uri="{C3380CC4-5D6E-409C-BE32-E72D297353CC}">
              <c16:uniqueId val="{00000004-70C6-4B42-A04B-E39F05A92288}"/>
            </c:ext>
          </c:extLst>
        </c:ser>
        <c:ser>
          <c:idx val="6"/>
          <c:order val="5"/>
          <c:tx>
            <c:strRef>
              <c:f>'2DE'!$AB$45</c:f>
              <c:strCache>
                <c:ptCount val="1"/>
                <c:pt idx="0">
                  <c:v>Indexing with lagged HCPI</c:v>
                </c:pt>
              </c:strCache>
            </c:strRef>
          </c:tx>
          <c:spPr>
            <a:ln w="25400" cap="rnd">
              <a:noFill/>
              <a:round/>
            </a:ln>
            <a:effectLst/>
          </c:spPr>
          <c:marker>
            <c:symbol val="diamond"/>
            <c:size val="6"/>
            <c:spPr>
              <a:noFill/>
              <a:ln w="25400">
                <a:solidFill>
                  <a:schemeClr val="accent4"/>
                </a:solidFill>
              </a:ln>
              <a:effectLst/>
            </c:spPr>
          </c:marker>
          <c:cat>
            <c:numRef>
              <c:extLst>
                <c:ext xmlns:c15="http://schemas.microsoft.com/office/drawing/2012/chart" uri="{02D57815-91ED-43cb-92C2-25804820EDAC}">
                  <c15:fullRef>
                    <c15:sqref>'2DE'!$U$46:$U$53</c15:sqref>
                  </c15:fullRef>
                </c:ext>
              </c:extLst>
              <c:f>'2DE'!$U$46:$U$50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'2DE'!$AB$46:$AB$53</c15:sqref>
                  </c15:fullRef>
                </c:ext>
              </c:extLst>
              <c:f>'2DE'!$AB$46:$AB$50</c:f>
              <c:numCache>
                <c:formatCode>0.0%</c:formatCode>
                <c:ptCount val="5"/>
                <c:pt idx="4">
                  <c:v>9.3999312273762181E-2</c:v>
                </c:pt>
              </c:numCache>
            </c:numRef>
          </c:val>
          <c:smooth val="0"/>
          <c:extLst>
            <c:ext xmlns:c16="http://schemas.microsoft.com/office/drawing/2014/chart" uri="{C3380CC4-5D6E-409C-BE32-E72D297353CC}">
              <c16:uniqueId val="{00000005-70C6-4B42-A04B-E39F05A92288}"/>
            </c:ext>
          </c:extLst>
        </c:ser>
        <c:ser>
          <c:idx val="7"/>
          <c:order val="6"/>
          <c:tx>
            <c:strRef>
              <c:f>'2DE'!$AC$45</c:f>
              <c:strCache>
                <c:ptCount val="1"/>
                <c:pt idx="0">
                  <c:v>Indexing with concurrent HCPI</c:v>
                </c:pt>
              </c:strCache>
            </c:strRef>
          </c:tx>
          <c:spPr>
            <a:ln w="25400" cap="rnd">
              <a:noFill/>
              <a:round/>
            </a:ln>
            <a:effectLst/>
          </c:spPr>
          <c:marker>
            <c:symbol val="triangle"/>
            <c:size val="6"/>
            <c:spPr>
              <a:noFill/>
              <a:ln w="25400">
                <a:solidFill>
                  <a:schemeClr val="accent5">
                    <a:lumMod val="75000"/>
                  </a:schemeClr>
                </a:solidFill>
              </a:ln>
              <a:effectLst/>
            </c:spPr>
          </c:marker>
          <c:cat>
            <c:numRef>
              <c:extLst>
                <c:ext xmlns:c15="http://schemas.microsoft.com/office/drawing/2012/chart" uri="{02D57815-91ED-43cb-92C2-25804820EDAC}">
                  <c15:fullRef>
                    <c15:sqref>'2DE'!$U$46:$U$53</c15:sqref>
                  </c15:fullRef>
                </c:ext>
              </c:extLst>
              <c:f>'2DE'!$U$46:$U$50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'2DE'!$AC$46:$AC$53</c15:sqref>
                  </c15:fullRef>
                </c:ext>
              </c:extLst>
              <c:f>'2DE'!$AC$46:$AC$50</c:f>
              <c:numCache>
                <c:formatCode>0.0%</c:formatCode>
                <c:ptCount val="5"/>
                <c:pt idx="4">
                  <c:v>9.1466348309817647E-2</c:v>
                </c:pt>
              </c:numCache>
            </c:numRef>
          </c:val>
          <c:smooth val="0"/>
          <c:extLst>
            <c:ext xmlns:c16="http://schemas.microsoft.com/office/drawing/2014/chart" uri="{C3380CC4-5D6E-409C-BE32-E72D297353CC}">
              <c16:uniqueId val="{00000006-70C6-4B42-A04B-E39F05A92288}"/>
            </c:ext>
          </c:extLst>
        </c:ser>
        <c:dLbls>
          <c:showLegendKey val="0"/>
          <c:showVal val="0"/>
          <c:showCatName val="0"/>
          <c:showSerName val="0"/>
          <c:showPercent val="0"/>
          <c:showBubbleSize val="0"/>
        </c:dLbls>
        <c:smooth val="0"/>
        <c:axId val="709475840"/>
        <c:axId val="605168576"/>
        <c:extLst/>
      </c:lineChart>
      <c:catAx>
        <c:axId val="709475840"/>
        <c:scaling>
          <c:orientation val="minMax"/>
        </c:scaling>
        <c:delete val="0"/>
        <c:axPos val="b"/>
        <c:numFmt formatCode="General" sourceLinked="1"/>
        <c:majorTickMark val="out"/>
        <c:minorTickMark val="none"/>
        <c:tickLblPos val="nextTo"/>
        <c:spPr>
          <a:noFill/>
          <a:ln w="6350" cap="flat" cmpd="sng" algn="ctr">
            <a:solidFill>
              <a:schemeClr val="tx1"/>
            </a:solidFill>
            <a:round/>
          </a:ln>
          <a:effectLst/>
        </c:spPr>
        <c:txPr>
          <a:bodyPr rot="-60000000" spcFirstLastPara="1" vertOverflow="ellipsis" vert="horz" wrap="square" anchor="ctr" anchorCtr="1"/>
          <a:lstStyle/>
          <a:p>
            <a:pPr>
              <a:defRPr sz="950" b="0" i="0" u="none" strike="noStrike" kern="1200" baseline="0">
                <a:solidFill>
                  <a:schemeClr val="tx1"/>
                </a:solidFill>
                <a:latin typeface="Times New Roman" panose="02020603050405020304" pitchFamily="18" charset="0"/>
                <a:ea typeface="+mn-ea"/>
                <a:cs typeface="+mn-cs"/>
              </a:defRPr>
            </a:pPr>
            <a:endParaRPr lang="es-ES_tradnl"/>
          </a:p>
        </c:txPr>
        <c:crossAx val="605168576"/>
        <c:crosses val="autoZero"/>
        <c:auto val="1"/>
        <c:lblAlgn val="ctr"/>
        <c:lblOffset val="100"/>
        <c:noMultiLvlLbl val="0"/>
      </c:catAx>
      <c:valAx>
        <c:axId val="6051685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s-ES_tradnl" sz="1050">
                    <a:solidFill>
                      <a:sysClr val="windowText" lastClr="000000"/>
                    </a:solidFill>
                    <a:latin typeface="Times New Roman" panose="02020603050405020304" pitchFamily="18" charset="0"/>
                    <a:cs typeface="Times New Roman" panose="02020603050405020304" pitchFamily="18" charset="0"/>
                  </a:rPr>
                  <a:t>Share of GDP</a:t>
                </a:r>
              </a:p>
            </c:rich>
          </c:tx>
          <c:overlay val="0"/>
          <c:spPr>
            <a:noFill/>
            <a:ln>
              <a:noFill/>
            </a:ln>
            <a:effectLst/>
          </c:spPr>
        </c:title>
        <c:numFmt formatCode="0%" sourceLinked="0"/>
        <c:majorTickMark val="out"/>
        <c:minorTickMark val="none"/>
        <c:tickLblPos val="nextTo"/>
        <c:spPr>
          <a:noFill/>
          <a:ln w="6350">
            <a:solidFill>
              <a:schemeClr val="tx1">
                <a:lumMod val="65000"/>
                <a:lumOff val="35000"/>
              </a:schemeClr>
            </a:solidFill>
          </a:ln>
          <a:effectLst/>
        </c:spPr>
        <c:txPr>
          <a:bodyPr rot="-60000000" spcFirstLastPara="1" vertOverflow="ellipsis" vert="horz" wrap="square" anchor="ctr" anchorCtr="1"/>
          <a:lstStyle/>
          <a:p>
            <a:pPr>
              <a:defRPr sz="950" b="0" i="0" u="none" strike="noStrike" kern="1200" baseline="0">
                <a:solidFill>
                  <a:schemeClr val="tx1"/>
                </a:solidFill>
                <a:latin typeface="Times New Roman" panose="02020603050405020304" pitchFamily="18" charset="0"/>
                <a:ea typeface="+mn-ea"/>
                <a:cs typeface="+mn-cs"/>
              </a:defRPr>
            </a:pPr>
            <a:endParaRPr lang="es-ES_tradnl"/>
          </a:p>
        </c:txPr>
        <c:crossAx val="709475840"/>
        <c:crosses val="autoZero"/>
        <c:crossBetween val="between"/>
      </c:valAx>
    </c:plotArea>
    <c:legend>
      <c:legendPos val="b"/>
      <c:layout>
        <c:manualLayout>
          <c:xMode val="edge"/>
          <c:yMode val="edge"/>
          <c:x val="0"/>
          <c:y val="0.80216933512597055"/>
          <c:w val="1"/>
          <c:h val="0.19783066487402948"/>
        </c:manualLayout>
      </c:layout>
      <c:overlay val="0"/>
      <c:spPr>
        <a:noFill/>
        <a:ln>
          <a:noFill/>
        </a:ln>
        <a:effectLst/>
      </c:spPr>
      <c:txPr>
        <a:bodyPr rot="0" spcFirstLastPara="1" vertOverflow="ellipsis" vert="horz" wrap="square" anchor="ctr" anchorCtr="1"/>
        <a:lstStyle/>
        <a:p>
          <a:pPr>
            <a:defRPr sz="9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legend>
    <c:plotVisOnly val="1"/>
    <c:dispBlanksAs val="gap"/>
    <c:showDLblsOverMax val="0"/>
  </c:chart>
  <c:spPr>
    <a:solidFill>
      <a:schemeClr val="bg1"/>
    </a:solidFill>
    <a:ln w="9525" cap="flat" cmpd="sng" algn="ctr">
      <a:noFill/>
      <a:round/>
    </a:ln>
    <a:effectLst/>
  </c:spPr>
  <c:txPr>
    <a:bodyPr/>
    <a:lstStyle/>
    <a:p>
      <a:pPr>
        <a:defRPr/>
      </a:pPr>
      <a:endParaRPr lang="es-ES_tradnl"/>
    </a:p>
  </c:txPr>
  <c:printSettings>
    <c:headerFooter/>
    <c:pageMargins b="0.75" l="0.25" r="0.25" t="0.75" header="0.3" footer="0.3"/>
    <c:pageSetup paperSize="9" orientation="landscape"/>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457409308717575"/>
          <c:y val="4.6087571003560986E-2"/>
          <c:w val="0.82558175067451101"/>
          <c:h val="0.64272676146640684"/>
        </c:manualLayout>
      </c:layout>
      <c:lineChart>
        <c:grouping val="standard"/>
        <c:varyColors val="0"/>
        <c:ser>
          <c:idx val="1"/>
          <c:order val="0"/>
          <c:tx>
            <c:strRef>
              <c:f>'2EE'!$D$45</c:f>
              <c:strCache>
                <c:ptCount val="1"/>
                <c:pt idx="0">
                  <c:v>Observed (National Accounts)</c:v>
                </c:pt>
              </c:strCache>
            </c:strRef>
          </c:tx>
          <c:spPr>
            <a:ln w="25400" cap="rnd">
              <a:solidFill>
                <a:schemeClr val="tx1">
                  <a:lumMod val="65000"/>
                  <a:lumOff val="35000"/>
                </a:schemeClr>
              </a:solidFill>
              <a:prstDash val="sysDash"/>
              <a:round/>
            </a:ln>
            <a:effectLst/>
          </c:spPr>
          <c:marker>
            <c:symbol val="none"/>
          </c:marker>
          <c:cat>
            <c:numRef>
              <c:extLst>
                <c:ext xmlns:c15="http://schemas.microsoft.com/office/drawing/2012/chart" uri="{02D57815-91ED-43cb-92C2-25804820EDAC}">
                  <c15:fullRef>
                    <c15:sqref>'2EE'!$B$46:$B$53</c15:sqref>
                  </c15:fullRef>
                </c:ext>
              </c:extLst>
              <c:f>'2EE'!$B$46:$B$50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'2EE'!$D$46:$D$53</c15:sqref>
                  </c15:fullRef>
                </c:ext>
              </c:extLst>
              <c:f>'2EE'!$D$46:$D$50</c:f>
              <c:numCache>
                <c:formatCode>_-* #,##0_-;\-* #,##0_-;_-* "-"??_-;_-@_-</c:formatCode>
                <c:ptCount val="5"/>
                <c:pt idx="0">
                  <c:v>1531.6</c:v>
                </c:pt>
                <c:pt idx="1">
                  <c:v>1652.4</c:v>
                </c:pt>
                <c:pt idx="2">
                  <c:v>2146.1999999999998</c:v>
                </c:pt>
                <c:pt idx="3">
                  <c:v>2279.4</c:v>
                </c:pt>
                <c:pt idx="4">
                  <c:v>2390.6999999999998</c:v>
                </c:pt>
              </c:numCache>
            </c:numRef>
          </c:val>
          <c:smooth val="0"/>
          <c:extLst>
            <c:ext xmlns:c16="http://schemas.microsoft.com/office/drawing/2014/chart" uri="{C3380CC4-5D6E-409C-BE32-E72D297353CC}">
              <c16:uniqueId val="{00000000-8B12-48CE-A743-A7B15139DA8A}"/>
            </c:ext>
          </c:extLst>
        </c:ser>
        <c:ser>
          <c:idx val="0"/>
          <c:order val="1"/>
          <c:tx>
            <c:strRef>
              <c:f>'2EE'!$C$45</c:f>
              <c:strCache>
                <c:ptCount val="1"/>
                <c:pt idx="0">
                  <c:v>Baseline simulation (before reescaling)</c:v>
                </c:pt>
              </c:strCache>
            </c:strRef>
          </c:tx>
          <c:spPr>
            <a:ln w="25400" cap="rnd">
              <a:noFill/>
              <a:round/>
            </a:ln>
            <a:effectLst/>
          </c:spPr>
          <c:marker>
            <c:symbol val="circle"/>
            <c:size val="8"/>
            <c:spPr>
              <a:solidFill>
                <a:schemeClr val="bg1">
                  <a:lumMod val="85000"/>
                </a:schemeClr>
              </a:solidFill>
              <a:ln w="25400">
                <a:noFill/>
              </a:ln>
              <a:effectLst/>
            </c:spPr>
          </c:marker>
          <c:cat>
            <c:numRef>
              <c:extLst>
                <c:ext xmlns:c15="http://schemas.microsoft.com/office/drawing/2012/chart" uri="{02D57815-91ED-43cb-92C2-25804820EDAC}">
                  <c15:fullRef>
                    <c15:sqref>'2EE'!$B$46:$B$53</c15:sqref>
                  </c15:fullRef>
                </c:ext>
              </c:extLst>
              <c:f>'2EE'!$B$46:$B$50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'2EE'!$C$46:$C$53</c15:sqref>
                  </c15:fullRef>
                </c:ext>
              </c:extLst>
              <c:f>'2EE'!$C$46:$C$50</c:f>
              <c:numCache>
                <c:formatCode>_-* #,##0_-;\-* #,##0_-;_-* "-"??_-;_-@_-</c:formatCode>
                <c:ptCount val="5"/>
                <c:pt idx="0">
                  <c:v>1776.2054193215997</c:v>
                </c:pt>
                <c:pt idx="1">
                  <c:v>1960.9759407803974</c:v>
                </c:pt>
                <c:pt idx="2">
                  <c:v>2220.2232417480036</c:v>
                </c:pt>
                <c:pt idx="3">
                  <c:v>2505.3093022920025</c:v>
                </c:pt>
                <c:pt idx="4">
                  <c:v>2657.161837417204</c:v>
                </c:pt>
              </c:numCache>
            </c:numRef>
          </c:val>
          <c:smooth val="0"/>
          <c:extLst>
            <c:ext xmlns:c16="http://schemas.microsoft.com/office/drawing/2014/chart" uri="{C3380CC4-5D6E-409C-BE32-E72D297353CC}">
              <c16:uniqueId val="{00000001-8B12-48CE-A743-A7B15139DA8A}"/>
            </c:ext>
          </c:extLst>
        </c:ser>
        <c:ser>
          <c:idx val="3"/>
          <c:order val="3"/>
          <c:tx>
            <c:strRef>
              <c:f>'2EE'!$F$45</c:f>
              <c:strCache>
                <c:ptCount val="1"/>
                <c:pt idx="0">
                  <c:v>Baseline simulation (after reescaling)</c:v>
                </c:pt>
              </c:strCache>
            </c:strRef>
          </c:tx>
          <c:spPr>
            <a:ln w="25400" cap="rnd">
              <a:noFill/>
              <a:round/>
            </a:ln>
            <a:effectLst/>
          </c:spPr>
          <c:marker>
            <c:symbol val="circle"/>
            <c:size val="7"/>
            <c:spPr>
              <a:solidFill>
                <a:schemeClr val="tx1"/>
              </a:solidFill>
              <a:ln w="9525">
                <a:solidFill>
                  <a:schemeClr val="tx1"/>
                </a:solidFill>
              </a:ln>
              <a:effectLst/>
            </c:spPr>
          </c:marker>
          <c:cat>
            <c:numRef>
              <c:extLst>
                <c:ext xmlns:c15="http://schemas.microsoft.com/office/drawing/2012/chart" uri="{02D57815-91ED-43cb-92C2-25804820EDAC}">
                  <c15:fullRef>
                    <c15:sqref>'2EE'!$B$46:$B$53</c15:sqref>
                  </c15:fullRef>
                </c:ext>
              </c:extLst>
              <c:f>'2EE'!$B$46:$B$50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'2EE'!$F$46:$F$53</c15:sqref>
                  </c15:fullRef>
                </c:ext>
              </c:extLst>
              <c:f>'2EE'!$F$46:$F$50</c:f>
              <c:numCache>
                <c:formatCode>General</c:formatCode>
                <c:ptCount val="5"/>
                <c:pt idx="0" formatCode="_-* #,##0_-;\-* #,##0_-;_-* &quot;-&quot;??_-;_-@_-">
                  <c:v>1531.6</c:v>
                </c:pt>
                <c:pt idx="4" formatCode="_-* #,##0_-;\-* #,##0_-;_-* &quot;-&quot;??_-;_-@_-">
                  <c:v>2390.6999999999998</c:v>
                </c:pt>
              </c:numCache>
            </c:numRef>
          </c:val>
          <c:smooth val="0"/>
          <c:extLst>
            <c:ext xmlns:c16="http://schemas.microsoft.com/office/drawing/2014/chart" uri="{C3380CC4-5D6E-409C-BE32-E72D297353CC}">
              <c16:uniqueId val="{00000002-8B12-48CE-A743-A7B15139DA8A}"/>
            </c:ext>
          </c:extLst>
        </c:ser>
        <c:ser>
          <c:idx val="4"/>
          <c:order val="4"/>
          <c:tx>
            <c:strRef>
              <c:f>'2EE'!$G$45</c:f>
              <c:strCache>
                <c:ptCount val="1"/>
                <c:pt idx="0">
                  <c:v>Unchanged legislation since 2019/2023</c:v>
                </c:pt>
              </c:strCache>
            </c:strRef>
          </c:tx>
          <c:spPr>
            <a:ln w="25400" cap="rnd">
              <a:noFill/>
              <a:round/>
            </a:ln>
            <a:effectLst/>
          </c:spPr>
          <c:marker>
            <c:symbol val="circle"/>
            <c:size val="6"/>
            <c:spPr>
              <a:noFill/>
              <a:ln w="25400">
                <a:solidFill>
                  <a:srgbClr val="C00000"/>
                </a:solidFill>
              </a:ln>
              <a:effectLst/>
            </c:spPr>
          </c:marker>
          <c:cat>
            <c:numRef>
              <c:extLst>
                <c:ext xmlns:c15="http://schemas.microsoft.com/office/drawing/2012/chart" uri="{02D57815-91ED-43cb-92C2-25804820EDAC}">
                  <c15:fullRef>
                    <c15:sqref>'2EE'!$B$46:$B$53</c15:sqref>
                  </c15:fullRef>
                </c:ext>
              </c:extLst>
              <c:f>'2EE'!$B$46:$B$50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'2EE'!$G$46:$G$53</c15:sqref>
                  </c15:fullRef>
                </c:ext>
              </c:extLst>
              <c:f>'2EE'!$G$46:$G$50</c:f>
              <c:numCache>
                <c:formatCode>General</c:formatCode>
                <c:ptCount val="5"/>
                <c:pt idx="4" formatCode="_-* #,##0_-;\-* #,##0_-;_-* &quot;-&quot;??_-;_-@_-">
                  <c:v>2629.3354809890147</c:v>
                </c:pt>
              </c:numCache>
            </c:numRef>
          </c:val>
          <c:smooth val="0"/>
          <c:extLst>
            <c:ext xmlns:c16="http://schemas.microsoft.com/office/drawing/2014/chart" uri="{C3380CC4-5D6E-409C-BE32-E72D297353CC}">
              <c16:uniqueId val="{00000003-8B12-48CE-A743-A7B15139DA8A}"/>
            </c:ext>
          </c:extLst>
        </c:ser>
        <c:ser>
          <c:idx val="5"/>
          <c:order val="5"/>
          <c:tx>
            <c:strRef>
              <c:f>'2EE'!$H$45</c:f>
              <c:strCache>
                <c:ptCount val="1"/>
                <c:pt idx="0">
                  <c:v>Indexing with tax base growth</c:v>
                </c:pt>
              </c:strCache>
            </c:strRef>
          </c:tx>
          <c:spPr>
            <a:ln w="25400" cap="rnd">
              <a:noFill/>
              <a:round/>
            </a:ln>
            <a:effectLst/>
          </c:spPr>
          <c:marker>
            <c:symbol val="square"/>
            <c:size val="5"/>
            <c:spPr>
              <a:noFill/>
              <a:ln w="25400">
                <a:solidFill>
                  <a:schemeClr val="accent6">
                    <a:lumMod val="75000"/>
                  </a:schemeClr>
                </a:solidFill>
              </a:ln>
              <a:effectLst/>
            </c:spPr>
          </c:marker>
          <c:cat>
            <c:numRef>
              <c:extLst>
                <c:ext xmlns:c15="http://schemas.microsoft.com/office/drawing/2012/chart" uri="{02D57815-91ED-43cb-92C2-25804820EDAC}">
                  <c15:fullRef>
                    <c15:sqref>'2EE'!$B$46:$B$53</c15:sqref>
                  </c15:fullRef>
                </c:ext>
              </c:extLst>
              <c:f>'2EE'!$B$46:$B$50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'2EE'!$H$46:$H$53</c15:sqref>
                  </c15:fullRef>
                </c:ext>
              </c:extLst>
              <c:f>'2EE'!$H$46:$H$50</c:f>
              <c:numCache>
                <c:formatCode>General</c:formatCode>
                <c:ptCount val="5"/>
                <c:pt idx="4" formatCode="_-* #,##0_-;\-* #,##0_-;_-* &quot;-&quot;??_-;_-@_-">
                  <c:v>2208.8539172999326</c:v>
                </c:pt>
              </c:numCache>
            </c:numRef>
          </c:val>
          <c:smooth val="0"/>
          <c:extLst>
            <c:ext xmlns:c16="http://schemas.microsoft.com/office/drawing/2014/chart" uri="{C3380CC4-5D6E-409C-BE32-E72D297353CC}">
              <c16:uniqueId val="{00000004-8B12-48CE-A743-A7B15139DA8A}"/>
            </c:ext>
          </c:extLst>
        </c:ser>
        <c:ser>
          <c:idx val="6"/>
          <c:order val="6"/>
          <c:tx>
            <c:strRef>
              <c:f>'2EE'!$I$45</c:f>
              <c:strCache>
                <c:ptCount val="1"/>
                <c:pt idx="0">
                  <c:v>Indexing with lagged HCPI</c:v>
                </c:pt>
              </c:strCache>
            </c:strRef>
          </c:tx>
          <c:spPr>
            <a:ln w="25400" cap="rnd">
              <a:noFill/>
              <a:round/>
            </a:ln>
            <a:effectLst/>
          </c:spPr>
          <c:marker>
            <c:symbol val="diamond"/>
            <c:size val="6"/>
            <c:spPr>
              <a:noFill/>
              <a:ln w="25400">
                <a:solidFill>
                  <a:schemeClr val="accent4"/>
                </a:solidFill>
              </a:ln>
              <a:effectLst/>
            </c:spPr>
          </c:marker>
          <c:cat>
            <c:numRef>
              <c:extLst>
                <c:ext xmlns:c15="http://schemas.microsoft.com/office/drawing/2012/chart" uri="{02D57815-91ED-43cb-92C2-25804820EDAC}">
                  <c15:fullRef>
                    <c15:sqref>'2EE'!$B$46:$B$53</c15:sqref>
                  </c15:fullRef>
                </c:ext>
              </c:extLst>
              <c:f>'2EE'!$B$46:$B$50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'2EE'!$I$46:$I$53</c15:sqref>
                  </c15:fullRef>
                </c:ext>
              </c:extLst>
              <c:f>'2EE'!$I$46:$I$50</c:f>
              <c:numCache>
                <c:formatCode>General</c:formatCode>
                <c:ptCount val="5"/>
                <c:pt idx="4" formatCode="_-* #,##0_-;\-* #,##0_-;_-* &quot;-&quot;??_-;_-@_-">
                  <c:v>2329.1785772611879</c:v>
                </c:pt>
              </c:numCache>
            </c:numRef>
          </c:val>
          <c:smooth val="0"/>
          <c:extLst>
            <c:ext xmlns:c16="http://schemas.microsoft.com/office/drawing/2014/chart" uri="{C3380CC4-5D6E-409C-BE32-E72D297353CC}">
              <c16:uniqueId val="{00000005-8B12-48CE-A743-A7B15139DA8A}"/>
            </c:ext>
          </c:extLst>
        </c:ser>
        <c:ser>
          <c:idx val="7"/>
          <c:order val="7"/>
          <c:tx>
            <c:strRef>
              <c:f>'2EE'!$J$45</c:f>
              <c:strCache>
                <c:ptCount val="1"/>
                <c:pt idx="0">
                  <c:v>Indexing with concurrent HCPI</c:v>
                </c:pt>
              </c:strCache>
            </c:strRef>
          </c:tx>
          <c:spPr>
            <a:ln w="25400" cap="rnd">
              <a:noFill/>
              <a:round/>
            </a:ln>
            <a:effectLst/>
          </c:spPr>
          <c:marker>
            <c:symbol val="triangle"/>
            <c:size val="6"/>
            <c:spPr>
              <a:noFill/>
              <a:ln w="25400">
                <a:solidFill>
                  <a:schemeClr val="accent5">
                    <a:lumMod val="75000"/>
                  </a:schemeClr>
                </a:solidFill>
              </a:ln>
              <a:effectLst/>
            </c:spPr>
          </c:marker>
          <c:cat>
            <c:numRef>
              <c:extLst>
                <c:ext xmlns:c15="http://schemas.microsoft.com/office/drawing/2012/chart" uri="{02D57815-91ED-43cb-92C2-25804820EDAC}">
                  <c15:fullRef>
                    <c15:sqref>'2EE'!$B$46:$B$53</c15:sqref>
                  </c15:fullRef>
                </c:ext>
              </c:extLst>
              <c:f>'2EE'!$B$46:$B$50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'2EE'!$J$46:$J$53</c15:sqref>
                  </c15:fullRef>
                </c:ext>
              </c:extLst>
              <c:f>'2EE'!$J$46:$J$50</c:f>
              <c:numCache>
                <c:formatCode>General</c:formatCode>
                <c:ptCount val="5"/>
                <c:pt idx="4" formatCode="_-* #,##0_-;\-* #,##0_-;_-* &quot;-&quot;??_-;_-@_-">
                  <c:v>2237.2913196487953</c:v>
                </c:pt>
              </c:numCache>
            </c:numRef>
          </c:val>
          <c:smooth val="0"/>
          <c:extLst>
            <c:ext xmlns:c16="http://schemas.microsoft.com/office/drawing/2014/chart" uri="{C3380CC4-5D6E-409C-BE32-E72D297353CC}">
              <c16:uniqueId val="{00000006-8B12-48CE-A743-A7B15139DA8A}"/>
            </c:ext>
          </c:extLst>
        </c:ser>
        <c:ser>
          <c:idx val="8"/>
          <c:order val="8"/>
          <c:tx>
            <c:strRef>
              <c:f>'2EE'!$K$45</c:f>
              <c:strCache>
                <c:ptCount val="1"/>
                <c:pt idx="0">
                  <c:v>Baseline w/o "indexation measures"</c:v>
                </c:pt>
              </c:strCache>
            </c:strRef>
          </c:tx>
          <c:spPr>
            <a:ln w="28575" cap="rnd">
              <a:noFill/>
              <a:round/>
            </a:ln>
            <a:effectLst/>
          </c:spPr>
          <c:marker>
            <c:symbol val="dash"/>
            <c:size val="9"/>
            <c:spPr>
              <a:solidFill>
                <a:schemeClr val="tx1">
                  <a:lumMod val="65000"/>
                  <a:lumOff val="35000"/>
                </a:schemeClr>
              </a:solidFill>
              <a:ln w="9525">
                <a:solidFill>
                  <a:schemeClr val="tx1">
                    <a:lumMod val="65000"/>
                    <a:lumOff val="35000"/>
                  </a:schemeClr>
                </a:solidFill>
              </a:ln>
              <a:effectLst/>
            </c:spPr>
          </c:marker>
          <c:cat>
            <c:strLit>
              <c:ptCount val="5"/>
              <c:pt idx="0">
                <c:v>2019</c:v>
              </c:pt>
              <c:pt idx="1">
                <c:v>2020</c:v>
              </c:pt>
              <c:pt idx="2">
                <c:v>2021</c:v>
              </c:pt>
              <c:pt idx="3">
                <c:v>2022</c:v>
              </c:pt>
              <c:pt idx="4">
                <c:v>2023</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'2EE'!$K$46:$K$53</c15:sqref>
                  </c15:fullRef>
                </c:ext>
              </c:extLst>
              <c:f>'2EE'!$K$46:$K$50</c:f>
              <c:numCache>
                <c:formatCode>General</c:formatCode>
                <c:ptCount val="5"/>
                <c:pt idx="4" formatCode="_-* #,##0_-;\-* #,##0_-;_-* &quot;-&quot;??_-;_-@_-">
                  <c:v>2488.230527630627</c:v>
                </c:pt>
              </c:numCache>
            </c:numRef>
          </c:val>
          <c:smooth val="0"/>
          <c:extLst>
            <c:ext xmlns:c16="http://schemas.microsoft.com/office/drawing/2014/chart" uri="{C3380CC4-5D6E-409C-BE32-E72D297353CC}">
              <c16:uniqueId val="{00000007-8B12-48CE-A743-A7B15139DA8A}"/>
            </c:ext>
          </c:extLst>
        </c:ser>
        <c:dLbls>
          <c:showLegendKey val="0"/>
          <c:showVal val="0"/>
          <c:showCatName val="0"/>
          <c:showSerName val="0"/>
          <c:showPercent val="0"/>
          <c:showBubbleSize val="0"/>
        </c:dLbls>
        <c:smooth val="0"/>
        <c:axId val="709475840"/>
        <c:axId val="605168576"/>
        <c:extLst>
          <c:ext xmlns:c15="http://schemas.microsoft.com/office/drawing/2012/chart" uri="{02D57815-91ED-43cb-92C2-25804820EDAC}">
            <c15:filteredLineSeries>
              <c15:ser>
                <c:idx val="2"/>
                <c:order val="2"/>
                <c:tx>
                  <c:strRef>
                    <c:extLst>
                      <c:ext uri="{02D57815-91ED-43cb-92C2-25804820EDAC}">
                        <c15:formulaRef>
                          <c15:sqref>'2EE'!$E$45</c15:sqref>
                        </c15:formulaRef>
                      </c:ext>
                    </c:extLst>
                    <c:strCache>
                      <c:ptCount val="1"/>
                      <c:pt idx="0">
                        <c:v>Reescaling factor
</c:v>
                      </c:pt>
                    </c:strCache>
                  </c:strRef>
                </c:tx>
                <c:spPr>
                  <a:ln w="25400" cap="rnd">
                    <a:noFill/>
                    <a:round/>
                  </a:ln>
                  <a:effectLst/>
                </c:spPr>
                <c:marker>
                  <c:symbol val="circle"/>
                  <c:size val="5"/>
                  <c:spPr>
                    <a:solidFill>
                      <a:schemeClr val="accent3"/>
                    </a:solidFill>
                    <a:ln w="9525">
                      <a:solidFill>
                        <a:schemeClr val="accent3"/>
                      </a:solidFill>
                    </a:ln>
                    <a:effectLst/>
                  </c:spPr>
                </c:marker>
                <c:cat>
                  <c:numRef>
                    <c:extLst>
                      <c:ext uri="{02D57815-91ED-43cb-92C2-25804820EDAC}">
                        <c15:fullRef>
                          <c15:sqref>'2EE'!$B$46:$B$53</c15:sqref>
                        </c15:fullRef>
                        <c15:formulaRef>
                          <c15:sqref>'2EE'!$B$46:$B$50</c15:sqref>
                        </c15:formulaRef>
                      </c:ext>
                    </c:extLst>
                    <c:numCache>
                      <c:formatCode>General</c:formatCode>
                      <c:ptCount val="5"/>
                      <c:pt idx="0">
                        <c:v>2019</c:v>
                      </c:pt>
                      <c:pt idx="1">
                        <c:v>2020</c:v>
                      </c:pt>
                      <c:pt idx="2">
                        <c:v>2021</c:v>
                      </c:pt>
                      <c:pt idx="3">
                        <c:v>2022</c:v>
                      </c:pt>
                      <c:pt idx="4">
                        <c:v>2023</c:v>
                      </c:pt>
                    </c:numCache>
                  </c:numRef>
                </c:cat>
                <c:val>
                  <c:numRef>
                    <c:extLst>
                      <c:ext uri="{02D57815-91ED-43cb-92C2-25804820EDAC}">
                        <c15:fullRef>
                          <c15:sqref>'2EE'!$E$46:$E$53</c15:sqref>
                        </c15:fullRef>
                        <c15:formulaRef>
                          <c15:sqref>'2EE'!$E$46:$E$50</c15:sqref>
                        </c15:formulaRef>
                      </c:ext>
                    </c:extLst>
                    <c:numCache>
                      <c:formatCode>General</c:formatCode>
                      <c:ptCount val="5"/>
                    </c:numCache>
                  </c:numRef>
                </c:val>
                <c:smooth val="0"/>
                <c:extLst>
                  <c:ext xmlns:c16="http://schemas.microsoft.com/office/drawing/2014/chart" uri="{C3380CC4-5D6E-409C-BE32-E72D297353CC}">
                    <c16:uniqueId val="{00000008-8B12-48CE-A743-A7B15139DA8A}"/>
                  </c:ext>
                </c:extLst>
              </c15:ser>
            </c15:filteredLineSeries>
          </c:ext>
        </c:extLst>
      </c:lineChart>
      <c:catAx>
        <c:axId val="709475840"/>
        <c:scaling>
          <c:orientation val="minMax"/>
        </c:scaling>
        <c:delete val="0"/>
        <c:axPos val="b"/>
        <c:numFmt formatCode="General" sourceLinked="1"/>
        <c:majorTickMark val="out"/>
        <c:minorTickMark val="none"/>
        <c:tickLblPos val="nextTo"/>
        <c:spPr>
          <a:noFill/>
          <a:ln w="6350" cap="flat" cmpd="sng" algn="ctr">
            <a:solidFill>
              <a:schemeClr val="tx1"/>
            </a:solidFill>
            <a:round/>
          </a:ln>
          <a:effectLst/>
        </c:spPr>
        <c:txPr>
          <a:bodyPr rot="-60000000" spcFirstLastPara="1" vertOverflow="ellipsis" vert="horz" wrap="square" anchor="ctr" anchorCtr="1"/>
          <a:lstStyle/>
          <a:p>
            <a:pPr>
              <a:defRPr sz="950" b="0" i="0" u="none" strike="noStrike" kern="1200" baseline="0">
                <a:solidFill>
                  <a:schemeClr val="tx1"/>
                </a:solidFill>
                <a:latin typeface="Times New Roman" panose="02020603050405020304" pitchFamily="18" charset="0"/>
                <a:ea typeface="+mn-ea"/>
                <a:cs typeface="+mn-cs"/>
              </a:defRPr>
            </a:pPr>
            <a:endParaRPr lang="es-ES_tradnl"/>
          </a:p>
        </c:txPr>
        <c:crossAx val="605168576"/>
        <c:crosses val="autoZero"/>
        <c:auto val="1"/>
        <c:lblAlgn val="ctr"/>
        <c:lblOffset val="100"/>
        <c:noMultiLvlLbl val="0"/>
      </c:catAx>
      <c:valAx>
        <c:axId val="605168576"/>
        <c:scaling>
          <c:orientation val="minMax"/>
          <c:min val="1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s-ES_tradnl" sz="1050">
                    <a:solidFill>
                      <a:sysClr val="windowText" lastClr="000000"/>
                    </a:solidFill>
                    <a:latin typeface="Times New Roman" panose="02020603050405020304" pitchFamily="18" charset="0"/>
                    <a:cs typeface="Times New Roman" panose="02020603050405020304" pitchFamily="18" charset="0"/>
                  </a:rPr>
                  <a:t>Million euros</a:t>
                </a:r>
              </a:p>
            </c:rich>
          </c:tx>
          <c:layout>
            <c:manualLayout>
              <c:xMode val="edge"/>
              <c:yMode val="edge"/>
              <c:x val="0"/>
              <c:y val="0.27024653144012073"/>
            </c:manualLayout>
          </c:layout>
          <c:overlay val="0"/>
          <c:spPr>
            <a:noFill/>
            <a:ln>
              <a:noFill/>
            </a:ln>
            <a:effectLst/>
          </c:spPr>
          <c:txPr>
            <a:bodyPr rot="-5400000" spcFirstLastPara="1" vertOverflow="ellipsis" vert="horz" wrap="square" anchor="ctr" anchorCtr="1"/>
            <a:lstStyle/>
            <a:p>
              <a:pPr>
                <a:defRPr sz="10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title>
        <c:numFmt formatCode="#,##0" sourceLinked="0"/>
        <c:majorTickMark val="out"/>
        <c:minorTickMark val="none"/>
        <c:tickLblPos val="nextTo"/>
        <c:spPr>
          <a:noFill/>
          <a:ln w="6350">
            <a:solidFill>
              <a:schemeClr val="tx1">
                <a:lumMod val="65000"/>
                <a:lumOff val="35000"/>
              </a:schemeClr>
            </a:solidFill>
          </a:ln>
          <a:effectLst/>
        </c:spPr>
        <c:txPr>
          <a:bodyPr rot="-60000000" spcFirstLastPara="1" vertOverflow="ellipsis" vert="horz" wrap="square" anchor="ctr" anchorCtr="1"/>
          <a:lstStyle/>
          <a:p>
            <a:pPr>
              <a:defRPr sz="950" b="0" i="0" u="none" strike="noStrike" kern="1200" baseline="0">
                <a:solidFill>
                  <a:schemeClr val="tx1"/>
                </a:solidFill>
                <a:latin typeface="Times New Roman" panose="02020603050405020304" pitchFamily="18" charset="0"/>
                <a:ea typeface="+mn-ea"/>
                <a:cs typeface="+mn-cs"/>
              </a:defRPr>
            </a:pPr>
            <a:endParaRPr lang="es-ES_tradnl"/>
          </a:p>
        </c:txPr>
        <c:crossAx val="709475840"/>
        <c:crosses val="autoZero"/>
        <c:crossBetween val="between"/>
      </c:valAx>
      <c:spPr>
        <a:noFill/>
        <a:ln>
          <a:noFill/>
        </a:ln>
        <a:effectLst/>
      </c:spPr>
    </c:plotArea>
    <c:legend>
      <c:legendPos val="b"/>
      <c:layout>
        <c:manualLayout>
          <c:xMode val="edge"/>
          <c:yMode val="edge"/>
          <c:x val="0"/>
          <c:y val="0.73648087849247201"/>
          <c:w val="1"/>
          <c:h val="0.26351912150752793"/>
        </c:manualLayout>
      </c:layout>
      <c:overlay val="0"/>
      <c:spPr>
        <a:noFill/>
        <a:ln>
          <a:noFill/>
        </a:ln>
        <a:effectLst/>
      </c:spPr>
      <c:txPr>
        <a:bodyPr rot="0" spcFirstLastPara="1" vertOverflow="ellipsis" vert="horz" wrap="square" anchor="ctr" anchorCtr="1"/>
        <a:lstStyle/>
        <a:p>
          <a:pPr>
            <a:defRPr sz="9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legend>
    <c:plotVisOnly val="1"/>
    <c:dispBlanksAs val="gap"/>
    <c:showDLblsOverMax val="0"/>
  </c:chart>
  <c:spPr>
    <a:solidFill>
      <a:schemeClr val="bg1"/>
    </a:solidFill>
    <a:ln w="9525" cap="flat" cmpd="sng" algn="ctr">
      <a:noFill/>
      <a:round/>
    </a:ln>
    <a:effectLst/>
  </c:spPr>
  <c:txPr>
    <a:bodyPr/>
    <a:lstStyle/>
    <a:p>
      <a:pPr>
        <a:defRPr/>
      </a:pPr>
      <a:endParaRPr lang="es-ES_tradnl"/>
    </a:p>
  </c:txPr>
  <c:printSettings>
    <c:headerFooter/>
    <c:pageMargins b="0.75" l="0.25" r="0.25" t="0.75" header="0.3" footer="0.3"/>
    <c:pageSetup paperSize="9" orientation="landscape"/>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457409308717575"/>
          <c:y val="4.6087571003560986E-2"/>
          <c:w val="0.82558175067451101"/>
          <c:h val="0.6515011552844524"/>
        </c:manualLayout>
      </c:layout>
      <c:lineChart>
        <c:grouping val="standard"/>
        <c:varyColors val="0"/>
        <c:ser>
          <c:idx val="1"/>
          <c:order val="0"/>
          <c:tx>
            <c:strRef>
              <c:f>'2EE'!$C$64</c:f>
              <c:strCache>
                <c:ptCount val="1"/>
                <c:pt idx="0">
                  <c:v>Baseline simulation
</c:v>
                </c:pt>
              </c:strCache>
            </c:strRef>
          </c:tx>
          <c:spPr>
            <a:ln w="28575" cap="rnd">
              <a:noFill/>
              <a:round/>
            </a:ln>
            <a:effectLst/>
          </c:spPr>
          <c:marker>
            <c:symbol val="circle"/>
            <c:size val="7"/>
            <c:spPr>
              <a:solidFill>
                <a:schemeClr val="tx1"/>
              </a:solidFill>
              <a:ln w="9525">
                <a:noFill/>
              </a:ln>
              <a:effectLst/>
            </c:spPr>
          </c:marker>
          <c:cat>
            <c:numRef>
              <c:extLst>
                <c:ext xmlns:c15="http://schemas.microsoft.com/office/drawing/2012/chart" uri="{02D57815-91ED-43cb-92C2-25804820EDAC}">
                  <c15:fullRef>
                    <c15:sqref>'2EE'!$B$65:$B$72</c15:sqref>
                  </c15:fullRef>
                </c:ext>
              </c:extLst>
              <c:f>'2EE'!$B$65:$B$69</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'2EE'!$C$65:$C$72</c15:sqref>
                  </c15:fullRef>
                </c:ext>
              </c:extLst>
              <c:f>'2EE'!$C$65:$C$69</c:f>
              <c:numCache>
                <c:formatCode>0.00</c:formatCode>
                <c:ptCount val="5"/>
                <c:pt idx="0">
                  <c:v>12.919237474019168</c:v>
                </c:pt>
                <c:pt idx="1">
                  <c:v>13.40418702480218</c:v>
                </c:pt>
                <c:pt idx="2">
                  <c:v>14.011155205658484</c:v>
                </c:pt>
                <c:pt idx="3">
                  <c:v>14.602321547016494</c:v>
                </c:pt>
                <c:pt idx="4">
                  <c:v>14.00068594969372</c:v>
                </c:pt>
              </c:numCache>
            </c:numRef>
          </c:val>
          <c:smooth val="0"/>
          <c:extLst>
            <c:ext xmlns:c16="http://schemas.microsoft.com/office/drawing/2014/chart" uri="{C3380CC4-5D6E-409C-BE32-E72D297353CC}">
              <c16:uniqueId val="{00000000-8497-4F78-895B-BCCA2F761AA7}"/>
            </c:ext>
          </c:extLst>
        </c:ser>
        <c:ser>
          <c:idx val="0"/>
          <c:order val="1"/>
          <c:tx>
            <c:strRef>
              <c:f>'2EE'!$D$64</c:f>
              <c:strCache>
                <c:ptCount val="1"/>
                <c:pt idx="0">
                  <c:v>Legislation unchanged since 2019/2023</c:v>
                </c:pt>
              </c:strCache>
            </c:strRef>
          </c:tx>
          <c:spPr>
            <a:ln w="28575" cap="rnd">
              <a:noFill/>
              <a:round/>
            </a:ln>
            <a:effectLst/>
          </c:spPr>
          <c:marker>
            <c:symbol val="circle"/>
            <c:size val="7"/>
            <c:spPr>
              <a:noFill/>
              <a:ln w="25400">
                <a:solidFill>
                  <a:srgbClr val="C00000"/>
                </a:solidFill>
              </a:ln>
              <a:effectLst/>
            </c:spPr>
          </c:marker>
          <c:cat>
            <c:numRef>
              <c:extLst>
                <c:ext xmlns:c15="http://schemas.microsoft.com/office/drawing/2012/chart" uri="{02D57815-91ED-43cb-92C2-25804820EDAC}">
                  <c15:fullRef>
                    <c15:sqref>'2EE'!$B$65:$B$72</c15:sqref>
                  </c15:fullRef>
                </c:ext>
              </c:extLst>
              <c:f>'2EE'!$B$65:$B$69</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'2EE'!$D$65:$D$72</c15:sqref>
                  </c15:fullRef>
                </c:ext>
              </c:extLst>
              <c:f>'2EE'!$D$65:$D$69</c:f>
              <c:numCache>
                <c:formatCode>0.00%</c:formatCode>
                <c:ptCount val="5"/>
                <c:pt idx="4" formatCode="0.00">
                  <c:v>15.398209865610104</c:v>
                </c:pt>
              </c:numCache>
            </c:numRef>
          </c:val>
          <c:smooth val="0"/>
          <c:extLst>
            <c:ext xmlns:c16="http://schemas.microsoft.com/office/drawing/2014/chart" uri="{C3380CC4-5D6E-409C-BE32-E72D297353CC}">
              <c16:uniqueId val="{00000001-8497-4F78-895B-BCCA2F761AA7}"/>
            </c:ext>
          </c:extLst>
        </c:ser>
        <c:ser>
          <c:idx val="2"/>
          <c:order val="2"/>
          <c:tx>
            <c:strRef>
              <c:f>'2EE'!$E$64</c:f>
              <c:strCache>
                <c:ptCount val="1"/>
                <c:pt idx="0">
                  <c:v>Index with tax base growth</c:v>
                </c:pt>
              </c:strCache>
            </c:strRef>
          </c:tx>
          <c:spPr>
            <a:ln w="28575" cap="rnd">
              <a:noFill/>
              <a:round/>
            </a:ln>
            <a:effectLst/>
          </c:spPr>
          <c:marker>
            <c:symbol val="square"/>
            <c:size val="6"/>
            <c:spPr>
              <a:noFill/>
              <a:ln w="25400">
                <a:solidFill>
                  <a:schemeClr val="accent6">
                    <a:lumMod val="75000"/>
                  </a:schemeClr>
                </a:solidFill>
              </a:ln>
              <a:effectLst/>
            </c:spPr>
          </c:marker>
          <c:cat>
            <c:numRef>
              <c:extLst>
                <c:ext xmlns:c15="http://schemas.microsoft.com/office/drawing/2012/chart" uri="{02D57815-91ED-43cb-92C2-25804820EDAC}">
                  <c15:fullRef>
                    <c15:sqref>'2EE'!$B$65:$B$72</c15:sqref>
                  </c15:fullRef>
                </c:ext>
              </c:extLst>
              <c:f>'2EE'!$B$65:$B$69</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'2EE'!$E$65:$E$72</c15:sqref>
                  </c15:fullRef>
                </c:ext>
              </c:extLst>
              <c:f>'2EE'!$E$65:$E$69</c:f>
              <c:numCache>
                <c:formatCode>0.00%</c:formatCode>
                <c:ptCount val="5"/>
                <c:pt idx="4" formatCode="0.00">
                  <c:v>12.935738488671561</c:v>
                </c:pt>
              </c:numCache>
            </c:numRef>
          </c:val>
          <c:smooth val="0"/>
          <c:extLst xmlns:c15="http://schemas.microsoft.com/office/drawing/2012/chart">
            <c:ext xmlns:c16="http://schemas.microsoft.com/office/drawing/2014/chart" uri="{C3380CC4-5D6E-409C-BE32-E72D297353CC}">
              <c16:uniqueId val="{00000002-8497-4F78-895B-BCCA2F761AA7}"/>
            </c:ext>
          </c:extLst>
        </c:ser>
        <c:ser>
          <c:idx val="3"/>
          <c:order val="3"/>
          <c:tx>
            <c:strRef>
              <c:f>'2EE'!$F$64</c:f>
              <c:strCache>
                <c:ptCount val="1"/>
                <c:pt idx="0">
                  <c:v>Index with lagged HCPI</c:v>
                </c:pt>
              </c:strCache>
            </c:strRef>
          </c:tx>
          <c:spPr>
            <a:ln w="28575" cap="rnd">
              <a:noFill/>
              <a:round/>
            </a:ln>
            <a:effectLst/>
          </c:spPr>
          <c:marker>
            <c:symbol val="diamond"/>
            <c:size val="7"/>
            <c:spPr>
              <a:noFill/>
              <a:ln w="25400">
                <a:solidFill>
                  <a:schemeClr val="accent4"/>
                </a:solidFill>
              </a:ln>
              <a:effectLst/>
            </c:spPr>
          </c:marker>
          <c:cat>
            <c:numRef>
              <c:extLst>
                <c:ext xmlns:c15="http://schemas.microsoft.com/office/drawing/2012/chart" uri="{02D57815-91ED-43cb-92C2-25804820EDAC}">
                  <c15:fullRef>
                    <c15:sqref>'2EE'!$B$65:$B$72</c15:sqref>
                  </c15:fullRef>
                </c:ext>
              </c:extLst>
              <c:f>'2EE'!$B$65:$B$69</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'2EE'!$F$65:$F$72</c15:sqref>
                  </c15:fullRef>
                </c:ext>
              </c:extLst>
              <c:f>'2EE'!$F$65:$F$69</c:f>
              <c:numCache>
                <c:formatCode>0.00%</c:formatCode>
                <c:ptCount val="5"/>
                <c:pt idx="4" formatCode="0.00">
                  <c:v>13.640397281544454</c:v>
                </c:pt>
              </c:numCache>
            </c:numRef>
          </c:val>
          <c:smooth val="0"/>
          <c:extLst>
            <c:ext xmlns:c16="http://schemas.microsoft.com/office/drawing/2014/chart" uri="{C3380CC4-5D6E-409C-BE32-E72D297353CC}">
              <c16:uniqueId val="{00000003-8497-4F78-895B-BCCA2F761AA7}"/>
            </c:ext>
          </c:extLst>
        </c:ser>
        <c:ser>
          <c:idx val="4"/>
          <c:order val="4"/>
          <c:tx>
            <c:strRef>
              <c:f>'2EE'!$G$64</c:f>
              <c:strCache>
                <c:ptCount val="1"/>
                <c:pt idx="0">
                  <c:v>Index with concurrent HCPI</c:v>
                </c:pt>
              </c:strCache>
            </c:strRef>
          </c:tx>
          <c:spPr>
            <a:ln w="28575" cap="rnd">
              <a:noFill/>
              <a:round/>
            </a:ln>
            <a:effectLst/>
          </c:spPr>
          <c:marker>
            <c:symbol val="triangle"/>
            <c:size val="6"/>
            <c:spPr>
              <a:noFill/>
              <a:ln w="25400">
                <a:solidFill>
                  <a:schemeClr val="accent5">
                    <a:lumMod val="75000"/>
                  </a:schemeClr>
                </a:solidFill>
              </a:ln>
              <a:effectLst/>
            </c:spPr>
          </c:marker>
          <c:cat>
            <c:numRef>
              <c:extLst>
                <c:ext xmlns:c15="http://schemas.microsoft.com/office/drawing/2012/chart" uri="{02D57815-91ED-43cb-92C2-25804820EDAC}">
                  <c15:fullRef>
                    <c15:sqref>'2EE'!$B$65:$B$72</c15:sqref>
                  </c15:fullRef>
                </c:ext>
              </c:extLst>
              <c:f>'2EE'!$B$65:$B$69</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'2EE'!$G$65:$G$72</c15:sqref>
                  </c15:fullRef>
                </c:ext>
              </c:extLst>
              <c:f>'2EE'!$G$65:$G$69</c:f>
              <c:numCache>
                <c:formatCode>0.00%</c:formatCode>
                <c:ptCount val="5"/>
                <c:pt idx="4" formatCode="0.00">
                  <c:v>13.102276799422183</c:v>
                </c:pt>
              </c:numCache>
            </c:numRef>
          </c:val>
          <c:smooth val="0"/>
          <c:extLst>
            <c:ext xmlns:c16="http://schemas.microsoft.com/office/drawing/2014/chart" uri="{C3380CC4-5D6E-409C-BE32-E72D297353CC}">
              <c16:uniqueId val="{00000004-8497-4F78-895B-BCCA2F761AA7}"/>
            </c:ext>
          </c:extLst>
        </c:ser>
        <c:dLbls>
          <c:showLegendKey val="0"/>
          <c:showVal val="0"/>
          <c:showCatName val="0"/>
          <c:showSerName val="0"/>
          <c:showPercent val="0"/>
          <c:showBubbleSize val="0"/>
        </c:dLbls>
        <c:marker val="1"/>
        <c:smooth val="0"/>
        <c:axId val="709475840"/>
        <c:axId val="605168576"/>
        <c:extLst/>
      </c:lineChart>
      <c:catAx>
        <c:axId val="709475840"/>
        <c:scaling>
          <c:orientation val="minMax"/>
        </c:scaling>
        <c:delete val="0"/>
        <c:axPos val="b"/>
        <c:numFmt formatCode="General" sourceLinked="1"/>
        <c:majorTickMark val="out"/>
        <c:minorTickMark val="none"/>
        <c:tickLblPos val="nextTo"/>
        <c:spPr>
          <a:noFill/>
          <a:ln w="635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mn-cs"/>
              </a:defRPr>
            </a:pPr>
            <a:endParaRPr lang="es-ES_tradnl"/>
          </a:p>
        </c:txPr>
        <c:crossAx val="605168576"/>
        <c:crosses val="autoZero"/>
        <c:auto val="1"/>
        <c:lblAlgn val="ctr"/>
        <c:lblOffset val="100"/>
        <c:noMultiLvlLbl val="0"/>
      </c:catAx>
      <c:valAx>
        <c:axId val="6051685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s-ES_tradnl" sz="1050">
                    <a:solidFill>
                      <a:sysClr val="windowText" lastClr="000000"/>
                    </a:solidFill>
                    <a:latin typeface="Times New Roman" panose="02020603050405020304" pitchFamily="18" charset="0"/>
                    <a:cs typeface="Times New Roman" panose="02020603050405020304" pitchFamily="18" charset="0"/>
                  </a:rPr>
                  <a:t>Rate</a:t>
                </a:r>
              </a:p>
            </c:rich>
          </c:tx>
          <c:overlay val="0"/>
          <c:spPr>
            <a:noFill/>
            <a:ln>
              <a:noFill/>
            </a:ln>
            <a:effectLst/>
          </c:spPr>
          <c:txPr>
            <a:bodyPr rot="-5400000" spcFirstLastPara="1" vertOverflow="ellipsis" vert="horz" wrap="square" anchor="ctr" anchorCtr="1"/>
            <a:lstStyle/>
            <a:p>
              <a:pPr>
                <a:defRPr sz="10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title>
        <c:numFmt formatCode="#,##0.0" sourceLinked="0"/>
        <c:majorTickMark val="out"/>
        <c:minorTickMark val="none"/>
        <c:tickLblPos val="nextTo"/>
        <c:spPr>
          <a:noFill/>
          <a:ln w="6350">
            <a:solidFill>
              <a:schemeClr val="tx1">
                <a:lumMod val="65000"/>
                <a:lumOff val="35000"/>
              </a:schemeClr>
            </a:solidFill>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mn-cs"/>
              </a:defRPr>
            </a:pPr>
            <a:endParaRPr lang="es-ES_tradnl"/>
          </a:p>
        </c:txPr>
        <c:crossAx val="709475840"/>
        <c:crosses val="autoZero"/>
        <c:crossBetween val="between"/>
      </c:valAx>
      <c:spPr>
        <a:noFill/>
        <a:ln>
          <a:noFill/>
        </a:ln>
        <a:effectLst/>
      </c:spPr>
    </c:plotArea>
    <c:legend>
      <c:legendPos val="b"/>
      <c:layout>
        <c:manualLayout>
          <c:xMode val="edge"/>
          <c:yMode val="edge"/>
          <c:x val="8.1926620958132398E-2"/>
          <c:y val="0.78900773467278962"/>
          <c:w val="0.8223310520657221"/>
          <c:h val="0.1997652991480407"/>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legend>
    <c:plotVisOnly val="1"/>
    <c:dispBlanksAs val="gap"/>
    <c:showDLblsOverMax val="0"/>
  </c:chart>
  <c:spPr>
    <a:solidFill>
      <a:schemeClr val="bg1"/>
    </a:solidFill>
    <a:ln w="9525" cap="flat" cmpd="sng" algn="ctr">
      <a:noFill/>
      <a:round/>
    </a:ln>
    <a:effectLst/>
  </c:spPr>
  <c:txPr>
    <a:bodyPr/>
    <a:lstStyle/>
    <a:p>
      <a:pPr>
        <a:defRPr/>
      </a:pPr>
      <a:endParaRPr lang="es-ES_tradnl"/>
    </a:p>
  </c:txPr>
  <c:printSettings>
    <c:headerFooter/>
    <c:pageMargins b="0.75" l="0.84" r="0.25" t="0.75" header="0.3" footer="0.3"/>
    <c:pageSetup paperSize="9" orientation="landscape"/>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457409308717575"/>
          <c:y val="4.6087571003560986E-2"/>
          <c:w val="0.82558175067451101"/>
          <c:h val="0.64272676146640684"/>
        </c:manualLayout>
      </c:layout>
      <c:lineChart>
        <c:grouping val="standard"/>
        <c:varyColors val="0"/>
        <c:ser>
          <c:idx val="1"/>
          <c:order val="0"/>
          <c:tx>
            <c:strRef>
              <c:f>'2EE'!$W$45</c:f>
              <c:strCache>
                <c:ptCount val="1"/>
                <c:pt idx="0">
                  <c:v>Observed (National Accounts)</c:v>
                </c:pt>
              </c:strCache>
            </c:strRef>
          </c:tx>
          <c:spPr>
            <a:ln w="25400" cap="rnd">
              <a:solidFill>
                <a:schemeClr val="tx1">
                  <a:lumMod val="65000"/>
                  <a:lumOff val="35000"/>
                </a:schemeClr>
              </a:solidFill>
              <a:prstDash val="sysDash"/>
              <a:round/>
            </a:ln>
            <a:effectLst/>
          </c:spPr>
          <c:marker>
            <c:symbol val="none"/>
          </c:marker>
          <c:cat>
            <c:numRef>
              <c:extLst>
                <c:ext xmlns:c15="http://schemas.microsoft.com/office/drawing/2012/chart" uri="{02D57815-91ED-43cb-92C2-25804820EDAC}">
                  <c15:fullRef>
                    <c15:sqref>'2EE'!$U$46:$U$53</c15:sqref>
                  </c15:fullRef>
                </c:ext>
              </c:extLst>
              <c:f>'2EE'!$U$46:$U$50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'2EE'!$W$46:$W$53</c15:sqref>
                  </c15:fullRef>
                </c:ext>
              </c:extLst>
              <c:f>'2EE'!$W$46:$W$50</c:f>
              <c:numCache>
                <c:formatCode>0.0%</c:formatCode>
                <c:ptCount val="5"/>
                <c:pt idx="0">
                  <c:v>5.3793011404146517E-2</c:v>
                </c:pt>
                <c:pt idx="1">
                  <c:v>5.9312330173407084E-2</c:v>
                </c:pt>
                <c:pt idx="2">
                  <c:v>6.8228203025158793E-2</c:v>
                </c:pt>
                <c:pt idx="3">
                  <c:v>6.254733445289605E-2</c:v>
                </c:pt>
                <c:pt idx="4">
                  <c:v>6.2603763505622217E-2</c:v>
                </c:pt>
              </c:numCache>
            </c:numRef>
          </c:val>
          <c:smooth val="0"/>
          <c:extLst>
            <c:ext xmlns:c16="http://schemas.microsoft.com/office/drawing/2014/chart" uri="{C3380CC4-5D6E-409C-BE32-E72D297353CC}">
              <c16:uniqueId val="{00000000-99AD-4BFC-9DBC-790A825F168B}"/>
            </c:ext>
          </c:extLst>
        </c:ser>
        <c:ser>
          <c:idx val="0"/>
          <c:order val="1"/>
          <c:tx>
            <c:strRef>
              <c:f>'2EE'!$V$45</c:f>
              <c:strCache>
                <c:ptCount val="1"/>
                <c:pt idx="0">
                  <c:v>Baseline simulation (before reescaling)</c:v>
                </c:pt>
              </c:strCache>
            </c:strRef>
          </c:tx>
          <c:spPr>
            <a:ln w="25400" cap="rnd">
              <a:noFill/>
              <a:round/>
            </a:ln>
            <a:effectLst/>
          </c:spPr>
          <c:marker>
            <c:symbol val="circle"/>
            <c:size val="8"/>
            <c:spPr>
              <a:solidFill>
                <a:schemeClr val="bg1">
                  <a:lumMod val="85000"/>
                </a:schemeClr>
              </a:solidFill>
              <a:ln w="25400">
                <a:noFill/>
              </a:ln>
              <a:effectLst/>
            </c:spPr>
          </c:marker>
          <c:cat>
            <c:numRef>
              <c:extLst>
                <c:ext xmlns:c15="http://schemas.microsoft.com/office/drawing/2012/chart" uri="{02D57815-91ED-43cb-92C2-25804820EDAC}">
                  <c15:fullRef>
                    <c15:sqref>'2EE'!$U$46:$U$53</c15:sqref>
                  </c15:fullRef>
                </c:ext>
              </c:extLst>
              <c:f>'2EE'!$U$46:$U$50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'2EE'!$V$46:$V$53</c15:sqref>
                  </c15:fullRef>
                </c:ext>
              </c:extLst>
              <c:f>'2EE'!$V$46:$V$50</c:f>
              <c:numCache>
                <c:formatCode>0.0%</c:formatCode>
                <c:ptCount val="5"/>
                <c:pt idx="0">
                  <c:v>6.2384067888269563E-2</c:v>
                </c:pt>
                <c:pt idx="1">
                  <c:v>7.0388557529456858E-2</c:v>
                </c:pt>
                <c:pt idx="2">
                  <c:v>7.0581419298834686E-2</c:v>
                </c:pt>
                <c:pt idx="3">
                  <c:v>6.874634501992169E-2</c:v>
                </c:pt>
                <c:pt idx="4">
                  <c:v>6.9581432745987035E-2</c:v>
                </c:pt>
              </c:numCache>
            </c:numRef>
          </c:val>
          <c:smooth val="0"/>
          <c:extLst>
            <c:ext xmlns:c16="http://schemas.microsoft.com/office/drawing/2014/chart" uri="{C3380CC4-5D6E-409C-BE32-E72D297353CC}">
              <c16:uniqueId val="{00000001-99AD-4BFC-9DBC-790A825F168B}"/>
            </c:ext>
          </c:extLst>
        </c:ser>
        <c:ser>
          <c:idx val="3"/>
          <c:order val="2"/>
          <c:tx>
            <c:strRef>
              <c:f>'2EE'!$Y$45</c:f>
              <c:strCache>
                <c:ptCount val="1"/>
                <c:pt idx="0">
                  <c:v>Baseline simulation (after reescaling)</c:v>
                </c:pt>
              </c:strCache>
            </c:strRef>
          </c:tx>
          <c:spPr>
            <a:ln w="25400" cap="rnd">
              <a:noFill/>
              <a:round/>
            </a:ln>
            <a:effectLst/>
          </c:spPr>
          <c:marker>
            <c:symbol val="circle"/>
            <c:size val="7"/>
            <c:spPr>
              <a:solidFill>
                <a:schemeClr val="tx1"/>
              </a:solidFill>
              <a:ln w="9525">
                <a:solidFill>
                  <a:schemeClr val="tx1"/>
                </a:solidFill>
              </a:ln>
              <a:effectLst/>
            </c:spPr>
          </c:marker>
          <c:cat>
            <c:numRef>
              <c:extLst>
                <c:ext xmlns:c15="http://schemas.microsoft.com/office/drawing/2012/chart" uri="{02D57815-91ED-43cb-92C2-25804820EDAC}">
                  <c15:fullRef>
                    <c15:sqref>'2EE'!$U$46:$U$53</c15:sqref>
                  </c15:fullRef>
                </c:ext>
              </c:extLst>
              <c:f>'2EE'!$U$46:$U$50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'2EE'!$Y$46:$Y$53</c15:sqref>
                  </c15:fullRef>
                </c:ext>
              </c:extLst>
              <c:f>'2EE'!$Y$46:$Y$50</c:f>
              <c:numCache>
                <c:formatCode>0.0%</c:formatCode>
                <c:ptCount val="5"/>
                <c:pt idx="0">
                  <c:v>5.3793011404146517E-2</c:v>
                </c:pt>
                <c:pt idx="4">
                  <c:v>6.2603763505622217E-2</c:v>
                </c:pt>
              </c:numCache>
            </c:numRef>
          </c:val>
          <c:smooth val="0"/>
          <c:extLst>
            <c:ext xmlns:c16="http://schemas.microsoft.com/office/drawing/2014/chart" uri="{C3380CC4-5D6E-409C-BE32-E72D297353CC}">
              <c16:uniqueId val="{00000002-99AD-4BFC-9DBC-790A825F168B}"/>
            </c:ext>
          </c:extLst>
        </c:ser>
        <c:ser>
          <c:idx val="4"/>
          <c:order val="3"/>
          <c:tx>
            <c:strRef>
              <c:f>'2EE'!$Z$45</c:f>
              <c:strCache>
                <c:ptCount val="1"/>
                <c:pt idx="0">
                  <c:v>Unchanged legislation since 2019/2023</c:v>
                </c:pt>
              </c:strCache>
            </c:strRef>
          </c:tx>
          <c:spPr>
            <a:ln w="25400" cap="rnd">
              <a:noFill/>
              <a:round/>
            </a:ln>
            <a:effectLst/>
          </c:spPr>
          <c:marker>
            <c:symbol val="circle"/>
            <c:size val="6"/>
            <c:spPr>
              <a:noFill/>
              <a:ln w="25400">
                <a:solidFill>
                  <a:srgbClr val="C00000"/>
                </a:solidFill>
              </a:ln>
              <a:effectLst/>
            </c:spPr>
          </c:marker>
          <c:cat>
            <c:numRef>
              <c:extLst>
                <c:ext xmlns:c15="http://schemas.microsoft.com/office/drawing/2012/chart" uri="{02D57815-91ED-43cb-92C2-25804820EDAC}">
                  <c15:fullRef>
                    <c15:sqref>'2EE'!$U$46:$U$53</c15:sqref>
                  </c15:fullRef>
                </c:ext>
              </c:extLst>
              <c:f>'2EE'!$U$46:$U$50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'2EE'!$Z$46:$Z$53</c15:sqref>
                  </c15:fullRef>
                </c:ext>
              </c:extLst>
              <c:f>'2EE'!$Z$46:$Z$50</c:f>
              <c:numCache>
                <c:formatCode>0.0%</c:formatCode>
                <c:ptCount val="5"/>
                <c:pt idx="4">
                  <c:v>6.885276137900101E-2</c:v>
                </c:pt>
              </c:numCache>
            </c:numRef>
          </c:val>
          <c:smooth val="0"/>
          <c:extLst>
            <c:ext xmlns:c16="http://schemas.microsoft.com/office/drawing/2014/chart" uri="{C3380CC4-5D6E-409C-BE32-E72D297353CC}">
              <c16:uniqueId val="{00000003-99AD-4BFC-9DBC-790A825F168B}"/>
            </c:ext>
          </c:extLst>
        </c:ser>
        <c:ser>
          <c:idx val="5"/>
          <c:order val="4"/>
          <c:tx>
            <c:strRef>
              <c:f>'2EE'!$AA$45</c:f>
              <c:strCache>
                <c:ptCount val="1"/>
                <c:pt idx="0">
                  <c:v>Indexing with tax base growth</c:v>
                </c:pt>
              </c:strCache>
            </c:strRef>
          </c:tx>
          <c:spPr>
            <a:ln w="25400" cap="rnd">
              <a:noFill/>
              <a:round/>
            </a:ln>
            <a:effectLst/>
          </c:spPr>
          <c:marker>
            <c:symbol val="square"/>
            <c:size val="5"/>
            <c:spPr>
              <a:noFill/>
              <a:ln w="25400">
                <a:solidFill>
                  <a:schemeClr val="accent6">
                    <a:lumMod val="75000"/>
                  </a:schemeClr>
                </a:solidFill>
              </a:ln>
              <a:effectLst/>
            </c:spPr>
          </c:marker>
          <c:cat>
            <c:numRef>
              <c:extLst>
                <c:ext xmlns:c15="http://schemas.microsoft.com/office/drawing/2012/chart" uri="{02D57815-91ED-43cb-92C2-25804820EDAC}">
                  <c15:fullRef>
                    <c15:sqref>'2EE'!$U$46:$U$53</c15:sqref>
                  </c15:fullRef>
                </c:ext>
              </c:extLst>
              <c:f>'2EE'!$U$46:$U$50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'2EE'!$AA$46:$AA$53</c15:sqref>
                  </c15:fullRef>
                </c:ext>
              </c:extLst>
              <c:f>'2EE'!$AA$46:$AA$50</c:f>
              <c:numCache>
                <c:formatCode>0.0%</c:formatCode>
                <c:ptCount val="5"/>
                <c:pt idx="4">
                  <c:v>5.7841874035685019E-2</c:v>
                </c:pt>
              </c:numCache>
            </c:numRef>
          </c:val>
          <c:smooth val="0"/>
          <c:extLst>
            <c:ext xmlns:c16="http://schemas.microsoft.com/office/drawing/2014/chart" uri="{C3380CC4-5D6E-409C-BE32-E72D297353CC}">
              <c16:uniqueId val="{00000004-99AD-4BFC-9DBC-790A825F168B}"/>
            </c:ext>
          </c:extLst>
        </c:ser>
        <c:ser>
          <c:idx val="6"/>
          <c:order val="5"/>
          <c:tx>
            <c:strRef>
              <c:f>'2EE'!$AB$45</c:f>
              <c:strCache>
                <c:ptCount val="1"/>
                <c:pt idx="0">
                  <c:v>Indexing with lagged HCPI</c:v>
                </c:pt>
              </c:strCache>
            </c:strRef>
          </c:tx>
          <c:spPr>
            <a:ln w="25400" cap="rnd">
              <a:noFill/>
              <a:round/>
            </a:ln>
            <a:effectLst/>
          </c:spPr>
          <c:marker>
            <c:symbol val="diamond"/>
            <c:size val="6"/>
            <c:spPr>
              <a:noFill/>
              <a:ln w="25400">
                <a:solidFill>
                  <a:schemeClr val="accent4"/>
                </a:solidFill>
              </a:ln>
              <a:effectLst/>
            </c:spPr>
          </c:marker>
          <c:cat>
            <c:numRef>
              <c:extLst>
                <c:ext xmlns:c15="http://schemas.microsoft.com/office/drawing/2012/chart" uri="{02D57815-91ED-43cb-92C2-25804820EDAC}">
                  <c15:fullRef>
                    <c15:sqref>'2EE'!$U$46:$U$53</c15:sqref>
                  </c15:fullRef>
                </c:ext>
              </c:extLst>
              <c:f>'2EE'!$U$46:$U$50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'2EE'!$AB$46:$AB$53</c15:sqref>
                  </c15:fullRef>
                </c:ext>
              </c:extLst>
              <c:f>'2EE'!$AB$46:$AB$50</c:f>
              <c:numCache>
                <c:formatCode>0.0%</c:formatCode>
                <c:ptCount val="5"/>
                <c:pt idx="4">
                  <c:v>6.0992740541774809E-2</c:v>
                </c:pt>
              </c:numCache>
            </c:numRef>
          </c:val>
          <c:smooth val="0"/>
          <c:extLst>
            <c:ext xmlns:c16="http://schemas.microsoft.com/office/drawing/2014/chart" uri="{C3380CC4-5D6E-409C-BE32-E72D297353CC}">
              <c16:uniqueId val="{00000005-99AD-4BFC-9DBC-790A825F168B}"/>
            </c:ext>
          </c:extLst>
        </c:ser>
        <c:ser>
          <c:idx val="7"/>
          <c:order val="6"/>
          <c:tx>
            <c:strRef>
              <c:f>'2EE'!$AC$45</c:f>
              <c:strCache>
                <c:ptCount val="1"/>
                <c:pt idx="0">
                  <c:v>Indexing with concurrent HCPI</c:v>
                </c:pt>
              </c:strCache>
            </c:strRef>
          </c:tx>
          <c:spPr>
            <a:ln w="25400" cap="rnd">
              <a:noFill/>
              <a:round/>
            </a:ln>
            <a:effectLst/>
          </c:spPr>
          <c:marker>
            <c:symbol val="triangle"/>
            <c:size val="6"/>
            <c:spPr>
              <a:noFill/>
              <a:ln w="25400">
                <a:solidFill>
                  <a:schemeClr val="accent5">
                    <a:lumMod val="75000"/>
                  </a:schemeClr>
                </a:solidFill>
              </a:ln>
              <a:effectLst/>
            </c:spPr>
          </c:marker>
          <c:cat>
            <c:numRef>
              <c:extLst>
                <c:ext xmlns:c15="http://schemas.microsoft.com/office/drawing/2012/chart" uri="{02D57815-91ED-43cb-92C2-25804820EDAC}">
                  <c15:fullRef>
                    <c15:sqref>'2EE'!$U$46:$U$53</c15:sqref>
                  </c15:fullRef>
                </c:ext>
              </c:extLst>
              <c:f>'2EE'!$U$46:$U$50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'2EE'!$AC$46:$AC$53</c15:sqref>
                  </c15:fullRef>
                </c:ext>
              </c:extLst>
              <c:f>'2EE'!$AC$46:$AC$50</c:f>
              <c:numCache>
                <c:formatCode>0.0%</c:formatCode>
                <c:ptCount val="5"/>
                <c:pt idx="4">
                  <c:v>5.8586546479472375E-2</c:v>
                </c:pt>
              </c:numCache>
            </c:numRef>
          </c:val>
          <c:smooth val="0"/>
          <c:extLst>
            <c:ext xmlns:c16="http://schemas.microsoft.com/office/drawing/2014/chart" uri="{C3380CC4-5D6E-409C-BE32-E72D297353CC}">
              <c16:uniqueId val="{00000006-99AD-4BFC-9DBC-790A825F168B}"/>
            </c:ext>
          </c:extLst>
        </c:ser>
        <c:dLbls>
          <c:showLegendKey val="0"/>
          <c:showVal val="0"/>
          <c:showCatName val="0"/>
          <c:showSerName val="0"/>
          <c:showPercent val="0"/>
          <c:showBubbleSize val="0"/>
        </c:dLbls>
        <c:smooth val="0"/>
        <c:axId val="709475840"/>
        <c:axId val="605168576"/>
        <c:extLst/>
      </c:lineChart>
      <c:catAx>
        <c:axId val="709475840"/>
        <c:scaling>
          <c:orientation val="minMax"/>
        </c:scaling>
        <c:delete val="0"/>
        <c:axPos val="b"/>
        <c:numFmt formatCode="General" sourceLinked="1"/>
        <c:majorTickMark val="out"/>
        <c:minorTickMark val="none"/>
        <c:tickLblPos val="nextTo"/>
        <c:spPr>
          <a:noFill/>
          <a:ln w="6350" cap="flat" cmpd="sng" algn="ctr">
            <a:solidFill>
              <a:schemeClr val="tx1"/>
            </a:solidFill>
            <a:round/>
          </a:ln>
          <a:effectLst/>
        </c:spPr>
        <c:txPr>
          <a:bodyPr rot="-60000000" spcFirstLastPara="1" vertOverflow="ellipsis" vert="horz" wrap="square" anchor="ctr" anchorCtr="1"/>
          <a:lstStyle/>
          <a:p>
            <a:pPr>
              <a:defRPr sz="950" b="0" i="0" u="none" strike="noStrike" kern="1200" baseline="0">
                <a:solidFill>
                  <a:schemeClr val="tx1"/>
                </a:solidFill>
                <a:latin typeface="Times New Roman" panose="02020603050405020304" pitchFamily="18" charset="0"/>
                <a:ea typeface="+mn-ea"/>
                <a:cs typeface="+mn-cs"/>
              </a:defRPr>
            </a:pPr>
            <a:endParaRPr lang="es-ES_tradnl"/>
          </a:p>
        </c:txPr>
        <c:crossAx val="605168576"/>
        <c:crosses val="autoZero"/>
        <c:auto val="1"/>
        <c:lblAlgn val="ctr"/>
        <c:lblOffset val="100"/>
        <c:noMultiLvlLbl val="0"/>
      </c:catAx>
      <c:valAx>
        <c:axId val="6051685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s-ES_tradnl" sz="1050">
                    <a:solidFill>
                      <a:sysClr val="windowText" lastClr="000000"/>
                    </a:solidFill>
                    <a:latin typeface="Times New Roman" panose="02020603050405020304" pitchFamily="18" charset="0"/>
                    <a:cs typeface="Times New Roman" panose="02020603050405020304" pitchFamily="18" charset="0"/>
                  </a:rPr>
                  <a:t>Share of GDP</a:t>
                </a:r>
              </a:p>
            </c:rich>
          </c:tx>
          <c:overlay val="0"/>
          <c:spPr>
            <a:noFill/>
            <a:ln>
              <a:noFill/>
            </a:ln>
            <a:effectLst/>
          </c:spPr>
        </c:title>
        <c:numFmt formatCode="0%" sourceLinked="0"/>
        <c:majorTickMark val="out"/>
        <c:minorTickMark val="none"/>
        <c:tickLblPos val="nextTo"/>
        <c:spPr>
          <a:noFill/>
          <a:ln w="6350">
            <a:solidFill>
              <a:schemeClr val="tx1">
                <a:lumMod val="65000"/>
                <a:lumOff val="35000"/>
              </a:schemeClr>
            </a:solidFill>
          </a:ln>
          <a:effectLst/>
        </c:spPr>
        <c:txPr>
          <a:bodyPr rot="-60000000" spcFirstLastPara="1" vertOverflow="ellipsis" vert="horz" wrap="square" anchor="ctr" anchorCtr="1"/>
          <a:lstStyle/>
          <a:p>
            <a:pPr>
              <a:defRPr sz="950" b="0" i="0" u="none" strike="noStrike" kern="1200" baseline="0">
                <a:solidFill>
                  <a:schemeClr val="tx1"/>
                </a:solidFill>
                <a:latin typeface="Times New Roman" panose="02020603050405020304" pitchFamily="18" charset="0"/>
                <a:ea typeface="+mn-ea"/>
                <a:cs typeface="+mn-cs"/>
              </a:defRPr>
            </a:pPr>
            <a:endParaRPr lang="es-ES_tradnl"/>
          </a:p>
        </c:txPr>
        <c:crossAx val="709475840"/>
        <c:crosses val="autoZero"/>
        <c:crossBetween val="between"/>
      </c:valAx>
    </c:plotArea>
    <c:legend>
      <c:legendPos val="b"/>
      <c:layout>
        <c:manualLayout>
          <c:xMode val="edge"/>
          <c:yMode val="edge"/>
          <c:x val="0"/>
          <c:y val="0.80216933512597055"/>
          <c:w val="1"/>
          <c:h val="0.19783066487402948"/>
        </c:manualLayout>
      </c:layout>
      <c:overlay val="0"/>
      <c:spPr>
        <a:noFill/>
        <a:ln>
          <a:noFill/>
        </a:ln>
        <a:effectLst/>
      </c:spPr>
      <c:txPr>
        <a:bodyPr rot="0" spcFirstLastPara="1" vertOverflow="ellipsis" vert="horz" wrap="square" anchor="ctr" anchorCtr="1"/>
        <a:lstStyle/>
        <a:p>
          <a:pPr>
            <a:defRPr sz="9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legend>
    <c:plotVisOnly val="1"/>
    <c:dispBlanksAs val="gap"/>
    <c:showDLblsOverMax val="0"/>
  </c:chart>
  <c:spPr>
    <a:solidFill>
      <a:schemeClr val="bg1"/>
    </a:solidFill>
    <a:ln w="9525" cap="flat" cmpd="sng" algn="ctr">
      <a:noFill/>
      <a:round/>
    </a:ln>
    <a:effectLst/>
  </c:spPr>
  <c:txPr>
    <a:bodyPr/>
    <a:lstStyle/>
    <a:p>
      <a:pPr>
        <a:defRPr/>
      </a:pPr>
      <a:endParaRPr lang="es-ES_tradnl"/>
    </a:p>
  </c:txPr>
  <c:printSettings>
    <c:headerFooter/>
    <c:pageMargins b="0.75" l="0.25" r="0.25" t="0.75" header="0.3" footer="0.3"/>
    <c:pageSetup paperSize="9" orientation="landscape"/>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457409308717575"/>
          <c:y val="4.6087571003560986E-2"/>
          <c:w val="0.82558175067451101"/>
          <c:h val="0.64272676146640684"/>
        </c:manualLayout>
      </c:layout>
      <c:lineChart>
        <c:grouping val="standard"/>
        <c:varyColors val="0"/>
        <c:ser>
          <c:idx val="1"/>
          <c:order val="0"/>
          <c:tx>
            <c:strRef>
              <c:f>'2EL'!$D$45</c:f>
              <c:strCache>
                <c:ptCount val="1"/>
                <c:pt idx="0">
                  <c:v>Observed (National Accounts)</c:v>
                </c:pt>
              </c:strCache>
            </c:strRef>
          </c:tx>
          <c:spPr>
            <a:ln w="25400" cap="rnd">
              <a:solidFill>
                <a:schemeClr val="tx1">
                  <a:lumMod val="65000"/>
                  <a:lumOff val="35000"/>
                </a:schemeClr>
              </a:solidFill>
              <a:prstDash val="sysDash"/>
              <a:round/>
            </a:ln>
            <a:effectLst/>
          </c:spPr>
          <c:marker>
            <c:symbol val="none"/>
          </c:marker>
          <c:cat>
            <c:numRef>
              <c:extLst>
                <c:ext xmlns:c15="http://schemas.microsoft.com/office/drawing/2012/chart" uri="{02D57815-91ED-43cb-92C2-25804820EDAC}">
                  <c15:fullRef>
                    <c15:sqref>'2EL'!$B$46:$B$53</c15:sqref>
                  </c15:fullRef>
                </c:ext>
              </c:extLst>
              <c:f>'2EL'!$B$46:$B$50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'2EL'!$D$46:$D$53</c15:sqref>
                  </c15:fullRef>
                </c:ext>
              </c:extLst>
              <c:f>'2EL'!$D$46:$D$50</c:f>
              <c:numCache>
                <c:formatCode>_-* #,##0_-;\-* #,##0_-;_-* "-"??_-;_-@_-</c:formatCode>
                <c:ptCount val="5"/>
                <c:pt idx="0">
                  <c:v>10855</c:v>
                </c:pt>
                <c:pt idx="1">
                  <c:v>10359</c:v>
                </c:pt>
                <c:pt idx="2">
                  <c:v>10705</c:v>
                </c:pt>
                <c:pt idx="3">
                  <c:v>11432</c:v>
                </c:pt>
                <c:pt idx="4">
                  <c:v>13385</c:v>
                </c:pt>
              </c:numCache>
            </c:numRef>
          </c:val>
          <c:smooth val="0"/>
          <c:extLst>
            <c:ext xmlns:c16="http://schemas.microsoft.com/office/drawing/2014/chart" uri="{C3380CC4-5D6E-409C-BE32-E72D297353CC}">
              <c16:uniqueId val="{00000000-5D56-4DF9-A369-446202BFBC4D}"/>
            </c:ext>
          </c:extLst>
        </c:ser>
        <c:ser>
          <c:idx val="0"/>
          <c:order val="1"/>
          <c:tx>
            <c:strRef>
              <c:f>'2EL'!$C$45</c:f>
              <c:strCache>
                <c:ptCount val="1"/>
                <c:pt idx="0">
                  <c:v>Baseline simulation (before reescaling)</c:v>
                </c:pt>
              </c:strCache>
            </c:strRef>
          </c:tx>
          <c:spPr>
            <a:ln w="25400" cap="rnd">
              <a:noFill/>
              <a:round/>
            </a:ln>
            <a:effectLst/>
          </c:spPr>
          <c:marker>
            <c:symbol val="circle"/>
            <c:size val="8"/>
            <c:spPr>
              <a:solidFill>
                <a:schemeClr val="bg1">
                  <a:lumMod val="85000"/>
                </a:schemeClr>
              </a:solidFill>
              <a:ln w="25400">
                <a:noFill/>
              </a:ln>
              <a:effectLst/>
            </c:spPr>
          </c:marker>
          <c:cat>
            <c:numRef>
              <c:extLst>
                <c:ext xmlns:c15="http://schemas.microsoft.com/office/drawing/2012/chart" uri="{02D57815-91ED-43cb-92C2-25804820EDAC}">
                  <c15:fullRef>
                    <c15:sqref>'2EL'!$B$46:$B$53</c15:sqref>
                  </c15:fullRef>
                </c:ext>
              </c:extLst>
              <c:f>'2EL'!$B$46:$B$50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'2EL'!$C$46:$C$53</c15:sqref>
                  </c15:fullRef>
                </c:ext>
              </c:extLst>
              <c:f>'2EL'!$C$46:$C$50</c:f>
              <c:numCache>
                <c:formatCode>_-* #,##0_-;\-* #,##0_-;_-* "-"??_-;_-@_-</c:formatCode>
                <c:ptCount val="5"/>
                <c:pt idx="0">
                  <c:v>7636.2345464796126</c:v>
                </c:pt>
                <c:pt idx="1">
                  <c:v>6757.8849746027718</c:v>
                </c:pt>
                <c:pt idx="2">
                  <c:v>6983.8993040531941</c:v>
                </c:pt>
                <c:pt idx="3">
                  <c:v>7224.1500637079789</c:v>
                </c:pt>
                <c:pt idx="4">
                  <c:v>8099.2946573652116</c:v>
                </c:pt>
              </c:numCache>
            </c:numRef>
          </c:val>
          <c:smooth val="0"/>
          <c:extLst>
            <c:ext xmlns:c16="http://schemas.microsoft.com/office/drawing/2014/chart" uri="{C3380CC4-5D6E-409C-BE32-E72D297353CC}">
              <c16:uniqueId val="{00000001-5D56-4DF9-A369-446202BFBC4D}"/>
            </c:ext>
          </c:extLst>
        </c:ser>
        <c:ser>
          <c:idx val="3"/>
          <c:order val="3"/>
          <c:tx>
            <c:strRef>
              <c:f>'2EL'!$F$45</c:f>
              <c:strCache>
                <c:ptCount val="1"/>
                <c:pt idx="0">
                  <c:v>Baseline simulation (after reescaling)</c:v>
                </c:pt>
              </c:strCache>
            </c:strRef>
          </c:tx>
          <c:spPr>
            <a:ln w="25400" cap="rnd">
              <a:noFill/>
              <a:round/>
            </a:ln>
            <a:effectLst/>
          </c:spPr>
          <c:marker>
            <c:symbol val="circle"/>
            <c:size val="7"/>
            <c:spPr>
              <a:solidFill>
                <a:schemeClr val="tx1"/>
              </a:solidFill>
              <a:ln w="9525">
                <a:solidFill>
                  <a:schemeClr val="tx1"/>
                </a:solidFill>
              </a:ln>
              <a:effectLst/>
            </c:spPr>
          </c:marker>
          <c:cat>
            <c:numRef>
              <c:extLst>
                <c:ext xmlns:c15="http://schemas.microsoft.com/office/drawing/2012/chart" uri="{02D57815-91ED-43cb-92C2-25804820EDAC}">
                  <c15:fullRef>
                    <c15:sqref>'2EL'!$B$46:$B$53</c15:sqref>
                  </c15:fullRef>
                </c:ext>
              </c:extLst>
              <c:f>'2EL'!$B$46:$B$50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'2EL'!$F$46:$F$53</c15:sqref>
                  </c15:fullRef>
                </c:ext>
              </c:extLst>
              <c:f>'2EL'!$F$46:$F$50</c:f>
              <c:numCache>
                <c:formatCode>General</c:formatCode>
                <c:ptCount val="5"/>
                <c:pt idx="0" formatCode="_-* #,##0_-;\-* #,##0_-;_-* &quot;-&quot;??_-;_-@_-">
                  <c:v>10855</c:v>
                </c:pt>
                <c:pt idx="4" formatCode="_-* #,##0_-;\-* #,##0_-;_-* &quot;-&quot;??_-;_-@_-">
                  <c:v>13385</c:v>
                </c:pt>
              </c:numCache>
            </c:numRef>
          </c:val>
          <c:smooth val="0"/>
          <c:extLst>
            <c:ext xmlns:c16="http://schemas.microsoft.com/office/drawing/2014/chart" uri="{C3380CC4-5D6E-409C-BE32-E72D297353CC}">
              <c16:uniqueId val="{00000002-5D56-4DF9-A369-446202BFBC4D}"/>
            </c:ext>
          </c:extLst>
        </c:ser>
        <c:ser>
          <c:idx val="4"/>
          <c:order val="4"/>
          <c:tx>
            <c:strRef>
              <c:f>'2EL'!$G$45</c:f>
              <c:strCache>
                <c:ptCount val="1"/>
                <c:pt idx="0">
                  <c:v>Unchanged legislation since 2019/2023</c:v>
                </c:pt>
              </c:strCache>
            </c:strRef>
          </c:tx>
          <c:spPr>
            <a:ln w="25400" cap="rnd">
              <a:noFill/>
              <a:round/>
            </a:ln>
            <a:effectLst/>
          </c:spPr>
          <c:marker>
            <c:symbol val="circle"/>
            <c:size val="6"/>
            <c:spPr>
              <a:noFill/>
              <a:ln w="25400">
                <a:solidFill>
                  <a:srgbClr val="C00000"/>
                </a:solidFill>
              </a:ln>
              <a:effectLst/>
            </c:spPr>
          </c:marker>
          <c:cat>
            <c:numRef>
              <c:extLst>
                <c:ext xmlns:c15="http://schemas.microsoft.com/office/drawing/2012/chart" uri="{02D57815-91ED-43cb-92C2-25804820EDAC}">
                  <c15:fullRef>
                    <c15:sqref>'2EL'!$B$46:$B$53</c15:sqref>
                  </c15:fullRef>
                </c:ext>
              </c:extLst>
              <c:f>'2EL'!$B$46:$B$50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'2EL'!$G$46:$G$53</c15:sqref>
                  </c15:fullRef>
                </c:ext>
              </c:extLst>
              <c:f>'2EL'!$G$46:$G$50</c:f>
              <c:numCache>
                <c:formatCode>General</c:formatCode>
                <c:ptCount val="5"/>
                <c:pt idx="4" formatCode="_-* #,##0_-;\-* #,##0_-;_-* &quot;-&quot;??_-;_-@_-">
                  <c:v>14768.205009549352</c:v>
                </c:pt>
              </c:numCache>
            </c:numRef>
          </c:val>
          <c:smooth val="0"/>
          <c:extLst>
            <c:ext xmlns:c16="http://schemas.microsoft.com/office/drawing/2014/chart" uri="{C3380CC4-5D6E-409C-BE32-E72D297353CC}">
              <c16:uniqueId val="{00000003-5D56-4DF9-A369-446202BFBC4D}"/>
            </c:ext>
          </c:extLst>
        </c:ser>
        <c:ser>
          <c:idx val="5"/>
          <c:order val="5"/>
          <c:tx>
            <c:strRef>
              <c:f>'2EL'!$H$45</c:f>
              <c:strCache>
                <c:ptCount val="1"/>
                <c:pt idx="0">
                  <c:v>Indexing with tax base growth</c:v>
                </c:pt>
              </c:strCache>
            </c:strRef>
          </c:tx>
          <c:spPr>
            <a:ln w="25400" cap="rnd">
              <a:noFill/>
              <a:round/>
            </a:ln>
            <a:effectLst/>
          </c:spPr>
          <c:marker>
            <c:symbol val="square"/>
            <c:size val="5"/>
            <c:spPr>
              <a:noFill/>
              <a:ln w="25400">
                <a:solidFill>
                  <a:schemeClr val="accent6">
                    <a:lumMod val="75000"/>
                  </a:schemeClr>
                </a:solidFill>
              </a:ln>
              <a:effectLst/>
            </c:spPr>
          </c:marker>
          <c:cat>
            <c:numRef>
              <c:extLst>
                <c:ext xmlns:c15="http://schemas.microsoft.com/office/drawing/2012/chart" uri="{02D57815-91ED-43cb-92C2-25804820EDAC}">
                  <c15:fullRef>
                    <c15:sqref>'2EL'!$B$46:$B$53</c15:sqref>
                  </c15:fullRef>
                </c:ext>
              </c:extLst>
              <c:f>'2EL'!$B$46:$B$50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'2EL'!$H$46:$H$53</c15:sqref>
                  </c15:fullRef>
                </c:ext>
              </c:extLst>
              <c:f>'2EL'!$H$46:$H$50</c:f>
              <c:numCache>
                <c:formatCode>General</c:formatCode>
                <c:ptCount val="5"/>
                <c:pt idx="4" formatCode="_-* #,##0_-;\-* #,##0_-;_-* &quot;-&quot;??_-;_-@_-">
                  <c:v>13762.020201943948</c:v>
                </c:pt>
              </c:numCache>
            </c:numRef>
          </c:val>
          <c:smooth val="0"/>
          <c:extLst>
            <c:ext xmlns:c16="http://schemas.microsoft.com/office/drawing/2014/chart" uri="{C3380CC4-5D6E-409C-BE32-E72D297353CC}">
              <c16:uniqueId val="{00000004-5D56-4DF9-A369-446202BFBC4D}"/>
            </c:ext>
          </c:extLst>
        </c:ser>
        <c:ser>
          <c:idx val="6"/>
          <c:order val="6"/>
          <c:tx>
            <c:strRef>
              <c:f>'2EL'!$I$45</c:f>
              <c:strCache>
                <c:ptCount val="1"/>
                <c:pt idx="0">
                  <c:v>Indexing with lagged HCPI</c:v>
                </c:pt>
              </c:strCache>
            </c:strRef>
          </c:tx>
          <c:spPr>
            <a:ln w="25400" cap="rnd">
              <a:noFill/>
              <a:round/>
            </a:ln>
            <a:effectLst/>
          </c:spPr>
          <c:marker>
            <c:symbol val="diamond"/>
            <c:size val="6"/>
            <c:spPr>
              <a:noFill/>
              <a:ln w="25400">
                <a:solidFill>
                  <a:schemeClr val="accent4"/>
                </a:solidFill>
              </a:ln>
              <a:effectLst/>
            </c:spPr>
          </c:marker>
          <c:cat>
            <c:numRef>
              <c:extLst>
                <c:ext xmlns:c15="http://schemas.microsoft.com/office/drawing/2012/chart" uri="{02D57815-91ED-43cb-92C2-25804820EDAC}">
                  <c15:fullRef>
                    <c15:sqref>'2EL'!$B$46:$B$53</c15:sqref>
                  </c15:fullRef>
                </c:ext>
              </c:extLst>
              <c:f>'2EL'!$B$46:$B$50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'2EL'!$I$46:$I$53</c15:sqref>
                  </c15:fullRef>
                </c:ext>
              </c:extLst>
              <c:f>'2EL'!$I$46:$I$50</c:f>
              <c:numCache>
                <c:formatCode>General</c:formatCode>
                <c:ptCount val="5"/>
                <c:pt idx="4" formatCode="_-* #,##0_-;\-* #,##0_-;_-* &quot;-&quot;??_-;_-@_-">
                  <c:v>13610.308339216092</c:v>
                </c:pt>
              </c:numCache>
            </c:numRef>
          </c:val>
          <c:smooth val="0"/>
          <c:extLst>
            <c:ext xmlns:c16="http://schemas.microsoft.com/office/drawing/2014/chart" uri="{C3380CC4-5D6E-409C-BE32-E72D297353CC}">
              <c16:uniqueId val="{00000005-5D56-4DF9-A369-446202BFBC4D}"/>
            </c:ext>
          </c:extLst>
        </c:ser>
        <c:ser>
          <c:idx val="7"/>
          <c:order val="7"/>
          <c:tx>
            <c:strRef>
              <c:f>'2EL'!$J$45</c:f>
              <c:strCache>
                <c:ptCount val="1"/>
                <c:pt idx="0">
                  <c:v>Indexing with concurrent HCPI</c:v>
                </c:pt>
              </c:strCache>
            </c:strRef>
          </c:tx>
          <c:spPr>
            <a:ln w="25400" cap="rnd">
              <a:noFill/>
              <a:round/>
            </a:ln>
            <a:effectLst/>
          </c:spPr>
          <c:marker>
            <c:symbol val="triangle"/>
            <c:size val="6"/>
            <c:spPr>
              <a:noFill/>
              <a:ln w="25400">
                <a:solidFill>
                  <a:schemeClr val="accent5">
                    <a:lumMod val="75000"/>
                  </a:schemeClr>
                </a:solidFill>
              </a:ln>
              <a:effectLst/>
            </c:spPr>
          </c:marker>
          <c:cat>
            <c:numRef>
              <c:extLst>
                <c:ext xmlns:c15="http://schemas.microsoft.com/office/drawing/2012/chart" uri="{02D57815-91ED-43cb-92C2-25804820EDAC}">
                  <c15:fullRef>
                    <c15:sqref>'2EL'!$B$46:$B$53</c15:sqref>
                  </c15:fullRef>
                </c:ext>
              </c:extLst>
              <c:f>'2EL'!$B$46:$B$50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'2EL'!$J$46:$J$53</c15:sqref>
                  </c15:fullRef>
                </c:ext>
              </c:extLst>
              <c:f>'2EL'!$J$46:$J$50</c:f>
              <c:numCache>
                <c:formatCode>General</c:formatCode>
                <c:ptCount val="5"/>
                <c:pt idx="4" formatCode="_-* #,##0_-;\-* #,##0_-;_-* &quot;-&quot;??_-;_-@_-">
                  <c:v>13152.988402759347</c:v>
                </c:pt>
              </c:numCache>
            </c:numRef>
          </c:val>
          <c:smooth val="0"/>
          <c:extLst>
            <c:ext xmlns:c16="http://schemas.microsoft.com/office/drawing/2014/chart" uri="{C3380CC4-5D6E-409C-BE32-E72D297353CC}">
              <c16:uniqueId val="{00000006-5D56-4DF9-A369-446202BFBC4D}"/>
            </c:ext>
          </c:extLst>
        </c:ser>
        <c:ser>
          <c:idx val="8"/>
          <c:order val="8"/>
          <c:tx>
            <c:strRef>
              <c:f>'2EL'!$K$45</c:f>
              <c:strCache>
                <c:ptCount val="1"/>
                <c:pt idx="0">
                  <c:v>Baseline w/o "indexation measures"</c:v>
                </c:pt>
              </c:strCache>
            </c:strRef>
          </c:tx>
          <c:spPr>
            <a:ln w="28575" cap="rnd">
              <a:noFill/>
              <a:round/>
            </a:ln>
            <a:effectLst/>
          </c:spPr>
          <c:marker>
            <c:symbol val="dash"/>
            <c:size val="9"/>
            <c:spPr>
              <a:solidFill>
                <a:schemeClr val="tx1">
                  <a:lumMod val="65000"/>
                  <a:lumOff val="35000"/>
                </a:schemeClr>
              </a:solidFill>
              <a:ln w="9525">
                <a:solidFill>
                  <a:schemeClr val="tx1">
                    <a:lumMod val="65000"/>
                    <a:lumOff val="35000"/>
                  </a:schemeClr>
                </a:solidFill>
              </a:ln>
              <a:effectLst/>
            </c:spPr>
          </c:marker>
          <c:cat>
            <c:strLit>
              <c:ptCount val="5"/>
              <c:pt idx="0">
                <c:v>2019</c:v>
              </c:pt>
              <c:pt idx="1">
                <c:v>2020</c:v>
              </c:pt>
              <c:pt idx="2">
                <c:v>2021</c:v>
              </c:pt>
              <c:pt idx="3">
                <c:v>2022</c:v>
              </c:pt>
              <c:pt idx="4">
                <c:v>2023</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'2EL'!$K$46:$K$53</c15:sqref>
                  </c15:fullRef>
                </c:ext>
              </c:extLst>
              <c:f>'2EL'!$K$46:$K$50</c:f>
              <c:numCache>
                <c:formatCode>General</c:formatCode>
                <c:ptCount val="5"/>
                <c:pt idx="4" formatCode="_-* #,##0_-;\-* #,##0_-;_-* &quot;-&quot;??_-;_-@_-">
                  <c:v>13385.192515110668</c:v>
                </c:pt>
              </c:numCache>
            </c:numRef>
          </c:val>
          <c:smooth val="0"/>
          <c:extLst>
            <c:ext xmlns:c16="http://schemas.microsoft.com/office/drawing/2014/chart" uri="{C3380CC4-5D6E-409C-BE32-E72D297353CC}">
              <c16:uniqueId val="{00000007-5D56-4DF9-A369-446202BFBC4D}"/>
            </c:ext>
          </c:extLst>
        </c:ser>
        <c:dLbls>
          <c:showLegendKey val="0"/>
          <c:showVal val="0"/>
          <c:showCatName val="0"/>
          <c:showSerName val="0"/>
          <c:showPercent val="0"/>
          <c:showBubbleSize val="0"/>
        </c:dLbls>
        <c:smooth val="0"/>
        <c:axId val="709475840"/>
        <c:axId val="605168576"/>
        <c:extLst>
          <c:ext xmlns:c15="http://schemas.microsoft.com/office/drawing/2012/chart" uri="{02D57815-91ED-43cb-92C2-25804820EDAC}">
            <c15:filteredLineSeries>
              <c15:ser>
                <c:idx val="2"/>
                <c:order val="2"/>
                <c:tx>
                  <c:strRef>
                    <c:extLst>
                      <c:ext uri="{02D57815-91ED-43cb-92C2-25804820EDAC}">
                        <c15:formulaRef>
                          <c15:sqref>'2EL'!$E$45</c15:sqref>
                        </c15:formulaRef>
                      </c:ext>
                    </c:extLst>
                    <c:strCache>
                      <c:ptCount val="1"/>
                      <c:pt idx="0">
                        <c:v>Reescaling factor
</c:v>
                      </c:pt>
                    </c:strCache>
                  </c:strRef>
                </c:tx>
                <c:spPr>
                  <a:ln w="25400" cap="rnd">
                    <a:noFill/>
                    <a:round/>
                  </a:ln>
                  <a:effectLst/>
                </c:spPr>
                <c:marker>
                  <c:symbol val="circle"/>
                  <c:size val="5"/>
                  <c:spPr>
                    <a:solidFill>
                      <a:schemeClr val="accent3"/>
                    </a:solidFill>
                    <a:ln w="9525">
                      <a:solidFill>
                        <a:schemeClr val="accent3"/>
                      </a:solidFill>
                    </a:ln>
                    <a:effectLst/>
                  </c:spPr>
                </c:marker>
                <c:cat>
                  <c:numRef>
                    <c:extLst>
                      <c:ext uri="{02D57815-91ED-43cb-92C2-25804820EDAC}">
                        <c15:fullRef>
                          <c15:sqref>'2EL'!$B$46:$B$53</c15:sqref>
                        </c15:fullRef>
                        <c15:formulaRef>
                          <c15:sqref>'2EL'!$B$46:$B$50</c15:sqref>
                        </c15:formulaRef>
                      </c:ext>
                    </c:extLst>
                    <c:numCache>
                      <c:formatCode>General</c:formatCode>
                      <c:ptCount val="5"/>
                      <c:pt idx="0">
                        <c:v>2019</c:v>
                      </c:pt>
                      <c:pt idx="1">
                        <c:v>2020</c:v>
                      </c:pt>
                      <c:pt idx="2">
                        <c:v>2021</c:v>
                      </c:pt>
                      <c:pt idx="3">
                        <c:v>2022</c:v>
                      </c:pt>
                      <c:pt idx="4">
                        <c:v>2023</c:v>
                      </c:pt>
                    </c:numCache>
                  </c:numRef>
                </c:cat>
                <c:val>
                  <c:numRef>
                    <c:extLst>
                      <c:ext uri="{02D57815-91ED-43cb-92C2-25804820EDAC}">
                        <c15:fullRef>
                          <c15:sqref>'2EL'!$E$46:$E$53</c15:sqref>
                        </c15:fullRef>
                        <c15:formulaRef>
                          <c15:sqref>'2EL'!$E$46:$E$50</c15:sqref>
                        </c15:formulaRef>
                      </c:ext>
                    </c:extLst>
                    <c:numCache>
                      <c:formatCode>General</c:formatCode>
                      <c:ptCount val="5"/>
                    </c:numCache>
                  </c:numRef>
                </c:val>
                <c:smooth val="0"/>
                <c:extLst>
                  <c:ext xmlns:c16="http://schemas.microsoft.com/office/drawing/2014/chart" uri="{C3380CC4-5D6E-409C-BE32-E72D297353CC}">
                    <c16:uniqueId val="{00000008-5D56-4DF9-A369-446202BFBC4D}"/>
                  </c:ext>
                </c:extLst>
              </c15:ser>
            </c15:filteredLineSeries>
          </c:ext>
        </c:extLst>
      </c:lineChart>
      <c:catAx>
        <c:axId val="709475840"/>
        <c:scaling>
          <c:orientation val="minMax"/>
        </c:scaling>
        <c:delete val="0"/>
        <c:axPos val="b"/>
        <c:numFmt formatCode="General" sourceLinked="1"/>
        <c:majorTickMark val="out"/>
        <c:minorTickMark val="none"/>
        <c:tickLblPos val="nextTo"/>
        <c:spPr>
          <a:noFill/>
          <a:ln w="6350" cap="flat" cmpd="sng" algn="ctr">
            <a:solidFill>
              <a:schemeClr val="tx1"/>
            </a:solidFill>
            <a:round/>
          </a:ln>
          <a:effectLst/>
        </c:spPr>
        <c:txPr>
          <a:bodyPr rot="-60000000" spcFirstLastPara="1" vertOverflow="ellipsis" vert="horz" wrap="square" anchor="ctr" anchorCtr="1"/>
          <a:lstStyle/>
          <a:p>
            <a:pPr>
              <a:defRPr sz="950" b="0" i="0" u="none" strike="noStrike" kern="1200" baseline="0">
                <a:solidFill>
                  <a:schemeClr val="tx1"/>
                </a:solidFill>
                <a:latin typeface="Times New Roman" panose="02020603050405020304" pitchFamily="18" charset="0"/>
                <a:ea typeface="+mn-ea"/>
                <a:cs typeface="+mn-cs"/>
              </a:defRPr>
            </a:pPr>
            <a:endParaRPr lang="es-ES_tradnl"/>
          </a:p>
        </c:txPr>
        <c:crossAx val="605168576"/>
        <c:crosses val="autoZero"/>
        <c:auto val="1"/>
        <c:lblAlgn val="ctr"/>
        <c:lblOffset val="100"/>
        <c:noMultiLvlLbl val="0"/>
      </c:catAx>
      <c:valAx>
        <c:axId val="6051685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s-ES_tradnl" sz="1050">
                    <a:solidFill>
                      <a:sysClr val="windowText" lastClr="000000"/>
                    </a:solidFill>
                    <a:latin typeface="Times New Roman" panose="02020603050405020304" pitchFamily="18" charset="0"/>
                    <a:cs typeface="Times New Roman" panose="02020603050405020304" pitchFamily="18" charset="0"/>
                  </a:rPr>
                  <a:t>Million euros</a:t>
                </a:r>
              </a:p>
            </c:rich>
          </c:tx>
          <c:layout>
            <c:manualLayout>
              <c:xMode val="edge"/>
              <c:yMode val="edge"/>
              <c:x val="0"/>
              <c:y val="0.27024653144012073"/>
            </c:manualLayout>
          </c:layout>
          <c:overlay val="0"/>
          <c:spPr>
            <a:noFill/>
            <a:ln>
              <a:noFill/>
            </a:ln>
            <a:effectLst/>
          </c:spPr>
          <c:txPr>
            <a:bodyPr rot="-5400000" spcFirstLastPara="1" vertOverflow="ellipsis" vert="horz" wrap="square" anchor="ctr" anchorCtr="1"/>
            <a:lstStyle/>
            <a:p>
              <a:pPr>
                <a:defRPr sz="10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title>
        <c:numFmt formatCode="#,##0" sourceLinked="0"/>
        <c:majorTickMark val="out"/>
        <c:minorTickMark val="none"/>
        <c:tickLblPos val="nextTo"/>
        <c:spPr>
          <a:noFill/>
          <a:ln w="6350">
            <a:solidFill>
              <a:schemeClr val="tx1">
                <a:lumMod val="65000"/>
                <a:lumOff val="35000"/>
              </a:schemeClr>
            </a:solidFill>
          </a:ln>
          <a:effectLst/>
        </c:spPr>
        <c:txPr>
          <a:bodyPr rot="-60000000" spcFirstLastPara="1" vertOverflow="ellipsis" vert="horz" wrap="square" anchor="ctr" anchorCtr="1"/>
          <a:lstStyle/>
          <a:p>
            <a:pPr>
              <a:defRPr sz="950" b="0" i="0" u="none" strike="noStrike" kern="1200" baseline="0">
                <a:solidFill>
                  <a:schemeClr val="tx1"/>
                </a:solidFill>
                <a:latin typeface="Times New Roman" panose="02020603050405020304" pitchFamily="18" charset="0"/>
                <a:ea typeface="+mn-ea"/>
                <a:cs typeface="+mn-cs"/>
              </a:defRPr>
            </a:pPr>
            <a:endParaRPr lang="es-ES_tradnl"/>
          </a:p>
        </c:txPr>
        <c:crossAx val="709475840"/>
        <c:crosses val="autoZero"/>
        <c:crossBetween val="between"/>
      </c:valAx>
      <c:spPr>
        <a:noFill/>
        <a:ln>
          <a:noFill/>
        </a:ln>
        <a:effectLst/>
      </c:spPr>
    </c:plotArea>
    <c:legend>
      <c:legendPos val="b"/>
      <c:layout>
        <c:manualLayout>
          <c:xMode val="edge"/>
          <c:yMode val="edge"/>
          <c:x val="0"/>
          <c:y val="0.73648087849247201"/>
          <c:w val="1"/>
          <c:h val="0.26351912150752793"/>
        </c:manualLayout>
      </c:layout>
      <c:overlay val="0"/>
      <c:spPr>
        <a:noFill/>
        <a:ln>
          <a:noFill/>
        </a:ln>
        <a:effectLst/>
      </c:spPr>
      <c:txPr>
        <a:bodyPr rot="0" spcFirstLastPara="1" vertOverflow="ellipsis" vert="horz" wrap="square" anchor="ctr" anchorCtr="1"/>
        <a:lstStyle/>
        <a:p>
          <a:pPr>
            <a:defRPr sz="9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legend>
    <c:plotVisOnly val="1"/>
    <c:dispBlanksAs val="gap"/>
    <c:showDLblsOverMax val="0"/>
  </c:chart>
  <c:spPr>
    <a:solidFill>
      <a:schemeClr val="bg1"/>
    </a:solidFill>
    <a:ln w="9525" cap="flat" cmpd="sng" algn="ctr">
      <a:noFill/>
      <a:round/>
    </a:ln>
    <a:effectLst/>
  </c:spPr>
  <c:txPr>
    <a:bodyPr/>
    <a:lstStyle/>
    <a:p>
      <a:pPr>
        <a:defRPr/>
      </a:pPr>
      <a:endParaRPr lang="es-ES_tradnl"/>
    </a:p>
  </c:txPr>
  <c:printSettings>
    <c:headerFooter/>
    <c:pageMargins b="0.75" l="0.25" r="0.25" t="0.75" header="0.3" footer="0.3"/>
    <c:pageSetup paperSize="9" orientation="landscape"/>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457409308717575"/>
          <c:y val="4.6087571003560986E-2"/>
          <c:w val="0.82558175067451101"/>
          <c:h val="0.6515011552844524"/>
        </c:manualLayout>
      </c:layout>
      <c:lineChart>
        <c:grouping val="standard"/>
        <c:varyColors val="0"/>
        <c:ser>
          <c:idx val="1"/>
          <c:order val="0"/>
          <c:tx>
            <c:strRef>
              <c:f>'2EL'!$C$64</c:f>
              <c:strCache>
                <c:ptCount val="1"/>
                <c:pt idx="0">
                  <c:v>Baseline simulation
</c:v>
                </c:pt>
              </c:strCache>
            </c:strRef>
          </c:tx>
          <c:spPr>
            <a:ln w="28575" cap="rnd">
              <a:noFill/>
              <a:round/>
            </a:ln>
            <a:effectLst/>
          </c:spPr>
          <c:marker>
            <c:symbol val="circle"/>
            <c:size val="7"/>
            <c:spPr>
              <a:solidFill>
                <a:schemeClr val="tx1"/>
              </a:solidFill>
              <a:ln w="9525">
                <a:noFill/>
              </a:ln>
              <a:effectLst/>
            </c:spPr>
          </c:marker>
          <c:cat>
            <c:numRef>
              <c:extLst>
                <c:ext xmlns:c15="http://schemas.microsoft.com/office/drawing/2012/chart" uri="{02D57815-91ED-43cb-92C2-25804820EDAC}">
                  <c15:fullRef>
                    <c15:sqref>'2EL'!$B$65:$B$72</c15:sqref>
                  </c15:fullRef>
                </c:ext>
              </c:extLst>
              <c:f>'2EL'!$B$65:$B$69</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'2EL'!$C$65:$C$72</c15:sqref>
                  </c15:fullRef>
                </c:ext>
              </c:extLst>
              <c:f>'2EL'!$C$65:$C$69</c:f>
              <c:numCache>
                <c:formatCode>0.00</c:formatCode>
                <c:ptCount val="5"/>
                <c:pt idx="0">
                  <c:v>8.8204633763519524</c:v>
                </c:pt>
                <c:pt idx="1">
                  <c:v>7.8597647710927987</c:v>
                </c:pt>
                <c:pt idx="2">
                  <c:v>8.0708843082407054</c:v>
                </c:pt>
                <c:pt idx="3">
                  <c:v>8.2230944865723004</c:v>
                </c:pt>
                <c:pt idx="4">
                  <c:v>8.6754276780268444</c:v>
                </c:pt>
              </c:numCache>
            </c:numRef>
          </c:val>
          <c:smooth val="0"/>
          <c:extLst>
            <c:ext xmlns:c16="http://schemas.microsoft.com/office/drawing/2014/chart" uri="{C3380CC4-5D6E-409C-BE32-E72D297353CC}">
              <c16:uniqueId val="{00000000-4440-485D-B71A-9935F907C7AC}"/>
            </c:ext>
          </c:extLst>
        </c:ser>
        <c:ser>
          <c:idx val="0"/>
          <c:order val="1"/>
          <c:tx>
            <c:strRef>
              <c:f>'2EL'!$D$64</c:f>
              <c:strCache>
                <c:ptCount val="1"/>
                <c:pt idx="0">
                  <c:v>Legislation unchanged since 2019/2023</c:v>
                </c:pt>
              </c:strCache>
            </c:strRef>
          </c:tx>
          <c:spPr>
            <a:ln w="28575" cap="rnd">
              <a:noFill/>
              <a:round/>
            </a:ln>
            <a:effectLst/>
          </c:spPr>
          <c:marker>
            <c:symbol val="circle"/>
            <c:size val="7"/>
            <c:spPr>
              <a:noFill/>
              <a:ln w="25400">
                <a:solidFill>
                  <a:srgbClr val="C00000"/>
                </a:solidFill>
              </a:ln>
              <a:effectLst/>
            </c:spPr>
          </c:marker>
          <c:cat>
            <c:numRef>
              <c:extLst>
                <c:ext xmlns:c15="http://schemas.microsoft.com/office/drawing/2012/chart" uri="{02D57815-91ED-43cb-92C2-25804820EDAC}">
                  <c15:fullRef>
                    <c15:sqref>'2EL'!$B$65:$B$72</c15:sqref>
                  </c15:fullRef>
                </c:ext>
              </c:extLst>
              <c:f>'2EL'!$B$65:$B$69</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'2EL'!$D$65:$D$72</c15:sqref>
                  </c15:fullRef>
                </c:ext>
              </c:extLst>
              <c:f>'2EL'!$D$65:$D$69</c:f>
              <c:numCache>
                <c:formatCode>0.00%</c:formatCode>
                <c:ptCount val="5"/>
                <c:pt idx="4" formatCode="0.00">
                  <c:v>9.5719457971325479</c:v>
                </c:pt>
              </c:numCache>
            </c:numRef>
          </c:val>
          <c:smooth val="0"/>
          <c:extLst>
            <c:ext xmlns:c16="http://schemas.microsoft.com/office/drawing/2014/chart" uri="{C3380CC4-5D6E-409C-BE32-E72D297353CC}">
              <c16:uniqueId val="{00000001-4440-485D-B71A-9935F907C7AC}"/>
            </c:ext>
          </c:extLst>
        </c:ser>
        <c:ser>
          <c:idx val="2"/>
          <c:order val="2"/>
          <c:tx>
            <c:strRef>
              <c:f>'2EL'!$E$64</c:f>
              <c:strCache>
                <c:ptCount val="1"/>
                <c:pt idx="0">
                  <c:v>Index with tax base growth</c:v>
                </c:pt>
              </c:strCache>
            </c:strRef>
          </c:tx>
          <c:spPr>
            <a:ln w="28575" cap="rnd">
              <a:noFill/>
              <a:round/>
            </a:ln>
            <a:effectLst/>
          </c:spPr>
          <c:marker>
            <c:symbol val="square"/>
            <c:size val="6"/>
            <c:spPr>
              <a:noFill/>
              <a:ln w="25400">
                <a:solidFill>
                  <a:schemeClr val="accent6">
                    <a:lumMod val="75000"/>
                  </a:schemeClr>
                </a:solidFill>
              </a:ln>
              <a:effectLst/>
            </c:spPr>
          </c:marker>
          <c:cat>
            <c:numRef>
              <c:extLst>
                <c:ext xmlns:c15="http://schemas.microsoft.com/office/drawing/2012/chart" uri="{02D57815-91ED-43cb-92C2-25804820EDAC}">
                  <c15:fullRef>
                    <c15:sqref>'2EL'!$B$65:$B$72</c15:sqref>
                  </c15:fullRef>
                </c:ext>
              </c:extLst>
              <c:f>'2EL'!$B$65:$B$69</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'2EL'!$E$65:$E$72</c15:sqref>
                  </c15:fullRef>
                </c:ext>
              </c:extLst>
              <c:f>'2EL'!$E$65:$E$69</c:f>
              <c:numCache>
                <c:formatCode>0.00%</c:formatCode>
                <c:ptCount val="5"/>
                <c:pt idx="4" formatCode="0.00">
                  <c:v>8.9197916298475253</c:v>
                </c:pt>
              </c:numCache>
            </c:numRef>
          </c:val>
          <c:smooth val="0"/>
          <c:extLst xmlns:c15="http://schemas.microsoft.com/office/drawing/2012/chart">
            <c:ext xmlns:c16="http://schemas.microsoft.com/office/drawing/2014/chart" uri="{C3380CC4-5D6E-409C-BE32-E72D297353CC}">
              <c16:uniqueId val="{00000002-4440-485D-B71A-9935F907C7AC}"/>
            </c:ext>
          </c:extLst>
        </c:ser>
        <c:ser>
          <c:idx val="3"/>
          <c:order val="3"/>
          <c:tx>
            <c:strRef>
              <c:f>'2EL'!$F$64</c:f>
              <c:strCache>
                <c:ptCount val="1"/>
                <c:pt idx="0">
                  <c:v>Index with lagged HCPI</c:v>
                </c:pt>
              </c:strCache>
            </c:strRef>
          </c:tx>
          <c:spPr>
            <a:ln w="28575" cap="rnd">
              <a:noFill/>
              <a:round/>
            </a:ln>
            <a:effectLst/>
          </c:spPr>
          <c:marker>
            <c:symbol val="diamond"/>
            <c:size val="7"/>
            <c:spPr>
              <a:noFill/>
              <a:ln w="25400">
                <a:solidFill>
                  <a:schemeClr val="accent4"/>
                </a:solidFill>
              </a:ln>
              <a:effectLst/>
            </c:spPr>
          </c:marker>
          <c:cat>
            <c:numRef>
              <c:extLst>
                <c:ext xmlns:c15="http://schemas.microsoft.com/office/drawing/2012/chart" uri="{02D57815-91ED-43cb-92C2-25804820EDAC}">
                  <c15:fullRef>
                    <c15:sqref>'2EL'!$B$65:$B$72</c15:sqref>
                  </c15:fullRef>
                </c:ext>
              </c:extLst>
              <c:f>'2EL'!$B$65:$B$69</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'2EL'!$F$65:$F$72</c15:sqref>
                  </c15:fullRef>
                </c:ext>
              </c:extLst>
              <c:f>'2EL'!$F$65:$F$69</c:f>
              <c:numCache>
                <c:formatCode>0.00%</c:formatCode>
                <c:ptCount val="5"/>
                <c:pt idx="4" formatCode="0.00">
                  <c:v>8.82146026690436</c:v>
                </c:pt>
              </c:numCache>
            </c:numRef>
          </c:val>
          <c:smooth val="0"/>
          <c:extLst>
            <c:ext xmlns:c16="http://schemas.microsoft.com/office/drawing/2014/chart" uri="{C3380CC4-5D6E-409C-BE32-E72D297353CC}">
              <c16:uniqueId val="{00000003-4440-485D-B71A-9935F907C7AC}"/>
            </c:ext>
          </c:extLst>
        </c:ser>
        <c:ser>
          <c:idx val="4"/>
          <c:order val="4"/>
          <c:tx>
            <c:strRef>
              <c:f>'2EL'!$G$64</c:f>
              <c:strCache>
                <c:ptCount val="1"/>
                <c:pt idx="0">
                  <c:v>Index with concurrent HCPI</c:v>
                </c:pt>
              </c:strCache>
            </c:strRef>
          </c:tx>
          <c:spPr>
            <a:ln w="28575" cap="rnd">
              <a:noFill/>
              <a:round/>
            </a:ln>
            <a:effectLst/>
          </c:spPr>
          <c:marker>
            <c:symbol val="triangle"/>
            <c:size val="6"/>
            <c:spPr>
              <a:noFill/>
              <a:ln w="25400">
                <a:solidFill>
                  <a:schemeClr val="accent5">
                    <a:lumMod val="75000"/>
                  </a:schemeClr>
                </a:solidFill>
              </a:ln>
              <a:effectLst/>
            </c:spPr>
          </c:marker>
          <c:cat>
            <c:numRef>
              <c:extLst>
                <c:ext xmlns:c15="http://schemas.microsoft.com/office/drawing/2012/chart" uri="{02D57815-91ED-43cb-92C2-25804820EDAC}">
                  <c15:fullRef>
                    <c15:sqref>'2EL'!$B$65:$B$72</c15:sqref>
                  </c15:fullRef>
                </c:ext>
              </c:extLst>
              <c:f>'2EL'!$B$65:$B$69</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'2EL'!$G$65:$G$72</c15:sqref>
                  </c15:fullRef>
                </c:ext>
              </c:extLst>
              <c:f>'2EL'!$G$65:$G$69</c:f>
              <c:numCache>
                <c:formatCode>0.00%</c:formatCode>
                <c:ptCount val="5"/>
                <c:pt idx="4" formatCode="0.00">
                  <c:v>8.5250504025449807</c:v>
                </c:pt>
              </c:numCache>
            </c:numRef>
          </c:val>
          <c:smooth val="0"/>
          <c:extLst>
            <c:ext xmlns:c16="http://schemas.microsoft.com/office/drawing/2014/chart" uri="{C3380CC4-5D6E-409C-BE32-E72D297353CC}">
              <c16:uniqueId val="{00000004-4440-485D-B71A-9935F907C7AC}"/>
            </c:ext>
          </c:extLst>
        </c:ser>
        <c:dLbls>
          <c:showLegendKey val="0"/>
          <c:showVal val="0"/>
          <c:showCatName val="0"/>
          <c:showSerName val="0"/>
          <c:showPercent val="0"/>
          <c:showBubbleSize val="0"/>
        </c:dLbls>
        <c:marker val="1"/>
        <c:smooth val="0"/>
        <c:axId val="709475840"/>
        <c:axId val="605168576"/>
        <c:extLst/>
      </c:lineChart>
      <c:catAx>
        <c:axId val="709475840"/>
        <c:scaling>
          <c:orientation val="minMax"/>
        </c:scaling>
        <c:delete val="0"/>
        <c:axPos val="b"/>
        <c:numFmt formatCode="General" sourceLinked="1"/>
        <c:majorTickMark val="out"/>
        <c:minorTickMark val="none"/>
        <c:tickLblPos val="nextTo"/>
        <c:spPr>
          <a:noFill/>
          <a:ln w="635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mn-cs"/>
              </a:defRPr>
            </a:pPr>
            <a:endParaRPr lang="es-ES_tradnl"/>
          </a:p>
        </c:txPr>
        <c:crossAx val="605168576"/>
        <c:crosses val="autoZero"/>
        <c:auto val="1"/>
        <c:lblAlgn val="ctr"/>
        <c:lblOffset val="100"/>
        <c:noMultiLvlLbl val="0"/>
      </c:catAx>
      <c:valAx>
        <c:axId val="605168576"/>
        <c:scaling>
          <c:orientation val="minMax"/>
          <c:min val="7"/>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s-ES_tradnl" sz="1050">
                    <a:solidFill>
                      <a:sysClr val="windowText" lastClr="000000"/>
                    </a:solidFill>
                    <a:latin typeface="Times New Roman" panose="02020603050405020304" pitchFamily="18" charset="0"/>
                    <a:cs typeface="Times New Roman" panose="02020603050405020304" pitchFamily="18" charset="0"/>
                  </a:rPr>
                  <a:t>Rate</a:t>
                </a:r>
              </a:p>
            </c:rich>
          </c:tx>
          <c:overlay val="0"/>
          <c:spPr>
            <a:noFill/>
            <a:ln>
              <a:noFill/>
            </a:ln>
            <a:effectLst/>
          </c:spPr>
          <c:txPr>
            <a:bodyPr rot="-5400000" spcFirstLastPara="1" vertOverflow="ellipsis" vert="horz" wrap="square" anchor="ctr" anchorCtr="1"/>
            <a:lstStyle/>
            <a:p>
              <a:pPr>
                <a:defRPr sz="10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title>
        <c:numFmt formatCode="#,##0.0" sourceLinked="0"/>
        <c:majorTickMark val="out"/>
        <c:minorTickMark val="none"/>
        <c:tickLblPos val="nextTo"/>
        <c:spPr>
          <a:noFill/>
          <a:ln w="6350">
            <a:solidFill>
              <a:schemeClr val="tx1">
                <a:lumMod val="65000"/>
                <a:lumOff val="35000"/>
              </a:schemeClr>
            </a:solidFill>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mn-cs"/>
              </a:defRPr>
            </a:pPr>
            <a:endParaRPr lang="es-ES_tradnl"/>
          </a:p>
        </c:txPr>
        <c:crossAx val="709475840"/>
        <c:crosses val="autoZero"/>
        <c:crossBetween val="between"/>
      </c:valAx>
      <c:spPr>
        <a:noFill/>
        <a:ln>
          <a:noFill/>
        </a:ln>
        <a:effectLst/>
      </c:spPr>
    </c:plotArea>
    <c:legend>
      <c:legendPos val="b"/>
      <c:layout>
        <c:manualLayout>
          <c:xMode val="edge"/>
          <c:yMode val="edge"/>
          <c:x val="8.1926620958132398E-2"/>
          <c:y val="0.78900773467278962"/>
          <c:w val="0.8223310520657221"/>
          <c:h val="0.1997652991480407"/>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legend>
    <c:plotVisOnly val="1"/>
    <c:dispBlanksAs val="gap"/>
    <c:showDLblsOverMax val="0"/>
  </c:chart>
  <c:spPr>
    <a:solidFill>
      <a:schemeClr val="bg1"/>
    </a:solidFill>
    <a:ln w="9525" cap="flat" cmpd="sng" algn="ctr">
      <a:noFill/>
      <a:round/>
    </a:ln>
    <a:effectLst/>
  </c:spPr>
  <c:txPr>
    <a:bodyPr/>
    <a:lstStyle/>
    <a:p>
      <a:pPr>
        <a:defRPr/>
      </a:pPr>
      <a:endParaRPr lang="es-ES_tradnl"/>
    </a:p>
  </c:txPr>
  <c:printSettings>
    <c:headerFooter/>
    <c:pageMargins b="0.75" l="0.84" r="0.25" t="0.75" header="0.3" footer="0.3"/>
    <c:pageSetup paperSize="9" orientation="landscape"/>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457409308717575"/>
          <c:y val="4.6087571003560986E-2"/>
          <c:w val="0.82558175067451101"/>
          <c:h val="0.64272676146640684"/>
        </c:manualLayout>
      </c:layout>
      <c:lineChart>
        <c:grouping val="standard"/>
        <c:varyColors val="0"/>
        <c:ser>
          <c:idx val="1"/>
          <c:order val="0"/>
          <c:tx>
            <c:strRef>
              <c:f>'2EL'!$W$45</c:f>
              <c:strCache>
                <c:ptCount val="1"/>
                <c:pt idx="0">
                  <c:v>Observed (National Accounts)</c:v>
                </c:pt>
              </c:strCache>
            </c:strRef>
          </c:tx>
          <c:spPr>
            <a:ln w="25400" cap="rnd">
              <a:solidFill>
                <a:schemeClr val="tx1">
                  <a:lumMod val="65000"/>
                  <a:lumOff val="35000"/>
                </a:schemeClr>
              </a:solidFill>
              <a:prstDash val="sysDash"/>
              <a:round/>
            </a:ln>
            <a:effectLst/>
          </c:spPr>
          <c:marker>
            <c:symbol val="none"/>
          </c:marker>
          <c:cat>
            <c:numRef>
              <c:extLst>
                <c:ext xmlns:c15="http://schemas.microsoft.com/office/drawing/2012/chart" uri="{02D57815-91ED-43cb-92C2-25804820EDAC}">
                  <c15:fullRef>
                    <c15:sqref>'2EL'!$U$46:$U$53</c15:sqref>
                  </c15:fullRef>
                </c:ext>
              </c:extLst>
              <c:f>'2EL'!$U$46:$U$50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'2EL'!$W$46:$W$53</c15:sqref>
                  </c15:fullRef>
                </c:ext>
              </c:extLst>
              <c:f>'2EL'!$W$46:$W$50</c:f>
              <c:numCache>
                <c:formatCode>0.0%</c:formatCode>
                <c:ptCount val="5"/>
                <c:pt idx="0">
                  <c:v>5.8618261464986728E-2</c:v>
                </c:pt>
                <c:pt idx="1">
                  <c:v>6.1830195267384709E-2</c:v>
                </c:pt>
                <c:pt idx="2">
                  <c:v>5.7998229442187604E-2</c:v>
                </c:pt>
                <c:pt idx="3">
                  <c:v>5.50000914102289E-2</c:v>
                </c:pt>
                <c:pt idx="4">
                  <c:v>5.9436875019149911E-2</c:v>
                </c:pt>
              </c:numCache>
            </c:numRef>
          </c:val>
          <c:smooth val="0"/>
          <c:extLst>
            <c:ext xmlns:c16="http://schemas.microsoft.com/office/drawing/2014/chart" uri="{C3380CC4-5D6E-409C-BE32-E72D297353CC}">
              <c16:uniqueId val="{00000000-9FEE-4570-AAFA-6E759256CC56}"/>
            </c:ext>
          </c:extLst>
        </c:ser>
        <c:ser>
          <c:idx val="0"/>
          <c:order val="1"/>
          <c:tx>
            <c:strRef>
              <c:f>'2EL'!$V$45</c:f>
              <c:strCache>
                <c:ptCount val="1"/>
                <c:pt idx="0">
                  <c:v>Baseline simulation (before reescaling)</c:v>
                </c:pt>
              </c:strCache>
            </c:strRef>
          </c:tx>
          <c:spPr>
            <a:ln w="25400" cap="rnd">
              <a:noFill/>
              <a:round/>
            </a:ln>
            <a:effectLst/>
          </c:spPr>
          <c:marker>
            <c:symbol val="circle"/>
            <c:size val="8"/>
            <c:spPr>
              <a:solidFill>
                <a:schemeClr val="bg1">
                  <a:lumMod val="85000"/>
                </a:schemeClr>
              </a:solidFill>
              <a:ln w="25400">
                <a:noFill/>
              </a:ln>
              <a:effectLst/>
            </c:spPr>
          </c:marker>
          <c:cat>
            <c:numRef>
              <c:extLst>
                <c:ext xmlns:c15="http://schemas.microsoft.com/office/drawing/2012/chart" uri="{02D57815-91ED-43cb-92C2-25804820EDAC}">
                  <c15:fullRef>
                    <c15:sqref>'2EL'!$U$46:$U$53</c15:sqref>
                  </c15:fullRef>
                </c:ext>
              </c:extLst>
              <c:f>'2EL'!$U$46:$U$50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'2EL'!$V$46:$V$53</c15:sqref>
                  </c15:fullRef>
                </c:ext>
              </c:extLst>
              <c:f>'2EL'!$V$46:$V$50</c:f>
              <c:numCache>
                <c:formatCode>0.0%</c:formatCode>
                <c:ptCount val="5"/>
                <c:pt idx="0">
                  <c:v>4.1236553961631159E-2</c:v>
                </c:pt>
                <c:pt idx="1">
                  <c:v>4.033606984981316E-2</c:v>
                </c:pt>
                <c:pt idx="2">
                  <c:v>3.7837813567268702E-2</c:v>
                </c:pt>
                <c:pt idx="3">
                  <c:v>3.4755853207238431E-2</c:v>
                </c:pt>
                <c:pt idx="4">
                  <c:v>3.596539143018937E-2</c:v>
                </c:pt>
              </c:numCache>
            </c:numRef>
          </c:val>
          <c:smooth val="0"/>
          <c:extLst>
            <c:ext xmlns:c16="http://schemas.microsoft.com/office/drawing/2014/chart" uri="{C3380CC4-5D6E-409C-BE32-E72D297353CC}">
              <c16:uniqueId val="{00000001-9FEE-4570-AAFA-6E759256CC56}"/>
            </c:ext>
          </c:extLst>
        </c:ser>
        <c:ser>
          <c:idx val="3"/>
          <c:order val="2"/>
          <c:tx>
            <c:strRef>
              <c:f>'2EL'!$Y$45</c:f>
              <c:strCache>
                <c:ptCount val="1"/>
                <c:pt idx="0">
                  <c:v>Baseline simulation (after reescaling)</c:v>
                </c:pt>
              </c:strCache>
            </c:strRef>
          </c:tx>
          <c:spPr>
            <a:ln w="25400" cap="rnd">
              <a:noFill/>
              <a:round/>
            </a:ln>
            <a:effectLst/>
          </c:spPr>
          <c:marker>
            <c:symbol val="circle"/>
            <c:size val="7"/>
            <c:spPr>
              <a:solidFill>
                <a:schemeClr val="tx1"/>
              </a:solidFill>
              <a:ln w="9525">
                <a:solidFill>
                  <a:schemeClr val="tx1"/>
                </a:solidFill>
              </a:ln>
              <a:effectLst/>
            </c:spPr>
          </c:marker>
          <c:cat>
            <c:numRef>
              <c:extLst>
                <c:ext xmlns:c15="http://schemas.microsoft.com/office/drawing/2012/chart" uri="{02D57815-91ED-43cb-92C2-25804820EDAC}">
                  <c15:fullRef>
                    <c15:sqref>'2EL'!$U$46:$U$53</c15:sqref>
                  </c15:fullRef>
                </c:ext>
              </c:extLst>
              <c:f>'2EL'!$U$46:$U$50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'2EL'!$Y$46:$Y$53</c15:sqref>
                  </c15:fullRef>
                </c:ext>
              </c:extLst>
              <c:f>'2EL'!$Y$46:$Y$50</c:f>
              <c:numCache>
                <c:formatCode>0.0%</c:formatCode>
                <c:ptCount val="5"/>
                <c:pt idx="0">
                  <c:v>5.8618261464986728E-2</c:v>
                </c:pt>
                <c:pt idx="4">
                  <c:v>5.9436875019149911E-2</c:v>
                </c:pt>
              </c:numCache>
            </c:numRef>
          </c:val>
          <c:smooth val="0"/>
          <c:extLst>
            <c:ext xmlns:c16="http://schemas.microsoft.com/office/drawing/2014/chart" uri="{C3380CC4-5D6E-409C-BE32-E72D297353CC}">
              <c16:uniqueId val="{00000002-9FEE-4570-AAFA-6E759256CC56}"/>
            </c:ext>
          </c:extLst>
        </c:ser>
        <c:ser>
          <c:idx val="4"/>
          <c:order val="3"/>
          <c:tx>
            <c:strRef>
              <c:f>'2EL'!$Z$45</c:f>
              <c:strCache>
                <c:ptCount val="1"/>
                <c:pt idx="0">
                  <c:v>Unchanged legislation since 2019/2023</c:v>
                </c:pt>
              </c:strCache>
            </c:strRef>
          </c:tx>
          <c:spPr>
            <a:ln w="25400" cap="rnd">
              <a:noFill/>
              <a:round/>
            </a:ln>
            <a:effectLst/>
          </c:spPr>
          <c:marker>
            <c:symbol val="circle"/>
            <c:size val="6"/>
            <c:spPr>
              <a:noFill/>
              <a:ln w="25400">
                <a:solidFill>
                  <a:srgbClr val="C00000"/>
                </a:solidFill>
              </a:ln>
              <a:effectLst/>
            </c:spPr>
          </c:marker>
          <c:cat>
            <c:numRef>
              <c:extLst>
                <c:ext xmlns:c15="http://schemas.microsoft.com/office/drawing/2012/chart" uri="{02D57815-91ED-43cb-92C2-25804820EDAC}">
                  <c15:fullRef>
                    <c15:sqref>'2EL'!$U$46:$U$53</c15:sqref>
                  </c15:fullRef>
                </c:ext>
              </c:extLst>
              <c:f>'2EL'!$U$46:$U$50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'2EL'!$Z$46:$Z$53</c15:sqref>
                  </c15:fullRef>
                </c:ext>
              </c:extLst>
              <c:f>'2EL'!$Z$46:$Z$50</c:f>
              <c:numCache>
                <c:formatCode>0.0%</c:formatCode>
                <c:ptCount val="5"/>
                <c:pt idx="4">
                  <c:v>6.5579077729530699E-2</c:v>
                </c:pt>
              </c:numCache>
            </c:numRef>
          </c:val>
          <c:smooth val="0"/>
          <c:extLst>
            <c:ext xmlns:c16="http://schemas.microsoft.com/office/drawing/2014/chart" uri="{C3380CC4-5D6E-409C-BE32-E72D297353CC}">
              <c16:uniqueId val="{00000003-9FEE-4570-AAFA-6E759256CC56}"/>
            </c:ext>
          </c:extLst>
        </c:ser>
        <c:ser>
          <c:idx val="5"/>
          <c:order val="4"/>
          <c:tx>
            <c:strRef>
              <c:f>'2EL'!$AA$45</c:f>
              <c:strCache>
                <c:ptCount val="1"/>
                <c:pt idx="0">
                  <c:v>Indexing with tax base growth</c:v>
                </c:pt>
              </c:strCache>
            </c:strRef>
          </c:tx>
          <c:spPr>
            <a:ln w="25400" cap="rnd">
              <a:noFill/>
              <a:round/>
            </a:ln>
            <a:effectLst/>
          </c:spPr>
          <c:marker>
            <c:symbol val="square"/>
            <c:size val="5"/>
            <c:spPr>
              <a:noFill/>
              <a:ln w="25400">
                <a:solidFill>
                  <a:schemeClr val="accent6">
                    <a:lumMod val="75000"/>
                  </a:schemeClr>
                </a:solidFill>
              </a:ln>
              <a:effectLst/>
            </c:spPr>
          </c:marker>
          <c:cat>
            <c:numRef>
              <c:extLst>
                <c:ext xmlns:c15="http://schemas.microsoft.com/office/drawing/2012/chart" uri="{02D57815-91ED-43cb-92C2-25804820EDAC}">
                  <c15:fullRef>
                    <c15:sqref>'2EL'!$U$46:$U$53</c15:sqref>
                  </c15:fullRef>
                </c:ext>
              </c:extLst>
              <c:f>'2EL'!$U$46:$U$50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'2EL'!$AA$46:$AA$53</c15:sqref>
                  </c15:fullRef>
                </c:ext>
              </c:extLst>
              <c:f>'2EL'!$AA$46:$AA$50</c:f>
              <c:numCache>
                <c:formatCode>0.0%</c:formatCode>
                <c:ptCount val="5"/>
                <c:pt idx="4">
                  <c:v>6.1111055267385771E-2</c:v>
                </c:pt>
              </c:numCache>
            </c:numRef>
          </c:val>
          <c:smooth val="0"/>
          <c:extLst>
            <c:ext xmlns:c16="http://schemas.microsoft.com/office/drawing/2014/chart" uri="{C3380CC4-5D6E-409C-BE32-E72D297353CC}">
              <c16:uniqueId val="{00000004-9FEE-4570-AAFA-6E759256CC56}"/>
            </c:ext>
          </c:extLst>
        </c:ser>
        <c:ser>
          <c:idx val="6"/>
          <c:order val="5"/>
          <c:tx>
            <c:strRef>
              <c:f>'2EL'!$AB$45</c:f>
              <c:strCache>
                <c:ptCount val="1"/>
                <c:pt idx="0">
                  <c:v>Indexing with lagged HCPI</c:v>
                </c:pt>
              </c:strCache>
            </c:strRef>
          </c:tx>
          <c:spPr>
            <a:ln w="25400" cap="rnd">
              <a:noFill/>
              <a:round/>
            </a:ln>
            <a:effectLst/>
          </c:spPr>
          <c:marker>
            <c:symbol val="diamond"/>
            <c:size val="6"/>
            <c:spPr>
              <a:noFill/>
              <a:ln w="25400">
                <a:solidFill>
                  <a:schemeClr val="accent4"/>
                </a:solidFill>
              </a:ln>
              <a:effectLst/>
            </c:spPr>
          </c:marker>
          <c:cat>
            <c:numRef>
              <c:extLst>
                <c:ext xmlns:c15="http://schemas.microsoft.com/office/drawing/2012/chart" uri="{02D57815-91ED-43cb-92C2-25804820EDAC}">
                  <c15:fullRef>
                    <c15:sqref>'2EL'!$U$46:$U$53</c15:sqref>
                  </c15:fullRef>
                </c:ext>
              </c:extLst>
              <c:f>'2EL'!$U$46:$U$50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'2EL'!$AB$46:$AB$53</c15:sqref>
                  </c15:fullRef>
                </c:ext>
              </c:extLst>
              <c:f>'2EL'!$AB$46:$AB$50</c:f>
              <c:numCache>
                <c:formatCode>0.0%</c:formatCode>
                <c:ptCount val="5"/>
                <c:pt idx="4">
                  <c:v>6.0437369871503964E-2</c:v>
                </c:pt>
              </c:numCache>
            </c:numRef>
          </c:val>
          <c:smooth val="0"/>
          <c:extLst>
            <c:ext xmlns:c16="http://schemas.microsoft.com/office/drawing/2014/chart" uri="{C3380CC4-5D6E-409C-BE32-E72D297353CC}">
              <c16:uniqueId val="{00000005-9FEE-4570-AAFA-6E759256CC56}"/>
            </c:ext>
          </c:extLst>
        </c:ser>
        <c:ser>
          <c:idx val="7"/>
          <c:order val="6"/>
          <c:tx>
            <c:strRef>
              <c:f>'2EL'!$AC$45</c:f>
              <c:strCache>
                <c:ptCount val="1"/>
                <c:pt idx="0">
                  <c:v>Indexing with concurrent HCPI</c:v>
                </c:pt>
              </c:strCache>
            </c:strRef>
          </c:tx>
          <c:spPr>
            <a:ln w="25400" cap="rnd">
              <a:noFill/>
              <a:round/>
            </a:ln>
            <a:effectLst/>
          </c:spPr>
          <c:marker>
            <c:symbol val="triangle"/>
            <c:size val="6"/>
            <c:spPr>
              <a:noFill/>
              <a:ln w="25400">
                <a:solidFill>
                  <a:schemeClr val="accent5">
                    <a:lumMod val="75000"/>
                  </a:schemeClr>
                </a:solidFill>
              </a:ln>
              <a:effectLst/>
            </c:spPr>
          </c:marker>
          <c:cat>
            <c:numRef>
              <c:extLst>
                <c:ext xmlns:c15="http://schemas.microsoft.com/office/drawing/2012/chart" uri="{02D57815-91ED-43cb-92C2-25804820EDAC}">
                  <c15:fullRef>
                    <c15:sqref>'2EL'!$U$46:$U$53</c15:sqref>
                  </c15:fullRef>
                </c:ext>
              </c:extLst>
              <c:f>'2EL'!$U$46:$U$50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'2EL'!$AC$46:$AC$53</c15:sqref>
                  </c15:fullRef>
                </c:ext>
              </c:extLst>
              <c:f>'2EL'!$AC$46:$AC$50</c:f>
              <c:numCache>
                <c:formatCode>0.0%</c:formatCode>
                <c:ptCount val="5"/>
                <c:pt idx="4">
                  <c:v>5.8406613957649275E-2</c:v>
                </c:pt>
              </c:numCache>
            </c:numRef>
          </c:val>
          <c:smooth val="0"/>
          <c:extLst>
            <c:ext xmlns:c16="http://schemas.microsoft.com/office/drawing/2014/chart" uri="{C3380CC4-5D6E-409C-BE32-E72D297353CC}">
              <c16:uniqueId val="{00000006-9FEE-4570-AAFA-6E759256CC56}"/>
            </c:ext>
          </c:extLst>
        </c:ser>
        <c:dLbls>
          <c:showLegendKey val="0"/>
          <c:showVal val="0"/>
          <c:showCatName val="0"/>
          <c:showSerName val="0"/>
          <c:showPercent val="0"/>
          <c:showBubbleSize val="0"/>
        </c:dLbls>
        <c:smooth val="0"/>
        <c:axId val="709475840"/>
        <c:axId val="605168576"/>
        <c:extLst/>
      </c:lineChart>
      <c:catAx>
        <c:axId val="709475840"/>
        <c:scaling>
          <c:orientation val="minMax"/>
        </c:scaling>
        <c:delete val="0"/>
        <c:axPos val="b"/>
        <c:numFmt formatCode="General" sourceLinked="1"/>
        <c:majorTickMark val="out"/>
        <c:minorTickMark val="none"/>
        <c:tickLblPos val="nextTo"/>
        <c:spPr>
          <a:noFill/>
          <a:ln w="6350" cap="flat" cmpd="sng" algn="ctr">
            <a:solidFill>
              <a:schemeClr val="tx1"/>
            </a:solidFill>
            <a:round/>
          </a:ln>
          <a:effectLst/>
        </c:spPr>
        <c:txPr>
          <a:bodyPr rot="-60000000" spcFirstLastPara="1" vertOverflow="ellipsis" vert="horz" wrap="square" anchor="ctr" anchorCtr="1"/>
          <a:lstStyle/>
          <a:p>
            <a:pPr>
              <a:defRPr sz="950" b="0" i="0" u="none" strike="noStrike" kern="1200" baseline="0">
                <a:solidFill>
                  <a:schemeClr val="tx1"/>
                </a:solidFill>
                <a:latin typeface="Times New Roman" panose="02020603050405020304" pitchFamily="18" charset="0"/>
                <a:ea typeface="+mn-ea"/>
                <a:cs typeface="+mn-cs"/>
              </a:defRPr>
            </a:pPr>
            <a:endParaRPr lang="es-ES_tradnl"/>
          </a:p>
        </c:txPr>
        <c:crossAx val="605168576"/>
        <c:crosses val="autoZero"/>
        <c:auto val="1"/>
        <c:lblAlgn val="ctr"/>
        <c:lblOffset val="100"/>
        <c:noMultiLvlLbl val="0"/>
      </c:catAx>
      <c:valAx>
        <c:axId val="6051685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s-ES_tradnl" sz="1050">
                    <a:solidFill>
                      <a:sysClr val="windowText" lastClr="000000"/>
                    </a:solidFill>
                    <a:latin typeface="Times New Roman" panose="02020603050405020304" pitchFamily="18" charset="0"/>
                    <a:cs typeface="Times New Roman" panose="02020603050405020304" pitchFamily="18" charset="0"/>
                  </a:rPr>
                  <a:t>Share of GDP</a:t>
                </a:r>
              </a:p>
            </c:rich>
          </c:tx>
          <c:overlay val="0"/>
          <c:spPr>
            <a:noFill/>
            <a:ln>
              <a:noFill/>
            </a:ln>
            <a:effectLst/>
          </c:spPr>
        </c:title>
        <c:numFmt formatCode="0%" sourceLinked="0"/>
        <c:majorTickMark val="out"/>
        <c:minorTickMark val="none"/>
        <c:tickLblPos val="nextTo"/>
        <c:spPr>
          <a:noFill/>
          <a:ln w="6350">
            <a:solidFill>
              <a:schemeClr val="tx1">
                <a:lumMod val="65000"/>
                <a:lumOff val="35000"/>
              </a:schemeClr>
            </a:solidFill>
          </a:ln>
          <a:effectLst/>
        </c:spPr>
        <c:txPr>
          <a:bodyPr rot="-60000000" spcFirstLastPara="1" vertOverflow="ellipsis" vert="horz" wrap="square" anchor="ctr" anchorCtr="1"/>
          <a:lstStyle/>
          <a:p>
            <a:pPr>
              <a:defRPr sz="950" b="0" i="0" u="none" strike="noStrike" kern="1200" baseline="0">
                <a:solidFill>
                  <a:schemeClr val="tx1"/>
                </a:solidFill>
                <a:latin typeface="Times New Roman" panose="02020603050405020304" pitchFamily="18" charset="0"/>
                <a:ea typeface="+mn-ea"/>
                <a:cs typeface="+mn-cs"/>
              </a:defRPr>
            </a:pPr>
            <a:endParaRPr lang="es-ES_tradnl"/>
          </a:p>
        </c:txPr>
        <c:crossAx val="709475840"/>
        <c:crosses val="autoZero"/>
        <c:crossBetween val="between"/>
      </c:valAx>
    </c:plotArea>
    <c:legend>
      <c:legendPos val="b"/>
      <c:layout>
        <c:manualLayout>
          <c:xMode val="edge"/>
          <c:yMode val="edge"/>
          <c:x val="0"/>
          <c:y val="0.80216933512597055"/>
          <c:w val="1"/>
          <c:h val="0.19783066487402948"/>
        </c:manualLayout>
      </c:layout>
      <c:overlay val="0"/>
      <c:spPr>
        <a:noFill/>
        <a:ln>
          <a:noFill/>
        </a:ln>
        <a:effectLst/>
      </c:spPr>
      <c:txPr>
        <a:bodyPr rot="0" spcFirstLastPara="1" vertOverflow="ellipsis" vert="horz" wrap="square" anchor="ctr" anchorCtr="1"/>
        <a:lstStyle/>
        <a:p>
          <a:pPr>
            <a:defRPr sz="9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legend>
    <c:plotVisOnly val="1"/>
    <c:dispBlanksAs val="gap"/>
    <c:showDLblsOverMax val="0"/>
  </c:chart>
  <c:spPr>
    <a:solidFill>
      <a:schemeClr val="bg1"/>
    </a:solidFill>
    <a:ln w="9525" cap="flat" cmpd="sng" algn="ctr">
      <a:noFill/>
      <a:round/>
    </a:ln>
    <a:effectLst/>
  </c:spPr>
  <c:txPr>
    <a:bodyPr/>
    <a:lstStyle/>
    <a:p>
      <a:pPr>
        <a:defRPr/>
      </a:pPr>
      <a:endParaRPr lang="es-ES_tradnl"/>
    </a:p>
  </c:txPr>
  <c:printSettings>
    <c:headerFooter/>
    <c:pageMargins b="0.75" l="0.25" r="0.25" t="0.75" header="0.3" footer="0.3"/>
    <c:pageSetup paperSize="9" orientation="landscape"/>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457409308717575"/>
          <c:y val="4.6087571003560986E-2"/>
          <c:w val="0.82558175067451101"/>
          <c:h val="0.64272676146640684"/>
        </c:manualLayout>
      </c:layout>
      <c:lineChart>
        <c:grouping val="standard"/>
        <c:varyColors val="0"/>
        <c:ser>
          <c:idx val="1"/>
          <c:order val="0"/>
          <c:tx>
            <c:strRef>
              <c:f>'2ES'!$D$45</c:f>
              <c:strCache>
                <c:ptCount val="1"/>
                <c:pt idx="0">
                  <c:v>Observed (National Accounts)</c:v>
                </c:pt>
              </c:strCache>
            </c:strRef>
          </c:tx>
          <c:spPr>
            <a:ln w="25400" cap="rnd">
              <a:solidFill>
                <a:schemeClr val="tx1">
                  <a:lumMod val="65000"/>
                  <a:lumOff val="35000"/>
                </a:schemeClr>
              </a:solidFill>
              <a:prstDash val="sysDash"/>
              <a:round/>
            </a:ln>
            <a:effectLst/>
          </c:spPr>
          <c:marker>
            <c:symbol val="none"/>
          </c:marker>
          <c:cat>
            <c:numRef>
              <c:extLst>
                <c:ext xmlns:c15="http://schemas.microsoft.com/office/drawing/2012/chart" uri="{02D57815-91ED-43cb-92C2-25804820EDAC}">
                  <c15:fullRef>
                    <c15:sqref>'2ES'!$B$46:$B$53</c15:sqref>
                  </c15:fullRef>
                </c:ext>
              </c:extLst>
              <c:f>'2ES'!$B$46:$B$50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'2ES'!$D$46:$D$53</c15:sqref>
                  </c15:fullRef>
                </c:ext>
              </c:extLst>
              <c:f>'2ES'!$D$46:$D$50</c:f>
              <c:numCache>
                <c:formatCode>_-* #,##0_-;\-* #,##0_-;_-* "-"??_-;_-@_-</c:formatCode>
                <c:ptCount val="5"/>
                <c:pt idx="0">
                  <c:v>99033</c:v>
                </c:pt>
                <c:pt idx="1">
                  <c:v>98960</c:v>
                </c:pt>
                <c:pt idx="2">
                  <c:v>106648</c:v>
                </c:pt>
                <c:pt idx="3">
                  <c:v>123399</c:v>
                </c:pt>
                <c:pt idx="4">
                  <c:v>134371</c:v>
                </c:pt>
              </c:numCache>
            </c:numRef>
          </c:val>
          <c:smooth val="0"/>
          <c:extLst>
            <c:ext xmlns:c16="http://schemas.microsoft.com/office/drawing/2014/chart" uri="{C3380CC4-5D6E-409C-BE32-E72D297353CC}">
              <c16:uniqueId val="{00000000-E373-4A50-A4F8-0D4C6B3D5D47}"/>
            </c:ext>
          </c:extLst>
        </c:ser>
        <c:ser>
          <c:idx val="0"/>
          <c:order val="1"/>
          <c:tx>
            <c:strRef>
              <c:f>'2ES'!$C$45</c:f>
              <c:strCache>
                <c:ptCount val="1"/>
                <c:pt idx="0">
                  <c:v>Baseline simulation (before reescaling)</c:v>
                </c:pt>
              </c:strCache>
            </c:strRef>
          </c:tx>
          <c:spPr>
            <a:ln w="25400" cap="rnd">
              <a:noFill/>
              <a:round/>
            </a:ln>
            <a:effectLst/>
          </c:spPr>
          <c:marker>
            <c:symbol val="circle"/>
            <c:size val="8"/>
            <c:spPr>
              <a:solidFill>
                <a:schemeClr val="bg1">
                  <a:lumMod val="85000"/>
                </a:schemeClr>
              </a:solidFill>
              <a:ln w="25400">
                <a:noFill/>
              </a:ln>
              <a:effectLst/>
            </c:spPr>
          </c:marker>
          <c:cat>
            <c:numRef>
              <c:extLst>
                <c:ext xmlns:c15="http://schemas.microsoft.com/office/drawing/2012/chart" uri="{02D57815-91ED-43cb-92C2-25804820EDAC}">
                  <c15:fullRef>
                    <c15:sqref>'2ES'!$B$46:$B$53</c15:sqref>
                  </c15:fullRef>
                </c:ext>
              </c:extLst>
              <c:f>'2ES'!$B$46:$B$50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'2ES'!$C$46:$C$53</c15:sqref>
                  </c15:fullRef>
                </c:ext>
              </c:extLst>
              <c:f>'2ES'!$C$46:$C$50</c:f>
              <c:numCache>
                <c:formatCode>_-* #,##0_-;\-* #,##0_-;_-* "-"??_-;_-@_-</c:formatCode>
                <c:ptCount val="5"/>
                <c:pt idx="0">
                  <c:v>90356.355967985743</c:v>
                </c:pt>
                <c:pt idx="1">
                  <c:v>87805.138677359922</c:v>
                </c:pt>
                <c:pt idx="2">
                  <c:v>94618.632733324295</c:v>
                </c:pt>
                <c:pt idx="3">
                  <c:v>99873.391401816203</c:v>
                </c:pt>
                <c:pt idx="4">
                  <c:v>108417.78096619574</c:v>
                </c:pt>
              </c:numCache>
            </c:numRef>
          </c:val>
          <c:smooth val="0"/>
          <c:extLst>
            <c:ext xmlns:c16="http://schemas.microsoft.com/office/drawing/2014/chart" uri="{C3380CC4-5D6E-409C-BE32-E72D297353CC}">
              <c16:uniqueId val="{00000001-E373-4A50-A4F8-0D4C6B3D5D47}"/>
            </c:ext>
          </c:extLst>
        </c:ser>
        <c:ser>
          <c:idx val="3"/>
          <c:order val="3"/>
          <c:tx>
            <c:strRef>
              <c:f>'2ES'!$F$45</c:f>
              <c:strCache>
                <c:ptCount val="1"/>
                <c:pt idx="0">
                  <c:v>Baseline simulation (after reescaling)</c:v>
                </c:pt>
              </c:strCache>
            </c:strRef>
          </c:tx>
          <c:spPr>
            <a:ln w="25400" cap="rnd">
              <a:noFill/>
              <a:round/>
            </a:ln>
            <a:effectLst/>
          </c:spPr>
          <c:marker>
            <c:symbol val="circle"/>
            <c:size val="7"/>
            <c:spPr>
              <a:solidFill>
                <a:schemeClr val="tx1"/>
              </a:solidFill>
              <a:ln w="9525">
                <a:solidFill>
                  <a:schemeClr val="tx1"/>
                </a:solidFill>
              </a:ln>
              <a:effectLst/>
            </c:spPr>
          </c:marker>
          <c:cat>
            <c:numRef>
              <c:extLst>
                <c:ext xmlns:c15="http://schemas.microsoft.com/office/drawing/2012/chart" uri="{02D57815-91ED-43cb-92C2-25804820EDAC}">
                  <c15:fullRef>
                    <c15:sqref>'2ES'!$B$46:$B$53</c15:sqref>
                  </c15:fullRef>
                </c:ext>
              </c:extLst>
              <c:f>'2ES'!$B$46:$B$50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'2ES'!$F$46:$F$53</c15:sqref>
                  </c15:fullRef>
                </c:ext>
              </c:extLst>
              <c:f>'2ES'!$F$46:$F$50</c:f>
              <c:numCache>
                <c:formatCode>General</c:formatCode>
                <c:ptCount val="5"/>
                <c:pt idx="0" formatCode="_-* #,##0_-;\-* #,##0_-;_-* &quot;-&quot;??_-;_-@_-">
                  <c:v>99033</c:v>
                </c:pt>
                <c:pt idx="4" formatCode="_-* #,##0_-;\-* #,##0_-;_-* &quot;-&quot;??_-;_-@_-">
                  <c:v>134371</c:v>
                </c:pt>
              </c:numCache>
            </c:numRef>
          </c:val>
          <c:smooth val="0"/>
          <c:extLst>
            <c:ext xmlns:c16="http://schemas.microsoft.com/office/drawing/2014/chart" uri="{C3380CC4-5D6E-409C-BE32-E72D297353CC}">
              <c16:uniqueId val="{00000002-E373-4A50-A4F8-0D4C6B3D5D47}"/>
            </c:ext>
          </c:extLst>
        </c:ser>
        <c:ser>
          <c:idx val="4"/>
          <c:order val="4"/>
          <c:tx>
            <c:strRef>
              <c:f>'2ES'!$G$45</c:f>
              <c:strCache>
                <c:ptCount val="1"/>
                <c:pt idx="0">
                  <c:v>Unchanged legislation since 2019/2023</c:v>
                </c:pt>
              </c:strCache>
            </c:strRef>
          </c:tx>
          <c:spPr>
            <a:ln w="25400" cap="rnd">
              <a:noFill/>
              <a:round/>
            </a:ln>
            <a:effectLst/>
          </c:spPr>
          <c:marker>
            <c:symbol val="circle"/>
            <c:size val="6"/>
            <c:spPr>
              <a:noFill/>
              <a:ln w="25400">
                <a:solidFill>
                  <a:srgbClr val="C00000"/>
                </a:solidFill>
              </a:ln>
              <a:effectLst/>
            </c:spPr>
          </c:marker>
          <c:cat>
            <c:numRef>
              <c:extLst>
                <c:ext xmlns:c15="http://schemas.microsoft.com/office/drawing/2012/chart" uri="{02D57815-91ED-43cb-92C2-25804820EDAC}">
                  <c15:fullRef>
                    <c15:sqref>'2ES'!$B$46:$B$53</c15:sqref>
                  </c15:fullRef>
                </c:ext>
              </c:extLst>
              <c:f>'2ES'!$B$46:$B$50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'2ES'!$G$46:$G$53</c15:sqref>
                  </c15:fullRef>
                </c:ext>
              </c:extLst>
              <c:f>'2ES'!$G$46:$G$50</c:f>
              <c:numCache>
                <c:formatCode>General</c:formatCode>
                <c:ptCount val="5"/>
                <c:pt idx="4" formatCode="_-* #,##0_-;\-* #,##0_-;_-* &quot;-&quot;??_-;_-@_-">
                  <c:v>138799.06519941965</c:v>
                </c:pt>
              </c:numCache>
            </c:numRef>
          </c:val>
          <c:smooth val="0"/>
          <c:extLst>
            <c:ext xmlns:c16="http://schemas.microsoft.com/office/drawing/2014/chart" uri="{C3380CC4-5D6E-409C-BE32-E72D297353CC}">
              <c16:uniqueId val="{00000003-E373-4A50-A4F8-0D4C6B3D5D47}"/>
            </c:ext>
          </c:extLst>
        </c:ser>
        <c:ser>
          <c:idx val="5"/>
          <c:order val="5"/>
          <c:tx>
            <c:strRef>
              <c:f>'2ES'!$H$45</c:f>
              <c:strCache>
                <c:ptCount val="1"/>
                <c:pt idx="0">
                  <c:v>Indexing with tax base growth</c:v>
                </c:pt>
              </c:strCache>
            </c:strRef>
          </c:tx>
          <c:spPr>
            <a:ln w="25400" cap="rnd">
              <a:noFill/>
              <a:round/>
            </a:ln>
            <a:effectLst/>
          </c:spPr>
          <c:marker>
            <c:symbol val="square"/>
            <c:size val="5"/>
            <c:spPr>
              <a:noFill/>
              <a:ln w="25400">
                <a:solidFill>
                  <a:schemeClr val="accent6">
                    <a:lumMod val="75000"/>
                  </a:schemeClr>
                </a:solidFill>
              </a:ln>
              <a:effectLst/>
            </c:spPr>
          </c:marker>
          <c:cat>
            <c:numRef>
              <c:extLst>
                <c:ext xmlns:c15="http://schemas.microsoft.com/office/drawing/2012/chart" uri="{02D57815-91ED-43cb-92C2-25804820EDAC}">
                  <c15:fullRef>
                    <c15:sqref>'2ES'!$B$46:$B$53</c15:sqref>
                  </c15:fullRef>
                </c:ext>
              </c:extLst>
              <c:f>'2ES'!$B$46:$B$50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'2ES'!$H$46:$H$53</c15:sqref>
                  </c15:fullRef>
                </c:ext>
              </c:extLst>
              <c:f>'2ES'!$H$46:$H$50</c:f>
              <c:numCache>
                <c:formatCode>General</c:formatCode>
                <c:ptCount val="5"/>
                <c:pt idx="4" formatCode="_-* #,##0_-;\-* #,##0_-;_-* &quot;-&quot;??_-;_-@_-">
                  <c:v>124909.76995622988</c:v>
                </c:pt>
              </c:numCache>
            </c:numRef>
          </c:val>
          <c:smooth val="0"/>
          <c:extLst>
            <c:ext xmlns:c16="http://schemas.microsoft.com/office/drawing/2014/chart" uri="{C3380CC4-5D6E-409C-BE32-E72D297353CC}">
              <c16:uniqueId val="{00000004-E373-4A50-A4F8-0D4C6B3D5D47}"/>
            </c:ext>
          </c:extLst>
        </c:ser>
        <c:ser>
          <c:idx val="6"/>
          <c:order val="6"/>
          <c:tx>
            <c:strRef>
              <c:f>'2ES'!$I$45</c:f>
              <c:strCache>
                <c:ptCount val="1"/>
                <c:pt idx="0">
                  <c:v>Indexing with lagged HCPI</c:v>
                </c:pt>
              </c:strCache>
            </c:strRef>
          </c:tx>
          <c:spPr>
            <a:ln w="25400" cap="rnd">
              <a:noFill/>
              <a:round/>
            </a:ln>
            <a:effectLst/>
          </c:spPr>
          <c:marker>
            <c:symbol val="diamond"/>
            <c:size val="6"/>
            <c:spPr>
              <a:noFill/>
              <a:ln w="25400">
                <a:solidFill>
                  <a:schemeClr val="accent4"/>
                </a:solidFill>
              </a:ln>
              <a:effectLst/>
            </c:spPr>
          </c:marker>
          <c:cat>
            <c:numRef>
              <c:extLst>
                <c:ext xmlns:c15="http://schemas.microsoft.com/office/drawing/2012/chart" uri="{02D57815-91ED-43cb-92C2-25804820EDAC}">
                  <c15:fullRef>
                    <c15:sqref>'2ES'!$B$46:$B$53</c15:sqref>
                  </c15:fullRef>
                </c:ext>
              </c:extLst>
              <c:f>'2ES'!$B$46:$B$50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'2ES'!$I$46:$I$53</c15:sqref>
                  </c15:fullRef>
                </c:ext>
              </c:extLst>
              <c:f>'2ES'!$I$46:$I$50</c:f>
              <c:numCache>
                <c:formatCode>General</c:formatCode>
                <c:ptCount val="5"/>
                <c:pt idx="4" formatCode="_-* #,##0_-;\-* #,##0_-;_-* &quot;-&quot;??_-;_-@_-">
                  <c:v>124992.84837395557</c:v>
                </c:pt>
              </c:numCache>
            </c:numRef>
          </c:val>
          <c:smooth val="0"/>
          <c:extLst>
            <c:ext xmlns:c16="http://schemas.microsoft.com/office/drawing/2014/chart" uri="{C3380CC4-5D6E-409C-BE32-E72D297353CC}">
              <c16:uniqueId val="{00000005-E373-4A50-A4F8-0D4C6B3D5D47}"/>
            </c:ext>
          </c:extLst>
        </c:ser>
        <c:ser>
          <c:idx val="7"/>
          <c:order val="7"/>
          <c:tx>
            <c:strRef>
              <c:f>'2ES'!$J$45</c:f>
              <c:strCache>
                <c:ptCount val="1"/>
                <c:pt idx="0">
                  <c:v>Indexing with concurrent HCPI</c:v>
                </c:pt>
              </c:strCache>
            </c:strRef>
          </c:tx>
          <c:spPr>
            <a:ln w="25400" cap="rnd">
              <a:noFill/>
              <a:round/>
            </a:ln>
            <a:effectLst/>
          </c:spPr>
          <c:marker>
            <c:symbol val="triangle"/>
            <c:size val="6"/>
            <c:spPr>
              <a:noFill/>
              <a:ln w="25400">
                <a:solidFill>
                  <a:schemeClr val="accent5">
                    <a:lumMod val="75000"/>
                  </a:schemeClr>
                </a:solidFill>
              </a:ln>
              <a:effectLst/>
            </c:spPr>
          </c:marker>
          <c:cat>
            <c:numRef>
              <c:extLst>
                <c:ext xmlns:c15="http://schemas.microsoft.com/office/drawing/2012/chart" uri="{02D57815-91ED-43cb-92C2-25804820EDAC}">
                  <c15:fullRef>
                    <c15:sqref>'2ES'!$B$46:$B$53</c15:sqref>
                  </c15:fullRef>
                </c:ext>
              </c:extLst>
              <c:f>'2ES'!$B$46:$B$50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'2ES'!$J$46:$J$53</c15:sqref>
                  </c15:fullRef>
                </c:ext>
              </c:extLst>
              <c:f>'2ES'!$J$46:$J$50</c:f>
              <c:numCache>
                <c:formatCode>General</c:formatCode>
                <c:ptCount val="5"/>
                <c:pt idx="4" formatCode="_-* #,##0_-;\-* #,##0_-;_-* &quot;-&quot;??_-;_-@_-">
                  <c:v>121926.05891209227</c:v>
                </c:pt>
              </c:numCache>
            </c:numRef>
          </c:val>
          <c:smooth val="0"/>
          <c:extLst>
            <c:ext xmlns:c16="http://schemas.microsoft.com/office/drawing/2014/chart" uri="{C3380CC4-5D6E-409C-BE32-E72D297353CC}">
              <c16:uniqueId val="{00000006-E373-4A50-A4F8-0D4C6B3D5D47}"/>
            </c:ext>
          </c:extLst>
        </c:ser>
        <c:ser>
          <c:idx val="8"/>
          <c:order val="8"/>
          <c:tx>
            <c:strRef>
              <c:f>'2ES'!$K$45</c:f>
              <c:strCache>
                <c:ptCount val="1"/>
                <c:pt idx="0">
                  <c:v>Baseline w/o "indexation measures"</c:v>
                </c:pt>
              </c:strCache>
            </c:strRef>
          </c:tx>
          <c:spPr>
            <a:ln w="28575" cap="rnd">
              <a:noFill/>
              <a:round/>
            </a:ln>
            <a:effectLst/>
          </c:spPr>
          <c:marker>
            <c:symbol val="dash"/>
            <c:size val="9"/>
            <c:spPr>
              <a:solidFill>
                <a:schemeClr val="tx1">
                  <a:lumMod val="65000"/>
                  <a:lumOff val="35000"/>
                </a:schemeClr>
              </a:solidFill>
              <a:ln w="9525">
                <a:solidFill>
                  <a:schemeClr val="tx1">
                    <a:lumMod val="65000"/>
                    <a:lumOff val="35000"/>
                  </a:schemeClr>
                </a:solidFill>
              </a:ln>
              <a:effectLst/>
            </c:spPr>
          </c:marker>
          <c:cat>
            <c:strLit>
              <c:ptCount val="5"/>
              <c:pt idx="0">
                <c:v>2019</c:v>
              </c:pt>
              <c:pt idx="1">
                <c:v>2020</c:v>
              </c:pt>
              <c:pt idx="2">
                <c:v>2021</c:v>
              </c:pt>
              <c:pt idx="3">
                <c:v>2022</c:v>
              </c:pt>
              <c:pt idx="4">
                <c:v>2023</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'2ES'!$K$46:$K$53</c15:sqref>
                  </c15:fullRef>
                </c:ext>
              </c:extLst>
              <c:f>'2ES'!$K$46:$K$50</c:f>
              <c:numCache>
                <c:formatCode>General</c:formatCode>
                <c:ptCount val="5"/>
                <c:pt idx="4" formatCode="_-* #,##0_-;\-* #,##0_-;_-* &quot;-&quot;??_-;_-@_-">
                  <c:v>138555.5473472568</c:v>
                </c:pt>
              </c:numCache>
            </c:numRef>
          </c:val>
          <c:smooth val="0"/>
          <c:extLst>
            <c:ext xmlns:c16="http://schemas.microsoft.com/office/drawing/2014/chart" uri="{C3380CC4-5D6E-409C-BE32-E72D297353CC}">
              <c16:uniqueId val="{00000007-E373-4A50-A4F8-0D4C6B3D5D47}"/>
            </c:ext>
          </c:extLst>
        </c:ser>
        <c:dLbls>
          <c:showLegendKey val="0"/>
          <c:showVal val="0"/>
          <c:showCatName val="0"/>
          <c:showSerName val="0"/>
          <c:showPercent val="0"/>
          <c:showBubbleSize val="0"/>
        </c:dLbls>
        <c:smooth val="0"/>
        <c:axId val="709475840"/>
        <c:axId val="605168576"/>
        <c:extLst>
          <c:ext xmlns:c15="http://schemas.microsoft.com/office/drawing/2012/chart" uri="{02D57815-91ED-43cb-92C2-25804820EDAC}">
            <c15:filteredLineSeries>
              <c15:ser>
                <c:idx val="2"/>
                <c:order val="2"/>
                <c:tx>
                  <c:strRef>
                    <c:extLst>
                      <c:ext uri="{02D57815-91ED-43cb-92C2-25804820EDAC}">
                        <c15:formulaRef>
                          <c15:sqref>'2ES'!$E$45</c15:sqref>
                        </c15:formulaRef>
                      </c:ext>
                    </c:extLst>
                    <c:strCache>
                      <c:ptCount val="1"/>
                      <c:pt idx="0">
                        <c:v>Reescaling factor
</c:v>
                      </c:pt>
                    </c:strCache>
                  </c:strRef>
                </c:tx>
                <c:spPr>
                  <a:ln w="25400" cap="rnd">
                    <a:noFill/>
                    <a:round/>
                  </a:ln>
                  <a:effectLst/>
                </c:spPr>
                <c:marker>
                  <c:symbol val="circle"/>
                  <c:size val="5"/>
                  <c:spPr>
                    <a:solidFill>
                      <a:schemeClr val="accent3"/>
                    </a:solidFill>
                    <a:ln w="9525">
                      <a:solidFill>
                        <a:schemeClr val="accent3"/>
                      </a:solidFill>
                    </a:ln>
                    <a:effectLst/>
                  </c:spPr>
                </c:marker>
                <c:cat>
                  <c:numRef>
                    <c:extLst>
                      <c:ext uri="{02D57815-91ED-43cb-92C2-25804820EDAC}">
                        <c15:fullRef>
                          <c15:sqref>'2ES'!$B$46:$B$53</c15:sqref>
                        </c15:fullRef>
                        <c15:formulaRef>
                          <c15:sqref>'2ES'!$B$46:$B$50</c15:sqref>
                        </c15:formulaRef>
                      </c:ext>
                    </c:extLst>
                    <c:numCache>
                      <c:formatCode>General</c:formatCode>
                      <c:ptCount val="5"/>
                      <c:pt idx="0">
                        <c:v>2019</c:v>
                      </c:pt>
                      <c:pt idx="1">
                        <c:v>2020</c:v>
                      </c:pt>
                      <c:pt idx="2">
                        <c:v>2021</c:v>
                      </c:pt>
                      <c:pt idx="3">
                        <c:v>2022</c:v>
                      </c:pt>
                      <c:pt idx="4">
                        <c:v>2023</c:v>
                      </c:pt>
                    </c:numCache>
                  </c:numRef>
                </c:cat>
                <c:val>
                  <c:numRef>
                    <c:extLst>
                      <c:ext uri="{02D57815-91ED-43cb-92C2-25804820EDAC}">
                        <c15:fullRef>
                          <c15:sqref>'2ES'!$E$46:$E$53</c15:sqref>
                        </c15:fullRef>
                        <c15:formulaRef>
                          <c15:sqref>'2ES'!$E$46:$E$50</c15:sqref>
                        </c15:formulaRef>
                      </c:ext>
                    </c:extLst>
                    <c:numCache>
                      <c:formatCode>General</c:formatCode>
                      <c:ptCount val="5"/>
                    </c:numCache>
                  </c:numRef>
                </c:val>
                <c:smooth val="0"/>
                <c:extLst>
                  <c:ext xmlns:c16="http://schemas.microsoft.com/office/drawing/2014/chart" uri="{C3380CC4-5D6E-409C-BE32-E72D297353CC}">
                    <c16:uniqueId val="{00000008-E373-4A50-A4F8-0D4C6B3D5D47}"/>
                  </c:ext>
                </c:extLst>
              </c15:ser>
            </c15:filteredLineSeries>
          </c:ext>
        </c:extLst>
      </c:lineChart>
      <c:catAx>
        <c:axId val="709475840"/>
        <c:scaling>
          <c:orientation val="minMax"/>
        </c:scaling>
        <c:delete val="0"/>
        <c:axPos val="b"/>
        <c:numFmt formatCode="General" sourceLinked="1"/>
        <c:majorTickMark val="out"/>
        <c:minorTickMark val="none"/>
        <c:tickLblPos val="nextTo"/>
        <c:spPr>
          <a:noFill/>
          <a:ln w="6350" cap="flat" cmpd="sng" algn="ctr">
            <a:solidFill>
              <a:schemeClr val="tx1"/>
            </a:solidFill>
            <a:round/>
          </a:ln>
          <a:effectLst/>
        </c:spPr>
        <c:txPr>
          <a:bodyPr rot="-60000000" spcFirstLastPara="1" vertOverflow="ellipsis" vert="horz" wrap="square" anchor="ctr" anchorCtr="1"/>
          <a:lstStyle/>
          <a:p>
            <a:pPr>
              <a:defRPr sz="950" b="0" i="0" u="none" strike="noStrike" kern="1200" baseline="0">
                <a:solidFill>
                  <a:schemeClr val="tx1"/>
                </a:solidFill>
                <a:latin typeface="Times New Roman" panose="02020603050405020304" pitchFamily="18" charset="0"/>
                <a:ea typeface="+mn-ea"/>
                <a:cs typeface="+mn-cs"/>
              </a:defRPr>
            </a:pPr>
            <a:endParaRPr lang="es-ES_tradnl"/>
          </a:p>
        </c:txPr>
        <c:crossAx val="605168576"/>
        <c:crosses val="autoZero"/>
        <c:auto val="1"/>
        <c:lblAlgn val="ctr"/>
        <c:lblOffset val="100"/>
        <c:noMultiLvlLbl val="0"/>
      </c:catAx>
      <c:valAx>
        <c:axId val="605168576"/>
        <c:scaling>
          <c:orientation val="minMax"/>
          <c:min val="80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s-ES_tradnl" sz="1050">
                    <a:solidFill>
                      <a:sysClr val="windowText" lastClr="000000"/>
                    </a:solidFill>
                    <a:latin typeface="Times New Roman" panose="02020603050405020304" pitchFamily="18" charset="0"/>
                    <a:cs typeface="Times New Roman" panose="02020603050405020304" pitchFamily="18" charset="0"/>
                  </a:rPr>
                  <a:t>Million euros</a:t>
                </a:r>
              </a:p>
            </c:rich>
          </c:tx>
          <c:layout>
            <c:manualLayout>
              <c:xMode val="edge"/>
              <c:yMode val="edge"/>
              <c:x val="0"/>
              <c:y val="0.27024653144012073"/>
            </c:manualLayout>
          </c:layout>
          <c:overlay val="0"/>
          <c:spPr>
            <a:noFill/>
            <a:ln>
              <a:noFill/>
            </a:ln>
            <a:effectLst/>
          </c:spPr>
          <c:txPr>
            <a:bodyPr rot="-5400000" spcFirstLastPara="1" vertOverflow="ellipsis" vert="horz" wrap="square" anchor="ctr" anchorCtr="1"/>
            <a:lstStyle/>
            <a:p>
              <a:pPr>
                <a:defRPr sz="10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title>
        <c:numFmt formatCode="#,##0" sourceLinked="0"/>
        <c:majorTickMark val="out"/>
        <c:minorTickMark val="none"/>
        <c:tickLblPos val="nextTo"/>
        <c:spPr>
          <a:noFill/>
          <a:ln w="6350">
            <a:solidFill>
              <a:schemeClr val="tx1">
                <a:lumMod val="65000"/>
                <a:lumOff val="35000"/>
              </a:schemeClr>
            </a:solidFill>
          </a:ln>
          <a:effectLst/>
        </c:spPr>
        <c:txPr>
          <a:bodyPr rot="-60000000" spcFirstLastPara="1" vertOverflow="ellipsis" vert="horz" wrap="square" anchor="ctr" anchorCtr="1"/>
          <a:lstStyle/>
          <a:p>
            <a:pPr>
              <a:defRPr sz="950" b="0" i="0" u="none" strike="noStrike" kern="1200" baseline="0">
                <a:solidFill>
                  <a:schemeClr val="tx1"/>
                </a:solidFill>
                <a:latin typeface="Times New Roman" panose="02020603050405020304" pitchFamily="18" charset="0"/>
                <a:ea typeface="+mn-ea"/>
                <a:cs typeface="+mn-cs"/>
              </a:defRPr>
            </a:pPr>
            <a:endParaRPr lang="es-ES_tradnl"/>
          </a:p>
        </c:txPr>
        <c:crossAx val="709475840"/>
        <c:crosses val="autoZero"/>
        <c:crossBetween val="between"/>
      </c:valAx>
      <c:spPr>
        <a:noFill/>
        <a:ln>
          <a:noFill/>
        </a:ln>
        <a:effectLst/>
      </c:spPr>
    </c:plotArea>
    <c:legend>
      <c:legendPos val="b"/>
      <c:layout>
        <c:manualLayout>
          <c:xMode val="edge"/>
          <c:yMode val="edge"/>
          <c:x val="0"/>
          <c:y val="0.73648087849247201"/>
          <c:w val="1"/>
          <c:h val="0.26351912150752793"/>
        </c:manualLayout>
      </c:layout>
      <c:overlay val="0"/>
      <c:spPr>
        <a:noFill/>
        <a:ln>
          <a:noFill/>
        </a:ln>
        <a:effectLst/>
      </c:spPr>
      <c:txPr>
        <a:bodyPr rot="0" spcFirstLastPara="1" vertOverflow="ellipsis" vert="horz" wrap="square" anchor="ctr" anchorCtr="1"/>
        <a:lstStyle/>
        <a:p>
          <a:pPr>
            <a:defRPr sz="9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legend>
    <c:plotVisOnly val="1"/>
    <c:dispBlanksAs val="gap"/>
    <c:showDLblsOverMax val="0"/>
  </c:chart>
  <c:spPr>
    <a:solidFill>
      <a:schemeClr val="bg1"/>
    </a:solidFill>
    <a:ln w="9525" cap="flat" cmpd="sng" algn="ctr">
      <a:noFill/>
      <a:round/>
    </a:ln>
    <a:effectLst/>
  </c:spPr>
  <c:txPr>
    <a:bodyPr/>
    <a:lstStyle/>
    <a:p>
      <a:pPr>
        <a:defRPr/>
      </a:pPr>
      <a:endParaRPr lang="es-ES_tradnl"/>
    </a:p>
  </c:txPr>
  <c:printSettings>
    <c:headerFooter/>
    <c:pageMargins b="0.75" l="0.25" r="0.25" t="0.75" header="0.3" footer="0.3"/>
    <c:pageSetup paperSize="9" orientation="landscape"/>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457409308717575"/>
          <c:y val="4.6087571003560986E-2"/>
          <c:w val="0.82558175067451101"/>
          <c:h val="0.6515011552844524"/>
        </c:manualLayout>
      </c:layout>
      <c:lineChart>
        <c:grouping val="standard"/>
        <c:varyColors val="0"/>
        <c:ser>
          <c:idx val="1"/>
          <c:order val="0"/>
          <c:tx>
            <c:strRef>
              <c:f>'2ES'!$C$64</c:f>
              <c:strCache>
                <c:ptCount val="1"/>
                <c:pt idx="0">
                  <c:v>Baseline simulation
</c:v>
                </c:pt>
              </c:strCache>
            </c:strRef>
          </c:tx>
          <c:spPr>
            <a:ln w="28575" cap="rnd">
              <a:noFill/>
              <a:round/>
            </a:ln>
            <a:effectLst/>
          </c:spPr>
          <c:marker>
            <c:symbol val="circle"/>
            <c:size val="7"/>
            <c:spPr>
              <a:solidFill>
                <a:schemeClr val="tx1"/>
              </a:solidFill>
              <a:ln w="9525">
                <a:noFill/>
              </a:ln>
              <a:effectLst/>
            </c:spPr>
          </c:marker>
          <c:cat>
            <c:numRef>
              <c:extLst>
                <c:ext xmlns:c15="http://schemas.microsoft.com/office/drawing/2012/chart" uri="{02D57815-91ED-43cb-92C2-25804820EDAC}">
                  <c15:fullRef>
                    <c15:sqref>'2ES'!$B$65:$B$72</c15:sqref>
                  </c15:fullRef>
                </c:ext>
              </c:extLst>
              <c:f>'2ES'!$B$65:$B$69</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'2ES'!$C$65:$C$72</c15:sqref>
                  </c15:fullRef>
                </c:ext>
              </c:extLst>
              <c:f>'2ES'!$C$65:$C$69</c:f>
              <c:numCache>
                <c:formatCode>0.00</c:formatCode>
                <c:ptCount val="5"/>
                <c:pt idx="0">
                  <c:v>13.500919625524329</c:v>
                </c:pt>
                <c:pt idx="1">
                  <c:v>13.300885363385643</c:v>
                </c:pt>
                <c:pt idx="2">
                  <c:v>13.862198295257166</c:v>
                </c:pt>
                <c:pt idx="3">
                  <c:v>14.095195203394761</c:v>
                </c:pt>
                <c:pt idx="4">
                  <c:v>14.44268867893739</c:v>
                </c:pt>
              </c:numCache>
            </c:numRef>
          </c:val>
          <c:smooth val="0"/>
          <c:extLst>
            <c:ext xmlns:c16="http://schemas.microsoft.com/office/drawing/2014/chart" uri="{C3380CC4-5D6E-409C-BE32-E72D297353CC}">
              <c16:uniqueId val="{00000000-495B-4ADD-B8F4-C425C52AAA0F}"/>
            </c:ext>
          </c:extLst>
        </c:ser>
        <c:ser>
          <c:idx val="0"/>
          <c:order val="1"/>
          <c:tx>
            <c:strRef>
              <c:f>'2ES'!$D$64</c:f>
              <c:strCache>
                <c:ptCount val="1"/>
                <c:pt idx="0">
                  <c:v>Legislation unchanged since 2019/2023</c:v>
                </c:pt>
              </c:strCache>
            </c:strRef>
          </c:tx>
          <c:spPr>
            <a:ln w="28575" cap="rnd">
              <a:noFill/>
              <a:round/>
            </a:ln>
            <a:effectLst/>
          </c:spPr>
          <c:marker>
            <c:symbol val="circle"/>
            <c:size val="7"/>
            <c:spPr>
              <a:noFill/>
              <a:ln w="25400">
                <a:solidFill>
                  <a:srgbClr val="C00000"/>
                </a:solidFill>
              </a:ln>
              <a:effectLst/>
            </c:spPr>
          </c:marker>
          <c:cat>
            <c:numRef>
              <c:extLst>
                <c:ext xmlns:c15="http://schemas.microsoft.com/office/drawing/2012/chart" uri="{02D57815-91ED-43cb-92C2-25804820EDAC}">
                  <c15:fullRef>
                    <c15:sqref>'2ES'!$B$65:$B$72</c15:sqref>
                  </c15:fullRef>
                </c:ext>
              </c:extLst>
              <c:f>'2ES'!$B$65:$B$69</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'2ES'!$D$65:$D$72</c15:sqref>
                  </c15:fullRef>
                </c:ext>
              </c:extLst>
              <c:f>'2ES'!$D$65:$D$69</c:f>
              <c:numCache>
                <c:formatCode>0.00%</c:formatCode>
                <c:ptCount val="5"/>
                <c:pt idx="4" formatCode="0.00">
                  <c:v>14.918633392642391</c:v>
                </c:pt>
              </c:numCache>
            </c:numRef>
          </c:val>
          <c:smooth val="0"/>
          <c:extLst>
            <c:ext xmlns:c16="http://schemas.microsoft.com/office/drawing/2014/chart" uri="{C3380CC4-5D6E-409C-BE32-E72D297353CC}">
              <c16:uniqueId val="{00000001-495B-4ADD-B8F4-C425C52AAA0F}"/>
            </c:ext>
          </c:extLst>
        </c:ser>
        <c:ser>
          <c:idx val="2"/>
          <c:order val="2"/>
          <c:tx>
            <c:strRef>
              <c:f>'2ES'!$E$64</c:f>
              <c:strCache>
                <c:ptCount val="1"/>
                <c:pt idx="0">
                  <c:v>Index with tax base growth</c:v>
                </c:pt>
              </c:strCache>
            </c:strRef>
          </c:tx>
          <c:spPr>
            <a:ln w="28575" cap="rnd">
              <a:noFill/>
              <a:round/>
            </a:ln>
            <a:effectLst/>
          </c:spPr>
          <c:marker>
            <c:symbol val="square"/>
            <c:size val="6"/>
            <c:spPr>
              <a:noFill/>
              <a:ln w="25400">
                <a:solidFill>
                  <a:schemeClr val="accent6">
                    <a:lumMod val="75000"/>
                  </a:schemeClr>
                </a:solidFill>
              </a:ln>
              <a:effectLst/>
            </c:spPr>
          </c:marker>
          <c:cat>
            <c:numRef>
              <c:extLst>
                <c:ext xmlns:c15="http://schemas.microsoft.com/office/drawing/2012/chart" uri="{02D57815-91ED-43cb-92C2-25804820EDAC}">
                  <c15:fullRef>
                    <c15:sqref>'2ES'!$B$65:$B$72</c15:sqref>
                  </c15:fullRef>
                </c:ext>
              </c:extLst>
              <c:f>'2ES'!$B$65:$B$69</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'2ES'!$E$65:$E$72</c15:sqref>
                  </c15:fullRef>
                </c:ext>
              </c:extLst>
              <c:f>'2ES'!$E$65:$E$69</c:f>
              <c:numCache>
                <c:formatCode>0.00%</c:formatCode>
                <c:ptCount val="5"/>
                <c:pt idx="4" formatCode="0.00">
                  <c:v>13.425760918914905</c:v>
                </c:pt>
              </c:numCache>
            </c:numRef>
          </c:val>
          <c:smooth val="0"/>
          <c:extLst xmlns:c15="http://schemas.microsoft.com/office/drawing/2012/chart">
            <c:ext xmlns:c16="http://schemas.microsoft.com/office/drawing/2014/chart" uri="{C3380CC4-5D6E-409C-BE32-E72D297353CC}">
              <c16:uniqueId val="{00000002-495B-4ADD-B8F4-C425C52AAA0F}"/>
            </c:ext>
          </c:extLst>
        </c:ser>
        <c:ser>
          <c:idx val="3"/>
          <c:order val="3"/>
          <c:tx>
            <c:strRef>
              <c:f>'2ES'!$F$64</c:f>
              <c:strCache>
                <c:ptCount val="1"/>
                <c:pt idx="0">
                  <c:v>Index with lagged HCPI</c:v>
                </c:pt>
              </c:strCache>
            </c:strRef>
          </c:tx>
          <c:spPr>
            <a:ln w="28575" cap="rnd">
              <a:noFill/>
              <a:round/>
            </a:ln>
            <a:effectLst/>
          </c:spPr>
          <c:marker>
            <c:symbol val="diamond"/>
            <c:size val="7"/>
            <c:spPr>
              <a:noFill/>
              <a:ln w="25400">
                <a:solidFill>
                  <a:schemeClr val="accent4"/>
                </a:solidFill>
              </a:ln>
              <a:effectLst/>
            </c:spPr>
          </c:marker>
          <c:cat>
            <c:numRef>
              <c:extLst>
                <c:ext xmlns:c15="http://schemas.microsoft.com/office/drawing/2012/chart" uri="{02D57815-91ED-43cb-92C2-25804820EDAC}">
                  <c15:fullRef>
                    <c15:sqref>'2ES'!$B$65:$B$72</c15:sqref>
                  </c15:fullRef>
                </c:ext>
              </c:extLst>
              <c:f>'2ES'!$B$65:$B$69</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'2ES'!$F$65:$F$72</c15:sqref>
                  </c15:fullRef>
                </c:ext>
              </c:extLst>
              <c:f>'2ES'!$F$65:$F$69</c:f>
              <c:numCache>
                <c:formatCode>0.00%</c:formatCode>
                <c:ptCount val="5"/>
                <c:pt idx="4" formatCode="0.00">
                  <c:v>13.434690492432638</c:v>
                </c:pt>
              </c:numCache>
            </c:numRef>
          </c:val>
          <c:smooth val="0"/>
          <c:extLst>
            <c:ext xmlns:c16="http://schemas.microsoft.com/office/drawing/2014/chart" uri="{C3380CC4-5D6E-409C-BE32-E72D297353CC}">
              <c16:uniqueId val="{00000003-495B-4ADD-B8F4-C425C52AAA0F}"/>
            </c:ext>
          </c:extLst>
        </c:ser>
        <c:ser>
          <c:idx val="4"/>
          <c:order val="4"/>
          <c:tx>
            <c:strRef>
              <c:f>'2ES'!$G$64</c:f>
              <c:strCache>
                <c:ptCount val="1"/>
                <c:pt idx="0">
                  <c:v>Index with concurrent HCPI</c:v>
                </c:pt>
              </c:strCache>
            </c:strRef>
          </c:tx>
          <c:spPr>
            <a:ln w="28575" cap="rnd">
              <a:noFill/>
              <a:round/>
            </a:ln>
            <a:effectLst/>
          </c:spPr>
          <c:marker>
            <c:symbol val="triangle"/>
            <c:size val="6"/>
            <c:spPr>
              <a:noFill/>
              <a:ln w="25400">
                <a:solidFill>
                  <a:schemeClr val="accent5">
                    <a:lumMod val="75000"/>
                  </a:schemeClr>
                </a:solidFill>
              </a:ln>
              <a:effectLst/>
            </c:spPr>
          </c:marker>
          <c:cat>
            <c:numRef>
              <c:extLst>
                <c:ext xmlns:c15="http://schemas.microsoft.com/office/drawing/2012/chart" uri="{02D57815-91ED-43cb-92C2-25804820EDAC}">
                  <c15:fullRef>
                    <c15:sqref>'2ES'!$B$65:$B$72</c15:sqref>
                  </c15:fullRef>
                </c:ext>
              </c:extLst>
              <c:f>'2ES'!$B$65:$B$69</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'2ES'!$G$65:$G$72</c15:sqref>
                  </c15:fullRef>
                </c:ext>
              </c:extLst>
              <c:f>'2ES'!$G$65:$G$69</c:f>
              <c:numCache>
                <c:formatCode>0.00%</c:formatCode>
                <c:ptCount val="5"/>
                <c:pt idx="4" formatCode="0.00">
                  <c:v>13.105060695515611</c:v>
                </c:pt>
              </c:numCache>
            </c:numRef>
          </c:val>
          <c:smooth val="0"/>
          <c:extLst>
            <c:ext xmlns:c16="http://schemas.microsoft.com/office/drawing/2014/chart" uri="{C3380CC4-5D6E-409C-BE32-E72D297353CC}">
              <c16:uniqueId val="{00000004-495B-4ADD-B8F4-C425C52AAA0F}"/>
            </c:ext>
          </c:extLst>
        </c:ser>
        <c:dLbls>
          <c:showLegendKey val="0"/>
          <c:showVal val="0"/>
          <c:showCatName val="0"/>
          <c:showSerName val="0"/>
          <c:showPercent val="0"/>
          <c:showBubbleSize val="0"/>
        </c:dLbls>
        <c:marker val="1"/>
        <c:smooth val="0"/>
        <c:axId val="709475840"/>
        <c:axId val="605168576"/>
        <c:extLst/>
      </c:lineChart>
      <c:catAx>
        <c:axId val="709475840"/>
        <c:scaling>
          <c:orientation val="minMax"/>
        </c:scaling>
        <c:delete val="0"/>
        <c:axPos val="b"/>
        <c:numFmt formatCode="General" sourceLinked="1"/>
        <c:majorTickMark val="out"/>
        <c:minorTickMark val="none"/>
        <c:tickLblPos val="nextTo"/>
        <c:spPr>
          <a:noFill/>
          <a:ln w="635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mn-cs"/>
              </a:defRPr>
            </a:pPr>
            <a:endParaRPr lang="es-ES_tradnl"/>
          </a:p>
        </c:txPr>
        <c:crossAx val="605168576"/>
        <c:crosses val="autoZero"/>
        <c:auto val="1"/>
        <c:lblAlgn val="ctr"/>
        <c:lblOffset val="100"/>
        <c:noMultiLvlLbl val="0"/>
      </c:catAx>
      <c:valAx>
        <c:axId val="605168576"/>
        <c:scaling>
          <c:orientation val="minMax"/>
          <c:min val="12"/>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s-ES_tradnl" sz="1050">
                    <a:solidFill>
                      <a:sysClr val="windowText" lastClr="000000"/>
                    </a:solidFill>
                    <a:latin typeface="Times New Roman" panose="02020603050405020304" pitchFamily="18" charset="0"/>
                    <a:cs typeface="Times New Roman" panose="02020603050405020304" pitchFamily="18" charset="0"/>
                  </a:rPr>
                  <a:t>Rate</a:t>
                </a:r>
              </a:p>
            </c:rich>
          </c:tx>
          <c:overlay val="0"/>
          <c:spPr>
            <a:noFill/>
            <a:ln>
              <a:noFill/>
            </a:ln>
            <a:effectLst/>
          </c:spPr>
          <c:txPr>
            <a:bodyPr rot="-5400000" spcFirstLastPara="1" vertOverflow="ellipsis" vert="horz" wrap="square" anchor="ctr" anchorCtr="1"/>
            <a:lstStyle/>
            <a:p>
              <a:pPr>
                <a:defRPr sz="10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title>
        <c:numFmt formatCode="#,##0.0" sourceLinked="0"/>
        <c:majorTickMark val="out"/>
        <c:minorTickMark val="none"/>
        <c:tickLblPos val="nextTo"/>
        <c:spPr>
          <a:noFill/>
          <a:ln w="6350">
            <a:solidFill>
              <a:schemeClr val="tx1">
                <a:lumMod val="65000"/>
                <a:lumOff val="35000"/>
              </a:schemeClr>
            </a:solidFill>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mn-cs"/>
              </a:defRPr>
            </a:pPr>
            <a:endParaRPr lang="es-ES_tradnl"/>
          </a:p>
        </c:txPr>
        <c:crossAx val="709475840"/>
        <c:crosses val="autoZero"/>
        <c:crossBetween val="between"/>
        <c:majorUnit val="0.5"/>
      </c:valAx>
      <c:spPr>
        <a:noFill/>
        <a:ln>
          <a:noFill/>
        </a:ln>
        <a:effectLst/>
      </c:spPr>
    </c:plotArea>
    <c:legend>
      <c:legendPos val="b"/>
      <c:layout>
        <c:manualLayout>
          <c:xMode val="edge"/>
          <c:yMode val="edge"/>
          <c:x val="8.1926620958132398E-2"/>
          <c:y val="0.78900773467278962"/>
          <c:w val="0.8223310520657221"/>
          <c:h val="0.1997652991480407"/>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legend>
    <c:plotVisOnly val="1"/>
    <c:dispBlanksAs val="gap"/>
    <c:showDLblsOverMax val="0"/>
  </c:chart>
  <c:spPr>
    <a:solidFill>
      <a:schemeClr val="bg1"/>
    </a:solidFill>
    <a:ln w="9525" cap="flat" cmpd="sng" algn="ctr">
      <a:noFill/>
      <a:round/>
    </a:ln>
    <a:effectLst/>
  </c:spPr>
  <c:txPr>
    <a:bodyPr/>
    <a:lstStyle/>
    <a:p>
      <a:pPr>
        <a:defRPr/>
      </a:pPr>
      <a:endParaRPr lang="es-ES_tradnl"/>
    </a:p>
  </c:txPr>
  <c:printSettings>
    <c:headerFooter/>
    <c:pageMargins b="0.75" l="0.84" r="0.25" t="0.75" header="0.3" footer="0.3"/>
    <c:pageSetup paperSize="9" orientation="landscape"/>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457409308717575"/>
          <c:y val="4.6087571003560986E-2"/>
          <c:w val="0.82558175067451101"/>
          <c:h val="0.64272676146640684"/>
        </c:manualLayout>
      </c:layout>
      <c:lineChart>
        <c:grouping val="standard"/>
        <c:varyColors val="0"/>
        <c:ser>
          <c:idx val="1"/>
          <c:order val="0"/>
          <c:tx>
            <c:strRef>
              <c:f>'2ES'!$W$45</c:f>
              <c:strCache>
                <c:ptCount val="1"/>
                <c:pt idx="0">
                  <c:v>Observed (National Accounts)</c:v>
                </c:pt>
              </c:strCache>
            </c:strRef>
          </c:tx>
          <c:spPr>
            <a:ln w="25400" cap="rnd">
              <a:solidFill>
                <a:schemeClr val="tx1">
                  <a:lumMod val="65000"/>
                  <a:lumOff val="35000"/>
                </a:schemeClr>
              </a:solidFill>
              <a:prstDash val="sysDash"/>
              <a:round/>
            </a:ln>
            <a:effectLst/>
          </c:spPr>
          <c:marker>
            <c:symbol val="none"/>
          </c:marker>
          <c:cat>
            <c:numRef>
              <c:extLst>
                <c:ext xmlns:c15="http://schemas.microsoft.com/office/drawing/2012/chart" uri="{02D57815-91ED-43cb-92C2-25804820EDAC}">
                  <c15:fullRef>
                    <c15:sqref>'2ES'!$U$46:$U$53</c15:sqref>
                  </c15:fullRef>
                </c:ext>
              </c:extLst>
              <c:f>'2ES'!$U$46:$U$50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'2ES'!$W$46:$W$53</c15:sqref>
                  </c15:fullRef>
                </c:ext>
              </c:extLst>
              <c:f>'2ES'!$W$46:$W$50</c:f>
              <c:numCache>
                <c:formatCode>0.0%</c:formatCode>
                <c:ptCount val="5"/>
                <c:pt idx="0">
                  <c:v>7.8991951886799971E-2</c:v>
                </c:pt>
                <c:pt idx="1">
                  <c:v>8.7636178793390807E-2</c:v>
                </c:pt>
                <c:pt idx="2">
                  <c:v>8.6321525179809525E-2</c:v>
                </c:pt>
                <c:pt idx="3">
                  <c:v>8.9688435549178949E-2</c:v>
                </c:pt>
                <c:pt idx="4">
                  <c:v>8.9714580630688101E-2</c:v>
                </c:pt>
              </c:numCache>
            </c:numRef>
          </c:val>
          <c:smooth val="0"/>
          <c:extLst>
            <c:ext xmlns:c16="http://schemas.microsoft.com/office/drawing/2014/chart" uri="{C3380CC4-5D6E-409C-BE32-E72D297353CC}">
              <c16:uniqueId val="{00000000-216E-4BC3-A521-F888F2AAA67D}"/>
            </c:ext>
          </c:extLst>
        </c:ser>
        <c:ser>
          <c:idx val="0"/>
          <c:order val="1"/>
          <c:tx>
            <c:strRef>
              <c:f>'2ES'!$V$45</c:f>
              <c:strCache>
                <c:ptCount val="1"/>
                <c:pt idx="0">
                  <c:v>Baseline simulation (before reescaling)</c:v>
                </c:pt>
              </c:strCache>
            </c:strRef>
          </c:tx>
          <c:spPr>
            <a:ln w="25400" cap="rnd">
              <a:noFill/>
              <a:round/>
            </a:ln>
            <a:effectLst/>
          </c:spPr>
          <c:marker>
            <c:symbol val="circle"/>
            <c:size val="8"/>
            <c:spPr>
              <a:solidFill>
                <a:schemeClr val="bg1">
                  <a:lumMod val="85000"/>
                </a:schemeClr>
              </a:solidFill>
              <a:ln w="25400">
                <a:noFill/>
              </a:ln>
              <a:effectLst/>
            </c:spPr>
          </c:marker>
          <c:cat>
            <c:numRef>
              <c:extLst>
                <c:ext xmlns:c15="http://schemas.microsoft.com/office/drawing/2012/chart" uri="{02D57815-91ED-43cb-92C2-25804820EDAC}">
                  <c15:fullRef>
                    <c15:sqref>'2ES'!$U$46:$U$53</c15:sqref>
                  </c15:fullRef>
                </c:ext>
              </c:extLst>
              <c:f>'2ES'!$U$46:$U$50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'2ES'!$V$46:$V$53</c15:sqref>
                  </c15:fullRef>
                </c:ext>
              </c:extLst>
              <c:f>'2ES'!$V$46:$V$50</c:f>
              <c:numCache>
                <c:formatCode>0.0%</c:formatCode>
                <c:ptCount val="5"/>
                <c:pt idx="0">
                  <c:v>7.2071177519510685E-2</c:v>
                </c:pt>
                <c:pt idx="1">
                  <c:v>7.7757748909737148E-2</c:v>
                </c:pt>
                <c:pt idx="2">
                  <c:v>7.6584883804373297E-2</c:v>
                </c:pt>
                <c:pt idx="3">
                  <c:v>7.2589633852946256E-2</c:v>
                </c:pt>
                <c:pt idx="4">
                  <c:v>7.2386569663781986E-2</c:v>
                </c:pt>
              </c:numCache>
            </c:numRef>
          </c:val>
          <c:smooth val="0"/>
          <c:extLst>
            <c:ext xmlns:c16="http://schemas.microsoft.com/office/drawing/2014/chart" uri="{C3380CC4-5D6E-409C-BE32-E72D297353CC}">
              <c16:uniqueId val="{00000001-216E-4BC3-A521-F888F2AAA67D}"/>
            </c:ext>
          </c:extLst>
        </c:ser>
        <c:ser>
          <c:idx val="3"/>
          <c:order val="2"/>
          <c:tx>
            <c:strRef>
              <c:f>'2ES'!$Y$45</c:f>
              <c:strCache>
                <c:ptCount val="1"/>
                <c:pt idx="0">
                  <c:v>Baseline simulation (after reescaling)</c:v>
                </c:pt>
              </c:strCache>
            </c:strRef>
          </c:tx>
          <c:spPr>
            <a:ln w="25400" cap="rnd">
              <a:noFill/>
              <a:round/>
            </a:ln>
            <a:effectLst/>
          </c:spPr>
          <c:marker>
            <c:symbol val="circle"/>
            <c:size val="7"/>
            <c:spPr>
              <a:solidFill>
                <a:schemeClr val="tx1"/>
              </a:solidFill>
              <a:ln w="9525">
                <a:solidFill>
                  <a:schemeClr val="tx1"/>
                </a:solidFill>
              </a:ln>
              <a:effectLst/>
            </c:spPr>
          </c:marker>
          <c:cat>
            <c:numRef>
              <c:extLst>
                <c:ext xmlns:c15="http://schemas.microsoft.com/office/drawing/2012/chart" uri="{02D57815-91ED-43cb-92C2-25804820EDAC}">
                  <c15:fullRef>
                    <c15:sqref>'2ES'!$U$46:$U$53</c15:sqref>
                  </c15:fullRef>
                </c:ext>
              </c:extLst>
              <c:f>'2ES'!$U$46:$U$50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'2ES'!$Y$46:$Y$53</c15:sqref>
                  </c15:fullRef>
                </c:ext>
              </c:extLst>
              <c:f>'2ES'!$Y$46:$Y$50</c:f>
              <c:numCache>
                <c:formatCode>0.0%</c:formatCode>
                <c:ptCount val="5"/>
                <c:pt idx="0">
                  <c:v>7.8991951886799971E-2</c:v>
                </c:pt>
                <c:pt idx="4">
                  <c:v>8.9714580630688101E-2</c:v>
                </c:pt>
              </c:numCache>
            </c:numRef>
          </c:val>
          <c:smooth val="0"/>
          <c:extLst>
            <c:ext xmlns:c16="http://schemas.microsoft.com/office/drawing/2014/chart" uri="{C3380CC4-5D6E-409C-BE32-E72D297353CC}">
              <c16:uniqueId val="{00000002-216E-4BC3-A521-F888F2AAA67D}"/>
            </c:ext>
          </c:extLst>
        </c:ser>
        <c:ser>
          <c:idx val="4"/>
          <c:order val="3"/>
          <c:tx>
            <c:strRef>
              <c:f>'2ES'!$Z$45</c:f>
              <c:strCache>
                <c:ptCount val="1"/>
                <c:pt idx="0">
                  <c:v>Unchanged legislation since 2019/2023</c:v>
                </c:pt>
              </c:strCache>
            </c:strRef>
          </c:tx>
          <c:spPr>
            <a:ln w="25400" cap="rnd">
              <a:noFill/>
              <a:round/>
            </a:ln>
            <a:effectLst/>
          </c:spPr>
          <c:marker>
            <c:symbol val="circle"/>
            <c:size val="6"/>
            <c:spPr>
              <a:noFill/>
              <a:ln w="25400">
                <a:solidFill>
                  <a:srgbClr val="C00000"/>
                </a:solidFill>
              </a:ln>
              <a:effectLst/>
            </c:spPr>
          </c:marker>
          <c:cat>
            <c:numRef>
              <c:extLst>
                <c:ext xmlns:c15="http://schemas.microsoft.com/office/drawing/2012/chart" uri="{02D57815-91ED-43cb-92C2-25804820EDAC}">
                  <c15:fullRef>
                    <c15:sqref>'2ES'!$U$46:$U$53</c15:sqref>
                  </c15:fullRef>
                </c:ext>
              </c:extLst>
              <c:f>'2ES'!$U$46:$U$50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'2ES'!$Z$46:$Z$53</c15:sqref>
                  </c15:fullRef>
                </c:ext>
              </c:extLst>
              <c:f>'2ES'!$Z$46:$Z$50</c:f>
              <c:numCache>
                <c:formatCode>0.0%</c:formatCode>
                <c:ptCount val="5"/>
                <c:pt idx="4">
                  <c:v>9.2671037100992545E-2</c:v>
                </c:pt>
              </c:numCache>
            </c:numRef>
          </c:val>
          <c:smooth val="0"/>
          <c:extLst>
            <c:ext xmlns:c16="http://schemas.microsoft.com/office/drawing/2014/chart" uri="{C3380CC4-5D6E-409C-BE32-E72D297353CC}">
              <c16:uniqueId val="{00000003-216E-4BC3-A521-F888F2AAA67D}"/>
            </c:ext>
          </c:extLst>
        </c:ser>
        <c:ser>
          <c:idx val="5"/>
          <c:order val="4"/>
          <c:tx>
            <c:strRef>
              <c:f>'2ES'!$AA$45</c:f>
              <c:strCache>
                <c:ptCount val="1"/>
                <c:pt idx="0">
                  <c:v>Indexing with tax base growth</c:v>
                </c:pt>
              </c:strCache>
            </c:strRef>
          </c:tx>
          <c:spPr>
            <a:ln w="25400" cap="rnd">
              <a:noFill/>
              <a:round/>
            </a:ln>
            <a:effectLst/>
          </c:spPr>
          <c:marker>
            <c:symbol val="square"/>
            <c:size val="5"/>
            <c:spPr>
              <a:noFill/>
              <a:ln w="25400">
                <a:solidFill>
                  <a:schemeClr val="accent6">
                    <a:lumMod val="75000"/>
                  </a:schemeClr>
                </a:solidFill>
              </a:ln>
              <a:effectLst/>
            </c:spPr>
          </c:marker>
          <c:cat>
            <c:numRef>
              <c:extLst>
                <c:ext xmlns:c15="http://schemas.microsoft.com/office/drawing/2012/chart" uri="{02D57815-91ED-43cb-92C2-25804820EDAC}">
                  <c15:fullRef>
                    <c15:sqref>'2ES'!$U$46:$U$53</c15:sqref>
                  </c15:fullRef>
                </c:ext>
              </c:extLst>
              <c:f>'2ES'!$U$46:$U$50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'2ES'!$AA$46:$AA$53</c15:sqref>
                  </c15:fullRef>
                </c:ext>
              </c:extLst>
              <c:f>'2ES'!$AA$46:$AA$50</c:f>
              <c:numCache>
                <c:formatCode>0.0%</c:formatCode>
                <c:ptCount val="5"/>
                <c:pt idx="4">
                  <c:v>8.3397664885272019E-2</c:v>
                </c:pt>
              </c:numCache>
            </c:numRef>
          </c:val>
          <c:smooth val="0"/>
          <c:extLst>
            <c:ext xmlns:c16="http://schemas.microsoft.com/office/drawing/2014/chart" uri="{C3380CC4-5D6E-409C-BE32-E72D297353CC}">
              <c16:uniqueId val="{00000004-216E-4BC3-A521-F888F2AAA67D}"/>
            </c:ext>
          </c:extLst>
        </c:ser>
        <c:ser>
          <c:idx val="6"/>
          <c:order val="5"/>
          <c:tx>
            <c:strRef>
              <c:f>'2ES'!$AB$45</c:f>
              <c:strCache>
                <c:ptCount val="1"/>
                <c:pt idx="0">
                  <c:v>Indexing with lagged HCPI</c:v>
                </c:pt>
              </c:strCache>
            </c:strRef>
          </c:tx>
          <c:spPr>
            <a:ln w="25400" cap="rnd">
              <a:noFill/>
              <a:round/>
            </a:ln>
            <a:effectLst/>
          </c:spPr>
          <c:marker>
            <c:symbol val="diamond"/>
            <c:size val="6"/>
            <c:spPr>
              <a:noFill/>
              <a:ln w="25400">
                <a:solidFill>
                  <a:schemeClr val="accent4"/>
                </a:solidFill>
              </a:ln>
              <a:effectLst/>
            </c:spPr>
          </c:marker>
          <c:cat>
            <c:numRef>
              <c:extLst>
                <c:ext xmlns:c15="http://schemas.microsoft.com/office/drawing/2012/chart" uri="{02D57815-91ED-43cb-92C2-25804820EDAC}">
                  <c15:fullRef>
                    <c15:sqref>'2ES'!$U$46:$U$53</c15:sqref>
                  </c15:fullRef>
                </c:ext>
              </c:extLst>
              <c:f>'2ES'!$U$46:$U$50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'2ES'!$AB$46:$AB$53</c15:sqref>
                  </c15:fullRef>
                </c:ext>
              </c:extLst>
              <c:f>'2ES'!$AB$46:$AB$50</c:f>
              <c:numCache>
                <c:formatCode>0.0%</c:formatCode>
                <c:ptCount val="5"/>
                <c:pt idx="4">
                  <c:v>8.3453133292932316E-2</c:v>
                </c:pt>
              </c:numCache>
            </c:numRef>
          </c:val>
          <c:smooth val="0"/>
          <c:extLst>
            <c:ext xmlns:c16="http://schemas.microsoft.com/office/drawing/2014/chart" uri="{C3380CC4-5D6E-409C-BE32-E72D297353CC}">
              <c16:uniqueId val="{00000005-216E-4BC3-A521-F888F2AAA67D}"/>
            </c:ext>
          </c:extLst>
        </c:ser>
        <c:ser>
          <c:idx val="7"/>
          <c:order val="6"/>
          <c:tx>
            <c:strRef>
              <c:f>'2ES'!$AC$45</c:f>
              <c:strCache>
                <c:ptCount val="1"/>
                <c:pt idx="0">
                  <c:v>Indexing with concurrent HCPI</c:v>
                </c:pt>
              </c:strCache>
            </c:strRef>
          </c:tx>
          <c:spPr>
            <a:ln w="25400" cap="rnd">
              <a:noFill/>
              <a:round/>
            </a:ln>
            <a:effectLst/>
          </c:spPr>
          <c:marker>
            <c:symbol val="triangle"/>
            <c:size val="6"/>
            <c:spPr>
              <a:noFill/>
              <a:ln w="25400">
                <a:solidFill>
                  <a:schemeClr val="accent5">
                    <a:lumMod val="75000"/>
                  </a:schemeClr>
                </a:solidFill>
              </a:ln>
              <a:effectLst/>
            </c:spPr>
          </c:marker>
          <c:cat>
            <c:numRef>
              <c:extLst>
                <c:ext xmlns:c15="http://schemas.microsoft.com/office/drawing/2012/chart" uri="{02D57815-91ED-43cb-92C2-25804820EDAC}">
                  <c15:fullRef>
                    <c15:sqref>'2ES'!$U$46:$U$53</c15:sqref>
                  </c15:fullRef>
                </c:ext>
              </c:extLst>
              <c:f>'2ES'!$U$46:$U$50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'2ES'!$AC$46:$AC$53</c15:sqref>
                  </c15:fullRef>
                </c:ext>
              </c:extLst>
              <c:f>'2ES'!$AC$46:$AC$50</c:f>
              <c:numCache>
                <c:formatCode>0.0%</c:formatCode>
                <c:ptCount val="5"/>
                <c:pt idx="4">
                  <c:v>8.1405550626630227E-2</c:v>
                </c:pt>
              </c:numCache>
            </c:numRef>
          </c:val>
          <c:smooth val="0"/>
          <c:extLst>
            <c:ext xmlns:c16="http://schemas.microsoft.com/office/drawing/2014/chart" uri="{C3380CC4-5D6E-409C-BE32-E72D297353CC}">
              <c16:uniqueId val="{00000006-216E-4BC3-A521-F888F2AAA67D}"/>
            </c:ext>
          </c:extLst>
        </c:ser>
        <c:dLbls>
          <c:showLegendKey val="0"/>
          <c:showVal val="0"/>
          <c:showCatName val="0"/>
          <c:showSerName val="0"/>
          <c:showPercent val="0"/>
          <c:showBubbleSize val="0"/>
        </c:dLbls>
        <c:smooth val="0"/>
        <c:axId val="709475840"/>
        <c:axId val="605168576"/>
        <c:extLst/>
      </c:lineChart>
      <c:catAx>
        <c:axId val="709475840"/>
        <c:scaling>
          <c:orientation val="minMax"/>
        </c:scaling>
        <c:delete val="0"/>
        <c:axPos val="b"/>
        <c:numFmt formatCode="General" sourceLinked="1"/>
        <c:majorTickMark val="out"/>
        <c:minorTickMark val="none"/>
        <c:tickLblPos val="nextTo"/>
        <c:spPr>
          <a:noFill/>
          <a:ln w="6350" cap="flat" cmpd="sng" algn="ctr">
            <a:solidFill>
              <a:schemeClr val="tx1"/>
            </a:solidFill>
            <a:round/>
          </a:ln>
          <a:effectLst/>
        </c:spPr>
        <c:txPr>
          <a:bodyPr rot="-60000000" spcFirstLastPara="1" vertOverflow="ellipsis" vert="horz" wrap="square" anchor="ctr" anchorCtr="1"/>
          <a:lstStyle/>
          <a:p>
            <a:pPr>
              <a:defRPr sz="950" b="0" i="0" u="none" strike="noStrike" kern="1200" baseline="0">
                <a:solidFill>
                  <a:schemeClr val="tx1"/>
                </a:solidFill>
                <a:latin typeface="Times New Roman" panose="02020603050405020304" pitchFamily="18" charset="0"/>
                <a:ea typeface="+mn-ea"/>
                <a:cs typeface="+mn-cs"/>
              </a:defRPr>
            </a:pPr>
            <a:endParaRPr lang="es-ES_tradnl"/>
          </a:p>
        </c:txPr>
        <c:crossAx val="605168576"/>
        <c:crosses val="autoZero"/>
        <c:auto val="1"/>
        <c:lblAlgn val="ctr"/>
        <c:lblOffset val="100"/>
        <c:noMultiLvlLbl val="0"/>
      </c:catAx>
      <c:valAx>
        <c:axId val="605168576"/>
        <c:scaling>
          <c:orientation val="minMax"/>
          <c:min val="6.0000000000000012E-2"/>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s-ES_tradnl" sz="1050">
                    <a:solidFill>
                      <a:sysClr val="windowText" lastClr="000000"/>
                    </a:solidFill>
                    <a:latin typeface="Times New Roman" panose="02020603050405020304" pitchFamily="18" charset="0"/>
                    <a:cs typeface="Times New Roman" panose="02020603050405020304" pitchFamily="18" charset="0"/>
                  </a:rPr>
                  <a:t>Share of GDP</a:t>
                </a:r>
              </a:p>
            </c:rich>
          </c:tx>
          <c:overlay val="0"/>
          <c:spPr>
            <a:noFill/>
            <a:ln>
              <a:noFill/>
            </a:ln>
            <a:effectLst/>
          </c:spPr>
        </c:title>
        <c:numFmt formatCode="0%" sourceLinked="0"/>
        <c:majorTickMark val="out"/>
        <c:minorTickMark val="none"/>
        <c:tickLblPos val="nextTo"/>
        <c:spPr>
          <a:noFill/>
          <a:ln w="6350">
            <a:solidFill>
              <a:schemeClr val="tx1">
                <a:lumMod val="65000"/>
                <a:lumOff val="35000"/>
              </a:schemeClr>
            </a:solidFill>
          </a:ln>
          <a:effectLst/>
        </c:spPr>
        <c:txPr>
          <a:bodyPr rot="-60000000" spcFirstLastPara="1" vertOverflow="ellipsis" vert="horz" wrap="square" anchor="ctr" anchorCtr="1"/>
          <a:lstStyle/>
          <a:p>
            <a:pPr>
              <a:defRPr sz="950" b="0" i="0" u="none" strike="noStrike" kern="1200" baseline="0">
                <a:solidFill>
                  <a:schemeClr val="tx1"/>
                </a:solidFill>
                <a:latin typeface="Times New Roman" panose="02020603050405020304" pitchFamily="18" charset="0"/>
                <a:ea typeface="+mn-ea"/>
                <a:cs typeface="+mn-cs"/>
              </a:defRPr>
            </a:pPr>
            <a:endParaRPr lang="es-ES_tradnl"/>
          </a:p>
        </c:txPr>
        <c:crossAx val="709475840"/>
        <c:crosses val="autoZero"/>
        <c:crossBetween val="between"/>
      </c:valAx>
    </c:plotArea>
    <c:legend>
      <c:legendPos val="b"/>
      <c:layout>
        <c:manualLayout>
          <c:xMode val="edge"/>
          <c:yMode val="edge"/>
          <c:x val="0"/>
          <c:y val="0.80216933512597055"/>
          <c:w val="1"/>
          <c:h val="0.19783066487402948"/>
        </c:manualLayout>
      </c:layout>
      <c:overlay val="0"/>
      <c:spPr>
        <a:noFill/>
        <a:ln>
          <a:noFill/>
        </a:ln>
        <a:effectLst/>
      </c:spPr>
      <c:txPr>
        <a:bodyPr rot="0" spcFirstLastPara="1" vertOverflow="ellipsis" vert="horz" wrap="square" anchor="ctr" anchorCtr="1"/>
        <a:lstStyle/>
        <a:p>
          <a:pPr>
            <a:defRPr sz="9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legend>
    <c:plotVisOnly val="1"/>
    <c:dispBlanksAs val="gap"/>
    <c:showDLblsOverMax val="0"/>
  </c:chart>
  <c:spPr>
    <a:solidFill>
      <a:schemeClr val="bg1"/>
    </a:solidFill>
    <a:ln w="9525" cap="flat" cmpd="sng" algn="ctr">
      <a:noFill/>
      <a:round/>
    </a:ln>
    <a:effectLst/>
  </c:spPr>
  <c:txPr>
    <a:bodyPr/>
    <a:lstStyle/>
    <a:p>
      <a:pPr>
        <a:defRPr/>
      </a:pPr>
      <a:endParaRPr lang="es-ES_tradnl"/>
    </a:p>
  </c:txPr>
  <c:printSettings>
    <c:headerFooter/>
    <c:pageMargins b="0.75" l="0.25" r="0.25" t="0.75" header="0.3" footer="0.3"/>
    <c:pageSetup paperSize="9" orientation="landscape"/>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457409308717575"/>
          <c:y val="4.6087571003560986E-2"/>
          <c:w val="0.82558175067451101"/>
          <c:h val="0.64272676146640684"/>
        </c:manualLayout>
      </c:layout>
      <c:lineChart>
        <c:grouping val="standard"/>
        <c:varyColors val="0"/>
        <c:ser>
          <c:idx val="1"/>
          <c:order val="0"/>
          <c:tx>
            <c:strRef>
              <c:f>'2FI'!$D$45</c:f>
              <c:strCache>
                <c:ptCount val="1"/>
                <c:pt idx="0">
                  <c:v>Observed (National Accounts)</c:v>
                </c:pt>
              </c:strCache>
            </c:strRef>
          </c:tx>
          <c:spPr>
            <a:ln w="25400" cap="rnd">
              <a:solidFill>
                <a:schemeClr val="tx1">
                  <a:lumMod val="65000"/>
                  <a:lumOff val="35000"/>
                </a:schemeClr>
              </a:solidFill>
              <a:prstDash val="sysDash"/>
              <a:round/>
            </a:ln>
            <a:effectLst/>
          </c:spPr>
          <c:marker>
            <c:symbol val="none"/>
          </c:marker>
          <c:cat>
            <c:numRef>
              <c:extLst>
                <c:ext xmlns:c15="http://schemas.microsoft.com/office/drawing/2012/chart" uri="{02D57815-91ED-43cb-92C2-25804820EDAC}">
                  <c15:fullRef>
                    <c15:sqref>'2FI'!$B$46:$B$53</c15:sqref>
                  </c15:fullRef>
                </c:ext>
              </c:extLst>
              <c:f>'2FI'!$B$46:$B$50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'2FI'!$D$46:$D$53</c15:sqref>
                  </c15:fullRef>
                </c:ext>
              </c:extLst>
              <c:f>'2FI'!$D$46:$D$50</c:f>
              <c:numCache>
                <c:formatCode>_-* #,##0_-;\-* #,##0_-;_-* "-"??_-;_-@_-</c:formatCode>
                <c:ptCount val="5"/>
                <c:pt idx="0">
                  <c:v>29401</c:v>
                </c:pt>
                <c:pt idx="1">
                  <c:v>29873</c:v>
                </c:pt>
                <c:pt idx="2">
                  <c:v>32270</c:v>
                </c:pt>
                <c:pt idx="3">
                  <c:v>34604</c:v>
                </c:pt>
                <c:pt idx="4">
                  <c:v>34788</c:v>
                </c:pt>
              </c:numCache>
            </c:numRef>
          </c:val>
          <c:smooth val="0"/>
          <c:extLst>
            <c:ext xmlns:c16="http://schemas.microsoft.com/office/drawing/2014/chart" uri="{C3380CC4-5D6E-409C-BE32-E72D297353CC}">
              <c16:uniqueId val="{00000000-B523-41E5-8678-BA6BF566C304}"/>
            </c:ext>
          </c:extLst>
        </c:ser>
        <c:ser>
          <c:idx val="0"/>
          <c:order val="1"/>
          <c:tx>
            <c:strRef>
              <c:f>'2FI'!$C$45</c:f>
              <c:strCache>
                <c:ptCount val="1"/>
                <c:pt idx="0">
                  <c:v>Baseline simulation (before reescaling)</c:v>
                </c:pt>
              </c:strCache>
            </c:strRef>
          </c:tx>
          <c:spPr>
            <a:ln w="25400" cap="rnd">
              <a:noFill/>
              <a:round/>
            </a:ln>
            <a:effectLst/>
          </c:spPr>
          <c:marker>
            <c:symbol val="circle"/>
            <c:size val="8"/>
            <c:spPr>
              <a:solidFill>
                <a:schemeClr val="bg1">
                  <a:lumMod val="85000"/>
                </a:schemeClr>
              </a:solidFill>
              <a:ln w="25400">
                <a:noFill/>
              </a:ln>
              <a:effectLst/>
            </c:spPr>
          </c:marker>
          <c:cat>
            <c:numRef>
              <c:extLst>
                <c:ext xmlns:c15="http://schemas.microsoft.com/office/drawing/2012/chart" uri="{02D57815-91ED-43cb-92C2-25804820EDAC}">
                  <c15:fullRef>
                    <c15:sqref>'2FI'!$B$46:$B$53</c15:sqref>
                  </c15:fullRef>
                </c:ext>
              </c:extLst>
              <c:f>'2FI'!$B$46:$B$50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'2FI'!$C$46:$C$53</c15:sqref>
                  </c15:fullRef>
                </c:ext>
              </c:extLst>
              <c:f>'2FI'!$C$46:$C$50</c:f>
              <c:numCache>
                <c:formatCode>_-* #,##0_-;\-* #,##0_-;_-* "-"??_-;_-@_-</c:formatCode>
                <c:ptCount val="5"/>
                <c:pt idx="0">
                  <c:v>28128.288335988091</c:v>
                </c:pt>
                <c:pt idx="1">
                  <c:v>27898.023164305265</c:v>
                </c:pt>
                <c:pt idx="2">
                  <c:v>28924.235885041177</c:v>
                </c:pt>
                <c:pt idx="3">
                  <c:v>29907.074069985658</c:v>
                </c:pt>
                <c:pt idx="4">
                  <c:v>31684.096410054004</c:v>
                </c:pt>
              </c:numCache>
            </c:numRef>
          </c:val>
          <c:smooth val="0"/>
          <c:extLst>
            <c:ext xmlns:c16="http://schemas.microsoft.com/office/drawing/2014/chart" uri="{C3380CC4-5D6E-409C-BE32-E72D297353CC}">
              <c16:uniqueId val="{00000001-B523-41E5-8678-BA6BF566C304}"/>
            </c:ext>
          </c:extLst>
        </c:ser>
        <c:ser>
          <c:idx val="3"/>
          <c:order val="3"/>
          <c:tx>
            <c:strRef>
              <c:f>'2FI'!$F$45</c:f>
              <c:strCache>
                <c:ptCount val="1"/>
                <c:pt idx="0">
                  <c:v>Baseline simulation (after reescaling)</c:v>
                </c:pt>
              </c:strCache>
            </c:strRef>
          </c:tx>
          <c:spPr>
            <a:ln w="25400" cap="rnd">
              <a:noFill/>
              <a:round/>
            </a:ln>
            <a:effectLst/>
          </c:spPr>
          <c:marker>
            <c:symbol val="circle"/>
            <c:size val="7"/>
            <c:spPr>
              <a:solidFill>
                <a:schemeClr val="tx1"/>
              </a:solidFill>
              <a:ln w="9525">
                <a:solidFill>
                  <a:schemeClr val="tx1"/>
                </a:solidFill>
              </a:ln>
              <a:effectLst/>
            </c:spPr>
          </c:marker>
          <c:cat>
            <c:numRef>
              <c:extLst>
                <c:ext xmlns:c15="http://schemas.microsoft.com/office/drawing/2012/chart" uri="{02D57815-91ED-43cb-92C2-25804820EDAC}">
                  <c15:fullRef>
                    <c15:sqref>'2FI'!$B$46:$B$53</c15:sqref>
                  </c15:fullRef>
                </c:ext>
              </c:extLst>
              <c:f>'2FI'!$B$46:$B$50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'2FI'!$F$46:$F$53</c15:sqref>
                  </c15:fullRef>
                </c:ext>
              </c:extLst>
              <c:f>'2FI'!$F$46:$F$50</c:f>
              <c:numCache>
                <c:formatCode>General</c:formatCode>
                <c:ptCount val="5"/>
                <c:pt idx="0" formatCode="_-* #,##0_-;\-* #,##0_-;_-* &quot;-&quot;??_-;_-@_-">
                  <c:v>29401</c:v>
                </c:pt>
                <c:pt idx="3" formatCode="_-* #,##0_-;\-* #,##0_-;_-* &quot;-&quot;??_-;_-@_-">
                  <c:v>34604</c:v>
                </c:pt>
                <c:pt idx="4" formatCode="_-* #,##0_-;\-* #,##0_-;_-* &quot;-&quot;??_-;_-@_-">
                  <c:v>34788</c:v>
                </c:pt>
              </c:numCache>
            </c:numRef>
          </c:val>
          <c:smooth val="0"/>
          <c:extLst>
            <c:ext xmlns:c16="http://schemas.microsoft.com/office/drawing/2014/chart" uri="{C3380CC4-5D6E-409C-BE32-E72D297353CC}">
              <c16:uniqueId val="{00000002-B523-41E5-8678-BA6BF566C304}"/>
            </c:ext>
          </c:extLst>
        </c:ser>
        <c:ser>
          <c:idx val="4"/>
          <c:order val="4"/>
          <c:tx>
            <c:strRef>
              <c:f>'2FI'!$G$45</c:f>
              <c:strCache>
                <c:ptCount val="1"/>
                <c:pt idx="0">
                  <c:v>Unchanged legislation since 2019/2023</c:v>
                </c:pt>
              </c:strCache>
            </c:strRef>
          </c:tx>
          <c:spPr>
            <a:ln w="25400" cap="rnd">
              <a:noFill/>
              <a:round/>
            </a:ln>
            <a:effectLst/>
          </c:spPr>
          <c:marker>
            <c:symbol val="circle"/>
            <c:size val="6"/>
            <c:spPr>
              <a:noFill/>
              <a:ln w="25400">
                <a:solidFill>
                  <a:srgbClr val="C00000"/>
                </a:solidFill>
              </a:ln>
              <a:effectLst/>
            </c:spPr>
          </c:marker>
          <c:cat>
            <c:numRef>
              <c:extLst>
                <c:ext xmlns:c15="http://schemas.microsoft.com/office/drawing/2012/chart" uri="{02D57815-91ED-43cb-92C2-25804820EDAC}">
                  <c15:fullRef>
                    <c15:sqref>'2FI'!$B$46:$B$53</c15:sqref>
                  </c15:fullRef>
                </c:ext>
              </c:extLst>
              <c:f>'2FI'!$B$46:$B$50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'2FI'!$G$46:$G$53</c15:sqref>
                  </c15:fullRef>
                </c:ext>
              </c:extLst>
              <c:f>'2FI'!$G$46:$G$50</c:f>
              <c:numCache>
                <c:formatCode>General</c:formatCode>
                <c:ptCount val="5"/>
                <c:pt idx="4" formatCode="_-* #,##0_-;\-* #,##0_-;_-* &quot;-&quot;??_-;_-@_-">
                  <c:v>37289.950376169036</c:v>
                </c:pt>
              </c:numCache>
            </c:numRef>
          </c:val>
          <c:smooth val="0"/>
          <c:extLst>
            <c:ext xmlns:c16="http://schemas.microsoft.com/office/drawing/2014/chart" uri="{C3380CC4-5D6E-409C-BE32-E72D297353CC}">
              <c16:uniqueId val="{00000003-B523-41E5-8678-BA6BF566C304}"/>
            </c:ext>
          </c:extLst>
        </c:ser>
        <c:ser>
          <c:idx val="5"/>
          <c:order val="5"/>
          <c:tx>
            <c:strRef>
              <c:f>'2FI'!$H$45</c:f>
              <c:strCache>
                <c:ptCount val="1"/>
                <c:pt idx="0">
                  <c:v>Indexing with tax base growth</c:v>
                </c:pt>
              </c:strCache>
            </c:strRef>
          </c:tx>
          <c:spPr>
            <a:ln w="25400" cap="rnd">
              <a:noFill/>
              <a:round/>
            </a:ln>
            <a:effectLst/>
          </c:spPr>
          <c:marker>
            <c:symbol val="square"/>
            <c:size val="5"/>
            <c:spPr>
              <a:noFill/>
              <a:ln w="25400">
                <a:solidFill>
                  <a:schemeClr val="accent6">
                    <a:lumMod val="75000"/>
                  </a:schemeClr>
                </a:solidFill>
              </a:ln>
              <a:effectLst/>
            </c:spPr>
          </c:marker>
          <c:cat>
            <c:numRef>
              <c:extLst>
                <c:ext xmlns:c15="http://schemas.microsoft.com/office/drawing/2012/chart" uri="{02D57815-91ED-43cb-92C2-25804820EDAC}">
                  <c15:fullRef>
                    <c15:sqref>'2FI'!$B$46:$B$53</c15:sqref>
                  </c15:fullRef>
                </c:ext>
              </c:extLst>
              <c:f>'2FI'!$B$46:$B$50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'2FI'!$H$46:$H$53</c15:sqref>
                  </c15:fullRef>
                </c:ext>
              </c:extLst>
              <c:f>'2FI'!$H$46:$H$50</c:f>
              <c:numCache>
                <c:formatCode>General</c:formatCode>
                <c:ptCount val="5"/>
                <c:pt idx="4" formatCode="_-* #,##0_-;\-* #,##0_-;_-* &quot;-&quot;??_-;_-@_-">
                  <c:v>34444.770969891717</c:v>
                </c:pt>
              </c:numCache>
            </c:numRef>
          </c:val>
          <c:smooth val="0"/>
          <c:extLst>
            <c:ext xmlns:c16="http://schemas.microsoft.com/office/drawing/2014/chart" uri="{C3380CC4-5D6E-409C-BE32-E72D297353CC}">
              <c16:uniqueId val="{00000004-B523-41E5-8678-BA6BF566C304}"/>
            </c:ext>
          </c:extLst>
        </c:ser>
        <c:ser>
          <c:idx val="6"/>
          <c:order val="6"/>
          <c:tx>
            <c:strRef>
              <c:f>'2FI'!$I$45</c:f>
              <c:strCache>
                <c:ptCount val="1"/>
                <c:pt idx="0">
                  <c:v>Indexing with lagged HCPI</c:v>
                </c:pt>
              </c:strCache>
            </c:strRef>
          </c:tx>
          <c:spPr>
            <a:ln w="25400" cap="rnd">
              <a:noFill/>
              <a:round/>
            </a:ln>
            <a:effectLst/>
          </c:spPr>
          <c:marker>
            <c:symbol val="diamond"/>
            <c:size val="6"/>
            <c:spPr>
              <a:noFill/>
              <a:ln w="25400">
                <a:solidFill>
                  <a:schemeClr val="accent4"/>
                </a:solidFill>
              </a:ln>
              <a:effectLst/>
            </c:spPr>
          </c:marker>
          <c:cat>
            <c:numRef>
              <c:extLst>
                <c:ext xmlns:c15="http://schemas.microsoft.com/office/drawing/2012/chart" uri="{02D57815-91ED-43cb-92C2-25804820EDAC}">
                  <c15:fullRef>
                    <c15:sqref>'2FI'!$B$46:$B$53</c15:sqref>
                  </c15:fullRef>
                </c:ext>
              </c:extLst>
              <c:f>'2FI'!$B$46:$B$50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'2FI'!$I$46:$I$53</c15:sqref>
                  </c15:fullRef>
                </c:ext>
              </c:extLst>
              <c:f>'2FI'!$I$46:$I$50</c:f>
              <c:numCache>
                <c:formatCode>General</c:formatCode>
                <c:ptCount val="5"/>
                <c:pt idx="4" formatCode="_-* #,##0_-;\-* #,##0_-;_-* &quot;-&quot;??_-;_-@_-">
                  <c:v>34649.987899954926</c:v>
                </c:pt>
              </c:numCache>
            </c:numRef>
          </c:val>
          <c:smooth val="0"/>
          <c:extLst>
            <c:ext xmlns:c16="http://schemas.microsoft.com/office/drawing/2014/chart" uri="{C3380CC4-5D6E-409C-BE32-E72D297353CC}">
              <c16:uniqueId val="{00000005-B523-41E5-8678-BA6BF566C304}"/>
            </c:ext>
          </c:extLst>
        </c:ser>
        <c:ser>
          <c:idx val="7"/>
          <c:order val="7"/>
          <c:tx>
            <c:strRef>
              <c:f>'2FI'!$J$45</c:f>
              <c:strCache>
                <c:ptCount val="1"/>
                <c:pt idx="0">
                  <c:v>Indexing with concurrent HCPI</c:v>
                </c:pt>
              </c:strCache>
            </c:strRef>
          </c:tx>
          <c:spPr>
            <a:ln w="25400" cap="rnd">
              <a:noFill/>
              <a:round/>
            </a:ln>
            <a:effectLst/>
          </c:spPr>
          <c:marker>
            <c:symbol val="triangle"/>
            <c:size val="6"/>
            <c:spPr>
              <a:noFill/>
              <a:ln w="25400">
                <a:solidFill>
                  <a:schemeClr val="accent5">
                    <a:lumMod val="75000"/>
                  </a:schemeClr>
                </a:solidFill>
              </a:ln>
              <a:effectLst/>
            </c:spPr>
          </c:marker>
          <c:cat>
            <c:numRef>
              <c:extLst>
                <c:ext xmlns:c15="http://schemas.microsoft.com/office/drawing/2012/chart" uri="{02D57815-91ED-43cb-92C2-25804820EDAC}">
                  <c15:fullRef>
                    <c15:sqref>'2FI'!$B$46:$B$53</c15:sqref>
                  </c15:fullRef>
                </c:ext>
              </c:extLst>
              <c:f>'2FI'!$B$46:$B$50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'2FI'!$J$46:$J$53</c15:sqref>
                  </c15:fullRef>
                </c:ext>
              </c:extLst>
              <c:f>'2FI'!$J$46:$J$50</c:f>
              <c:numCache>
                <c:formatCode>General</c:formatCode>
                <c:ptCount val="5"/>
                <c:pt idx="4" formatCode="_-* #,##0_-;\-* #,##0_-;_-* &quot;-&quot;??_-;_-@_-">
                  <c:v>33855.523800523471</c:v>
                </c:pt>
              </c:numCache>
            </c:numRef>
          </c:val>
          <c:smooth val="0"/>
          <c:extLst>
            <c:ext xmlns:c16="http://schemas.microsoft.com/office/drawing/2014/chart" uri="{C3380CC4-5D6E-409C-BE32-E72D297353CC}">
              <c16:uniqueId val="{00000006-B523-41E5-8678-BA6BF566C304}"/>
            </c:ext>
          </c:extLst>
        </c:ser>
        <c:ser>
          <c:idx val="8"/>
          <c:order val="8"/>
          <c:tx>
            <c:strRef>
              <c:f>'2FI'!$K$45</c:f>
              <c:strCache>
                <c:ptCount val="1"/>
                <c:pt idx="0">
                  <c:v>Baseline w/o "indexation measures"</c:v>
                </c:pt>
              </c:strCache>
            </c:strRef>
          </c:tx>
          <c:spPr>
            <a:ln w="28575" cap="rnd">
              <a:noFill/>
              <a:round/>
            </a:ln>
            <a:effectLst/>
          </c:spPr>
          <c:marker>
            <c:symbol val="dash"/>
            <c:size val="9"/>
            <c:spPr>
              <a:solidFill>
                <a:schemeClr val="tx1">
                  <a:lumMod val="65000"/>
                  <a:lumOff val="35000"/>
                </a:schemeClr>
              </a:solidFill>
              <a:ln w="9525">
                <a:solidFill>
                  <a:schemeClr val="tx1">
                    <a:lumMod val="65000"/>
                    <a:lumOff val="35000"/>
                  </a:schemeClr>
                </a:solidFill>
              </a:ln>
              <a:effectLst/>
            </c:spPr>
          </c:marker>
          <c:cat>
            <c:strLit>
              <c:ptCount val="5"/>
              <c:pt idx="0">
                <c:v>2019</c:v>
              </c:pt>
              <c:pt idx="1">
                <c:v>2020</c:v>
              </c:pt>
              <c:pt idx="2">
                <c:v>2021</c:v>
              </c:pt>
              <c:pt idx="3">
                <c:v>2022</c:v>
              </c:pt>
              <c:pt idx="4">
                <c:v>2023</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'2FI'!$K$46:$K$53</c15:sqref>
                  </c15:fullRef>
                </c:ext>
              </c:extLst>
              <c:f>'2FI'!$K$46:$K$50</c:f>
              <c:numCache>
                <c:formatCode>General</c:formatCode>
                <c:ptCount val="5"/>
                <c:pt idx="3" formatCode="0">
                  <c:v>36501.784529580633</c:v>
                </c:pt>
                <c:pt idx="4" formatCode="0">
                  <c:v>36685.784529580633</c:v>
                </c:pt>
              </c:numCache>
            </c:numRef>
          </c:val>
          <c:smooth val="0"/>
          <c:extLst>
            <c:ext xmlns:c16="http://schemas.microsoft.com/office/drawing/2014/chart" uri="{C3380CC4-5D6E-409C-BE32-E72D297353CC}">
              <c16:uniqueId val="{00000007-B523-41E5-8678-BA6BF566C304}"/>
            </c:ext>
          </c:extLst>
        </c:ser>
        <c:dLbls>
          <c:showLegendKey val="0"/>
          <c:showVal val="0"/>
          <c:showCatName val="0"/>
          <c:showSerName val="0"/>
          <c:showPercent val="0"/>
          <c:showBubbleSize val="0"/>
        </c:dLbls>
        <c:smooth val="0"/>
        <c:axId val="709475840"/>
        <c:axId val="605168576"/>
        <c:extLst>
          <c:ext xmlns:c15="http://schemas.microsoft.com/office/drawing/2012/chart" uri="{02D57815-91ED-43cb-92C2-25804820EDAC}">
            <c15:filteredLineSeries>
              <c15:ser>
                <c:idx val="2"/>
                <c:order val="2"/>
                <c:tx>
                  <c:strRef>
                    <c:extLst>
                      <c:ext uri="{02D57815-91ED-43cb-92C2-25804820EDAC}">
                        <c15:formulaRef>
                          <c15:sqref>'2FI'!$E$45</c15:sqref>
                        </c15:formulaRef>
                      </c:ext>
                    </c:extLst>
                    <c:strCache>
                      <c:ptCount val="1"/>
                      <c:pt idx="0">
                        <c:v>Reescaling factor
</c:v>
                      </c:pt>
                    </c:strCache>
                  </c:strRef>
                </c:tx>
                <c:spPr>
                  <a:ln w="25400" cap="rnd">
                    <a:noFill/>
                    <a:round/>
                  </a:ln>
                  <a:effectLst/>
                </c:spPr>
                <c:marker>
                  <c:symbol val="circle"/>
                  <c:size val="5"/>
                  <c:spPr>
                    <a:solidFill>
                      <a:schemeClr val="accent3"/>
                    </a:solidFill>
                    <a:ln w="9525">
                      <a:solidFill>
                        <a:schemeClr val="accent3"/>
                      </a:solidFill>
                    </a:ln>
                    <a:effectLst/>
                  </c:spPr>
                </c:marker>
                <c:cat>
                  <c:numRef>
                    <c:extLst>
                      <c:ext uri="{02D57815-91ED-43cb-92C2-25804820EDAC}">
                        <c15:fullRef>
                          <c15:sqref>'2FI'!$B$46:$B$53</c15:sqref>
                        </c15:fullRef>
                        <c15:formulaRef>
                          <c15:sqref>'2FI'!$B$46:$B$50</c15:sqref>
                        </c15:formulaRef>
                      </c:ext>
                    </c:extLst>
                    <c:numCache>
                      <c:formatCode>General</c:formatCode>
                      <c:ptCount val="5"/>
                      <c:pt idx="0">
                        <c:v>2019</c:v>
                      </c:pt>
                      <c:pt idx="1">
                        <c:v>2020</c:v>
                      </c:pt>
                      <c:pt idx="2">
                        <c:v>2021</c:v>
                      </c:pt>
                      <c:pt idx="3">
                        <c:v>2022</c:v>
                      </c:pt>
                      <c:pt idx="4">
                        <c:v>2023</c:v>
                      </c:pt>
                    </c:numCache>
                  </c:numRef>
                </c:cat>
                <c:val>
                  <c:numRef>
                    <c:extLst>
                      <c:ext uri="{02D57815-91ED-43cb-92C2-25804820EDAC}">
                        <c15:fullRef>
                          <c15:sqref>'2FI'!$E$46:$E$53</c15:sqref>
                        </c15:fullRef>
                        <c15:formulaRef>
                          <c15:sqref>'2FI'!$E$46:$E$50</c15:sqref>
                        </c15:formulaRef>
                      </c:ext>
                    </c:extLst>
                    <c:numCache>
                      <c:formatCode>General</c:formatCode>
                      <c:ptCount val="5"/>
                    </c:numCache>
                  </c:numRef>
                </c:val>
                <c:smooth val="0"/>
                <c:extLst>
                  <c:ext xmlns:c16="http://schemas.microsoft.com/office/drawing/2014/chart" uri="{C3380CC4-5D6E-409C-BE32-E72D297353CC}">
                    <c16:uniqueId val="{00000008-B523-41E5-8678-BA6BF566C304}"/>
                  </c:ext>
                </c:extLst>
              </c15:ser>
            </c15:filteredLineSeries>
          </c:ext>
        </c:extLst>
      </c:lineChart>
      <c:catAx>
        <c:axId val="709475840"/>
        <c:scaling>
          <c:orientation val="minMax"/>
        </c:scaling>
        <c:delete val="0"/>
        <c:axPos val="b"/>
        <c:numFmt formatCode="General" sourceLinked="1"/>
        <c:majorTickMark val="out"/>
        <c:minorTickMark val="none"/>
        <c:tickLblPos val="nextTo"/>
        <c:spPr>
          <a:noFill/>
          <a:ln w="6350" cap="flat" cmpd="sng" algn="ctr">
            <a:solidFill>
              <a:schemeClr val="tx1"/>
            </a:solidFill>
            <a:round/>
          </a:ln>
          <a:effectLst/>
        </c:spPr>
        <c:txPr>
          <a:bodyPr rot="-60000000" spcFirstLastPara="1" vertOverflow="ellipsis" vert="horz" wrap="square" anchor="ctr" anchorCtr="1"/>
          <a:lstStyle/>
          <a:p>
            <a:pPr>
              <a:defRPr sz="950" b="0" i="0" u="none" strike="noStrike" kern="1200" baseline="0">
                <a:solidFill>
                  <a:schemeClr val="tx1"/>
                </a:solidFill>
                <a:latin typeface="Times New Roman" panose="02020603050405020304" pitchFamily="18" charset="0"/>
                <a:ea typeface="+mn-ea"/>
                <a:cs typeface="+mn-cs"/>
              </a:defRPr>
            </a:pPr>
            <a:endParaRPr lang="es-ES_tradnl"/>
          </a:p>
        </c:txPr>
        <c:crossAx val="605168576"/>
        <c:crosses val="autoZero"/>
        <c:auto val="1"/>
        <c:lblAlgn val="ctr"/>
        <c:lblOffset val="100"/>
        <c:noMultiLvlLbl val="0"/>
      </c:catAx>
      <c:valAx>
        <c:axId val="605168576"/>
        <c:scaling>
          <c:orientation val="minMax"/>
          <c:min val="25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s-ES_tradnl" sz="1050">
                    <a:solidFill>
                      <a:sysClr val="windowText" lastClr="000000"/>
                    </a:solidFill>
                    <a:latin typeface="Times New Roman" panose="02020603050405020304" pitchFamily="18" charset="0"/>
                    <a:cs typeface="Times New Roman" panose="02020603050405020304" pitchFamily="18" charset="0"/>
                  </a:rPr>
                  <a:t>Million euros</a:t>
                </a:r>
              </a:p>
            </c:rich>
          </c:tx>
          <c:layout>
            <c:manualLayout>
              <c:xMode val="edge"/>
              <c:yMode val="edge"/>
              <c:x val="0"/>
              <c:y val="0.27024653144012073"/>
            </c:manualLayout>
          </c:layout>
          <c:overlay val="0"/>
          <c:spPr>
            <a:noFill/>
            <a:ln>
              <a:noFill/>
            </a:ln>
            <a:effectLst/>
          </c:spPr>
          <c:txPr>
            <a:bodyPr rot="-5400000" spcFirstLastPara="1" vertOverflow="ellipsis" vert="horz" wrap="square" anchor="ctr" anchorCtr="1"/>
            <a:lstStyle/>
            <a:p>
              <a:pPr>
                <a:defRPr sz="10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title>
        <c:numFmt formatCode="#,##0" sourceLinked="0"/>
        <c:majorTickMark val="out"/>
        <c:minorTickMark val="none"/>
        <c:tickLblPos val="nextTo"/>
        <c:spPr>
          <a:noFill/>
          <a:ln w="6350">
            <a:solidFill>
              <a:schemeClr val="tx1">
                <a:lumMod val="65000"/>
                <a:lumOff val="35000"/>
              </a:schemeClr>
            </a:solidFill>
          </a:ln>
          <a:effectLst/>
        </c:spPr>
        <c:txPr>
          <a:bodyPr rot="-60000000" spcFirstLastPara="1" vertOverflow="ellipsis" vert="horz" wrap="square" anchor="ctr" anchorCtr="1"/>
          <a:lstStyle/>
          <a:p>
            <a:pPr>
              <a:defRPr sz="950" b="0" i="0" u="none" strike="noStrike" kern="1200" baseline="0">
                <a:solidFill>
                  <a:schemeClr val="tx1"/>
                </a:solidFill>
                <a:latin typeface="Times New Roman" panose="02020603050405020304" pitchFamily="18" charset="0"/>
                <a:ea typeface="+mn-ea"/>
                <a:cs typeface="+mn-cs"/>
              </a:defRPr>
            </a:pPr>
            <a:endParaRPr lang="es-ES_tradnl"/>
          </a:p>
        </c:txPr>
        <c:crossAx val="709475840"/>
        <c:crosses val="autoZero"/>
        <c:crossBetween val="between"/>
      </c:valAx>
      <c:spPr>
        <a:noFill/>
        <a:ln>
          <a:noFill/>
        </a:ln>
        <a:effectLst/>
      </c:spPr>
    </c:plotArea>
    <c:legend>
      <c:legendPos val="b"/>
      <c:layout>
        <c:manualLayout>
          <c:xMode val="edge"/>
          <c:yMode val="edge"/>
          <c:x val="0"/>
          <c:y val="0.73648087849247201"/>
          <c:w val="1"/>
          <c:h val="0.26351912150752793"/>
        </c:manualLayout>
      </c:layout>
      <c:overlay val="0"/>
      <c:spPr>
        <a:noFill/>
        <a:ln>
          <a:noFill/>
        </a:ln>
        <a:effectLst/>
      </c:spPr>
      <c:txPr>
        <a:bodyPr rot="0" spcFirstLastPara="1" vertOverflow="ellipsis" vert="horz" wrap="square" anchor="ctr" anchorCtr="1"/>
        <a:lstStyle/>
        <a:p>
          <a:pPr>
            <a:defRPr sz="9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legend>
    <c:plotVisOnly val="1"/>
    <c:dispBlanksAs val="gap"/>
    <c:showDLblsOverMax val="0"/>
  </c:chart>
  <c:spPr>
    <a:solidFill>
      <a:schemeClr val="bg1"/>
    </a:solidFill>
    <a:ln w="9525" cap="flat" cmpd="sng" algn="ctr">
      <a:noFill/>
      <a:round/>
    </a:ln>
    <a:effectLst/>
  </c:spPr>
  <c:txPr>
    <a:bodyPr/>
    <a:lstStyle/>
    <a:p>
      <a:pPr>
        <a:defRPr/>
      </a:pPr>
      <a:endParaRPr lang="es-ES_tradnl"/>
    </a:p>
  </c:txPr>
  <c:printSettings>
    <c:headerFooter/>
    <c:pageMargins b="0.75" l="0.25" r="0.25" t="0.75" header="0.3" footer="0.3"/>
    <c:pageSetup paperSize="9" orientation="landscape"/>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457409308717575"/>
          <c:y val="4.6087571003560986E-2"/>
          <c:w val="0.82558175067451101"/>
          <c:h val="0.6515011552844524"/>
        </c:manualLayout>
      </c:layout>
      <c:lineChart>
        <c:grouping val="standard"/>
        <c:varyColors val="0"/>
        <c:ser>
          <c:idx val="1"/>
          <c:order val="0"/>
          <c:tx>
            <c:strRef>
              <c:f>'2FI'!$C$64</c:f>
              <c:strCache>
                <c:ptCount val="1"/>
                <c:pt idx="0">
                  <c:v>Baseline simulation
</c:v>
                </c:pt>
              </c:strCache>
            </c:strRef>
          </c:tx>
          <c:spPr>
            <a:ln w="28575" cap="rnd">
              <a:noFill/>
              <a:round/>
            </a:ln>
            <a:effectLst/>
          </c:spPr>
          <c:marker>
            <c:symbol val="circle"/>
            <c:size val="7"/>
            <c:spPr>
              <a:solidFill>
                <a:schemeClr val="tx1"/>
              </a:solidFill>
              <a:ln w="9525">
                <a:noFill/>
              </a:ln>
              <a:effectLst/>
            </c:spPr>
          </c:marker>
          <c:cat>
            <c:numRef>
              <c:extLst>
                <c:ext xmlns:c15="http://schemas.microsoft.com/office/drawing/2012/chart" uri="{02D57815-91ED-43cb-92C2-25804820EDAC}">
                  <c15:fullRef>
                    <c15:sqref>'2FI'!$B$65:$B$72</c15:sqref>
                  </c15:fullRef>
                </c:ext>
              </c:extLst>
              <c:f>'2FI'!$B$65:$B$69</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'2FI'!$C$65:$C$72</c15:sqref>
                  </c15:fullRef>
                </c:ext>
              </c:extLst>
              <c:f>'2FI'!$C$65:$C$69</c:f>
              <c:numCache>
                <c:formatCode>0.00</c:formatCode>
                <c:ptCount val="5"/>
                <c:pt idx="0">
                  <c:v>20.1720793709441</c:v>
                </c:pt>
                <c:pt idx="1">
                  <c:v>19.924211017509339</c:v>
                </c:pt>
                <c:pt idx="2">
                  <c:v>20.043243697064838</c:v>
                </c:pt>
                <c:pt idx="3">
                  <c:v>20.117246575834223</c:v>
                </c:pt>
                <c:pt idx="4">
                  <c:v>20.297213303553796</c:v>
                </c:pt>
              </c:numCache>
            </c:numRef>
          </c:val>
          <c:smooth val="0"/>
          <c:extLst>
            <c:ext xmlns:c16="http://schemas.microsoft.com/office/drawing/2014/chart" uri="{C3380CC4-5D6E-409C-BE32-E72D297353CC}">
              <c16:uniqueId val="{00000000-11DF-4CAE-8A11-81A48841383D}"/>
            </c:ext>
          </c:extLst>
        </c:ser>
        <c:ser>
          <c:idx val="0"/>
          <c:order val="1"/>
          <c:tx>
            <c:strRef>
              <c:f>'2FI'!$D$64</c:f>
              <c:strCache>
                <c:ptCount val="1"/>
                <c:pt idx="0">
                  <c:v>Legislation unchanged since 2019/2023</c:v>
                </c:pt>
              </c:strCache>
            </c:strRef>
          </c:tx>
          <c:spPr>
            <a:ln w="28575" cap="rnd">
              <a:noFill/>
              <a:round/>
            </a:ln>
            <a:effectLst/>
          </c:spPr>
          <c:marker>
            <c:symbol val="circle"/>
            <c:size val="7"/>
            <c:spPr>
              <a:noFill/>
              <a:ln w="25400">
                <a:solidFill>
                  <a:srgbClr val="C00000"/>
                </a:solidFill>
              </a:ln>
              <a:effectLst/>
            </c:spPr>
          </c:marker>
          <c:cat>
            <c:numRef>
              <c:extLst>
                <c:ext xmlns:c15="http://schemas.microsoft.com/office/drawing/2012/chart" uri="{02D57815-91ED-43cb-92C2-25804820EDAC}">
                  <c15:fullRef>
                    <c15:sqref>'2FI'!$B$65:$B$72</c15:sqref>
                  </c15:fullRef>
                </c:ext>
              </c:extLst>
              <c:f>'2FI'!$B$65:$B$69</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'2FI'!$D$65:$D$72</c15:sqref>
                  </c15:fullRef>
                </c:ext>
              </c:extLst>
              <c:f>'2FI'!$D$65:$D$69</c:f>
              <c:numCache>
                <c:formatCode>0.00%</c:formatCode>
                <c:ptCount val="5"/>
                <c:pt idx="4" formatCode="0.00">
                  <c:v>21.756987376797721</c:v>
                </c:pt>
              </c:numCache>
            </c:numRef>
          </c:val>
          <c:smooth val="0"/>
          <c:extLst>
            <c:ext xmlns:c16="http://schemas.microsoft.com/office/drawing/2014/chart" uri="{C3380CC4-5D6E-409C-BE32-E72D297353CC}">
              <c16:uniqueId val="{00000001-11DF-4CAE-8A11-81A48841383D}"/>
            </c:ext>
          </c:extLst>
        </c:ser>
        <c:ser>
          <c:idx val="2"/>
          <c:order val="2"/>
          <c:tx>
            <c:strRef>
              <c:f>'2FI'!$E$64</c:f>
              <c:strCache>
                <c:ptCount val="1"/>
                <c:pt idx="0">
                  <c:v>Index with tax base growth</c:v>
                </c:pt>
              </c:strCache>
            </c:strRef>
          </c:tx>
          <c:spPr>
            <a:ln w="28575" cap="rnd">
              <a:noFill/>
              <a:round/>
            </a:ln>
            <a:effectLst/>
          </c:spPr>
          <c:marker>
            <c:symbol val="square"/>
            <c:size val="6"/>
            <c:spPr>
              <a:noFill/>
              <a:ln w="25400">
                <a:solidFill>
                  <a:schemeClr val="accent6">
                    <a:lumMod val="75000"/>
                  </a:schemeClr>
                </a:solidFill>
              </a:ln>
              <a:effectLst/>
            </c:spPr>
          </c:marker>
          <c:cat>
            <c:numRef>
              <c:extLst>
                <c:ext xmlns:c15="http://schemas.microsoft.com/office/drawing/2012/chart" uri="{02D57815-91ED-43cb-92C2-25804820EDAC}">
                  <c15:fullRef>
                    <c15:sqref>'2FI'!$B$65:$B$72</c15:sqref>
                  </c15:fullRef>
                </c:ext>
              </c:extLst>
              <c:f>'2FI'!$B$65:$B$69</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'2FI'!$E$65:$E$72</c15:sqref>
                  </c15:fullRef>
                </c:ext>
              </c:extLst>
              <c:f>'2FI'!$E$65:$E$69</c:f>
              <c:numCache>
                <c:formatCode>0.00%</c:formatCode>
                <c:ptCount val="5"/>
                <c:pt idx="4" formatCode="0.00">
                  <c:v>20.096954799584623</c:v>
                </c:pt>
              </c:numCache>
            </c:numRef>
          </c:val>
          <c:smooth val="0"/>
          <c:extLst xmlns:c15="http://schemas.microsoft.com/office/drawing/2012/chart">
            <c:ext xmlns:c16="http://schemas.microsoft.com/office/drawing/2014/chart" uri="{C3380CC4-5D6E-409C-BE32-E72D297353CC}">
              <c16:uniqueId val="{00000002-11DF-4CAE-8A11-81A48841383D}"/>
            </c:ext>
          </c:extLst>
        </c:ser>
        <c:ser>
          <c:idx val="3"/>
          <c:order val="3"/>
          <c:tx>
            <c:strRef>
              <c:f>'2FI'!$F$64</c:f>
              <c:strCache>
                <c:ptCount val="1"/>
                <c:pt idx="0">
                  <c:v>Index with lagged HCPI</c:v>
                </c:pt>
              </c:strCache>
            </c:strRef>
          </c:tx>
          <c:spPr>
            <a:ln w="28575" cap="rnd">
              <a:noFill/>
              <a:round/>
            </a:ln>
            <a:effectLst/>
          </c:spPr>
          <c:marker>
            <c:symbol val="diamond"/>
            <c:size val="7"/>
            <c:spPr>
              <a:noFill/>
              <a:ln w="25400">
                <a:solidFill>
                  <a:schemeClr val="accent4"/>
                </a:solidFill>
              </a:ln>
              <a:effectLst/>
            </c:spPr>
          </c:marker>
          <c:cat>
            <c:numRef>
              <c:extLst>
                <c:ext xmlns:c15="http://schemas.microsoft.com/office/drawing/2012/chart" uri="{02D57815-91ED-43cb-92C2-25804820EDAC}">
                  <c15:fullRef>
                    <c15:sqref>'2FI'!$B$65:$B$72</c15:sqref>
                  </c15:fullRef>
                </c:ext>
              </c:extLst>
              <c:f>'2FI'!$B$65:$B$69</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'2FI'!$F$65:$F$72</c15:sqref>
                  </c15:fullRef>
                </c:ext>
              </c:extLst>
              <c:f>'2FI'!$F$65:$F$69</c:f>
              <c:numCache>
                <c:formatCode>0.00%</c:formatCode>
                <c:ptCount val="5"/>
                <c:pt idx="4" formatCode="0.00">
                  <c:v>20.216689530037456</c:v>
                </c:pt>
              </c:numCache>
            </c:numRef>
          </c:val>
          <c:smooth val="0"/>
          <c:extLst>
            <c:ext xmlns:c16="http://schemas.microsoft.com/office/drawing/2014/chart" uri="{C3380CC4-5D6E-409C-BE32-E72D297353CC}">
              <c16:uniqueId val="{00000003-11DF-4CAE-8A11-81A48841383D}"/>
            </c:ext>
          </c:extLst>
        </c:ser>
        <c:ser>
          <c:idx val="4"/>
          <c:order val="4"/>
          <c:tx>
            <c:strRef>
              <c:f>'2FI'!$G$64</c:f>
              <c:strCache>
                <c:ptCount val="1"/>
                <c:pt idx="0">
                  <c:v>Index with concurrent HCPI</c:v>
                </c:pt>
              </c:strCache>
            </c:strRef>
          </c:tx>
          <c:spPr>
            <a:ln w="28575" cap="rnd">
              <a:noFill/>
              <a:round/>
            </a:ln>
            <a:effectLst/>
          </c:spPr>
          <c:marker>
            <c:symbol val="triangle"/>
            <c:size val="6"/>
            <c:spPr>
              <a:noFill/>
              <a:ln w="25400">
                <a:solidFill>
                  <a:schemeClr val="accent5">
                    <a:lumMod val="75000"/>
                  </a:schemeClr>
                </a:solidFill>
              </a:ln>
              <a:effectLst/>
            </c:spPr>
          </c:marker>
          <c:cat>
            <c:numRef>
              <c:extLst>
                <c:ext xmlns:c15="http://schemas.microsoft.com/office/drawing/2012/chart" uri="{02D57815-91ED-43cb-92C2-25804820EDAC}">
                  <c15:fullRef>
                    <c15:sqref>'2FI'!$B$65:$B$72</c15:sqref>
                  </c15:fullRef>
                </c:ext>
              </c:extLst>
              <c:f>'2FI'!$B$65:$B$69</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'2FI'!$G$65:$G$72</c15:sqref>
                  </c15:fullRef>
                </c:ext>
              </c:extLst>
              <c:f>'2FI'!$G$65:$G$69</c:f>
              <c:numCache>
                <c:formatCode>0.00%</c:formatCode>
                <c:ptCount val="5"/>
                <c:pt idx="4" formatCode="0.00">
                  <c:v>19.753155918212233</c:v>
                </c:pt>
              </c:numCache>
            </c:numRef>
          </c:val>
          <c:smooth val="0"/>
          <c:extLst>
            <c:ext xmlns:c16="http://schemas.microsoft.com/office/drawing/2014/chart" uri="{C3380CC4-5D6E-409C-BE32-E72D297353CC}">
              <c16:uniqueId val="{00000004-11DF-4CAE-8A11-81A48841383D}"/>
            </c:ext>
          </c:extLst>
        </c:ser>
        <c:dLbls>
          <c:showLegendKey val="0"/>
          <c:showVal val="0"/>
          <c:showCatName val="0"/>
          <c:showSerName val="0"/>
          <c:showPercent val="0"/>
          <c:showBubbleSize val="0"/>
        </c:dLbls>
        <c:marker val="1"/>
        <c:smooth val="0"/>
        <c:axId val="709475840"/>
        <c:axId val="605168576"/>
        <c:extLst/>
      </c:lineChart>
      <c:catAx>
        <c:axId val="709475840"/>
        <c:scaling>
          <c:orientation val="minMax"/>
        </c:scaling>
        <c:delete val="0"/>
        <c:axPos val="b"/>
        <c:numFmt formatCode="General" sourceLinked="1"/>
        <c:majorTickMark val="out"/>
        <c:minorTickMark val="none"/>
        <c:tickLblPos val="nextTo"/>
        <c:spPr>
          <a:noFill/>
          <a:ln w="635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mn-cs"/>
              </a:defRPr>
            </a:pPr>
            <a:endParaRPr lang="es-ES_tradnl"/>
          </a:p>
        </c:txPr>
        <c:crossAx val="605168576"/>
        <c:crosses val="autoZero"/>
        <c:auto val="1"/>
        <c:lblAlgn val="ctr"/>
        <c:lblOffset val="100"/>
        <c:noMultiLvlLbl val="0"/>
      </c:catAx>
      <c:valAx>
        <c:axId val="6051685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s-ES_tradnl" sz="1050">
                    <a:solidFill>
                      <a:sysClr val="windowText" lastClr="000000"/>
                    </a:solidFill>
                    <a:latin typeface="Times New Roman" panose="02020603050405020304" pitchFamily="18" charset="0"/>
                    <a:cs typeface="Times New Roman" panose="02020603050405020304" pitchFamily="18" charset="0"/>
                  </a:rPr>
                  <a:t>Rate</a:t>
                </a:r>
              </a:p>
            </c:rich>
          </c:tx>
          <c:overlay val="0"/>
          <c:spPr>
            <a:noFill/>
            <a:ln>
              <a:noFill/>
            </a:ln>
            <a:effectLst/>
          </c:spPr>
          <c:txPr>
            <a:bodyPr rot="-5400000" spcFirstLastPara="1" vertOverflow="ellipsis" vert="horz" wrap="square" anchor="ctr" anchorCtr="1"/>
            <a:lstStyle/>
            <a:p>
              <a:pPr>
                <a:defRPr sz="10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title>
        <c:numFmt formatCode="#,##0.0" sourceLinked="0"/>
        <c:majorTickMark val="out"/>
        <c:minorTickMark val="none"/>
        <c:tickLblPos val="nextTo"/>
        <c:spPr>
          <a:noFill/>
          <a:ln w="6350">
            <a:solidFill>
              <a:schemeClr val="tx1">
                <a:lumMod val="65000"/>
                <a:lumOff val="35000"/>
              </a:schemeClr>
            </a:solidFill>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mn-cs"/>
              </a:defRPr>
            </a:pPr>
            <a:endParaRPr lang="es-ES_tradnl"/>
          </a:p>
        </c:txPr>
        <c:crossAx val="709475840"/>
        <c:crosses val="autoZero"/>
        <c:crossBetween val="between"/>
      </c:valAx>
      <c:spPr>
        <a:noFill/>
        <a:ln>
          <a:noFill/>
        </a:ln>
        <a:effectLst/>
      </c:spPr>
    </c:plotArea>
    <c:legend>
      <c:legendPos val="b"/>
      <c:layout>
        <c:manualLayout>
          <c:xMode val="edge"/>
          <c:yMode val="edge"/>
          <c:x val="8.1926620958132398E-2"/>
          <c:y val="0.78900773467278962"/>
          <c:w val="0.8223310520657221"/>
          <c:h val="0.1997652991480407"/>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legend>
    <c:plotVisOnly val="1"/>
    <c:dispBlanksAs val="gap"/>
    <c:showDLblsOverMax val="0"/>
  </c:chart>
  <c:spPr>
    <a:solidFill>
      <a:schemeClr val="bg1"/>
    </a:solidFill>
    <a:ln w="9525" cap="flat" cmpd="sng" algn="ctr">
      <a:noFill/>
      <a:round/>
    </a:ln>
    <a:effectLst/>
  </c:spPr>
  <c:txPr>
    <a:bodyPr/>
    <a:lstStyle/>
    <a:p>
      <a:pPr>
        <a:defRPr/>
      </a:pPr>
      <a:endParaRPr lang="es-ES_tradnl"/>
    </a:p>
  </c:txPr>
  <c:printSettings>
    <c:headerFooter/>
    <c:pageMargins b="0.75" l="0.84" r="0.25" t="0.75" header="0.3" footer="0.3"/>
    <c:pageSetup paperSize="9" orientation="landscape"/>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457409308717575"/>
          <c:y val="4.6087571003560986E-2"/>
          <c:w val="0.82558175067451101"/>
          <c:h val="0.64272676146640684"/>
        </c:manualLayout>
      </c:layout>
      <c:lineChart>
        <c:grouping val="standard"/>
        <c:varyColors val="0"/>
        <c:ser>
          <c:idx val="1"/>
          <c:order val="0"/>
          <c:tx>
            <c:strRef>
              <c:f>'2FI'!$W$45</c:f>
              <c:strCache>
                <c:ptCount val="1"/>
                <c:pt idx="0">
                  <c:v>Observed (National Accounts)</c:v>
                </c:pt>
              </c:strCache>
            </c:strRef>
          </c:tx>
          <c:spPr>
            <a:ln w="25400" cap="rnd">
              <a:solidFill>
                <a:schemeClr val="tx1">
                  <a:lumMod val="65000"/>
                  <a:lumOff val="35000"/>
                </a:schemeClr>
              </a:solidFill>
              <a:prstDash val="sysDash"/>
              <a:round/>
            </a:ln>
            <a:effectLst/>
          </c:spPr>
          <c:marker>
            <c:symbol val="none"/>
          </c:marker>
          <c:cat>
            <c:numRef>
              <c:extLst>
                <c:ext xmlns:c15="http://schemas.microsoft.com/office/drawing/2012/chart" uri="{02D57815-91ED-43cb-92C2-25804820EDAC}">
                  <c15:fullRef>
                    <c15:sqref>'2FI'!$U$46:$U$53</c15:sqref>
                  </c15:fullRef>
                </c:ext>
              </c:extLst>
              <c:f>'2FI'!$U$46:$U$50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'2FI'!$W$46:$W$53</c15:sqref>
                  </c15:fullRef>
                </c:ext>
              </c:extLst>
              <c:f>'2FI'!$W$46:$W$50</c:f>
              <c:numCache>
                <c:formatCode>0.0%</c:formatCode>
                <c:ptCount val="5"/>
                <c:pt idx="0">
                  <c:v>0.12326533007991011</c:v>
                </c:pt>
                <c:pt idx="1">
                  <c:v>0.12637327771831786</c:v>
                </c:pt>
                <c:pt idx="2">
                  <c:v>0.12972134231641233</c:v>
                </c:pt>
                <c:pt idx="3">
                  <c:v>0.13002961025687274</c:v>
                </c:pt>
                <c:pt idx="4">
                  <c:v>0.12727937948192594</c:v>
                </c:pt>
              </c:numCache>
            </c:numRef>
          </c:val>
          <c:smooth val="0"/>
          <c:extLst>
            <c:ext xmlns:c16="http://schemas.microsoft.com/office/drawing/2014/chart" uri="{C3380CC4-5D6E-409C-BE32-E72D297353CC}">
              <c16:uniqueId val="{00000000-684C-43D0-99E7-69F1A9AC5F72}"/>
            </c:ext>
          </c:extLst>
        </c:ser>
        <c:ser>
          <c:idx val="0"/>
          <c:order val="1"/>
          <c:tx>
            <c:strRef>
              <c:f>'2FI'!$V$45</c:f>
              <c:strCache>
                <c:ptCount val="1"/>
                <c:pt idx="0">
                  <c:v>Baseline simulation (before reescaling)</c:v>
                </c:pt>
              </c:strCache>
            </c:strRef>
          </c:tx>
          <c:spPr>
            <a:ln w="25400" cap="rnd">
              <a:noFill/>
              <a:round/>
            </a:ln>
            <a:effectLst/>
          </c:spPr>
          <c:marker>
            <c:symbol val="circle"/>
            <c:size val="8"/>
            <c:spPr>
              <a:solidFill>
                <a:schemeClr val="bg1">
                  <a:lumMod val="85000"/>
                </a:schemeClr>
              </a:solidFill>
              <a:ln w="25400">
                <a:noFill/>
              </a:ln>
              <a:effectLst/>
            </c:spPr>
          </c:marker>
          <c:cat>
            <c:numRef>
              <c:extLst>
                <c:ext xmlns:c15="http://schemas.microsoft.com/office/drawing/2012/chart" uri="{02D57815-91ED-43cb-92C2-25804820EDAC}">
                  <c15:fullRef>
                    <c15:sqref>'2FI'!$U$46:$U$53</c15:sqref>
                  </c15:fullRef>
                </c:ext>
              </c:extLst>
              <c:f>'2FI'!$U$46:$U$50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'2FI'!$V$46:$V$53</c15:sqref>
                  </c15:fullRef>
                </c:ext>
              </c:extLst>
              <c:f>'2FI'!$V$46:$V$50</c:f>
              <c:numCache>
                <c:formatCode>0.0%</c:formatCode>
                <c:ptCount val="5"/>
                <c:pt idx="0">
                  <c:v>0.11792941554091553</c:v>
                </c:pt>
                <c:pt idx="1">
                  <c:v>0.11801843233471072</c:v>
                </c:pt>
                <c:pt idx="2">
                  <c:v>0.11627179127623441</c:v>
                </c:pt>
                <c:pt idx="3">
                  <c:v>0.11238022151322563</c:v>
                </c:pt>
                <c:pt idx="4">
                  <c:v>0.11592308067486465</c:v>
                </c:pt>
              </c:numCache>
            </c:numRef>
          </c:val>
          <c:smooth val="0"/>
          <c:extLst>
            <c:ext xmlns:c16="http://schemas.microsoft.com/office/drawing/2014/chart" uri="{C3380CC4-5D6E-409C-BE32-E72D297353CC}">
              <c16:uniqueId val="{00000001-684C-43D0-99E7-69F1A9AC5F72}"/>
            </c:ext>
          </c:extLst>
        </c:ser>
        <c:ser>
          <c:idx val="3"/>
          <c:order val="2"/>
          <c:tx>
            <c:strRef>
              <c:f>'2FI'!$Y$45</c:f>
              <c:strCache>
                <c:ptCount val="1"/>
                <c:pt idx="0">
                  <c:v>Baseline simulation (after reescaling)</c:v>
                </c:pt>
              </c:strCache>
            </c:strRef>
          </c:tx>
          <c:spPr>
            <a:ln w="25400" cap="rnd">
              <a:noFill/>
              <a:round/>
            </a:ln>
            <a:effectLst/>
          </c:spPr>
          <c:marker>
            <c:symbol val="circle"/>
            <c:size val="7"/>
            <c:spPr>
              <a:solidFill>
                <a:schemeClr val="tx1"/>
              </a:solidFill>
              <a:ln w="9525">
                <a:solidFill>
                  <a:schemeClr val="tx1"/>
                </a:solidFill>
              </a:ln>
              <a:effectLst/>
            </c:spPr>
          </c:marker>
          <c:cat>
            <c:numRef>
              <c:extLst>
                <c:ext xmlns:c15="http://schemas.microsoft.com/office/drawing/2012/chart" uri="{02D57815-91ED-43cb-92C2-25804820EDAC}">
                  <c15:fullRef>
                    <c15:sqref>'2FI'!$U$46:$U$53</c15:sqref>
                  </c15:fullRef>
                </c:ext>
              </c:extLst>
              <c:f>'2FI'!$U$46:$U$50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'2FI'!$Y$46:$Y$53</c15:sqref>
                  </c15:fullRef>
                </c:ext>
              </c:extLst>
              <c:f>'2FI'!$Y$46:$Y$50</c:f>
              <c:numCache>
                <c:formatCode>0.0%</c:formatCode>
                <c:ptCount val="5"/>
                <c:pt idx="0">
                  <c:v>0.12326533007991011</c:v>
                </c:pt>
                <c:pt idx="4">
                  <c:v>0.12727937948192594</c:v>
                </c:pt>
              </c:numCache>
            </c:numRef>
          </c:val>
          <c:smooth val="0"/>
          <c:extLst>
            <c:ext xmlns:c16="http://schemas.microsoft.com/office/drawing/2014/chart" uri="{C3380CC4-5D6E-409C-BE32-E72D297353CC}">
              <c16:uniqueId val="{00000002-684C-43D0-99E7-69F1A9AC5F72}"/>
            </c:ext>
          </c:extLst>
        </c:ser>
        <c:ser>
          <c:idx val="4"/>
          <c:order val="3"/>
          <c:tx>
            <c:strRef>
              <c:f>'2FI'!$Z$45</c:f>
              <c:strCache>
                <c:ptCount val="1"/>
                <c:pt idx="0">
                  <c:v>Unchanged legislation since 2019/2023</c:v>
                </c:pt>
              </c:strCache>
            </c:strRef>
          </c:tx>
          <c:spPr>
            <a:ln w="25400" cap="rnd">
              <a:noFill/>
              <a:round/>
            </a:ln>
            <a:effectLst/>
          </c:spPr>
          <c:marker>
            <c:symbol val="circle"/>
            <c:size val="6"/>
            <c:spPr>
              <a:noFill/>
              <a:ln w="25400">
                <a:solidFill>
                  <a:srgbClr val="C00000"/>
                </a:solidFill>
              </a:ln>
              <a:effectLst/>
            </c:spPr>
          </c:marker>
          <c:cat>
            <c:numRef>
              <c:extLst>
                <c:ext xmlns:c15="http://schemas.microsoft.com/office/drawing/2012/chart" uri="{02D57815-91ED-43cb-92C2-25804820EDAC}">
                  <c15:fullRef>
                    <c15:sqref>'2FI'!$U$46:$U$53</c15:sqref>
                  </c15:fullRef>
                </c:ext>
              </c:extLst>
              <c:f>'2FI'!$U$46:$U$50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'2FI'!$Z$46:$Z$53</c15:sqref>
                  </c15:fullRef>
                </c:ext>
              </c:extLst>
              <c:f>'2FI'!$Z$46:$Z$50</c:f>
              <c:numCache>
                <c:formatCode>0.0%</c:formatCode>
                <c:ptCount val="5"/>
                <c:pt idx="4">
                  <c:v>0.13643330300076481</c:v>
                </c:pt>
              </c:numCache>
            </c:numRef>
          </c:val>
          <c:smooth val="0"/>
          <c:extLst>
            <c:ext xmlns:c16="http://schemas.microsoft.com/office/drawing/2014/chart" uri="{C3380CC4-5D6E-409C-BE32-E72D297353CC}">
              <c16:uniqueId val="{00000003-684C-43D0-99E7-69F1A9AC5F72}"/>
            </c:ext>
          </c:extLst>
        </c:ser>
        <c:ser>
          <c:idx val="5"/>
          <c:order val="4"/>
          <c:tx>
            <c:strRef>
              <c:f>'2FI'!$AA$45</c:f>
              <c:strCache>
                <c:ptCount val="1"/>
                <c:pt idx="0">
                  <c:v>Indexing with tax base growth</c:v>
                </c:pt>
              </c:strCache>
            </c:strRef>
          </c:tx>
          <c:spPr>
            <a:ln w="25400" cap="rnd">
              <a:noFill/>
              <a:round/>
            </a:ln>
            <a:effectLst/>
          </c:spPr>
          <c:marker>
            <c:symbol val="square"/>
            <c:size val="5"/>
            <c:spPr>
              <a:noFill/>
              <a:ln w="25400">
                <a:solidFill>
                  <a:schemeClr val="accent6">
                    <a:lumMod val="75000"/>
                  </a:schemeClr>
                </a:solidFill>
              </a:ln>
              <a:effectLst/>
            </c:spPr>
          </c:marker>
          <c:cat>
            <c:numRef>
              <c:extLst>
                <c:ext xmlns:c15="http://schemas.microsoft.com/office/drawing/2012/chart" uri="{02D57815-91ED-43cb-92C2-25804820EDAC}">
                  <c15:fullRef>
                    <c15:sqref>'2FI'!$U$46:$U$53</c15:sqref>
                  </c15:fullRef>
                </c:ext>
              </c:extLst>
              <c:f>'2FI'!$U$46:$U$50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'2FI'!$AA$46:$AA$53</c15:sqref>
                  </c15:fullRef>
                </c:ext>
              </c:extLst>
              <c:f>'2FI'!$AA$46:$AA$50</c:f>
              <c:numCache>
                <c:formatCode>0.0%</c:formatCode>
                <c:ptCount val="5"/>
                <c:pt idx="4">
                  <c:v>0.12602360226068973</c:v>
                </c:pt>
              </c:numCache>
            </c:numRef>
          </c:val>
          <c:smooth val="0"/>
          <c:extLst>
            <c:ext xmlns:c16="http://schemas.microsoft.com/office/drawing/2014/chart" uri="{C3380CC4-5D6E-409C-BE32-E72D297353CC}">
              <c16:uniqueId val="{00000004-684C-43D0-99E7-69F1A9AC5F72}"/>
            </c:ext>
          </c:extLst>
        </c:ser>
        <c:ser>
          <c:idx val="6"/>
          <c:order val="5"/>
          <c:tx>
            <c:strRef>
              <c:f>'2FI'!$AB$45</c:f>
              <c:strCache>
                <c:ptCount val="1"/>
                <c:pt idx="0">
                  <c:v>Indexing with lagged HCPI</c:v>
                </c:pt>
              </c:strCache>
            </c:strRef>
          </c:tx>
          <c:spPr>
            <a:ln w="25400" cap="rnd">
              <a:noFill/>
              <a:round/>
            </a:ln>
            <a:effectLst/>
          </c:spPr>
          <c:marker>
            <c:symbol val="diamond"/>
            <c:size val="6"/>
            <c:spPr>
              <a:noFill/>
              <a:ln w="25400">
                <a:solidFill>
                  <a:schemeClr val="accent4"/>
                </a:solidFill>
              </a:ln>
              <a:effectLst/>
            </c:spPr>
          </c:marker>
          <c:cat>
            <c:numRef>
              <c:extLst>
                <c:ext xmlns:c15="http://schemas.microsoft.com/office/drawing/2012/chart" uri="{02D57815-91ED-43cb-92C2-25804820EDAC}">
                  <c15:fullRef>
                    <c15:sqref>'2FI'!$U$46:$U$53</c15:sqref>
                  </c15:fullRef>
                </c:ext>
              </c:extLst>
              <c:f>'2FI'!$U$46:$U$50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'2FI'!$AB$46:$AB$53</c15:sqref>
                  </c15:fullRef>
                </c:ext>
              </c:extLst>
              <c:f>'2FI'!$AB$46:$AB$50</c:f>
              <c:numCache>
                <c:formatCode>0.0%</c:formatCode>
                <c:ptCount val="5"/>
                <c:pt idx="4">
                  <c:v>0.12677443253312939</c:v>
                </c:pt>
              </c:numCache>
            </c:numRef>
          </c:val>
          <c:smooth val="0"/>
          <c:extLst>
            <c:ext xmlns:c16="http://schemas.microsoft.com/office/drawing/2014/chart" uri="{C3380CC4-5D6E-409C-BE32-E72D297353CC}">
              <c16:uniqueId val="{00000005-684C-43D0-99E7-69F1A9AC5F72}"/>
            </c:ext>
          </c:extLst>
        </c:ser>
        <c:ser>
          <c:idx val="7"/>
          <c:order val="6"/>
          <c:tx>
            <c:strRef>
              <c:f>'2FI'!$AC$45</c:f>
              <c:strCache>
                <c:ptCount val="1"/>
                <c:pt idx="0">
                  <c:v>Indexing with concurrent HCPI</c:v>
                </c:pt>
              </c:strCache>
            </c:strRef>
          </c:tx>
          <c:spPr>
            <a:ln w="25400" cap="rnd">
              <a:noFill/>
              <a:round/>
            </a:ln>
            <a:effectLst/>
          </c:spPr>
          <c:marker>
            <c:symbol val="triangle"/>
            <c:size val="6"/>
            <c:spPr>
              <a:noFill/>
              <a:ln w="25400">
                <a:solidFill>
                  <a:schemeClr val="accent5">
                    <a:lumMod val="75000"/>
                  </a:schemeClr>
                </a:solidFill>
              </a:ln>
              <a:effectLst/>
            </c:spPr>
          </c:marker>
          <c:cat>
            <c:numRef>
              <c:extLst>
                <c:ext xmlns:c15="http://schemas.microsoft.com/office/drawing/2012/chart" uri="{02D57815-91ED-43cb-92C2-25804820EDAC}">
                  <c15:fullRef>
                    <c15:sqref>'2FI'!$U$46:$U$53</c15:sqref>
                  </c15:fullRef>
                </c:ext>
              </c:extLst>
              <c:f>'2FI'!$U$46:$U$50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'2FI'!$AC$46:$AC$53</c15:sqref>
                  </c15:fullRef>
                </c:ext>
              </c:extLst>
              <c:f>'2FI'!$AC$46:$AC$50</c:f>
              <c:numCache>
                <c:formatCode>0.0%</c:formatCode>
                <c:ptCount val="5"/>
                <c:pt idx="4">
                  <c:v>0.12386771476848921</c:v>
                </c:pt>
              </c:numCache>
            </c:numRef>
          </c:val>
          <c:smooth val="0"/>
          <c:extLst>
            <c:ext xmlns:c16="http://schemas.microsoft.com/office/drawing/2014/chart" uri="{C3380CC4-5D6E-409C-BE32-E72D297353CC}">
              <c16:uniqueId val="{00000006-684C-43D0-99E7-69F1A9AC5F72}"/>
            </c:ext>
          </c:extLst>
        </c:ser>
        <c:dLbls>
          <c:showLegendKey val="0"/>
          <c:showVal val="0"/>
          <c:showCatName val="0"/>
          <c:showSerName val="0"/>
          <c:showPercent val="0"/>
          <c:showBubbleSize val="0"/>
        </c:dLbls>
        <c:smooth val="0"/>
        <c:axId val="709475840"/>
        <c:axId val="605168576"/>
        <c:extLst/>
      </c:lineChart>
      <c:catAx>
        <c:axId val="709475840"/>
        <c:scaling>
          <c:orientation val="minMax"/>
        </c:scaling>
        <c:delete val="0"/>
        <c:axPos val="b"/>
        <c:numFmt formatCode="General" sourceLinked="1"/>
        <c:majorTickMark val="out"/>
        <c:minorTickMark val="none"/>
        <c:tickLblPos val="nextTo"/>
        <c:spPr>
          <a:noFill/>
          <a:ln w="6350" cap="flat" cmpd="sng" algn="ctr">
            <a:solidFill>
              <a:schemeClr val="tx1"/>
            </a:solidFill>
            <a:round/>
          </a:ln>
          <a:effectLst/>
        </c:spPr>
        <c:txPr>
          <a:bodyPr rot="-60000000" spcFirstLastPara="1" vertOverflow="ellipsis" vert="horz" wrap="square" anchor="ctr" anchorCtr="1"/>
          <a:lstStyle/>
          <a:p>
            <a:pPr>
              <a:defRPr sz="950" b="0" i="0" u="none" strike="noStrike" kern="1200" baseline="0">
                <a:solidFill>
                  <a:schemeClr val="tx1"/>
                </a:solidFill>
                <a:latin typeface="Times New Roman" panose="02020603050405020304" pitchFamily="18" charset="0"/>
                <a:ea typeface="+mn-ea"/>
                <a:cs typeface="+mn-cs"/>
              </a:defRPr>
            </a:pPr>
            <a:endParaRPr lang="es-ES_tradnl"/>
          </a:p>
        </c:txPr>
        <c:crossAx val="605168576"/>
        <c:crosses val="autoZero"/>
        <c:auto val="1"/>
        <c:lblAlgn val="ctr"/>
        <c:lblOffset val="100"/>
        <c:noMultiLvlLbl val="0"/>
      </c:catAx>
      <c:valAx>
        <c:axId val="6051685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s-ES_tradnl" sz="1050">
                    <a:solidFill>
                      <a:sysClr val="windowText" lastClr="000000"/>
                    </a:solidFill>
                    <a:latin typeface="Times New Roman" panose="02020603050405020304" pitchFamily="18" charset="0"/>
                    <a:cs typeface="Times New Roman" panose="02020603050405020304" pitchFamily="18" charset="0"/>
                  </a:rPr>
                  <a:t>Share of GDP</a:t>
                </a:r>
              </a:p>
            </c:rich>
          </c:tx>
          <c:overlay val="0"/>
          <c:spPr>
            <a:noFill/>
            <a:ln>
              <a:noFill/>
            </a:ln>
            <a:effectLst/>
          </c:spPr>
        </c:title>
        <c:numFmt formatCode="0%" sourceLinked="0"/>
        <c:majorTickMark val="out"/>
        <c:minorTickMark val="none"/>
        <c:tickLblPos val="nextTo"/>
        <c:spPr>
          <a:noFill/>
          <a:ln w="6350">
            <a:solidFill>
              <a:schemeClr val="tx1">
                <a:lumMod val="65000"/>
                <a:lumOff val="35000"/>
              </a:schemeClr>
            </a:solidFill>
          </a:ln>
          <a:effectLst/>
        </c:spPr>
        <c:txPr>
          <a:bodyPr rot="-60000000" spcFirstLastPara="1" vertOverflow="ellipsis" vert="horz" wrap="square" anchor="ctr" anchorCtr="1"/>
          <a:lstStyle/>
          <a:p>
            <a:pPr>
              <a:defRPr sz="950" b="0" i="0" u="none" strike="noStrike" kern="1200" baseline="0">
                <a:solidFill>
                  <a:schemeClr val="tx1"/>
                </a:solidFill>
                <a:latin typeface="Times New Roman" panose="02020603050405020304" pitchFamily="18" charset="0"/>
                <a:ea typeface="+mn-ea"/>
                <a:cs typeface="+mn-cs"/>
              </a:defRPr>
            </a:pPr>
            <a:endParaRPr lang="es-ES_tradnl"/>
          </a:p>
        </c:txPr>
        <c:crossAx val="709475840"/>
        <c:crosses val="autoZero"/>
        <c:crossBetween val="between"/>
      </c:valAx>
    </c:plotArea>
    <c:legend>
      <c:legendPos val="b"/>
      <c:layout>
        <c:manualLayout>
          <c:xMode val="edge"/>
          <c:yMode val="edge"/>
          <c:x val="0"/>
          <c:y val="0.80216933512597055"/>
          <c:w val="1"/>
          <c:h val="0.19783066487402948"/>
        </c:manualLayout>
      </c:layout>
      <c:overlay val="0"/>
      <c:spPr>
        <a:noFill/>
        <a:ln>
          <a:noFill/>
        </a:ln>
        <a:effectLst/>
      </c:spPr>
      <c:txPr>
        <a:bodyPr rot="0" spcFirstLastPara="1" vertOverflow="ellipsis" vert="horz" wrap="square" anchor="ctr" anchorCtr="1"/>
        <a:lstStyle/>
        <a:p>
          <a:pPr>
            <a:defRPr sz="9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legend>
    <c:plotVisOnly val="1"/>
    <c:dispBlanksAs val="gap"/>
    <c:showDLblsOverMax val="0"/>
  </c:chart>
  <c:spPr>
    <a:solidFill>
      <a:schemeClr val="bg1"/>
    </a:solidFill>
    <a:ln w="9525" cap="flat" cmpd="sng" algn="ctr">
      <a:noFill/>
      <a:round/>
    </a:ln>
    <a:effectLst/>
  </c:spPr>
  <c:txPr>
    <a:bodyPr/>
    <a:lstStyle/>
    <a:p>
      <a:pPr>
        <a:defRPr/>
      </a:pPr>
      <a:endParaRPr lang="es-ES_tradnl"/>
    </a:p>
  </c:txPr>
  <c:printSettings>
    <c:headerFooter/>
    <c:pageMargins b="0.75" l="0.25" r="0.25" t="0.75" header="0.3" footer="0.3"/>
    <c:pageSetup paperSize="9" orientation="landscape"/>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457409308717575"/>
          <c:y val="4.6087571003560986E-2"/>
          <c:w val="0.82558175067451101"/>
          <c:h val="0.64272676146640684"/>
        </c:manualLayout>
      </c:layout>
      <c:lineChart>
        <c:grouping val="standard"/>
        <c:varyColors val="0"/>
        <c:ser>
          <c:idx val="1"/>
          <c:order val="0"/>
          <c:tx>
            <c:strRef>
              <c:f>'2FR'!$D$45</c:f>
              <c:strCache>
                <c:ptCount val="1"/>
                <c:pt idx="0">
                  <c:v>Observed (National Accounts)</c:v>
                </c:pt>
              </c:strCache>
            </c:strRef>
          </c:tx>
          <c:spPr>
            <a:ln w="25400" cap="rnd">
              <a:solidFill>
                <a:schemeClr val="tx1">
                  <a:lumMod val="65000"/>
                  <a:lumOff val="35000"/>
                </a:schemeClr>
              </a:solidFill>
              <a:prstDash val="sysDash"/>
              <a:round/>
            </a:ln>
            <a:effectLst/>
          </c:spPr>
          <c:marker>
            <c:symbol val="none"/>
          </c:marker>
          <c:cat>
            <c:numRef>
              <c:extLst>
                <c:ext xmlns:c15="http://schemas.microsoft.com/office/drawing/2012/chart" uri="{02D57815-91ED-43cb-92C2-25804820EDAC}">
                  <c15:fullRef>
                    <c15:sqref>'2FR'!$B$46:$B$53</c15:sqref>
                  </c15:fullRef>
                </c:ext>
              </c:extLst>
              <c:f>'2FR'!$B$46:$B$50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'2FR'!$D$46:$D$53</c15:sqref>
                  </c15:fullRef>
                </c:ext>
              </c:extLst>
              <c:f>'2FR'!$D$46:$D$50</c:f>
              <c:numCache>
                <c:formatCode>_-* #,##0_-;\-* #,##0_-;_-* "-"??_-;_-@_-</c:formatCode>
                <c:ptCount val="5"/>
                <c:pt idx="0">
                  <c:v>224304</c:v>
                </c:pt>
                <c:pt idx="1">
                  <c:v>218446</c:v>
                </c:pt>
                <c:pt idx="2">
                  <c:v>232139</c:v>
                </c:pt>
                <c:pt idx="3">
                  <c:v>254492</c:v>
                </c:pt>
                <c:pt idx="4">
                  <c:v>262680</c:v>
                </c:pt>
              </c:numCache>
            </c:numRef>
          </c:val>
          <c:smooth val="0"/>
          <c:extLst>
            <c:ext xmlns:c16="http://schemas.microsoft.com/office/drawing/2014/chart" uri="{C3380CC4-5D6E-409C-BE32-E72D297353CC}">
              <c16:uniqueId val="{00000000-16C3-48A6-8DBD-BB72ED4E84E4}"/>
            </c:ext>
          </c:extLst>
        </c:ser>
        <c:ser>
          <c:idx val="0"/>
          <c:order val="1"/>
          <c:tx>
            <c:strRef>
              <c:f>'2FR'!$C$45</c:f>
              <c:strCache>
                <c:ptCount val="1"/>
                <c:pt idx="0">
                  <c:v>Baseline simulation (before reescaling)</c:v>
                </c:pt>
              </c:strCache>
            </c:strRef>
          </c:tx>
          <c:spPr>
            <a:ln w="25400" cap="rnd">
              <a:noFill/>
              <a:round/>
            </a:ln>
            <a:effectLst/>
          </c:spPr>
          <c:marker>
            <c:symbol val="circle"/>
            <c:size val="8"/>
            <c:spPr>
              <a:solidFill>
                <a:schemeClr val="bg1">
                  <a:lumMod val="85000"/>
                </a:schemeClr>
              </a:solidFill>
              <a:ln w="25400">
                <a:noFill/>
              </a:ln>
              <a:effectLst/>
            </c:spPr>
          </c:marker>
          <c:cat>
            <c:numRef>
              <c:extLst>
                <c:ext xmlns:c15="http://schemas.microsoft.com/office/drawing/2012/chart" uri="{02D57815-91ED-43cb-92C2-25804820EDAC}">
                  <c15:fullRef>
                    <c15:sqref>'2FR'!$B$46:$B$53</c15:sqref>
                  </c15:fullRef>
                </c:ext>
              </c:extLst>
              <c:f>'2FR'!$B$46:$B$50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'2FR'!$C$46:$C$53</c15:sqref>
                  </c15:fullRef>
                </c:ext>
              </c:extLst>
              <c:f>'2FR'!$C$46:$C$50</c:f>
              <c:numCache>
                <c:formatCode>_-* #,##0_-;\-* #,##0_-;_-* "-"??_-;_-@_-</c:formatCode>
                <c:ptCount val="5"/>
                <c:pt idx="0">
                  <c:v>201026.96762887744</c:v>
                </c:pt>
                <c:pt idx="1">
                  <c:v>189643.62554408627</c:v>
                </c:pt>
                <c:pt idx="2">
                  <c:v>200068.72753946032</c:v>
                </c:pt>
                <c:pt idx="3">
                  <c:v>209771.39152953387</c:v>
                </c:pt>
                <c:pt idx="4">
                  <c:v>215987.28473020808</c:v>
                </c:pt>
              </c:numCache>
            </c:numRef>
          </c:val>
          <c:smooth val="0"/>
          <c:extLst>
            <c:ext xmlns:c16="http://schemas.microsoft.com/office/drawing/2014/chart" uri="{C3380CC4-5D6E-409C-BE32-E72D297353CC}">
              <c16:uniqueId val="{00000001-16C3-48A6-8DBD-BB72ED4E84E4}"/>
            </c:ext>
          </c:extLst>
        </c:ser>
        <c:ser>
          <c:idx val="3"/>
          <c:order val="3"/>
          <c:tx>
            <c:strRef>
              <c:f>'2FR'!$F$45</c:f>
              <c:strCache>
                <c:ptCount val="1"/>
                <c:pt idx="0">
                  <c:v>Baseline simulation (after reescaling)</c:v>
                </c:pt>
              </c:strCache>
            </c:strRef>
          </c:tx>
          <c:spPr>
            <a:ln w="25400" cap="rnd">
              <a:noFill/>
              <a:round/>
            </a:ln>
            <a:effectLst/>
          </c:spPr>
          <c:marker>
            <c:symbol val="circle"/>
            <c:size val="7"/>
            <c:spPr>
              <a:solidFill>
                <a:schemeClr val="tx1"/>
              </a:solidFill>
              <a:ln w="9525">
                <a:solidFill>
                  <a:schemeClr val="tx1"/>
                </a:solidFill>
              </a:ln>
              <a:effectLst/>
            </c:spPr>
          </c:marker>
          <c:cat>
            <c:numRef>
              <c:extLst>
                <c:ext xmlns:c15="http://schemas.microsoft.com/office/drawing/2012/chart" uri="{02D57815-91ED-43cb-92C2-25804820EDAC}">
                  <c15:fullRef>
                    <c15:sqref>'2FR'!$B$46:$B$53</c15:sqref>
                  </c15:fullRef>
                </c:ext>
              </c:extLst>
              <c:f>'2FR'!$B$46:$B$50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'2FR'!$F$46:$F$53</c15:sqref>
                  </c15:fullRef>
                </c:ext>
              </c:extLst>
              <c:f>'2FR'!$F$46:$F$50</c:f>
              <c:numCache>
                <c:formatCode>General</c:formatCode>
                <c:ptCount val="5"/>
                <c:pt idx="0" formatCode="_-* #,##0_-;\-* #,##0_-;_-* &quot;-&quot;??_-;_-@_-">
                  <c:v>224304</c:v>
                </c:pt>
                <c:pt idx="4" formatCode="_-* #,##0_-;\-* #,##0_-;_-* &quot;-&quot;??_-;_-@_-">
                  <c:v>262679.99999999994</c:v>
                </c:pt>
              </c:numCache>
            </c:numRef>
          </c:val>
          <c:smooth val="0"/>
          <c:extLst>
            <c:ext xmlns:c16="http://schemas.microsoft.com/office/drawing/2014/chart" uri="{C3380CC4-5D6E-409C-BE32-E72D297353CC}">
              <c16:uniqueId val="{00000002-16C3-48A6-8DBD-BB72ED4E84E4}"/>
            </c:ext>
          </c:extLst>
        </c:ser>
        <c:ser>
          <c:idx val="4"/>
          <c:order val="4"/>
          <c:tx>
            <c:strRef>
              <c:f>'2FR'!$G$45</c:f>
              <c:strCache>
                <c:ptCount val="1"/>
                <c:pt idx="0">
                  <c:v>Unchanged legislation since 2019/2023</c:v>
                </c:pt>
              </c:strCache>
            </c:strRef>
          </c:tx>
          <c:spPr>
            <a:ln w="25400" cap="rnd">
              <a:noFill/>
              <a:round/>
            </a:ln>
            <a:effectLst/>
          </c:spPr>
          <c:marker>
            <c:symbol val="circle"/>
            <c:size val="6"/>
            <c:spPr>
              <a:noFill/>
              <a:ln w="25400">
                <a:solidFill>
                  <a:srgbClr val="C00000"/>
                </a:solidFill>
              </a:ln>
              <a:effectLst/>
            </c:spPr>
          </c:marker>
          <c:cat>
            <c:numRef>
              <c:extLst>
                <c:ext xmlns:c15="http://schemas.microsoft.com/office/drawing/2012/chart" uri="{02D57815-91ED-43cb-92C2-25804820EDAC}">
                  <c15:fullRef>
                    <c15:sqref>'2FR'!$B$46:$B$53</c15:sqref>
                  </c15:fullRef>
                </c:ext>
              </c:extLst>
              <c:f>'2FR'!$B$46:$B$50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'2FR'!$G$46:$G$53</c15:sqref>
                  </c15:fullRef>
                </c:ext>
              </c:extLst>
              <c:f>'2FR'!$G$46:$G$50</c:f>
              <c:numCache>
                <c:formatCode>General</c:formatCode>
                <c:ptCount val="5"/>
                <c:pt idx="4" formatCode="_-* #,##0_-;\-* #,##0_-;_-* &quot;-&quot;??_-;_-@_-">
                  <c:v>282896.88637443812</c:v>
                </c:pt>
              </c:numCache>
            </c:numRef>
          </c:val>
          <c:smooth val="0"/>
          <c:extLst>
            <c:ext xmlns:c16="http://schemas.microsoft.com/office/drawing/2014/chart" uri="{C3380CC4-5D6E-409C-BE32-E72D297353CC}">
              <c16:uniqueId val="{00000003-16C3-48A6-8DBD-BB72ED4E84E4}"/>
            </c:ext>
          </c:extLst>
        </c:ser>
        <c:ser>
          <c:idx val="5"/>
          <c:order val="5"/>
          <c:tx>
            <c:strRef>
              <c:f>'2FR'!$H$45</c:f>
              <c:strCache>
                <c:ptCount val="1"/>
                <c:pt idx="0">
                  <c:v>Indexing with tax base growth</c:v>
                </c:pt>
              </c:strCache>
            </c:strRef>
          </c:tx>
          <c:spPr>
            <a:ln w="25400" cap="rnd">
              <a:noFill/>
              <a:round/>
            </a:ln>
            <a:effectLst/>
          </c:spPr>
          <c:marker>
            <c:symbol val="square"/>
            <c:size val="5"/>
            <c:spPr>
              <a:noFill/>
              <a:ln w="25400">
                <a:solidFill>
                  <a:schemeClr val="accent6">
                    <a:lumMod val="75000"/>
                  </a:schemeClr>
                </a:solidFill>
              </a:ln>
              <a:effectLst/>
            </c:spPr>
          </c:marker>
          <c:cat>
            <c:numRef>
              <c:extLst>
                <c:ext xmlns:c15="http://schemas.microsoft.com/office/drawing/2012/chart" uri="{02D57815-91ED-43cb-92C2-25804820EDAC}">
                  <c15:fullRef>
                    <c15:sqref>'2FR'!$B$46:$B$53</c15:sqref>
                  </c15:fullRef>
                </c:ext>
              </c:extLst>
              <c:f>'2FR'!$B$46:$B$50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'2FR'!$H$46:$H$53</c15:sqref>
                  </c15:fullRef>
                </c:ext>
              </c:extLst>
              <c:f>'2FR'!$H$46:$H$50</c:f>
              <c:numCache>
                <c:formatCode>General</c:formatCode>
                <c:ptCount val="5"/>
                <c:pt idx="4" formatCode="_-* #,##0_-;\-* #,##0_-;_-* &quot;-&quot;??_-;_-@_-">
                  <c:v>266822.71564354922</c:v>
                </c:pt>
              </c:numCache>
            </c:numRef>
          </c:val>
          <c:smooth val="0"/>
          <c:extLst>
            <c:ext xmlns:c16="http://schemas.microsoft.com/office/drawing/2014/chart" uri="{C3380CC4-5D6E-409C-BE32-E72D297353CC}">
              <c16:uniqueId val="{00000004-16C3-48A6-8DBD-BB72ED4E84E4}"/>
            </c:ext>
          </c:extLst>
        </c:ser>
        <c:ser>
          <c:idx val="6"/>
          <c:order val="6"/>
          <c:tx>
            <c:strRef>
              <c:f>'2FR'!$I$45</c:f>
              <c:strCache>
                <c:ptCount val="1"/>
                <c:pt idx="0">
                  <c:v>Indexing with lagged HCPI</c:v>
                </c:pt>
              </c:strCache>
            </c:strRef>
          </c:tx>
          <c:spPr>
            <a:ln w="25400" cap="rnd">
              <a:noFill/>
              <a:round/>
            </a:ln>
            <a:effectLst/>
          </c:spPr>
          <c:marker>
            <c:symbol val="diamond"/>
            <c:size val="6"/>
            <c:spPr>
              <a:noFill/>
              <a:ln w="25400">
                <a:solidFill>
                  <a:schemeClr val="accent4"/>
                </a:solidFill>
              </a:ln>
              <a:effectLst/>
            </c:spPr>
          </c:marker>
          <c:cat>
            <c:numRef>
              <c:extLst>
                <c:ext xmlns:c15="http://schemas.microsoft.com/office/drawing/2012/chart" uri="{02D57815-91ED-43cb-92C2-25804820EDAC}">
                  <c15:fullRef>
                    <c15:sqref>'2FR'!$B$46:$B$53</c15:sqref>
                  </c15:fullRef>
                </c:ext>
              </c:extLst>
              <c:f>'2FR'!$B$46:$B$50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'2FR'!$I$46:$I$53</c15:sqref>
                  </c15:fullRef>
                </c:ext>
              </c:extLst>
              <c:f>'2FR'!$I$46:$I$50</c:f>
              <c:numCache>
                <c:formatCode>General</c:formatCode>
                <c:ptCount val="5"/>
                <c:pt idx="4" formatCode="_-* #,##0_-;\-* #,##0_-;_-* &quot;-&quot;??_-;_-@_-">
                  <c:v>264786.63600956794</c:v>
                </c:pt>
              </c:numCache>
            </c:numRef>
          </c:val>
          <c:smooth val="0"/>
          <c:extLst>
            <c:ext xmlns:c16="http://schemas.microsoft.com/office/drawing/2014/chart" uri="{C3380CC4-5D6E-409C-BE32-E72D297353CC}">
              <c16:uniqueId val="{00000005-16C3-48A6-8DBD-BB72ED4E84E4}"/>
            </c:ext>
          </c:extLst>
        </c:ser>
        <c:ser>
          <c:idx val="7"/>
          <c:order val="7"/>
          <c:tx>
            <c:strRef>
              <c:f>'2FR'!$J$45</c:f>
              <c:strCache>
                <c:ptCount val="1"/>
                <c:pt idx="0">
                  <c:v>Indexing with concurrent HCPI</c:v>
                </c:pt>
              </c:strCache>
            </c:strRef>
          </c:tx>
          <c:spPr>
            <a:ln w="25400" cap="rnd">
              <a:noFill/>
              <a:round/>
            </a:ln>
            <a:effectLst/>
          </c:spPr>
          <c:marker>
            <c:symbol val="triangle"/>
            <c:size val="6"/>
            <c:spPr>
              <a:noFill/>
              <a:ln w="25400">
                <a:solidFill>
                  <a:schemeClr val="accent5">
                    <a:lumMod val="75000"/>
                  </a:schemeClr>
                </a:solidFill>
              </a:ln>
              <a:effectLst/>
            </c:spPr>
          </c:marker>
          <c:cat>
            <c:numRef>
              <c:extLst>
                <c:ext xmlns:c15="http://schemas.microsoft.com/office/drawing/2012/chart" uri="{02D57815-91ED-43cb-92C2-25804820EDAC}">
                  <c15:fullRef>
                    <c15:sqref>'2FR'!$B$46:$B$53</c15:sqref>
                  </c15:fullRef>
                </c:ext>
              </c:extLst>
              <c:f>'2FR'!$B$46:$B$50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'2FR'!$J$46:$J$53</c15:sqref>
                  </c15:fullRef>
                </c:ext>
              </c:extLst>
              <c:f>'2FR'!$J$46:$J$50</c:f>
              <c:numCache>
                <c:formatCode>General</c:formatCode>
                <c:ptCount val="5"/>
                <c:pt idx="4" formatCode="_-* #,##0_-;\-* #,##0_-;_-* &quot;-&quot;??_-;_-@_-">
                  <c:v>258934.63014392072</c:v>
                </c:pt>
              </c:numCache>
            </c:numRef>
          </c:val>
          <c:smooth val="0"/>
          <c:extLst>
            <c:ext xmlns:c16="http://schemas.microsoft.com/office/drawing/2014/chart" uri="{C3380CC4-5D6E-409C-BE32-E72D297353CC}">
              <c16:uniqueId val="{00000006-16C3-48A6-8DBD-BB72ED4E84E4}"/>
            </c:ext>
          </c:extLst>
        </c:ser>
        <c:ser>
          <c:idx val="8"/>
          <c:order val="8"/>
          <c:tx>
            <c:strRef>
              <c:f>'2FR'!$K$45</c:f>
              <c:strCache>
                <c:ptCount val="1"/>
                <c:pt idx="0">
                  <c:v>Baseline w/o "indexation measures"</c:v>
                </c:pt>
              </c:strCache>
            </c:strRef>
          </c:tx>
          <c:spPr>
            <a:ln w="28575" cap="rnd">
              <a:noFill/>
              <a:round/>
            </a:ln>
            <a:effectLst/>
          </c:spPr>
          <c:marker>
            <c:symbol val="dash"/>
            <c:size val="9"/>
            <c:spPr>
              <a:solidFill>
                <a:schemeClr val="tx1">
                  <a:lumMod val="65000"/>
                  <a:lumOff val="35000"/>
                </a:schemeClr>
              </a:solidFill>
              <a:ln w="9525">
                <a:solidFill>
                  <a:schemeClr val="tx1">
                    <a:lumMod val="65000"/>
                    <a:lumOff val="35000"/>
                  </a:schemeClr>
                </a:solidFill>
              </a:ln>
              <a:effectLst/>
            </c:spPr>
          </c:marker>
          <c:cat>
            <c:strLit>
              <c:ptCount val="5"/>
              <c:pt idx="0">
                <c:v>2019</c:v>
              </c:pt>
              <c:pt idx="1">
                <c:v>2020</c:v>
              </c:pt>
              <c:pt idx="2">
                <c:v>2021</c:v>
              </c:pt>
              <c:pt idx="3">
                <c:v>2022</c:v>
              </c:pt>
              <c:pt idx="4">
                <c:v>2023</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'2FR'!$K$46:$K$53</c15:sqref>
                  </c15:fullRef>
                </c:ext>
              </c:extLst>
              <c:f>'2FR'!$K$46:$K$50</c:f>
              <c:numCache>
                <c:formatCode>General</c:formatCode>
                <c:ptCount val="5"/>
                <c:pt idx="4" formatCode="_-* #,##0_-;\-* #,##0_-;_-* &quot;-&quot;??_-;_-@_-">
                  <c:v>267482.48627686937</c:v>
                </c:pt>
              </c:numCache>
            </c:numRef>
          </c:val>
          <c:smooth val="0"/>
          <c:extLst>
            <c:ext xmlns:c16="http://schemas.microsoft.com/office/drawing/2014/chart" uri="{C3380CC4-5D6E-409C-BE32-E72D297353CC}">
              <c16:uniqueId val="{00000007-16C3-48A6-8DBD-BB72ED4E84E4}"/>
            </c:ext>
          </c:extLst>
        </c:ser>
        <c:dLbls>
          <c:showLegendKey val="0"/>
          <c:showVal val="0"/>
          <c:showCatName val="0"/>
          <c:showSerName val="0"/>
          <c:showPercent val="0"/>
          <c:showBubbleSize val="0"/>
        </c:dLbls>
        <c:smooth val="0"/>
        <c:axId val="709475840"/>
        <c:axId val="605168576"/>
        <c:extLst>
          <c:ext xmlns:c15="http://schemas.microsoft.com/office/drawing/2012/chart" uri="{02D57815-91ED-43cb-92C2-25804820EDAC}">
            <c15:filteredLineSeries>
              <c15:ser>
                <c:idx val="2"/>
                <c:order val="2"/>
                <c:tx>
                  <c:strRef>
                    <c:extLst>
                      <c:ext uri="{02D57815-91ED-43cb-92C2-25804820EDAC}">
                        <c15:formulaRef>
                          <c15:sqref>'2FR'!$E$45</c15:sqref>
                        </c15:formulaRef>
                      </c:ext>
                    </c:extLst>
                    <c:strCache>
                      <c:ptCount val="1"/>
                      <c:pt idx="0">
                        <c:v>Reescaling factor
</c:v>
                      </c:pt>
                    </c:strCache>
                  </c:strRef>
                </c:tx>
                <c:spPr>
                  <a:ln w="25400" cap="rnd">
                    <a:noFill/>
                    <a:round/>
                  </a:ln>
                  <a:effectLst/>
                </c:spPr>
                <c:marker>
                  <c:symbol val="circle"/>
                  <c:size val="5"/>
                  <c:spPr>
                    <a:solidFill>
                      <a:schemeClr val="accent3"/>
                    </a:solidFill>
                    <a:ln w="9525">
                      <a:solidFill>
                        <a:schemeClr val="accent3"/>
                      </a:solidFill>
                    </a:ln>
                    <a:effectLst/>
                  </c:spPr>
                </c:marker>
                <c:cat>
                  <c:numRef>
                    <c:extLst>
                      <c:ext uri="{02D57815-91ED-43cb-92C2-25804820EDAC}">
                        <c15:fullRef>
                          <c15:sqref>'2FR'!$B$46:$B$53</c15:sqref>
                        </c15:fullRef>
                        <c15:formulaRef>
                          <c15:sqref>'2FR'!$B$46:$B$50</c15:sqref>
                        </c15:formulaRef>
                      </c:ext>
                    </c:extLst>
                    <c:numCache>
                      <c:formatCode>General</c:formatCode>
                      <c:ptCount val="5"/>
                      <c:pt idx="0">
                        <c:v>2019</c:v>
                      </c:pt>
                      <c:pt idx="1">
                        <c:v>2020</c:v>
                      </c:pt>
                      <c:pt idx="2">
                        <c:v>2021</c:v>
                      </c:pt>
                      <c:pt idx="3">
                        <c:v>2022</c:v>
                      </c:pt>
                      <c:pt idx="4">
                        <c:v>2023</c:v>
                      </c:pt>
                    </c:numCache>
                  </c:numRef>
                </c:cat>
                <c:val>
                  <c:numRef>
                    <c:extLst>
                      <c:ext uri="{02D57815-91ED-43cb-92C2-25804820EDAC}">
                        <c15:fullRef>
                          <c15:sqref>'2FR'!$E$46:$E$53</c15:sqref>
                        </c15:fullRef>
                        <c15:formulaRef>
                          <c15:sqref>'2FR'!$E$46:$E$50</c15:sqref>
                        </c15:formulaRef>
                      </c:ext>
                    </c:extLst>
                    <c:numCache>
                      <c:formatCode>General</c:formatCode>
                      <c:ptCount val="5"/>
                    </c:numCache>
                  </c:numRef>
                </c:val>
                <c:smooth val="0"/>
                <c:extLst>
                  <c:ext xmlns:c16="http://schemas.microsoft.com/office/drawing/2014/chart" uri="{C3380CC4-5D6E-409C-BE32-E72D297353CC}">
                    <c16:uniqueId val="{00000008-16C3-48A6-8DBD-BB72ED4E84E4}"/>
                  </c:ext>
                </c:extLst>
              </c15:ser>
            </c15:filteredLineSeries>
          </c:ext>
        </c:extLst>
      </c:lineChart>
      <c:catAx>
        <c:axId val="709475840"/>
        <c:scaling>
          <c:orientation val="minMax"/>
        </c:scaling>
        <c:delete val="0"/>
        <c:axPos val="b"/>
        <c:numFmt formatCode="General" sourceLinked="1"/>
        <c:majorTickMark val="out"/>
        <c:minorTickMark val="none"/>
        <c:tickLblPos val="nextTo"/>
        <c:spPr>
          <a:noFill/>
          <a:ln w="6350" cap="flat" cmpd="sng" algn="ctr">
            <a:solidFill>
              <a:schemeClr val="tx1"/>
            </a:solidFill>
            <a:round/>
          </a:ln>
          <a:effectLst/>
        </c:spPr>
        <c:txPr>
          <a:bodyPr rot="-60000000" spcFirstLastPara="1" vertOverflow="ellipsis" vert="horz" wrap="square" anchor="ctr" anchorCtr="1"/>
          <a:lstStyle/>
          <a:p>
            <a:pPr>
              <a:defRPr sz="950" b="0" i="0" u="none" strike="noStrike" kern="1200" baseline="0">
                <a:solidFill>
                  <a:schemeClr val="tx1"/>
                </a:solidFill>
                <a:latin typeface="Times New Roman" panose="02020603050405020304" pitchFamily="18" charset="0"/>
                <a:ea typeface="+mn-ea"/>
                <a:cs typeface="+mn-cs"/>
              </a:defRPr>
            </a:pPr>
            <a:endParaRPr lang="es-ES_tradnl"/>
          </a:p>
        </c:txPr>
        <c:crossAx val="605168576"/>
        <c:crosses val="autoZero"/>
        <c:auto val="1"/>
        <c:lblAlgn val="ctr"/>
        <c:lblOffset val="100"/>
        <c:noMultiLvlLbl val="0"/>
      </c:catAx>
      <c:valAx>
        <c:axId val="6051685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s-ES_tradnl" sz="1050">
                    <a:solidFill>
                      <a:sysClr val="windowText" lastClr="000000"/>
                    </a:solidFill>
                    <a:latin typeface="Times New Roman" panose="02020603050405020304" pitchFamily="18" charset="0"/>
                    <a:cs typeface="Times New Roman" panose="02020603050405020304" pitchFamily="18" charset="0"/>
                  </a:rPr>
                  <a:t>Million euros</a:t>
                </a:r>
              </a:p>
            </c:rich>
          </c:tx>
          <c:layout>
            <c:manualLayout>
              <c:xMode val="edge"/>
              <c:yMode val="edge"/>
              <c:x val="0"/>
              <c:y val="0.27024653144012073"/>
            </c:manualLayout>
          </c:layout>
          <c:overlay val="0"/>
          <c:spPr>
            <a:noFill/>
            <a:ln>
              <a:noFill/>
            </a:ln>
            <a:effectLst/>
          </c:spPr>
          <c:txPr>
            <a:bodyPr rot="-5400000" spcFirstLastPara="1" vertOverflow="ellipsis" vert="horz" wrap="square" anchor="ctr" anchorCtr="1"/>
            <a:lstStyle/>
            <a:p>
              <a:pPr>
                <a:defRPr sz="10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title>
        <c:numFmt formatCode="#,##0" sourceLinked="0"/>
        <c:majorTickMark val="out"/>
        <c:minorTickMark val="none"/>
        <c:tickLblPos val="nextTo"/>
        <c:spPr>
          <a:noFill/>
          <a:ln w="6350">
            <a:solidFill>
              <a:schemeClr val="tx1">
                <a:lumMod val="65000"/>
                <a:lumOff val="35000"/>
              </a:schemeClr>
            </a:solidFill>
          </a:ln>
          <a:effectLst/>
        </c:spPr>
        <c:txPr>
          <a:bodyPr rot="-60000000" spcFirstLastPara="1" vertOverflow="ellipsis" vert="horz" wrap="square" anchor="ctr" anchorCtr="1"/>
          <a:lstStyle/>
          <a:p>
            <a:pPr>
              <a:defRPr sz="950" b="0" i="0" u="none" strike="noStrike" kern="1200" baseline="0">
                <a:solidFill>
                  <a:schemeClr val="tx1"/>
                </a:solidFill>
                <a:latin typeface="Times New Roman" panose="02020603050405020304" pitchFamily="18" charset="0"/>
                <a:ea typeface="+mn-ea"/>
                <a:cs typeface="+mn-cs"/>
              </a:defRPr>
            </a:pPr>
            <a:endParaRPr lang="es-ES_tradnl"/>
          </a:p>
        </c:txPr>
        <c:crossAx val="709475840"/>
        <c:crosses val="autoZero"/>
        <c:crossBetween val="between"/>
      </c:valAx>
      <c:spPr>
        <a:noFill/>
        <a:ln>
          <a:noFill/>
        </a:ln>
        <a:effectLst/>
      </c:spPr>
    </c:plotArea>
    <c:legend>
      <c:legendPos val="b"/>
      <c:layout>
        <c:manualLayout>
          <c:xMode val="edge"/>
          <c:yMode val="edge"/>
          <c:x val="0"/>
          <c:y val="0.73648087849247201"/>
          <c:w val="1"/>
          <c:h val="0.26351912150752793"/>
        </c:manualLayout>
      </c:layout>
      <c:overlay val="0"/>
      <c:spPr>
        <a:noFill/>
        <a:ln>
          <a:noFill/>
        </a:ln>
        <a:effectLst/>
      </c:spPr>
      <c:txPr>
        <a:bodyPr rot="0" spcFirstLastPara="1" vertOverflow="ellipsis" vert="horz" wrap="square" anchor="ctr" anchorCtr="1"/>
        <a:lstStyle/>
        <a:p>
          <a:pPr>
            <a:defRPr sz="9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legend>
    <c:plotVisOnly val="1"/>
    <c:dispBlanksAs val="gap"/>
    <c:showDLblsOverMax val="0"/>
  </c:chart>
  <c:spPr>
    <a:solidFill>
      <a:schemeClr val="bg1"/>
    </a:solidFill>
    <a:ln w="9525" cap="flat" cmpd="sng" algn="ctr">
      <a:noFill/>
      <a:round/>
    </a:ln>
    <a:effectLst/>
  </c:spPr>
  <c:txPr>
    <a:bodyPr/>
    <a:lstStyle/>
    <a:p>
      <a:pPr>
        <a:defRPr/>
      </a:pPr>
      <a:endParaRPr lang="es-ES_tradnl"/>
    </a:p>
  </c:txPr>
  <c:printSettings>
    <c:headerFooter/>
    <c:pageMargins b="0.75" l="0.25" r="0.25" t="0.75" header="0.3" footer="0.3"/>
    <c:pageSetup paperSize="9" orientation="landscape"/>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457409308717575"/>
          <c:y val="4.6087571003560986E-2"/>
          <c:w val="0.82558175067451101"/>
          <c:h val="0.6515011552844524"/>
        </c:manualLayout>
      </c:layout>
      <c:lineChart>
        <c:grouping val="standard"/>
        <c:varyColors val="0"/>
        <c:ser>
          <c:idx val="1"/>
          <c:order val="0"/>
          <c:tx>
            <c:strRef>
              <c:f>'2FR'!$C$64</c:f>
              <c:strCache>
                <c:ptCount val="1"/>
                <c:pt idx="0">
                  <c:v>Baseline simulation
</c:v>
                </c:pt>
              </c:strCache>
            </c:strRef>
          </c:tx>
          <c:spPr>
            <a:ln w="28575" cap="rnd">
              <a:noFill/>
              <a:round/>
            </a:ln>
            <a:effectLst/>
          </c:spPr>
          <c:marker>
            <c:symbol val="circle"/>
            <c:size val="7"/>
            <c:spPr>
              <a:solidFill>
                <a:schemeClr val="tx1"/>
              </a:solidFill>
              <a:ln w="9525">
                <a:noFill/>
              </a:ln>
              <a:effectLst/>
            </c:spPr>
          </c:marker>
          <c:cat>
            <c:numRef>
              <c:extLst>
                <c:ext xmlns:c15="http://schemas.microsoft.com/office/drawing/2012/chart" uri="{02D57815-91ED-43cb-92C2-25804820EDAC}">
                  <c15:fullRef>
                    <c15:sqref>'2FR'!$B$65:$B$72</c15:sqref>
                  </c15:fullRef>
                </c:ext>
              </c:extLst>
              <c:f>'2FR'!$B$65:$B$69</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'2FR'!$C$65:$C$72</c15:sqref>
                  </c15:fullRef>
                </c:ext>
              </c:extLst>
              <c:f>'2FR'!$C$65:$C$69</c:f>
              <c:numCache>
                <c:formatCode>0.00</c:formatCode>
                <c:ptCount val="5"/>
                <c:pt idx="0">
                  <c:v>15.321550141464787</c:v>
                </c:pt>
                <c:pt idx="1">
                  <c:v>14.755933515720161</c:v>
                </c:pt>
                <c:pt idx="2">
                  <c:v>15.034750997326499</c:v>
                </c:pt>
                <c:pt idx="3">
                  <c:v>15.250255379085576</c:v>
                </c:pt>
                <c:pt idx="4">
                  <c:v>15.170045390908987</c:v>
                </c:pt>
              </c:numCache>
            </c:numRef>
          </c:val>
          <c:smooth val="0"/>
          <c:extLst>
            <c:ext xmlns:c16="http://schemas.microsoft.com/office/drawing/2014/chart" uri="{C3380CC4-5D6E-409C-BE32-E72D297353CC}">
              <c16:uniqueId val="{00000000-BCA9-47BB-994C-8B7FADFA88D2}"/>
            </c:ext>
          </c:extLst>
        </c:ser>
        <c:ser>
          <c:idx val="0"/>
          <c:order val="1"/>
          <c:tx>
            <c:strRef>
              <c:f>'2FR'!$D$64</c:f>
              <c:strCache>
                <c:ptCount val="1"/>
                <c:pt idx="0">
                  <c:v>Legislation unchanged since 2019/2023</c:v>
                </c:pt>
              </c:strCache>
            </c:strRef>
          </c:tx>
          <c:spPr>
            <a:ln w="28575" cap="rnd">
              <a:noFill/>
              <a:round/>
            </a:ln>
            <a:effectLst/>
          </c:spPr>
          <c:marker>
            <c:symbol val="circle"/>
            <c:size val="7"/>
            <c:spPr>
              <a:noFill/>
              <a:ln w="25400">
                <a:solidFill>
                  <a:srgbClr val="C00000"/>
                </a:solidFill>
              </a:ln>
              <a:effectLst/>
            </c:spPr>
          </c:marker>
          <c:cat>
            <c:numRef>
              <c:extLst>
                <c:ext xmlns:c15="http://schemas.microsoft.com/office/drawing/2012/chart" uri="{02D57815-91ED-43cb-92C2-25804820EDAC}">
                  <c15:fullRef>
                    <c15:sqref>'2FR'!$B$65:$B$72</c15:sqref>
                  </c15:fullRef>
                </c:ext>
              </c:extLst>
              <c:f>'2FR'!$B$65:$B$69</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'2FR'!$D$65:$D$72</c15:sqref>
                  </c15:fullRef>
                </c:ext>
              </c:extLst>
              <c:f>'2FR'!$D$65:$D$69</c:f>
              <c:numCache>
                <c:formatCode>0.00%</c:formatCode>
                <c:ptCount val="5"/>
                <c:pt idx="4" formatCode="0.00">
                  <c:v>16.337591774200732</c:v>
                </c:pt>
              </c:numCache>
            </c:numRef>
          </c:val>
          <c:smooth val="0"/>
          <c:extLst>
            <c:ext xmlns:c16="http://schemas.microsoft.com/office/drawing/2014/chart" uri="{C3380CC4-5D6E-409C-BE32-E72D297353CC}">
              <c16:uniqueId val="{00000001-BCA9-47BB-994C-8B7FADFA88D2}"/>
            </c:ext>
          </c:extLst>
        </c:ser>
        <c:ser>
          <c:idx val="2"/>
          <c:order val="2"/>
          <c:tx>
            <c:strRef>
              <c:f>'2FR'!$E$64</c:f>
              <c:strCache>
                <c:ptCount val="1"/>
                <c:pt idx="0">
                  <c:v>Index with tax base growth</c:v>
                </c:pt>
              </c:strCache>
            </c:strRef>
          </c:tx>
          <c:spPr>
            <a:ln w="28575" cap="rnd">
              <a:noFill/>
              <a:round/>
            </a:ln>
            <a:effectLst/>
          </c:spPr>
          <c:marker>
            <c:symbol val="square"/>
            <c:size val="6"/>
            <c:spPr>
              <a:noFill/>
              <a:ln w="25400">
                <a:solidFill>
                  <a:schemeClr val="accent6">
                    <a:lumMod val="75000"/>
                  </a:schemeClr>
                </a:solidFill>
              </a:ln>
              <a:effectLst/>
            </c:spPr>
          </c:marker>
          <c:cat>
            <c:numRef>
              <c:extLst>
                <c:ext xmlns:c15="http://schemas.microsoft.com/office/drawing/2012/chart" uri="{02D57815-91ED-43cb-92C2-25804820EDAC}">
                  <c15:fullRef>
                    <c15:sqref>'2FR'!$B$65:$B$72</c15:sqref>
                  </c15:fullRef>
                </c:ext>
              </c:extLst>
              <c:f>'2FR'!$B$65:$B$69</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'2FR'!$E$65:$E$72</c15:sqref>
                  </c15:fullRef>
                </c:ext>
              </c:extLst>
              <c:f>'2FR'!$E$65:$E$69</c:f>
              <c:numCache>
                <c:formatCode>0.00%</c:formatCode>
                <c:ptCount val="5"/>
                <c:pt idx="4" formatCode="0.00">
                  <c:v>15.40929156250283</c:v>
                </c:pt>
              </c:numCache>
            </c:numRef>
          </c:val>
          <c:smooth val="0"/>
          <c:extLst xmlns:c15="http://schemas.microsoft.com/office/drawing/2012/chart">
            <c:ext xmlns:c16="http://schemas.microsoft.com/office/drawing/2014/chart" uri="{C3380CC4-5D6E-409C-BE32-E72D297353CC}">
              <c16:uniqueId val="{00000002-BCA9-47BB-994C-8B7FADFA88D2}"/>
            </c:ext>
          </c:extLst>
        </c:ser>
        <c:ser>
          <c:idx val="3"/>
          <c:order val="3"/>
          <c:tx>
            <c:strRef>
              <c:f>'2FR'!$F$64</c:f>
              <c:strCache>
                <c:ptCount val="1"/>
                <c:pt idx="0">
                  <c:v>Index with lagged HCPI</c:v>
                </c:pt>
              </c:strCache>
            </c:strRef>
          </c:tx>
          <c:spPr>
            <a:ln w="28575" cap="rnd">
              <a:noFill/>
              <a:round/>
            </a:ln>
            <a:effectLst/>
          </c:spPr>
          <c:marker>
            <c:symbol val="diamond"/>
            <c:size val="7"/>
            <c:spPr>
              <a:noFill/>
              <a:ln w="25400">
                <a:solidFill>
                  <a:schemeClr val="accent4"/>
                </a:solidFill>
              </a:ln>
              <a:effectLst/>
            </c:spPr>
          </c:marker>
          <c:cat>
            <c:numRef>
              <c:extLst>
                <c:ext xmlns:c15="http://schemas.microsoft.com/office/drawing/2012/chart" uri="{02D57815-91ED-43cb-92C2-25804820EDAC}">
                  <c15:fullRef>
                    <c15:sqref>'2FR'!$B$65:$B$72</c15:sqref>
                  </c15:fullRef>
                </c:ext>
              </c:extLst>
              <c:f>'2FR'!$B$65:$B$69</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'2FR'!$F$65:$F$72</c15:sqref>
                  </c15:fullRef>
                </c:ext>
              </c:extLst>
              <c:f>'2FR'!$F$65:$F$69</c:f>
              <c:numCache>
                <c:formatCode>0.00%</c:formatCode>
                <c:ptCount val="5"/>
                <c:pt idx="4" formatCode="0.00">
                  <c:v>15.291705829036248</c:v>
                </c:pt>
              </c:numCache>
            </c:numRef>
          </c:val>
          <c:smooth val="0"/>
          <c:extLst>
            <c:ext xmlns:c16="http://schemas.microsoft.com/office/drawing/2014/chart" uri="{C3380CC4-5D6E-409C-BE32-E72D297353CC}">
              <c16:uniqueId val="{00000003-BCA9-47BB-994C-8B7FADFA88D2}"/>
            </c:ext>
          </c:extLst>
        </c:ser>
        <c:ser>
          <c:idx val="4"/>
          <c:order val="4"/>
          <c:tx>
            <c:strRef>
              <c:f>'2FR'!$G$64</c:f>
              <c:strCache>
                <c:ptCount val="1"/>
                <c:pt idx="0">
                  <c:v>Index with concurrent HCPI</c:v>
                </c:pt>
              </c:strCache>
            </c:strRef>
          </c:tx>
          <c:spPr>
            <a:ln w="28575" cap="rnd">
              <a:noFill/>
              <a:round/>
            </a:ln>
            <a:effectLst/>
          </c:spPr>
          <c:marker>
            <c:symbol val="triangle"/>
            <c:size val="6"/>
            <c:spPr>
              <a:noFill/>
              <a:ln w="25400">
                <a:solidFill>
                  <a:schemeClr val="accent5">
                    <a:lumMod val="75000"/>
                  </a:schemeClr>
                </a:solidFill>
              </a:ln>
              <a:effectLst/>
            </c:spPr>
          </c:marker>
          <c:cat>
            <c:numRef>
              <c:extLst>
                <c:ext xmlns:c15="http://schemas.microsoft.com/office/drawing/2012/chart" uri="{02D57815-91ED-43cb-92C2-25804820EDAC}">
                  <c15:fullRef>
                    <c15:sqref>'2FR'!$B$65:$B$72</c15:sqref>
                  </c15:fullRef>
                </c:ext>
              </c:extLst>
              <c:f>'2FR'!$B$65:$B$69</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'2FR'!$G$65:$G$72</c15:sqref>
                  </c15:fullRef>
                </c:ext>
              </c:extLst>
              <c:f>'2FR'!$G$65:$G$69</c:f>
              <c:numCache>
                <c:formatCode>0.00%</c:formatCode>
                <c:ptCount val="5"/>
                <c:pt idx="4" formatCode="0.00">
                  <c:v>14.953746355114617</c:v>
                </c:pt>
              </c:numCache>
            </c:numRef>
          </c:val>
          <c:smooth val="0"/>
          <c:extLst>
            <c:ext xmlns:c16="http://schemas.microsoft.com/office/drawing/2014/chart" uri="{C3380CC4-5D6E-409C-BE32-E72D297353CC}">
              <c16:uniqueId val="{00000004-BCA9-47BB-994C-8B7FADFA88D2}"/>
            </c:ext>
          </c:extLst>
        </c:ser>
        <c:dLbls>
          <c:showLegendKey val="0"/>
          <c:showVal val="0"/>
          <c:showCatName val="0"/>
          <c:showSerName val="0"/>
          <c:showPercent val="0"/>
          <c:showBubbleSize val="0"/>
        </c:dLbls>
        <c:marker val="1"/>
        <c:smooth val="0"/>
        <c:axId val="709475840"/>
        <c:axId val="605168576"/>
        <c:extLst/>
      </c:lineChart>
      <c:catAx>
        <c:axId val="709475840"/>
        <c:scaling>
          <c:orientation val="minMax"/>
        </c:scaling>
        <c:delete val="0"/>
        <c:axPos val="b"/>
        <c:numFmt formatCode="General" sourceLinked="1"/>
        <c:majorTickMark val="out"/>
        <c:minorTickMark val="none"/>
        <c:tickLblPos val="nextTo"/>
        <c:spPr>
          <a:noFill/>
          <a:ln w="635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mn-cs"/>
              </a:defRPr>
            </a:pPr>
            <a:endParaRPr lang="es-ES_tradnl"/>
          </a:p>
        </c:txPr>
        <c:crossAx val="605168576"/>
        <c:crosses val="autoZero"/>
        <c:auto val="1"/>
        <c:lblAlgn val="ctr"/>
        <c:lblOffset val="100"/>
        <c:noMultiLvlLbl val="0"/>
      </c:catAx>
      <c:valAx>
        <c:axId val="6051685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s-ES_tradnl" sz="1050">
                    <a:solidFill>
                      <a:sysClr val="windowText" lastClr="000000"/>
                    </a:solidFill>
                    <a:latin typeface="Times New Roman" panose="02020603050405020304" pitchFamily="18" charset="0"/>
                    <a:cs typeface="Times New Roman" panose="02020603050405020304" pitchFamily="18" charset="0"/>
                  </a:rPr>
                  <a:t>Rate</a:t>
                </a:r>
              </a:p>
            </c:rich>
          </c:tx>
          <c:overlay val="0"/>
          <c:spPr>
            <a:noFill/>
            <a:ln>
              <a:noFill/>
            </a:ln>
            <a:effectLst/>
          </c:spPr>
          <c:txPr>
            <a:bodyPr rot="-5400000" spcFirstLastPara="1" vertOverflow="ellipsis" vert="horz" wrap="square" anchor="ctr" anchorCtr="1"/>
            <a:lstStyle/>
            <a:p>
              <a:pPr>
                <a:defRPr sz="10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title>
        <c:numFmt formatCode="#,##0.0" sourceLinked="0"/>
        <c:majorTickMark val="out"/>
        <c:minorTickMark val="none"/>
        <c:tickLblPos val="nextTo"/>
        <c:spPr>
          <a:noFill/>
          <a:ln w="6350">
            <a:solidFill>
              <a:schemeClr val="tx1">
                <a:lumMod val="65000"/>
                <a:lumOff val="35000"/>
              </a:schemeClr>
            </a:solidFill>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mn-cs"/>
              </a:defRPr>
            </a:pPr>
            <a:endParaRPr lang="es-ES_tradnl"/>
          </a:p>
        </c:txPr>
        <c:crossAx val="709475840"/>
        <c:crosses val="autoZero"/>
        <c:crossBetween val="between"/>
      </c:valAx>
      <c:spPr>
        <a:noFill/>
        <a:ln>
          <a:noFill/>
        </a:ln>
        <a:effectLst/>
      </c:spPr>
    </c:plotArea>
    <c:legend>
      <c:legendPos val="b"/>
      <c:layout>
        <c:manualLayout>
          <c:xMode val="edge"/>
          <c:yMode val="edge"/>
          <c:x val="8.1926620958132398E-2"/>
          <c:y val="0.78900773467278962"/>
          <c:w val="0.8223310520657221"/>
          <c:h val="0.1997652991480407"/>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legend>
    <c:plotVisOnly val="1"/>
    <c:dispBlanksAs val="gap"/>
    <c:showDLblsOverMax val="0"/>
  </c:chart>
  <c:spPr>
    <a:solidFill>
      <a:schemeClr val="bg1"/>
    </a:solidFill>
    <a:ln w="9525" cap="flat" cmpd="sng" algn="ctr">
      <a:noFill/>
      <a:round/>
    </a:ln>
    <a:effectLst/>
  </c:spPr>
  <c:txPr>
    <a:bodyPr/>
    <a:lstStyle/>
    <a:p>
      <a:pPr>
        <a:defRPr/>
      </a:pPr>
      <a:endParaRPr lang="es-ES_tradnl"/>
    </a:p>
  </c:txPr>
  <c:printSettings>
    <c:headerFooter/>
    <c:pageMargins b="0.75" l="0.84" r="0.25" t="0.75" header="0.3" footer="0.3"/>
    <c:pageSetup paperSize="9" orientation="landscape"/>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457409308717575"/>
          <c:y val="4.6087571003560986E-2"/>
          <c:w val="0.82558175067451101"/>
          <c:h val="0.64272676146640684"/>
        </c:manualLayout>
      </c:layout>
      <c:lineChart>
        <c:grouping val="standard"/>
        <c:varyColors val="0"/>
        <c:ser>
          <c:idx val="1"/>
          <c:order val="0"/>
          <c:tx>
            <c:strRef>
              <c:f>'2FR'!$W$45</c:f>
              <c:strCache>
                <c:ptCount val="1"/>
                <c:pt idx="0">
                  <c:v>Observed (National Accounts)</c:v>
                </c:pt>
              </c:strCache>
            </c:strRef>
          </c:tx>
          <c:spPr>
            <a:ln w="25400" cap="rnd">
              <a:solidFill>
                <a:schemeClr val="tx1">
                  <a:lumMod val="65000"/>
                  <a:lumOff val="35000"/>
                </a:schemeClr>
              </a:solidFill>
              <a:prstDash val="sysDash"/>
              <a:round/>
            </a:ln>
            <a:effectLst/>
          </c:spPr>
          <c:marker>
            <c:symbol val="none"/>
          </c:marker>
          <c:cat>
            <c:numRef>
              <c:extLst>
                <c:ext xmlns:c15="http://schemas.microsoft.com/office/drawing/2012/chart" uri="{02D57815-91ED-43cb-92C2-25804820EDAC}">
                  <c15:fullRef>
                    <c15:sqref>'2FR'!$U$46:$U$53</c15:sqref>
                  </c15:fullRef>
                </c:ext>
              </c:extLst>
              <c:f>'2FR'!$U$46:$U$50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'2FR'!$W$46:$W$53</c15:sqref>
                  </c15:fullRef>
                </c:ext>
              </c:extLst>
              <c:f>'2FR'!$W$46:$W$50</c:f>
              <c:numCache>
                <c:formatCode>0.0%</c:formatCode>
                <c:ptCount val="5"/>
                <c:pt idx="0">
                  <c:v>9.2222413635023662E-2</c:v>
                </c:pt>
                <c:pt idx="1">
                  <c:v>9.4227779608640219E-2</c:v>
                </c:pt>
                <c:pt idx="2">
                  <c:v>9.2555645663533623E-2</c:v>
                </c:pt>
                <c:pt idx="3">
                  <c:v>9.583815834317165E-2</c:v>
                </c:pt>
                <c:pt idx="4">
                  <c:v>9.3067914280298536E-2</c:v>
                </c:pt>
              </c:numCache>
            </c:numRef>
          </c:val>
          <c:smooth val="0"/>
          <c:extLst>
            <c:ext xmlns:c16="http://schemas.microsoft.com/office/drawing/2014/chart" uri="{C3380CC4-5D6E-409C-BE32-E72D297353CC}">
              <c16:uniqueId val="{00000000-94A3-44A9-B72E-A11F79277C91}"/>
            </c:ext>
          </c:extLst>
        </c:ser>
        <c:ser>
          <c:idx val="0"/>
          <c:order val="1"/>
          <c:tx>
            <c:strRef>
              <c:f>'2FR'!$V$45</c:f>
              <c:strCache>
                <c:ptCount val="1"/>
                <c:pt idx="0">
                  <c:v>Baseline simulation (before reescaling)</c:v>
                </c:pt>
              </c:strCache>
            </c:strRef>
          </c:tx>
          <c:spPr>
            <a:ln w="25400" cap="rnd">
              <a:noFill/>
              <a:round/>
            </a:ln>
            <a:effectLst/>
          </c:spPr>
          <c:marker>
            <c:symbol val="circle"/>
            <c:size val="8"/>
            <c:spPr>
              <a:solidFill>
                <a:schemeClr val="bg1">
                  <a:lumMod val="85000"/>
                </a:schemeClr>
              </a:solidFill>
              <a:ln w="25400">
                <a:noFill/>
              </a:ln>
              <a:effectLst/>
            </c:spPr>
          </c:marker>
          <c:cat>
            <c:numRef>
              <c:extLst>
                <c:ext xmlns:c15="http://schemas.microsoft.com/office/drawing/2012/chart" uri="{02D57815-91ED-43cb-92C2-25804820EDAC}">
                  <c15:fullRef>
                    <c15:sqref>'2FR'!$U$46:$U$53</c15:sqref>
                  </c15:fullRef>
                </c:ext>
              </c:extLst>
              <c:f>'2FR'!$U$46:$U$50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'2FR'!$V$46:$V$53</c15:sqref>
                  </c15:fullRef>
                </c:ext>
              </c:extLst>
              <c:f>'2FR'!$V$46:$V$50</c:f>
              <c:numCache>
                <c:formatCode>0.0%</c:formatCode>
                <c:ptCount val="5"/>
                <c:pt idx="0">
                  <c:v>8.2652080036311651E-2</c:v>
                </c:pt>
                <c:pt idx="1">
                  <c:v>8.1803730679214329E-2</c:v>
                </c:pt>
                <c:pt idx="2">
                  <c:v>7.9768975719273105E-2</c:v>
                </c:pt>
                <c:pt idx="3">
                  <c:v>7.8996997301584812E-2</c:v>
                </c:pt>
                <c:pt idx="4">
                  <c:v>7.6524615885889435E-2</c:v>
                </c:pt>
              </c:numCache>
            </c:numRef>
          </c:val>
          <c:smooth val="0"/>
          <c:extLst>
            <c:ext xmlns:c16="http://schemas.microsoft.com/office/drawing/2014/chart" uri="{C3380CC4-5D6E-409C-BE32-E72D297353CC}">
              <c16:uniqueId val="{00000001-94A3-44A9-B72E-A11F79277C91}"/>
            </c:ext>
          </c:extLst>
        </c:ser>
        <c:ser>
          <c:idx val="3"/>
          <c:order val="2"/>
          <c:tx>
            <c:strRef>
              <c:f>'2FR'!$Y$45</c:f>
              <c:strCache>
                <c:ptCount val="1"/>
                <c:pt idx="0">
                  <c:v>Baseline simulation (after reescaling)</c:v>
                </c:pt>
              </c:strCache>
            </c:strRef>
          </c:tx>
          <c:spPr>
            <a:ln w="25400" cap="rnd">
              <a:noFill/>
              <a:round/>
            </a:ln>
            <a:effectLst/>
          </c:spPr>
          <c:marker>
            <c:symbol val="circle"/>
            <c:size val="7"/>
            <c:spPr>
              <a:solidFill>
                <a:schemeClr val="tx1"/>
              </a:solidFill>
              <a:ln w="9525">
                <a:solidFill>
                  <a:schemeClr val="tx1"/>
                </a:solidFill>
              </a:ln>
              <a:effectLst/>
            </c:spPr>
          </c:marker>
          <c:cat>
            <c:numRef>
              <c:extLst>
                <c:ext xmlns:c15="http://schemas.microsoft.com/office/drawing/2012/chart" uri="{02D57815-91ED-43cb-92C2-25804820EDAC}">
                  <c15:fullRef>
                    <c15:sqref>'2FR'!$U$46:$U$53</c15:sqref>
                  </c15:fullRef>
                </c:ext>
              </c:extLst>
              <c:f>'2FR'!$U$46:$U$50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'2FR'!$Y$46:$Y$53</c15:sqref>
                  </c15:fullRef>
                </c:ext>
              </c:extLst>
              <c:f>'2FR'!$Y$46:$Y$50</c:f>
              <c:numCache>
                <c:formatCode>0.0%</c:formatCode>
                <c:ptCount val="5"/>
                <c:pt idx="0">
                  <c:v>9.2222413635023662E-2</c:v>
                </c:pt>
                <c:pt idx="4">
                  <c:v>9.3067914280298522E-2</c:v>
                </c:pt>
              </c:numCache>
            </c:numRef>
          </c:val>
          <c:smooth val="0"/>
          <c:extLst>
            <c:ext xmlns:c16="http://schemas.microsoft.com/office/drawing/2014/chart" uri="{C3380CC4-5D6E-409C-BE32-E72D297353CC}">
              <c16:uniqueId val="{00000002-94A3-44A9-B72E-A11F79277C91}"/>
            </c:ext>
          </c:extLst>
        </c:ser>
        <c:ser>
          <c:idx val="4"/>
          <c:order val="3"/>
          <c:tx>
            <c:strRef>
              <c:f>'2FR'!$Z$45</c:f>
              <c:strCache>
                <c:ptCount val="1"/>
                <c:pt idx="0">
                  <c:v>Unchanged legislation since 2019/2023</c:v>
                </c:pt>
              </c:strCache>
            </c:strRef>
          </c:tx>
          <c:spPr>
            <a:ln w="25400" cap="rnd">
              <a:noFill/>
              <a:round/>
            </a:ln>
            <a:effectLst/>
          </c:spPr>
          <c:marker>
            <c:symbol val="circle"/>
            <c:size val="6"/>
            <c:spPr>
              <a:noFill/>
              <a:ln w="25400">
                <a:solidFill>
                  <a:srgbClr val="C00000"/>
                </a:solidFill>
              </a:ln>
              <a:effectLst/>
            </c:spPr>
          </c:marker>
          <c:cat>
            <c:numRef>
              <c:extLst>
                <c:ext xmlns:c15="http://schemas.microsoft.com/office/drawing/2012/chart" uri="{02D57815-91ED-43cb-92C2-25804820EDAC}">
                  <c15:fullRef>
                    <c15:sqref>'2FR'!$U$46:$U$53</c15:sqref>
                  </c15:fullRef>
                </c:ext>
              </c:extLst>
              <c:f>'2FR'!$U$46:$U$50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'2FR'!$Z$46:$Z$53</c15:sqref>
                  </c15:fullRef>
                </c:ext>
              </c:extLst>
              <c:f>'2FR'!$Z$46:$Z$50</c:f>
              <c:numCache>
                <c:formatCode>0.0%</c:formatCode>
                <c:ptCount val="5"/>
                <c:pt idx="4">
                  <c:v>0.10023078716026938</c:v>
                </c:pt>
              </c:numCache>
            </c:numRef>
          </c:val>
          <c:smooth val="0"/>
          <c:extLst>
            <c:ext xmlns:c16="http://schemas.microsoft.com/office/drawing/2014/chart" uri="{C3380CC4-5D6E-409C-BE32-E72D297353CC}">
              <c16:uniqueId val="{00000003-94A3-44A9-B72E-A11F79277C91}"/>
            </c:ext>
          </c:extLst>
        </c:ser>
        <c:ser>
          <c:idx val="5"/>
          <c:order val="4"/>
          <c:tx>
            <c:strRef>
              <c:f>'2FR'!$AA$45</c:f>
              <c:strCache>
                <c:ptCount val="1"/>
                <c:pt idx="0">
                  <c:v>Indexing with tax base growth</c:v>
                </c:pt>
              </c:strCache>
            </c:strRef>
          </c:tx>
          <c:spPr>
            <a:ln w="25400" cap="rnd">
              <a:noFill/>
              <a:round/>
            </a:ln>
            <a:effectLst/>
          </c:spPr>
          <c:marker>
            <c:symbol val="square"/>
            <c:size val="5"/>
            <c:spPr>
              <a:noFill/>
              <a:ln w="25400">
                <a:solidFill>
                  <a:schemeClr val="accent6">
                    <a:lumMod val="75000"/>
                  </a:schemeClr>
                </a:solidFill>
              </a:ln>
              <a:effectLst/>
            </c:spPr>
          </c:marker>
          <c:cat>
            <c:numRef>
              <c:extLst>
                <c:ext xmlns:c15="http://schemas.microsoft.com/office/drawing/2012/chart" uri="{02D57815-91ED-43cb-92C2-25804820EDAC}">
                  <c15:fullRef>
                    <c15:sqref>'2FR'!$U$46:$U$53</c15:sqref>
                  </c15:fullRef>
                </c:ext>
              </c:extLst>
              <c:f>'2FR'!$U$46:$U$50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'2FR'!$AA$46:$AA$53</c15:sqref>
                  </c15:fullRef>
                </c:ext>
              </c:extLst>
              <c:f>'2FR'!$AA$46:$AA$50</c:f>
              <c:numCache>
                <c:formatCode>0.0%</c:formatCode>
                <c:ptCount val="5"/>
                <c:pt idx="4">
                  <c:v>9.4535684587902805E-2</c:v>
                </c:pt>
              </c:numCache>
            </c:numRef>
          </c:val>
          <c:smooth val="0"/>
          <c:extLst>
            <c:ext xmlns:c16="http://schemas.microsoft.com/office/drawing/2014/chart" uri="{C3380CC4-5D6E-409C-BE32-E72D297353CC}">
              <c16:uniqueId val="{00000004-94A3-44A9-B72E-A11F79277C91}"/>
            </c:ext>
          </c:extLst>
        </c:ser>
        <c:ser>
          <c:idx val="6"/>
          <c:order val="5"/>
          <c:tx>
            <c:strRef>
              <c:f>'2FR'!$AB$45</c:f>
              <c:strCache>
                <c:ptCount val="1"/>
                <c:pt idx="0">
                  <c:v>Indexing with lagged HCPI</c:v>
                </c:pt>
              </c:strCache>
            </c:strRef>
          </c:tx>
          <c:spPr>
            <a:ln w="25400" cap="rnd">
              <a:noFill/>
              <a:round/>
            </a:ln>
            <a:effectLst/>
          </c:spPr>
          <c:marker>
            <c:symbol val="diamond"/>
            <c:size val="6"/>
            <c:spPr>
              <a:noFill/>
              <a:ln w="25400">
                <a:solidFill>
                  <a:schemeClr val="accent4"/>
                </a:solidFill>
              </a:ln>
              <a:effectLst/>
            </c:spPr>
          </c:marker>
          <c:cat>
            <c:numRef>
              <c:extLst>
                <c:ext xmlns:c15="http://schemas.microsoft.com/office/drawing/2012/chart" uri="{02D57815-91ED-43cb-92C2-25804820EDAC}">
                  <c15:fullRef>
                    <c15:sqref>'2FR'!$U$46:$U$53</c15:sqref>
                  </c15:fullRef>
                </c:ext>
              </c:extLst>
              <c:f>'2FR'!$U$46:$U$50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'2FR'!$AB$46:$AB$53</c15:sqref>
                  </c15:fullRef>
                </c:ext>
              </c:extLst>
              <c:f>'2FR'!$AB$46:$AB$50</c:f>
              <c:numCache>
                <c:formatCode>0.0%</c:formatCode>
                <c:ptCount val="5"/>
                <c:pt idx="4">
                  <c:v>9.3814298548450886E-2</c:v>
                </c:pt>
              </c:numCache>
            </c:numRef>
          </c:val>
          <c:smooth val="0"/>
          <c:extLst>
            <c:ext xmlns:c16="http://schemas.microsoft.com/office/drawing/2014/chart" uri="{C3380CC4-5D6E-409C-BE32-E72D297353CC}">
              <c16:uniqueId val="{00000005-94A3-44A9-B72E-A11F79277C91}"/>
            </c:ext>
          </c:extLst>
        </c:ser>
        <c:ser>
          <c:idx val="7"/>
          <c:order val="6"/>
          <c:tx>
            <c:strRef>
              <c:f>'2FR'!$AC$45</c:f>
              <c:strCache>
                <c:ptCount val="1"/>
                <c:pt idx="0">
                  <c:v>Indexing with concurrent HCPI</c:v>
                </c:pt>
              </c:strCache>
            </c:strRef>
          </c:tx>
          <c:spPr>
            <a:ln w="25400" cap="rnd">
              <a:noFill/>
              <a:round/>
            </a:ln>
            <a:effectLst/>
          </c:spPr>
          <c:marker>
            <c:symbol val="triangle"/>
            <c:size val="6"/>
            <c:spPr>
              <a:noFill/>
              <a:ln w="25400">
                <a:solidFill>
                  <a:schemeClr val="accent5">
                    <a:lumMod val="75000"/>
                  </a:schemeClr>
                </a:solidFill>
              </a:ln>
              <a:effectLst/>
            </c:spPr>
          </c:marker>
          <c:cat>
            <c:numRef>
              <c:extLst>
                <c:ext xmlns:c15="http://schemas.microsoft.com/office/drawing/2012/chart" uri="{02D57815-91ED-43cb-92C2-25804820EDAC}">
                  <c15:fullRef>
                    <c15:sqref>'2FR'!$U$46:$U$53</c15:sqref>
                  </c15:fullRef>
                </c:ext>
              </c:extLst>
              <c:f>'2FR'!$U$46:$U$50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'2FR'!$AC$46:$AC$53</c15:sqref>
                  </c15:fullRef>
                </c:ext>
              </c:extLst>
              <c:f>'2FR'!$AC$46:$AC$50</c:f>
              <c:numCache>
                <c:formatCode>0.0%</c:formatCode>
                <c:ptCount val="5"/>
                <c:pt idx="4">
                  <c:v>9.174092417555664E-2</c:v>
                </c:pt>
              </c:numCache>
            </c:numRef>
          </c:val>
          <c:smooth val="0"/>
          <c:extLst>
            <c:ext xmlns:c16="http://schemas.microsoft.com/office/drawing/2014/chart" uri="{C3380CC4-5D6E-409C-BE32-E72D297353CC}">
              <c16:uniqueId val="{00000006-94A3-44A9-B72E-A11F79277C91}"/>
            </c:ext>
          </c:extLst>
        </c:ser>
        <c:dLbls>
          <c:showLegendKey val="0"/>
          <c:showVal val="0"/>
          <c:showCatName val="0"/>
          <c:showSerName val="0"/>
          <c:showPercent val="0"/>
          <c:showBubbleSize val="0"/>
        </c:dLbls>
        <c:smooth val="0"/>
        <c:axId val="709475840"/>
        <c:axId val="605168576"/>
        <c:extLst/>
      </c:lineChart>
      <c:catAx>
        <c:axId val="709475840"/>
        <c:scaling>
          <c:orientation val="minMax"/>
        </c:scaling>
        <c:delete val="0"/>
        <c:axPos val="b"/>
        <c:numFmt formatCode="General" sourceLinked="1"/>
        <c:majorTickMark val="out"/>
        <c:minorTickMark val="none"/>
        <c:tickLblPos val="nextTo"/>
        <c:spPr>
          <a:noFill/>
          <a:ln w="6350" cap="flat" cmpd="sng" algn="ctr">
            <a:solidFill>
              <a:schemeClr val="tx1"/>
            </a:solidFill>
            <a:round/>
          </a:ln>
          <a:effectLst/>
        </c:spPr>
        <c:txPr>
          <a:bodyPr rot="-60000000" spcFirstLastPara="1" vertOverflow="ellipsis" vert="horz" wrap="square" anchor="ctr" anchorCtr="1"/>
          <a:lstStyle/>
          <a:p>
            <a:pPr>
              <a:defRPr sz="950" b="0" i="0" u="none" strike="noStrike" kern="1200" baseline="0">
                <a:solidFill>
                  <a:schemeClr val="tx1"/>
                </a:solidFill>
                <a:latin typeface="Times New Roman" panose="02020603050405020304" pitchFamily="18" charset="0"/>
                <a:ea typeface="+mn-ea"/>
                <a:cs typeface="+mn-cs"/>
              </a:defRPr>
            </a:pPr>
            <a:endParaRPr lang="es-ES_tradnl"/>
          </a:p>
        </c:txPr>
        <c:crossAx val="605168576"/>
        <c:crosses val="autoZero"/>
        <c:auto val="1"/>
        <c:lblAlgn val="ctr"/>
        <c:lblOffset val="100"/>
        <c:noMultiLvlLbl val="0"/>
      </c:catAx>
      <c:valAx>
        <c:axId val="6051685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s-ES_tradnl" sz="1050">
                    <a:solidFill>
                      <a:sysClr val="windowText" lastClr="000000"/>
                    </a:solidFill>
                    <a:latin typeface="Times New Roman" panose="02020603050405020304" pitchFamily="18" charset="0"/>
                    <a:cs typeface="Times New Roman" panose="02020603050405020304" pitchFamily="18" charset="0"/>
                  </a:rPr>
                  <a:t>Share of GDP</a:t>
                </a:r>
              </a:p>
            </c:rich>
          </c:tx>
          <c:overlay val="0"/>
          <c:spPr>
            <a:noFill/>
            <a:ln>
              <a:noFill/>
            </a:ln>
            <a:effectLst/>
          </c:spPr>
        </c:title>
        <c:numFmt formatCode="0%" sourceLinked="0"/>
        <c:majorTickMark val="out"/>
        <c:minorTickMark val="none"/>
        <c:tickLblPos val="nextTo"/>
        <c:spPr>
          <a:noFill/>
          <a:ln w="6350">
            <a:solidFill>
              <a:schemeClr val="tx1">
                <a:lumMod val="65000"/>
                <a:lumOff val="35000"/>
              </a:schemeClr>
            </a:solidFill>
          </a:ln>
          <a:effectLst/>
        </c:spPr>
        <c:txPr>
          <a:bodyPr rot="-60000000" spcFirstLastPara="1" vertOverflow="ellipsis" vert="horz" wrap="square" anchor="ctr" anchorCtr="1"/>
          <a:lstStyle/>
          <a:p>
            <a:pPr>
              <a:defRPr sz="950" b="0" i="0" u="none" strike="noStrike" kern="1200" baseline="0">
                <a:solidFill>
                  <a:schemeClr val="tx1"/>
                </a:solidFill>
                <a:latin typeface="Times New Roman" panose="02020603050405020304" pitchFamily="18" charset="0"/>
                <a:ea typeface="+mn-ea"/>
                <a:cs typeface="+mn-cs"/>
              </a:defRPr>
            </a:pPr>
            <a:endParaRPr lang="es-ES_tradnl"/>
          </a:p>
        </c:txPr>
        <c:crossAx val="709475840"/>
        <c:crosses val="autoZero"/>
        <c:crossBetween val="between"/>
      </c:valAx>
    </c:plotArea>
    <c:legend>
      <c:legendPos val="b"/>
      <c:layout>
        <c:manualLayout>
          <c:xMode val="edge"/>
          <c:yMode val="edge"/>
          <c:x val="0"/>
          <c:y val="0.80216933512597055"/>
          <c:w val="1"/>
          <c:h val="0.19783066487402948"/>
        </c:manualLayout>
      </c:layout>
      <c:overlay val="0"/>
      <c:spPr>
        <a:noFill/>
        <a:ln>
          <a:noFill/>
        </a:ln>
        <a:effectLst/>
      </c:spPr>
      <c:txPr>
        <a:bodyPr rot="0" spcFirstLastPara="1" vertOverflow="ellipsis" vert="horz" wrap="square" anchor="ctr" anchorCtr="1"/>
        <a:lstStyle/>
        <a:p>
          <a:pPr>
            <a:defRPr sz="9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legend>
    <c:plotVisOnly val="1"/>
    <c:dispBlanksAs val="gap"/>
    <c:showDLblsOverMax val="0"/>
  </c:chart>
  <c:spPr>
    <a:solidFill>
      <a:schemeClr val="bg1"/>
    </a:solidFill>
    <a:ln w="9525" cap="flat" cmpd="sng" algn="ctr">
      <a:noFill/>
      <a:round/>
    </a:ln>
    <a:effectLst/>
  </c:spPr>
  <c:txPr>
    <a:bodyPr/>
    <a:lstStyle/>
    <a:p>
      <a:pPr>
        <a:defRPr/>
      </a:pPr>
      <a:endParaRPr lang="es-ES_tradnl"/>
    </a:p>
  </c:txPr>
  <c:printSettings>
    <c:headerFooter/>
    <c:pageMargins b="0.75" l="0.25" r="0.25" t="0.75" header="0.3" footer="0.3"/>
    <c:pageSetup paperSize="9" orientation="landscape"/>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457409308717575"/>
          <c:y val="4.6087571003560986E-2"/>
          <c:w val="0.82558175067451101"/>
          <c:h val="0.64272676146640684"/>
        </c:manualLayout>
      </c:layout>
      <c:lineChart>
        <c:grouping val="standard"/>
        <c:varyColors val="0"/>
        <c:ser>
          <c:idx val="1"/>
          <c:order val="0"/>
          <c:tx>
            <c:strRef>
              <c:f>'2HR'!$D$45</c:f>
              <c:strCache>
                <c:ptCount val="1"/>
                <c:pt idx="0">
                  <c:v>Observed (National Accounts)</c:v>
                </c:pt>
              </c:strCache>
            </c:strRef>
          </c:tx>
          <c:spPr>
            <a:ln w="25400" cap="rnd">
              <a:solidFill>
                <a:schemeClr val="tx1">
                  <a:lumMod val="65000"/>
                  <a:lumOff val="35000"/>
                </a:schemeClr>
              </a:solidFill>
              <a:prstDash val="sysDash"/>
              <a:round/>
            </a:ln>
            <a:effectLst/>
          </c:spPr>
          <c:marker>
            <c:symbol val="none"/>
          </c:marker>
          <c:cat>
            <c:numRef>
              <c:extLst>
                <c:ext xmlns:c15="http://schemas.microsoft.com/office/drawing/2012/chart" uri="{02D57815-91ED-43cb-92C2-25804820EDAC}">
                  <c15:fullRef>
                    <c15:sqref>'2HR'!$B$46:$B$53</c15:sqref>
                  </c15:fullRef>
                </c:ext>
              </c:extLst>
              <c:f>'2HR'!$B$46:$B$50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'2HR'!$D$46:$D$53</c15:sqref>
                  </c15:fullRef>
                </c:ext>
              </c:extLst>
              <c:f>'2HR'!$D$46:$D$50</c:f>
              <c:numCache>
                <c:formatCode>_-* #,##0_-;\-* #,##0_-;_-* "-"??_-;_-@_-</c:formatCode>
                <c:ptCount val="5"/>
                <c:pt idx="0">
                  <c:v>1755</c:v>
                </c:pt>
                <c:pt idx="1">
                  <c:v>1651</c:v>
                </c:pt>
                <c:pt idx="2">
                  <c:v>1520</c:v>
                </c:pt>
                <c:pt idx="3">
                  <c:v>1856</c:v>
                </c:pt>
                <c:pt idx="4">
                  <c:v>2409</c:v>
                </c:pt>
              </c:numCache>
            </c:numRef>
          </c:val>
          <c:smooth val="0"/>
          <c:extLst>
            <c:ext xmlns:c16="http://schemas.microsoft.com/office/drawing/2014/chart" uri="{C3380CC4-5D6E-409C-BE32-E72D297353CC}">
              <c16:uniqueId val="{00000000-5B1D-4611-8C99-F8F172A81165}"/>
            </c:ext>
          </c:extLst>
        </c:ser>
        <c:ser>
          <c:idx val="0"/>
          <c:order val="1"/>
          <c:tx>
            <c:strRef>
              <c:f>'2HR'!$C$45</c:f>
              <c:strCache>
                <c:ptCount val="1"/>
                <c:pt idx="0">
                  <c:v>Baseline simulation (before reescaling)</c:v>
                </c:pt>
              </c:strCache>
            </c:strRef>
          </c:tx>
          <c:spPr>
            <a:ln w="25400" cap="rnd">
              <a:noFill/>
              <a:round/>
            </a:ln>
            <a:effectLst/>
          </c:spPr>
          <c:marker>
            <c:symbol val="circle"/>
            <c:size val="8"/>
            <c:spPr>
              <a:solidFill>
                <a:schemeClr val="bg1">
                  <a:lumMod val="85000"/>
                </a:schemeClr>
              </a:solidFill>
              <a:ln w="25400">
                <a:noFill/>
              </a:ln>
              <a:effectLst/>
            </c:spPr>
          </c:marker>
          <c:cat>
            <c:numRef>
              <c:extLst>
                <c:ext xmlns:c15="http://schemas.microsoft.com/office/drawing/2012/chart" uri="{02D57815-91ED-43cb-92C2-25804820EDAC}">
                  <c15:fullRef>
                    <c15:sqref>'2HR'!$B$46:$B$53</c15:sqref>
                  </c15:fullRef>
                </c:ext>
              </c:extLst>
              <c:f>'2HR'!$B$46:$B$50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'2HR'!$C$46:$C$53</c15:sqref>
                  </c15:fullRef>
                </c:ext>
              </c:extLst>
              <c:f>'2HR'!$C$46:$C$50</c:f>
              <c:numCache>
                <c:formatCode>_-* #,##0_-;\-* #,##0_-;_-* "-"??_-;_-@_-</c:formatCode>
                <c:ptCount val="5"/>
                <c:pt idx="0">
                  <c:v>1282.3764749807963</c:v>
                </c:pt>
                <c:pt idx="1">
                  <c:v>1135.5463891032009</c:v>
                </c:pt>
                <c:pt idx="2">
                  <c:v>1181.2678791119999</c:v>
                </c:pt>
                <c:pt idx="3">
                  <c:v>1381.2383567376005</c:v>
                </c:pt>
                <c:pt idx="4">
                  <c:v>1620.0272913624015</c:v>
                </c:pt>
              </c:numCache>
            </c:numRef>
          </c:val>
          <c:smooth val="0"/>
          <c:extLst>
            <c:ext xmlns:c16="http://schemas.microsoft.com/office/drawing/2014/chart" uri="{C3380CC4-5D6E-409C-BE32-E72D297353CC}">
              <c16:uniqueId val="{00000001-5B1D-4611-8C99-F8F172A81165}"/>
            </c:ext>
          </c:extLst>
        </c:ser>
        <c:ser>
          <c:idx val="3"/>
          <c:order val="3"/>
          <c:tx>
            <c:strRef>
              <c:f>'2HR'!$F$45</c:f>
              <c:strCache>
                <c:ptCount val="1"/>
                <c:pt idx="0">
                  <c:v>Baseline simulation (after reescaling)</c:v>
                </c:pt>
              </c:strCache>
            </c:strRef>
          </c:tx>
          <c:spPr>
            <a:ln w="25400" cap="rnd">
              <a:noFill/>
              <a:round/>
            </a:ln>
            <a:effectLst/>
          </c:spPr>
          <c:marker>
            <c:symbol val="circle"/>
            <c:size val="7"/>
            <c:spPr>
              <a:solidFill>
                <a:schemeClr val="tx1"/>
              </a:solidFill>
              <a:ln w="9525">
                <a:solidFill>
                  <a:schemeClr val="tx1"/>
                </a:solidFill>
              </a:ln>
              <a:effectLst/>
            </c:spPr>
          </c:marker>
          <c:cat>
            <c:numRef>
              <c:extLst>
                <c:ext xmlns:c15="http://schemas.microsoft.com/office/drawing/2012/chart" uri="{02D57815-91ED-43cb-92C2-25804820EDAC}">
                  <c15:fullRef>
                    <c15:sqref>'2HR'!$B$46:$B$53</c15:sqref>
                  </c15:fullRef>
                </c:ext>
              </c:extLst>
              <c:f>'2HR'!$B$46:$B$50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'2HR'!$F$46:$F$53</c15:sqref>
                  </c15:fullRef>
                </c:ext>
              </c:extLst>
              <c:f>'2HR'!$F$46:$F$50</c:f>
              <c:numCache>
                <c:formatCode>General</c:formatCode>
                <c:ptCount val="5"/>
                <c:pt idx="0" formatCode="_-* #,##0_-;\-* #,##0_-;_-* &quot;-&quot;??_-;_-@_-">
                  <c:v>1755</c:v>
                </c:pt>
                <c:pt idx="4" formatCode="_-* #,##0_-;\-* #,##0_-;_-* &quot;-&quot;??_-;_-@_-">
                  <c:v>2409</c:v>
                </c:pt>
              </c:numCache>
            </c:numRef>
          </c:val>
          <c:smooth val="0"/>
          <c:extLst>
            <c:ext xmlns:c16="http://schemas.microsoft.com/office/drawing/2014/chart" uri="{C3380CC4-5D6E-409C-BE32-E72D297353CC}">
              <c16:uniqueId val="{00000002-5B1D-4611-8C99-F8F172A81165}"/>
            </c:ext>
          </c:extLst>
        </c:ser>
        <c:ser>
          <c:idx val="4"/>
          <c:order val="4"/>
          <c:tx>
            <c:strRef>
              <c:f>'2HR'!$G$45</c:f>
              <c:strCache>
                <c:ptCount val="1"/>
                <c:pt idx="0">
                  <c:v>Unchanged legislation since 2019/2023</c:v>
                </c:pt>
              </c:strCache>
            </c:strRef>
          </c:tx>
          <c:spPr>
            <a:ln w="25400" cap="rnd">
              <a:noFill/>
              <a:round/>
            </a:ln>
            <a:effectLst/>
          </c:spPr>
          <c:marker>
            <c:symbol val="circle"/>
            <c:size val="6"/>
            <c:spPr>
              <a:noFill/>
              <a:ln w="25400">
                <a:solidFill>
                  <a:srgbClr val="C00000"/>
                </a:solidFill>
              </a:ln>
              <a:effectLst/>
            </c:spPr>
          </c:marker>
          <c:cat>
            <c:numRef>
              <c:extLst>
                <c:ext xmlns:c15="http://schemas.microsoft.com/office/drawing/2012/chart" uri="{02D57815-91ED-43cb-92C2-25804820EDAC}">
                  <c15:fullRef>
                    <c15:sqref>'2HR'!$B$46:$B$53</c15:sqref>
                  </c15:fullRef>
                </c:ext>
              </c:extLst>
              <c:f>'2HR'!$B$46:$B$50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'2HR'!$G$46:$G$53</c15:sqref>
                  </c15:fullRef>
                </c:ext>
              </c:extLst>
              <c:f>'2HR'!$G$46:$G$50</c:f>
              <c:numCache>
                <c:formatCode>General</c:formatCode>
                <c:ptCount val="5"/>
                <c:pt idx="4" formatCode="_-* #,##0_-;\-* #,##0_-;_-* &quot;-&quot;??_-;_-@_-">
                  <c:v>3348.7804852495447</c:v>
                </c:pt>
              </c:numCache>
            </c:numRef>
          </c:val>
          <c:smooth val="0"/>
          <c:extLst>
            <c:ext xmlns:c16="http://schemas.microsoft.com/office/drawing/2014/chart" uri="{C3380CC4-5D6E-409C-BE32-E72D297353CC}">
              <c16:uniqueId val="{00000003-5B1D-4611-8C99-F8F172A81165}"/>
            </c:ext>
          </c:extLst>
        </c:ser>
        <c:ser>
          <c:idx val="5"/>
          <c:order val="5"/>
          <c:tx>
            <c:strRef>
              <c:f>'2HR'!$H$45</c:f>
              <c:strCache>
                <c:ptCount val="1"/>
                <c:pt idx="0">
                  <c:v>Indexing with tax base growth</c:v>
                </c:pt>
              </c:strCache>
            </c:strRef>
          </c:tx>
          <c:spPr>
            <a:ln w="25400" cap="rnd">
              <a:noFill/>
              <a:round/>
            </a:ln>
            <a:effectLst/>
          </c:spPr>
          <c:marker>
            <c:symbol val="square"/>
            <c:size val="5"/>
            <c:spPr>
              <a:noFill/>
              <a:ln w="25400">
                <a:solidFill>
                  <a:schemeClr val="accent6">
                    <a:lumMod val="75000"/>
                  </a:schemeClr>
                </a:solidFill>
              </a:ln>
              <a:effectLst/>
            </c:spPr>
          </c:marker>
          <c:cat>
            <c:numRef>
              <c:extLst>
                <c:ext xmlns:c15="http://schemas.microsoft.com/office/drawing/2012/chart" uri="{02D57815-91ED-43cb-92C2-25804820EDAC}">
                  <c15:fullRef>
                    <c15:sqref>'2HR'!$B$46:$B$53</c15:sqref>
                  </c15:fullRef>
                </c:ext>
              </c:extLst>
              <c:f>'2HR'!$B$46:$B$50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'2HR'!$H$46:$H$53</c15:sqref>
                  </c15:fullRef>
                </c:ext>
              </c:extLst>
              <c:f>'2HR'!$H$46:$H$50</c:f>
              <c:numCache>
                <c:formatCode>General</c:formatCode>
                <c:ptCount val="5"/>
                <c:pt idx="4" formatCode="_-* #,##0_-;\-* #,##0_-;_-* &quot;-&quot;??_-;_-@_-">
                  <c:v>2551.8704607149434</c:v>
                </c:pt>
              </c:numCache>
            </c:numRef>
          </c:val>
          <c:smooth val="0"/>
          <c:extLst>
            <c:ext xmlns:c16="http://schemas.microsoft.com/office/drawing/2014/chart" uri="{C3380CC4-5D6E-409C-BE32-E72D297353CC}">
              <c16:uniqueId val="{00000004-5B1D-4611-8C99-F8F172A81165}"/>
            </c:ext>
          </c:extLst>
        </c:ser>
        <c:ser>
          <c:idx val="6"/>
          <c:order val="6"/>
          <c:tx>
            <c:strRef>
              <c:f>'2HR'!$I$45</c:f>
              <c:strCache>
                <c:ptCount val="1"/>
                <c:pt idx="0">
                  <c:v>Indexing with lagged HCPI</c:v>
                </c:pt>
              </c:strCache>
            </c:strRef>
          </c:tx>
          <c:spPr>
            <a:ln w="25400" cap="rnd">
              <a:noFill/>
              <a:round/>
            </a:ln>
            <a:effectLst/>
          </c:spPr>
          <c:marker>
            <c:symbol val="diamond"/>
            <c:size val="6"/>
            <c:spPr>
              <a:noFill/>
              <a:ln w="25400">
                <a:solidFill>
                  <a:schemeClr val="accent4"/>
                </a:solidFill>
              </a:ln>
              <a:effectLst/>
            </c:spPr>
          </c:marker>
          <c:cat>
            <c:numRef>
              <c:extLst>
                <c:ext xmlns:c15="http://schemas.microsoft.com/office/drawing/2012/chart" uri="{02D57815-91ED-43cb-92C2-25804820EDAC}">
                  <c15:fullRef>
                    <c15:sqref>'2HR'!$B$46:$B$53</c15:sqref>
                  </c15:fullRef>
                </c:ext>
              </c:extLst>
              <c:f>'2HR'!$B$46:$B$50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'2HR'!$I$46:$I$53</c15:sqref>
                  </c15:fullRef>
                </c:ext>
              </c:extLst>
              <c:f>'2HR'!$I$46:$I$50</c:f>
              <c:numCache>
                <c:formatCode>General</c:formatCode>
                <c:ptCount val="5"/>
                <c:pt idx="4" formatCode="_-* #,##0_-;\-* #,##0_-;_-* &quot;-&quot;??_-;_-@_-">
                  <c:v>2864.7362726776987</c:v>
                </c:pt>
              </c:numCache>
            </c:numRef>
          </c:val>
          <c:smooth val="0"/>
          <c:extLst>
            <c:ext xmlns:c16="http://schemas.microsoft.com/office/drawing/2014/chart" uri="{C3380CC4-5D6E-409C-BE32-E72D297353CC}">
              <c16:uniqueId val="{00000005-5B1D-4611-8C99-F8F172A81165}"/>
            </c:ext>
          </c:extLst>
        </c:ser>
        <c:ser>
          <c:idx val="7"/>
          <c:order val="7"/>
          <c:tx>
            <c:strRef>
              <c:f>'2HR'!$J$45</c:f>
              <c:strCache>
                <c:ptCount val="1"/>
                <c:pt idx="0">
                  <c:v>Indexing with concurrent HCPI</c:v>
                </c:pt>
              </c:strCache>
            </c:strRef>
          </c:tx>
          <c:spPr>
            <a:ln w="25400" cap="rnd">
              <a:noFill/>
              <a:round/>
            </a:ln>
            <a:effectLst/>
          </c:spPr>
          <c:marker>
            <c:symbol val="triangle"/>
            <c:size val="6"/>
            <c:spPr>
              <a:noFill/>
              <a:ln w="25400">
                <a:solidFill>
                  <a:schemeClr val="accent5">
                    <a:lumMod val="75000"/>
                  </a:schemeClr>
                </a:solidFill>
              </a:ln>
              <a:effectLst/>
            </c:spPr>
          </c:marker>
          <c:cat>
            <c:numRef>
              <c:extLst>
                <c:ext xmlns:c15="http://schemas.microsoft.com/office/drawing/2012/chart" uri="{02D57815-91ED-43cb-92C2-25804820EDAC}">
                  <c15:fullRef>
                    <c15:sqref>'2HR'!$B$46:$B$53</c15:sqref>
                  </c15:fullRef>
                </c:ext>
              </c:extLst>
              <c:f>'2HR'!$B$46:$B$50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'2HR'!$J$46:$J$53</c15:sqref>
                  </c15:fullRef>
                </c:ext>
              </c:extLst>
              <c:f>'2HR'!$J$46:$J$50</c:f>
              <c:numCache>
                <c:formatCode>General</c:formatCode>
                <c:ptCount val="5"/>
                <c:pt idx="4" formatCode="_-* #,##0_-;\-* #,##0_-;_-* &quot;-&quot;??_-;_-@_-">
                  <c:v>2621.3854049683846</c:v>
                </c:pt>
              </c:numCache>
            </c:numRef>
          </c:val>
          <c:smooth val="0"/>
          <c:extLst>
            <c:ext xmlns:c16="http://schemas.microsoft.com/office/drawing/2014/chart" uri="{C3380CC4-5D6E-409C-BE32-E72D297353CC}">
              <c16:uniqueId val="{00000006-5B1D-4611-8C99-F8F172A81165}"/>
            </c:ext>
          </c:extLst>
        </c:ser>
        <c:ser>
          <c:idx val="8"/>
          <c:order val="8"/>
          <c:tx>
            <c:strRef>
              <c:f>'2HR'!$K$45</c:f>
              <c:strCache>
                <c:ptCount val="1"/>
                <c:pt idx="0">
                  <c:v>Baseline w/o "indexation measures"</c:v>
                </c:pt>
              </c:strCache>
            </c:strRef>
          </c:tx>
          <c:spPr>
            <a:ln w="28575" cap="rnd">
              <a:noFill/>
              <a:round/>
            </a:ln>
            <a:effectLst/>
          </c:spPr>
          <c:marker>
            <c:symbol val="dash"/>
            <c:size val="9"/>
            <c:spPr>
              <a:solidFill>
                <a:schemeClr val="tx1">
                  <a:lumMod val="65000"/>
                  <a:lumOff val="35000"/>
                </a:schemeClr>
              </a:solidFill>
              <a:ln w="9525">
                <a:solidFill>
                  <a:schemeClr val="tx1">
                    <a:lumMod val="65000"/>
                    <a:lumOff val="35000"/>
                  </a:schemeClr>
                </a:solidFill>
              </a:ln>
              <a:effectLst/>
            </c:spPr>
          </c:marker>
          <c:cat>
            <c:strLit>
              <c:ptCount val="5"/>
              <c:pt idx="0">
                <c:v>2019</c:v>
              </c:pt>
              <c:pt idx="1">
                <c:v>2020</c:v>
              </c:pt>
              <c:pt idx="2">
                <c:v>2021</c:v>
              </c:pt>
              <c:pt idx="3">
                <c:v>2022</c:v>
              </c:pt>
              <c:pt idx="4">
                <c:v>2023</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'2HR'!$K$46:$K$53</c15:sqref>
                  </c15:fullRef>
                </c:ext>
              </c:extLst>
              <c:f>'2HR'!$K$46:$K$50</c:f>
              <c:numCache>
                <c:formatCode>General</c:formatCode>
                <c:ptCount val="5"/>
                <c:pt idx="4" formatCode="_-* #,##0_-;\-* #,##0_-;_-* &quot;-&quot;??_-;_-@_-">
                  <c:v>2409</c:v>
                </c:pt>
              </c:numCache>
            </c:numRef>
          </c:val>
          <c:smooth val="0"/>
          <c:extLst>
            <c:ext xmlns:c16="http://schemas.microsoft.com/office/drawing/2014/chart" uri="{C3380CC4-5D6E-409C-BE32-E72D297353CC}">
              <c16:uniqueId val="{00000007-5B1D-4611-8C99-F8F172A81165}"/>
            </c:ext>
          </c:extLst>
        </c:ser>
        <c:dLbls>
          <c:showLegendKey val="0"/>
          <c:showVal val="0"/>
          <c:showCatName val="0"/>
          <c:showSerName val="0"/>
          <c:showPercent val="0"/>
          <c:showBubbleSize val="0"/>
        </c:dLbls>
        <c:smooth val="0"/>
        <c:axId val="709475840"/>
        <c:axId val="605168576"/>
        <c:extLst>
          <c:ext xmlns:c15="http://schemas.microsoft.com/office/drawing/2012/chart" uri="{02D57815-91ED-43cb-92C2-25804820EDAC}">
            <c15:filteredLineSeries>
              <c15:ser>
                <c:idx val="2"/>
                <c:order val="2"/>
                <c:tx>
                  <c:strRef>
                    <c:extLst>
                      <c:ext uri="{02D57815-91ED-43cb-92C2-25804820EDAC}">
                        <c15:formulaRef>
                          <c15:sqref>'2HR'!$E$45</c15:sqref>
                        </c15:formulaRef>
                      </c:ext>
                    </c:extLst>
                    <c:strCache>
                      <c:ptCount val="1"/>
                      <c:pt idx="0">
                        <c:v>Reescaling factor
</c:v>
                      </c:pt>
                    </c:strCache>
                  </c:strRef>
                </c:tx>
                <c:spPr>
                  <a:ln w="25400" cap="rnd">
                    <a:noFill/>
                    <a:round/>
                  </a:ln>
                  <a:effectLst/>
                </c:spPr>
                <c:marker>
                  <c:symbol val="circle"/>
                  <c:size val="5"/>
                  <c:spPr>
                    <a:solidFill>
                      <a:schemeClr val="accent3"/>
                    </a:solidFill>
                    <a:ln w="9525">
                      <a:solidFill>
                        <a:schemeClr val="accent3"/>
                      </a:solidFill>
                    </a:ln>
                    <a:effectLst/>
                  </c:spPr>
                </c:marker>
                <c:cat>
                  <c:numRef>
                    <c:extLst>
                      <c:ext uri="{02D57815-91ED-43cb-92C2-25804820EDAC}">
                        <c15:fullRef>
                          <c15:sqref>'2HR'!$B$46:$B$53</c15:sqref>
                        </c15:fullRef>
                        <c15:formulaRef>
                          <c15:sqref>'2HR'!$B$46:$B$50</c15:sqref>
                        </c15:formulaRef>
                      </c:ext>
                    </c:extLst>
                    <c:numCache>
                      <c:formatCode>General</c:formatCode>
                      <c:ptCount val="5"/>
                      <c:pt idx="0">
                        <c:v>2019</c:v>
                      </c:pt>
                      <c:pt idx="1">
                        <c:v>2020</c:v>
                      </c:pt>
                      <c:pt idx="2">
                        <c:v>2021</c:v>
                      </c:pt>
                      <c:pt idx="3">
                        <c:v>2022</c:v>
                      </c:pt>
                      <c:pt idx="4">
                        <c:v>2023</c:v>
                      </c:pt>
                    </c:numCache>
                  </c:numRef>
                </c:cat>
                <c:val>
                  <c:numRef>
                    <c:extLst>
                      <c:ext uri="{02D57815-91ED-43cb-92C2-25804820EDAC}">
                        <c15:fullRef>
                          <c15:sqref>'2HR'!$E$46:$E$53</c15:sqref>
                        </c15:fullRef>
                        <c15:formulaRef>
                          <c15:sqref>'2HR'!$E$46:$E$50</c15:sqref>
                        </c15:formulaRef>
                      </c:ext>
                    </c:extLst>
                    <c:numCache>
                      <c:formatCode>General</c:formatCode>
                      <c:ptCount val="5"/>
                    </c:numCache>
                  </c:numRef>
                </c:val>
                <c:smooth val="0"/>
                <c:extLst>
                  <c:ext xmlns:c16="http://schemas.microsoft.com/office/drawing/2014/chart" uri="{C3380CC4-5D6E-409C-BE32-E72D297353CC}">
                    <c16:uniqueId val="{00000008-5B1D-4611-8C99-F8F172A81165}"/>
                  </c:ext>
                </c:extLst>
              </c15:ser>
            </c15:filteredLineSeries>
          </c:ext>
        </c:extLst>
      </c:lineChart>
      <c:catAx>
        <c:axId val="709475840"/>
        <c:scaling>
          <c:orientation val="minMax"/>
        </c:scaling>
        <c:delete val="0"/>
        <c:axPos val="b"/>
        <c:numFmt formatCode="General" sourceLinked="1"/>
        <c:majorTickMark val="out"/>
        <c:minorTickMark val="none"/>
        <c:tickLblPos val="nextTo"/>
        <c:spPr>
          <a:noFill/>
          <a:ln w="6350" cap="flat" cmpd="sng" algn="ctr">
            <a:solidFill>
              <a:schemeClr val="tx1"/>
            </a:solidFill>
            <a:round/>
          </a:ln>
          <a:effectLst/>
        </c:spPr>
        <c:txPr>
          <a:bodyPr rot="-60000000" spcFirstLastPara="1" vertOverflow="ellipsis" vert="horz" wrap="square" anchor="ctr" anchorCtr="1"/>
          <a:lstStyle/>
          <a:p>
            <a:pPr>
              <a:defRPr sz="950" b="0" i="0" u="none" strike="noStrike" kern="1200" baseline="0">
                <a:solidFill>
                  <a:schemeClr val="tx1"/>
                </a:solidFill>
                <a:latin typeface="Times New Roman" panose="02020603050405020304" pitchFamily="18" charset="0"/>
                <a:ea typeface="+mn-ea"/>
                <a:cs typeface="+mn-cs"/>
              </a:defRPr>
            </a:pPr>
            <a:endParaRPr lang="es-ES_tradnl"/>
          </a:p>
        </c:txPr>
        <c:crossAx val="605168576"/>
        <c:crosses val="autoZero"/>
        <c:auto val="1"/>
        <c:lblAlgn val="ctr"/>
        <c:lblOffset val="100"/>
        <c:noMultiLvlLbl val="0"/>
      </c:catAx>
      <c:valAx>
        <c:axId val="6051685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s-ES_tradnl" sz="1050">
                    <a:solidFill>
                      <a:sysClr val="windowText" lastClr="000000"/>
                    </a:solidFill>
                    <a:latin typeface="Times New Roman" panose="02020603050405020304" pitchFamily="18" charset="0"/>
                    <a:cs typeface="Times New Roman" panose="02020603050405020304" pitchFamily="18" charset="0"/>
                  </a:rPr>
                  <a:t>Million euros</a:t>
                </a:r>
              </a:p>
            </c:rich>
          </c:tx>
          <c:layout>
            <c:manualLayout>
              <c:xMode val="edge"/>
              <c:yMode val="edge"/>
              <c:x val="0"/>
              <c:y val="0.27024653144012073"/>
            </c:manualLayout>
          </c:layout>
          <c:overlay val="0"/>
          <c:spPr>
            <a:noFill/>
            <a:ln>
              <a:noFill/>
            </a:ln>
            <a:effectLst/>
          </c:spPr>
          <c:txPr>
            <a:bodyPr rot="-5400000" spcFirstLastPara="1" vertOverflow="ellipsis" vert="horz" wrap="square" anchor="ctr" anchorCtr="1"/>
            <a:lstStyle/>
            <a:p>
              <a:pPr>
                <a:defRPr sz="10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title>
        <c:numFmt formatCode="#,##0" sourceLinked="0"/>
        <c:majorTickMark val="out"/>
        <c:minorTickMark val="none"/>
        <c:tickLblPos val="nextTo"/>
        <c:spPr>
          <a:noFill/>
          <a:ln w="6350">
            <a:solidFill>
              <a:schemeClr val="tx1">
                <a:lumMod val="65000"/>
                <a:lumOff val="35000"/>
              </a:schemeClr>
            </a:solidFill>
          </a:ln>
          <a:effectLst/>
        </c:spPr>
        <c:txPr>
          <a:bodyPr rot="-60000000" spcFirstLastPara="1" vertOverflow="ellipsis" vert="horz" wrap="square" anchor="ctr" anchorCtr="1"/>
          <a:lstStyle/>
          <a:p>
            <a:pPr>
              <a:defRPr sz="950" b="0" i="0" u="none" strike="noStrike" kern="1200" baseline="0">
                <a:solidFill>
                  <a:schemeClr val="tx1"/>
                </a:solidFill>
                <a:latin typeface="Times New Roman" panose="02020603050405020304" pitchFamily="18" charset="0"/>
                <a:ea typeface="+mn-ea"/>
                <a:cs typeface="+mn-cs"/>
              </a:defRPr>
            </a:pPr>
            <a:endParaRPr lang="es-ES_tradnl"/>
          </a:p>
        </c:txPr>
        <c:crossAx val="709475840"/>
        <c:crosses val="autoZero"/>
        <c:crossBetween val="between"/>
      </c:valAx>
      <c:spPr>
        <a:noFill/>
        <a:ln>
          <a:noFill/>
        </a:ln>
        <a:effectLst/>
      </c:spPr>
    </c:plotArea>
    <c:legend>
      <c:legendPos val="b"/>
      <c:layout>
        <c:manualLayout>
          <c:xMode val="edge"/>
          <c:yMode val="edge"/>
          <c:x val="0"/>
          <c:y val="0.73648087849247201"/>
          <c:w val="1"/>
          <c:h val="0.26351912150752793"/>
        </c:manualLayout>
      </c:layout>
      <c:overlay val="0"/>
      <c:spPr>
        <a:noFill/>
        <a:ln>
          <a:noFill/>
        </a:ln>
        <a:effectLst/>
      </c:spPr>
      <c:txPr>
        <a:bodyPr rot="0" spcFirstLastPara="1" vertOverflow="ellipsis" vert="horz" wrap="square" anchor="ctr" anchorCtr="1"/>
        <a:lstStyle/>
        <a:p>
          <a:pPr>
            <a:defRPr sz="9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legend>
    <c:plotVisOnly val="1"/>
    <c:dispBlanksAs val="gap"/>
    <c:showDLblsOverMax val="0"/>
  </c:chart>
  <c:spPr>
    <a:solidFill>
      <a:schemeClr val="bg1"/>
    </a:solidFill>
    <a:ln w="9525" cap="flat" cmpd="sng" algn="ctr">
      <a:noFill/>
      <a:round/>
    </a:ln>
    <a:effectLst/>
  </c:spPr>
  <c:txPr>
    <a:bodyPr/>
    <a:lstStyle/>
    <a:p>
      <a:pPr>
        <a:defRPr/>
      </a:pPr>
      <a:endParaRPr lang="es-ES_tradnl"/>
    </a:p>
  </c:txPr>
  <c:printSettings>
    <c:headerFooter/>
    <c:pageMargins b="0.75" l="0.25" r="0.25" t="0.75" header="0.3" footer="0.3"/>
    <c:pageSetup paperSize="9" orientation="landscape"/>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457409308717575"/>
          <c:y val="4.6087571003560986E-2"/>
          <c:w val="0.82558175067451101"/>
          <c:h val="0.6515011552844524"/>
        </c:manualLayout>
      </c:layout>
      <c:lineChart>
        <c:grouping val="standard"/>
        <c:varyColors val="0"/>
        <c:ser>
          <c:idx val="1"/>
          <c:order val="0"/>
          <c:tx>
            <c:strRef>
              <c:f>'2HR'!$C$64</c:f>
              <c:strCache>
                <c:ptCount val="1"/>
                <c:pt idx="0">
                  <c:v>Baseline simulation
</c:v>
                </c:pt>
              </c:strCache>
            </c:strRef>
          </c:tx>
          <c:spPr>
            <a:ln w="28575" cap="rnd">
              <a:noFill/>
              <a:round/>
            </a:ln>
            <a:effectLst/>
          </c:spPr>
          <c:marker>
            <c:symbol val="circle"/>
            <c:size val="7"/>
            <c:spPr>
              <a:solidFill>
                <a:schemeClr val="tx1"/>
              </a:solidFill>
              <a:ln w="9525">
                <a:noFill/>
              </a:ln>
              <a:effectLst/>
            </c:spPr>
          </c:marker>
          <c:cat>
            <c:numRef>
              <c:extLst>
                <c:ext xmlns:c15="http://schemas.microsoft.com/office/drawing/2012/chart" uri="{02D57815-91ED-43cb-92C2-25804820EDAC}">
                  <c15:fullRef>
                    <c15:sqref>'2HR'!$B$65:$B$72</c15:sqref>
                  </c15:fullRef>
                </c:ext>
              </c:extLst>
              <c:f>'2HR'!$B$65:$B$69</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'2HR'!$C$65:$C$72</c15:sqref>
                  </c15:fullRef>
                </c:ext>
              </c:extLst>
              <c:f>'2HR'!$C$65:$C$69</c:f>
              <c:numCache>
                <c:formatCode>0.00</c:formatCode>
                <c:ptCount val="5"/>
                <c:pt idx="0">
                  <c:v>5.09627274252201</c:v>
                </c:pt>
                <c:pt idx="1">
                  <c:v>4.5538228342045244</c:v>
                </c:pt>
                <c:pt idx="2">
                  <c:v>4.3140226371030499</c:v>
                </c:pt>
                <c:pt idx="3">
                  <c:v>4.7179760976921807</c:v>
                </c:pt>
                <c:pt idx="4">
                  <c:v>5.114312040750236</c:v>
                </c:pt>
              </c:numCache>
            </c:numRef>
          </c:val>
          <c:smooth val="0"/>
          <c:extLst>
            <c:ext xmlns:c16="http://schemas.microsoft.com/office/drawing/2014/chart" uri="{C3380CC4-5D6E-409C-BE32-E72D297353CC}">
              <c16:uniqueId val="{00000000-C6D9-4ECB-9999-2B9C6A0BB2FF}"/>
            </c:ext>
          </c:extLst>
        </c:ser>
        <c:ser>
          <c:idx val="0"/>
          <c:order val="1"/>
          <c:tx>
            <c:strRef>
              <c:f>'2HR'!$D$64</c:f>
              <c:strCache>
                <c:ptCount val="1"/>
                <c:pt idx="0">
                  <c:v>Legislation unchanged since 2019/2023</c:v>
                </c:pt>
              </c:strCache>
            </c:strRef>
          </c:tx>
          <c:spPr>
            <a:ln w="28575" cap="rnd">
              <a:noFill/>
              <a:round/>
            </a:ln>
            <a:effectLst/>
          </c:spPr>
          <c:marker>
            <c:symbol val="circle"/>
            <c:size val="7"/>
            <c:spPr>
              <a:noFill/>
              <a:ln w="25400">
                <a:solidFill>
                  <a:srgbClr val="C00000"/>
                </a:solidFill>
              </a:ln>
              <a:effectLst/>
            </c:spPr>
          </c:marker>
          <c:cat>
            <c:numRef>
              <c:extLst>
                <c:ext xmlns:c15="http://schemas.microsoft.com/office/drawing/2012/chart" uri="{02D57815-91ED-43cb-92C2-25804820EDAC}">
                  <c15:fullRef>
                    <c15:sqref>'2HR'!$B$65:$B$72</c15:sqref>
                  </c15:fullRef>
                </c:ext>
              </c:extLst>
              <c:f>'2HR'!$B$65:$B$69</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'2HR'!$D$65:$D$72</c15:sqref>
                  </c15:fullRef>
                </c:ext>
              </c:extLst>
              <c:f>'2HR'!$D$65:$D$69</c:f>
              <c:numCache>
                <c:formatCode>0.00%</c:formatCode>
                <c:ptCount val="5"/>
                <c:pt idx="4" formatCode="0.00">
                  <c:v>7.1094679773935905</c:v>
                </c:pt>
              </c:numCache>
            </c:numRef>
          </c:val>
          <c:smooth val="0"/>
          <c:extLst>
            <c:ext xmlns:c16="http://schemas.microsoft.com/office/drawing/2014/chart" uri="{C3380CC4-5D6E-409C-BE32-E72D297353CC}">
              <c16:uniqueId val="{00000001-C6D9-4ECB-9999-2B9C6A0BB2FF}"/>
            </c:ext>
          </c:extLst>
        </c:ser>
        <c:ser>
          <c:idx val="2"/>
          <c:order val="2"/>
          <c:tx>
            <c:strRef>
              <c:f>'2HR'!$E$64</c:f>
              <c:strCache>
                <c:ptCount val="1"/>
                <c:pt idx="0">
                  <c:v>Index with tax base growth</c:v>
                </c:pt>
              </c:strCache>
            </c:strRef>
          </c:tx>
          <c:spPr>
            <a:ln w="28575" cap="rnd">
              <a:noFill/>
              <a:round/>
            </a:ln>
            <a:effectLst/>
          </c:spPr>
          <c:marker>
            <c:symbol val="square"/>
            <c:size val="6"/>
            <c:spPr>
              <a:noFill/>
              <a:ln w="25400">
                <a:solidFill>
                  <a:schemeClr val="accent6">
                    <a:lumMod val="75000"/>
                  </a:schemeClr>
                </a:solidFill>
              </a:ln>
              <a:effectLst/>
            </c:spPr>
          </c:marker>
          <c:cat>
            <c:numRef>
              <c:extLst>
                <c:ext xmlns:c15="http://schemas.microsoft.com/office/drawing/2012/chart" uri="{02D57815-91ED-43cb-92C2-25804820EDAC}">
                  <c15:fullRef>
                    <c15:sqref>'2HR'!$B$65:$B$72</c15:sqref>
                  </c15:fullRef>
                </c:ext>
              </c:extLst>
              <c:f>'2HR'!$B$65:$B$69</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'2HR'!$E$65:$E$72</c15:sqref>
                  </c15:fullRef>
                </c:ext>
              </c:extLst>
              <c:f>'2HR'!$E$65:$E$69</c:f>
              <c:numCache>
                <c:formatCode>0.00%</c:formatCode>
                <c:ptCount val="5"/>
                <c:pt idx="4" formatCode="0.00">
                  <c:v>5.4176263277996215</c:v>
                </c:pt>
              </c:numCache>
            </c:numRef>
          </c:val>
          <c:smooth val="0"/>
          <c:extLst xmlns:c15="http://schemas.microsoft.com/office/drawing/2012/chart">
            <c:ext xmlns:c16="http://schemas.microsoft.com/office/drawing/2014/chart" uri="{C3380CC4-5D6E-409C-BE32-E72D297353CC}">
              <c16:uniqueId val="{00000002-C6D9-4ECB-9999-2B9C6A0BB2FF}"/>
            </c:ext>
          </c:extLst>
        </c:ser>
        <c:ser>
          <c:idx val="3"/>
          <c:order val="3"/>
          <c:tx>
            <c:strRef>
              <c:f>'2HR'!$F$64</c:f>
              <c:strCache>
                <c:ptCount val="1"/>
                <c:pt idx="0">
                  <c:v>Index with lagged HCPI</c:v>
                </c:pt>
              </c:strCache>
            </c:strRef>
          </c:tx>
          <c:spPr>
            <a:ln w="28575" cap="rnd">
              <a:noFill/>
              <a:round/>
            </a:ln>
            <a:effectLst/>
          </c:spPr>
          <c:marker>
            <c:symbol val="diamond"/>
            <c:size val="7"/>
            <c:spPr>
              <a:noFill/>
              <a:ln w="25400">
                <a:solidFill>
                  <a:schemeClr val="accent4"/>
                </a:solidFill>
              </a:ln>
              <a:effectLst/>
            </c:spPr>
          </c:marker>
          <c:cat>
            <c:numRef>
              <c:extLst>
                <c:ext xmlns:c15="http://schemas.microsoft.com/office/drawing/2012/chart" uri="{02D57815-91ED-43cb-92C2-25804820EDAC}">
                  <c15:fullRef>
                    <c15:sqref>'2HR'!$B$65:$B$72</c15:sqref>
                  </c15:fullRef>
                </c:ext>
              </c:extLst>
              <c:f>'2HR'!$B$65:$B$69</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'2HR'!$F$65:$F$72</c15:sqref>
                  </c15:fullRef>
                </c:ext>
              </c:extLst>
              <c:f>'2HR'!$F$65:$F$69</c:f>
              <c:numCache>
                <c:formatCode>0.00%</c:formatCode>
                <c:ptCount val="5"/>
                <c:pt idx="4" formatCode="0.00">
                  <c:v>6.0818411012575773</c:v>
                </c:pt>
              </c:numCache>
            </c:numRef>
          </c:val>
          <c:smooth val="0"/>
          <c:extLst>
            <c:ext xmlns:c16="http://schemas.microsoft.com/office/drawing/2014/chart" uri="{C3380CC4-5D6E-409C-BE32-E72D297353CC}">
              <c16:uniqueId val="{00000003-C6D9-4ECB-9999-2B9C6A0BB2FF}"/>
            </c:ext>
          </c:extLst>
        </c:ser>
        <c:ser>
          <c:idx val="4"/>
          <c:order val="4"/>
          <c:tx>
            <c:strRef>
              <c:f>'2HR'!$G$64</c:f>
              <c:strCache>
                <c:ptCount val="1"/>
                <c:pt idx="0">
                  <c:v>Index with concurrent HCPI</c:v>
                </c:pt>
              </c:strCache>
            </c:strRef>
          </c:tx>
          <c:spPr>
            <a:ln w="28575" cap="rnd">
              <a:noFill/>
              <a:round/>
            </a:ln>
            <a:effectLst/>
          </c:spPr>
          <c:marker>
            <c:symbol val="triangle"/>
            <c:size val="6"/>
            <c:spPr>
              <a:noFill/>
              <a:ln w="25400">
                <a:solidFill>
                  <a:schemeClr val="accent5">
                    <a:lumMod val="75000"/>
                  </a:schemeClr>
                </a:solidFill>
              </a:ln>
              <a:effectLst/>
            </c:spPr>
          </c:marker>
          <c:cat>
            <c:numRef>
              <c:extLst>
                <c:ext xmlns:c15="http://schemas.microsoft.com/office/drawing/2012/chart" uri="{02D57815-91ED-43cb-92C2-25804820EDAC}">
                  <c15:fullRef>
                    <c15:sqref>'2HR'!$B$65:$B$72</c15:sqref>
                  </c15:fullRef>
                </c:ext>
              </c:extLst>
              <c:f>'2HR'!$B$65:$B$69</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'2HR'!$G$65:$G$72</c15:sqref>
                  </c15:fullRef>
                </c:ext>
              </c:extLst>
              <c:f>'2HR'!$G$65:$G$69</c:f>
              <c:numCache>
                <c:formatCode>0.00%</c:formatCode>
                <c:ptCount val="5"/>
                <c:pt idx="4" formatCode="0.00">
                  <c:v>5.565206699907324</c:v>
                </c:pt>
              </c:numCache>
            </c:numRef>
          </c:val>
          <c:smooth val="0"/>
          <c:extLst>
            <c:ext xmlns:c16="http://schemas.microsoft.com/office/drawing/2014/chart" uri="{C3380CC4-5D6E-409C-BE32-E72D297353CC}">
              <c16:uniqueId val="{00000004-C6D9-4ECB-9999-2B9C6A0BB2FF}"/>
            </c:ext>
          </c:extLst>
        </c:ser>
        <c:dLbls>
          <c:showLegendKey val="0"/>
          <c:showVal val="0"/>
          <c:showCatName val="0"/>
          <c:showSerName val="0"/>
          <c:showPercent val="0"/>
          <c:showBubbleSize val="0"/>
        </c:dLbls>
        <c:marker val="1"/>
        <c:smooth val="0"/>
        <c:axId val="709475840"/>
        <c:axId val="605168576"/>
        <c:extLst/>
      </c:lineChart>
      <c:catAx>
        <c:axId val="709475840"/>
        <c:scaling>
          <c:orientation val="minMax"/>
        </c:scaling>
        <c:delete val="0"/>
        <c:axPos val="b"/>
        <c:numFmt formatCode="General" sourceLinked="1"/>
        <c:majorTickMark val="out"/>
        <c:minorTickMark val="none"/>
        <c:tickLblPos val="nextTo"/>
        <c:spPr>
          <a:noFill/>
          <a:ln w="635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mn-cs"/>
              </a:defRPr>
            </a:pPr>
            <a:endParaRPr lang="es-ES_tradnl"/>
          </a:p>
        </c:txPr>
        <c:crossAx val="605168576"/>
        <c:crosses val="autoZero"/>
        <c:auto val="1"/>
        <c:lblAlgn val="ctr"/>
        <c:lblOffset val="100"/>
        <c:noMultiLvlLbl val="0"/>
      </c:catAx>
      <c:valAx>
        <c:axId val="6051685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s-ES_tradnl" sz="1050">
                    <a:solidFill>
                      <a:sysClr val="windowText" lastClr="000000"/>
                    </a:solidFill>
                    <a:latin typeface="Times New Roman" panose="02020603050405020304" pitchFamily="18" charset="0"/>
                    <a:cs typeface="Times New Roman" panose="02020603050405020304" pitchFamily="18" charset="0"/>
                  </a:rPr>
                  <a:t>Rate</a:t>
                </a:r>
              </a:p>
            </c:rich>
          </c:tx>
          <c:overlay val="0"/>
          <c:spPr>
            <a:noFill/>
            <a:ln>
              <a:noFill/>
            </a:ln>
            <a:effectLst/>
          </c:spPr>
          <c:txPr>
            <a:bodyPr rot="-5400000" spcFirstLastPara="1" vertOverflow="ellipsis" vert="horz" wrap="square" anchor="ctr" anchorCtr="1"/>
            <a:lstStyle/>
            <a:p>
              <a:pPr>
                <a:defRPr sz="10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title>
        <c:numFmt formatCode="#,##0.0" sourceLinked="0"/>
        <c:majorTickMark val="out"/>
        <c:minorTickMark val="none"/>
        <c:tickLblPos val="nextTo"/>
        <c:spPr>
          <a:noFill/>
          <a:ln w="6350">
            <a:solidFill>
              <a:schemeClr val="tx1">
                <a:lumMod val="65000"/>
                <a:lumOff val="35000"/>
              </a:schemeClr>
            </a:solidFill>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mn-cs"/>
              </a:defRPr>
            </a:pPr>
            <a:endParaRPr lang="es-ES_tradnl"/>
          </a:p>
        </c:txPr>
        <c:crossAx val="709475840"/>
        <c:crosses val="autoZero"/>
        <c:crossBetween val="between"/>
      </c:valAx>
      <c:spPr>
        <a:noFill/>
        <a:ln>
          <a:noFill/>
        </a:ln>
        <a:effectLst/>
      </c:spPr>
    </c:plotArea>
    <c:legend>
      <c:legendPos val="b"/>
      <c:layout>
        <c:manualLayout>
          <c:xMode val="edge"/>
          <c:yMode val="edge"/>
          <c:x val="8.1926620958132398E-2"/>
          <c:y val="0.78900773467278962"/>
          <c:w val="0.8223310520657221"/>
          <c:h val="0.1997652991480407"/>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legend>
    <c:plotVisOnly val="1"/>
    <c:dispBlanksAs val="gap"/>
    <c:showDLblsOverMax val="0"/>
  </c:chart>
  <c:spPr>
    <a:solidFill>
      <a:schemeClr val="bg1"/>
    </a:solidFill>
    <a:ln w="9525" cap="flat" cmpd="sng" algn="ctr">
      <a:noFill/>
      <a:round/>
    </a:ln>
    <a:effectLst/>
  </c:spPr>
  <c:txPr>
    <a:bodyPr/>
    <a:lstStyle/>
    <a:p>
      <a:pPr>
        <a:defRPr/>
      </a:pPr>
      <a:endParaRPr lang="es-ES_tradnl"/>
    </a:p>
  </c:txPr>
  <c:printSettings>
    <c:headerFooter/>
    <c:pageMargins b="0.75" l="0.84" r="0.25" t="0.75" header="0.3" footer="0.3"/>
    <c:pageSetup paperSize="9" orientation="landscape"/>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457409308717575"/>
          <c:y val="4.6087571003560986E-2"/>
          <c:w val="0.82558175067451101"/>
          <c:h val="0.64272676146640684"/>
        </c:manualLayout>
      </c:layout>
      <c:lineChart>
        <c:grouping val="standard"/>
        <c:varyColors val="0"/>
        <c:ser>
          <c:idx val="1"/>
          <c:order val="0"/>
          <c:tx>
            <c:strRef>
              <c:f>'2HR'!$W$45</c:f>
              <c:strCache>
                <c:ptCount val="1"/>
                <c:pt idx="0">
                  <c:v>Observed (National Accounts)</c:v>
                </c:pt>
              </c:strCache>
            </c:strRef>
          </c:tx>
          <c:spPr>
            <a:ln w="25400" cap="rnd">
              <a:solidFill>
                <a:schemeClr val="tx1">
                  <a:lumMod val="65000"/>
                  <a:lumOff val="35000"/>
                </a:schemeClr>
              </a:solidFill>
              <a:prstDash val="sysDash"/>
              <a:round/>
            </a:ln>
            <a:effectLst/>
          </c:spPr>
          <c:marker>
            <c:symbol val="none"/>
          </c:marker>
          <c:cat>
            <c:numRef>
              <c:extLst>
                <c:ext xmlns:c15="http://schemas.microsoft.com/office/drawing/2012/chart" uri="{02D57815-91ED-43cb-92C2-25804820EDAC}">
                  <c15:fullRef>
                    <c15:sqref>'2HR'!$U$46:$U$53</c15:sqref>
                  </c15:fullRef>
                </c:ext>
              </c:extLst>
              <c:f>'2HR'!$U$46:$U$50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'2HR'!$W$46:$W$53</c15:sqref>
                  </c15:fullRef>
                </c:ext>
              </c:extLst>
              <c:f>'2HR'!$W$46:$W$50</c:f>
              <c:numCache>
                <c:formatCode>0.0%</c:formatCode>
                <c:ptCount val="5"/>
                <c:pt idx="0">
                  <c:v>3.1266089565321183E-2</c:v>
                </c:pt>
                <c:pt idx="1">
                  <c:v>3.2406480510966382E-2</c:v>
                </c:pt>
                <c:pt idx="2">
                  <c:v>2.5807371739909234E-2</c:v>
                </c:pt>
                <c:pt idx="3">
                  <c:v>2.7146528359785111E-2</c:v>
                </c:pt>
                <c:pt idx="4">
                  <c:v>3.1501849703877385E-2</c:v>
                </c:pt>
              </c:numCache>
            </c:numRef>
          </c:val>
          <c:smooth val="0"/>
          <c:extLst>
            <c:ext xmlns:c16="http://schemas.microsoft.com/office/drawing/2014/chart" uri="{C3380CC4-5D6E-409C-BE32-E72D297353CC}">
              <c16:uniqueId val="{00000000-07C8-4027-90EC-D933BAEE8448}"/>
            </c:ext>
          </c:extLst>
        </c:ser>
        <c:ser>
          <c:idx val="0"/>
          <c:order val="1"/>
          <c:tx>
            <c:strRef>
              <c:f>'2HR'!$V$45</c:f>
              <c:strCache>
                <c:ptCount val="1"/>
                <c:pt idx="0">
                  <c:v>Baseline simulation (before reescaling)</c:v>
                </c:pt>
              </c:strCache>
            </c:strRef>
          </c:tx>
          <c:spPr>
            <a:ln w="25400" cap="rnd">
              <a:noFill/>
              <a:round/>
            </a:ln>
            <a:effectLst/>
          </c:spPr>
          <c:marker>
            <c:symbol val="circle"/>
            <c:size val="8"/>
            <c:spPr>
              <a:solidFill>
                <a:schemeClr val="bg1">
                  <a:lumMod val="85000"/>
                </a:schemeClr>
              </a:solidFill>
              <a:ln w="25400">
                <a:noFill/>
              </a:ln>
              <a:effectLst/>
            </c:spPr>
          </c:marker>
          <c:cat>
            <c:numRef>
              <c:extLst>
                <c:ext xmlns:c15="http://schemas.microsoft.com/office/drawing/2012/chart" uri="{02D57815-91ED-43cb-92C2-25804820EDAC}">
                  <c15:fullRef>
                    <c15:sqref>'2HR'!$U$46:$U$53</c15:sqref>
                  </c15:fullRef>
                </c:ext>
              </c:extLst>
              <c:f>'2HR'!$U$46:$U$50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'2HR'!$V$46:$V$53</c15:sqref>
                  </c15:fullRef>
                </c:ext>
              </c:extLst>
              <c:f>'2HR'!$V$46:$V$50</c:f>
              <c:numCache>
                <c:formatCode>0.0%</c:formatCode>
                <c:ptCount val="5"/>
                <c:pt idx="0">
                  <c:v>2.2846095568780877E-2</c:v>
                </c:pt>
                <c:pt idx="1">
                  <c:v>2.2288953317850475E-2</c:v>
                </c:pt>
                <c:pt idx="2">
                  <c:v>2.0056196895169437E-2</c:v>
                </c:pt>
                <c:pt idx="3">
                  <c:v>2.0202492576939794E-2</c:v>
                </c:pt>
                <c:pt idx="4">
                  <c:v>2.1184664279235346E-2</c:v>
                </c:pt>
              </c:numCache>
            </c:numRef>
          </c:val>
          <c:smooth val="0"/>
          <c:extLst>
            <c:ext xmlns:c16="http://schemas.microsoft.com/office/drawing/2014/chart" uri="{C3380CC4-5D6E-409C-BE32-E72D297353CC}">
              <c16:uniqueId val="{00000001-07C8-4027-90EC-D933BAEE8448}"/>
            </c:ext>
          </c:extLst>
        </c:ser>
        <c:ser>
          <c:idx val="3"/>
          <c:order val="2"/>
          <c:tx>
            <c:strRef>
              <c:f>'2HR'!$Y$45</c:f>
              <c:strCache>
                <c:ptCount val="1"/>
                <c:pt idx="0">
                  <c:v>Baseline simulation (after reescaling)</c:v>
                </c:pt>
              </c:strCache>
            </c:strRef>
          </c:tx>
          <c:spPr>
            <a:ln w="25400" cap="rnd">
              <a:noFill/>
              <a:round/>
            </a:ln>
            <a:effectLst/>
          </c:spPr>
          <c:marker>
            <c:symbol val="circle"/>
            <c:size val="7"/>
            <c:spPr>
              <a:solidFill>
                <a:schemeClr val="tx1"/>
              </a:solidFill>
              <a:ln w="9525">
                <a:solidFill>
                  <a:schemeClr val="tx1"/>
                </a:solidFill>
              </a:ln>
              <a:effectLst/>
            </c:spPr>
          </c:marker>
          <c:cat>
            <c:numRef>
              <c:extLst>
                <c:ext xmlns:c15="http://schemas.microsoft.com/office/drawing/2012/chart" uri="{02D57815-91ED-43cb-92C2-25804820EDAC}">
                  <c15:fullRef>
                    <c15:sqref>'2HR'!$U$46:$U$53</c15:sqref>
                  </c15:fullRef>
                </c:ext>
              </c:extLst>
              <c:f>'2HR'!$U$46:$U$50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'2HR'!$Y$46:$Y$53</c15:sqref>
                  </c15:fullRef>
                </c:ext>
              </c:extLst>
              <c:f>'2HR'!$Y$46:$Y$50</c:f>
              <c:numCache>
                <c:formatCode>0.0%</c:formatCode>
                <c:ptCount val="5"/>
                <c:pt idx="0">
                  <c:v>3.1266089565321183E-2</c:v>
                </c:pt>
                <c:pt idx="4">
                  <c:v>3.1501849703877385E-2</c:v>
                </c:pt>
              </c:numCache>
            </c:numRef>
          </c:val>
          <c:smooth val="0"/>
          <c:extLst>
            <c:ext xmlns:c16="http://schemas.microsoft.com/office/drawing/2014/chart" uri="{C3380CC4-5D6E-409C-BE32-E72D297353CC}">
              <c16:uniqueId val="{00000002-07C8-4027-90EC-D933BAEE8448}"/>
            </c:ext>
          </c:extLst>
        </c:ser>
        <c:ser>
          <c:idx val="4"/>
          <c:order val="3"/>
          <c:tx>
            <c:strRef>
              <c:f>'2HR'!$Z$45</c:f>
              <c:strCache>
                <c:ptCount val="1"/>
                <c:pt idx="0">
                  <c:v>Unchanged legislation since 2019/2023</c:v>
                </c:pt>
              </c:strCache>
            </c:strRef>
          </c:tx>
          <c:spPr>
            <a:ln w="25400" cap="rnd">
              <a:noFill/>
              <a:round/>
            </a:ln>
            <a:effectLst/>
          </c:spPr>
          <c:marker>
            <c:symbol val="circle"/>
            <c:size val="6"/>
            <c:spPr>
              <a:noFill/>
              <a:ln w="25400">
                <a:solidFill>
                  <a:srgbClr val="C00000"/>
                </a:solidFill>
              </a:ln>
              <a:effectLst/>
            </c:spPr>
          </c:marker>
          <c:cat>
            <c:numRef>
              <c:extLst>
                <c:ext xmlns:c15="http://schemas.microsoft.com/office/drawing/2012/chart" uri="{02D57815-91ED-43cb-92C2-25804820EDAC}">
                  <c15:fullRef>
                    <c15:sqref>'2HR'!$U$46:$U$53</c15:sqref>
                  </c15:fullRef>
                </c:ext>
              </c:extLst>
              <c:f>'2HR'!$U$46:$U$50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'2HR'!$Z$46:$Z$53</c15:sqref>
                  </c15:fullRef>
                </c:ext>
              </c:extLst>
              <c:f>'2HR'!$Z$46:$Z$50</c:f>
              <c:numCache>
                <c:formatCode>0.0%</c:formatCode>
                <c:ptCount val="5"/>
                <c:pt idx="4">
                  <c:v>4.3791108151767837E-2</c:v>
                </c:pt>
              </c:numCache>
            </c:numRef>
          </c:val>
          <c:smooth val="0"/>
          <c:extLst>
            <c:ext xmlns:c16="http://schemas.microsoft.com/office/drawing/2014/chart" uri="{C3380CC4-5D6E-409C-BE32-E72D297353CC}">
              <c16:uniqueId val="{00000003-07C8-4027-90EC-D933BAEE8448}"/>
            </c:ext>
          </c:extLst>
        </c:ser>
        <c:ser>
          <c:idx val="5"/>
          <c:order val="4"/>
          <c:tx>
            <c:strRef>
              <c:f>'2HR'!$AA$45</c:f>
              <c:strCache>
                <c:ptCount val="1"/>
                <c:pt idx="0">
                  <c:v>Indexing with tax base growth</c:v>
                </c:pt>
              </c:strCache>
            </c:strRef>
          </c:tx>
          <c:spPr>
            <a:ln w="25400" cap="rnd">
              <a:noFill/>
              <a:round/>
            </a:ln>
            <a:effectLst/>
          </c:spPr>
          <c:marker>
            <c:symbol val="square"/>
            <c:size val="5"/>
            <c:spPr>
              <a:noFill/>
              <a:ln w="25400">
                <a:solidFill>
                  <a:schemeClr val="accent6">
                    <a:lumMod val="75000"/>
                  </a:schemeClr>
                </a:solidFill>
              </a:ln>
              <a:effectLst/>
            </c:spPr>
          </c:marker>
          <c:cat>
            <c:numRef>
              <c:extLst>
                <c:ext xmlns:c15="http://schemas.microsoft.com/office/drawing/2012/chart" uri="{02D57815-91ED-43cb-92C2-25804820EDAC}">
                  <c15:fullRef>
                    <c15:sqref>'2HR'!$U$46:$U$53</c15:sqref>
                  </c15:fullRef>
                </c:ext>
              </c:extLst>
              <c:f>'2HR'!$U$46:$U$50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'2HR'!$AA$46:$AA$53</c15:sqref>
                  </c15:fullRef>
                </c:ext>
              </c:extLst>
              <c:f>'2HR'!$AA$46:$AA$50</c:f>
              <c:numCache>
                <c:formatCode>0.0%</c:formatCode>
                <c:ptCount val="5"/>
                <c:pt idx="4">
                  <c:v>3.3370128566710865E-2</c:v>
                </c:pt>
              </c:numCache>
            </c:numRef>
          </c:val>
          <c:smooth val="0"/>
          <c:extLst>
            <c:ext xmlns:c16="http://schemas.microsoft.com/office/drawing/2014/chart" uri="{C3380CC4-5D6E-409C-BE32-E72D297353CC}">
              <c16:uniqueId val="{00000004-07C8-4027-90EC-D933BAEE8448}"/>
            </c:ext>
          </c:extLst>
        </c:ser>
        <c:ser>
          <c:idx val="6"/>
          <c:order val="5"/>
          <c:tx>
            <c:strRef>
              <c:f>'2HR'!$AB$45</c:f>
              <c:strCache>
                <c:ptCount val="1"/>
                <c:pt idx="0">
                  <c:v>Indexing with lagged HCPI</c:v>
                </c:pt>
              </c:strCache>
            </c:strRef>
          </c:tx>
          <c:spPr>
            <a:ln w="25400" cap="rnd">
              <a:noFill/>
              <a:round/>
            </a:ln>
            <a:effectLst/>
          </c:spPr>
          <c:marker>
            <c:symbol val="diamond"/>
            <c:size val="6"/>
            <c:spPr>
              <a:noFill/>
              <a:ln w="25400">
                <a:solidFill>
                  <a:schemeClr val="accent4"/>
                </a:solidFill>
              </a:ln>
              <a:effectLst/>
            </c:spPr>
          </c:marker>
          <c:cat>
            <c:numRef>
              <c:extLst>
                <c:ext xmlns:c15="http://schemas.microsoft.com/office/drawing/2012/chart" uri="{02D57815-91ED-43cb-92C2-25804820EDAC}">
                  <c15:fullRef>
                    <c15:sqref>'2HR'!$U$46:$U$53</c15:sqref>
                  </c15:fullRef>
                </c:ext>
              </c:extLst>
              <c:f>'2HR'!$U$46:$U$50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'2HR'!$AB$46:$AB$53</c15:sqref>
                  </c15:fullRef>
                </c:ext>
              </c:extLst>
              <c:f>'2HR'!$AB$46:$AB$50</c:f>
              <c:numCache>
                <c:formatCode>0.0%</c:formatCode>
                <c:ptCount val="5"/>
                <c:pt idx="4">
                  <c:v>3.7461391242481844E-2</c:v>
                </c:pt>
              </c:numCache>
            </c:numRef>
          </c:val>
          <c:smooth val="0"/>
          <c:extLst>
            <c:ext xmlns:c16="http://schemas.microsoft.com/office/drawing/2014/chart" uri="{C3380CC4-5D6E-409C-BE32-E72D297353CC}">
              <c16:uniqueId val="{00000005-07C8-4027-90EC-D933BAEE8448}"/>
            </c:ext>
          </c:extLst>
        </c:ser>
        <c:ser>
          <c:idx val="7"/>
          <c:order val="6"/>
          <c:tx>
            <c:strRef>
              <c:f>'2HR'!$AC$45</c:f>
              <c:strCache>
                <c:ptCount val="1"/>
                <c:pt idx="0">
                  <c:v>Indexing with concurrent HCPI</c:v>
                </c:pt>
              </c:strCache>
            </c:strRef>
          </c:tx>
          <c:spPr>
            <a:ln w="25400" cap="rnd">
              <a:noFill/>
              <a:round/>
            </a:ln>
            <a:effectLst/>
          </c:spPr>
          <c:marker>
            <c:symbol val="triangle"/>
            <c:size val="6"/>
            <c:spPr>
              <a:noFill/>
              <a:ln w="25400">
                <a:solidFill>
                  <a:schemeClr val="accent5">
                    <a:lumMod val="75000"/>
                  </a:schemeClr>
                </a:solidFill>
              </a:ln>
              <a:effectLst/>
            </c:spPr>
          </c:marker>
          <c:cat>
            <c:numRef>
              <c:extLst>
                <c:ext xmlns:c15="http://schemas.microsoft.com/office/drawing/2012/chart" uri="{02D57815-91ED-43cb-92C2-25804820EDAC}">
                  <c15:fullRef>
                    <c15:sqref>'2HR'!$U$46:$U$53</c15:sqref>
                  </c15:fullRef>
                </c:ext>
              </c:extLst>
              <c:f>'2HR'!$U$46:$U$50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'2HR'!$AC$46:$AC$53</c15:sqref>
                  </c15:fullRef>
                </c:ext>
              </c:extLst>
              <c:f>'2HR'!$AC$46:$AC$50</c:f>
              <c:numCache>
                <c:formatCode>0.0%</c:formatCode>
                <c:ptCount val="5"/>
                <c:pt idx="4">
                  <c:v>3.4279156929535828E-2</c:v>
                </c:pt>
              </c:numCache>
            </c:numRef>
          </c:val>
          <c:smooth val="0"/>
          <c:extLst>
            <c:ext xmlns:c16="http://schemas.microsoft.com/office/drawing/2014/chart" uri="{C3380CC4-5D6E-409C-BE32-E72D297353CC}">
              <c16:uniqueId val="{00000006-07C8-4027-90EC-D933BAEE8448}"/>
            </c:ext>
          </c:extLst>
        </c:ser>
        <c:dLbls>
          <c:showLegendKey val="0"/>
          <c:showVal val="0"/>
          <c:showCatName val="0"/>
          <c:showSerName val="0"/>
          <c:showPercent val="0"/>
          <c:showBubbleSize val="0"/>
        </c:dLbls>
        <c:smooth val="0"/>
        <c:axId val="709475840"/>
        <c:axId val="605168576"/>
        <c:extLst/>
      </c:lineChart>
      <c:catAx>
        <c:axId val="709475840"/>
        <c:scaling>
          <c:orientation val="minMax"/>
        </c:scaling>
        <c:delete val="0"/>
        <c:axPos val="b"/>
        <c:numFmt formatCode="General" sourceLinked="1"/>
        <c:majorTickMark val="out"/>
        <c:minorTickMark val="none"/>
        <c:tickLblPos val="nextTo"/>
        <c:spPr>
          <a:noFill/>
          <a:ln w="6350" cap="flat" cmpd="sng" algn="ctr">
            <a:solidFill>
              <a:schemeClr val="tx1"/>
            </a:solidFill>
            <a:round/>
          </a:ln>
          <a:effectLst/>
        </c:spPr>
        <c:txPr>
          <a:bodyPr rot="-60000000" spcFirstLastPara="1" vertOverflow="ellipsis" vert="horz" wrap="square" anchor="ctr" anchorCtr="1"/>
          <a:lstStyle/>
          <a:p>
            <a:pPr>
              <a:defRPr sz="950" b="0" i="0" u="none" strike="noStrike" kern="1200" baseline="0">
                <a:solidFill>
                  <a:schemeClr val="tx1"/>
                </a:solidFill>
                <a:latin typeface="Times New Roman" panose="02020603050405020304" pitchFamily="18" charset="0"/>
                <a:ea typeface="+mn-ea"/>
                <a:cs typeface="+mn-cs"/>
              </a:defRPr>
            </a:pPr>
            <a:endParaRPr lang="es-ES_tradnl"/>
          </a:p>
        </c:txPr>
        <c:crossAx val="605168576"/>
        <c:crosses val="autoZero"/>
        <c:auto val="1"/>
        <c:lblAlgn val="ctr"/>
        <c:lblOffset val="100"/>
        <c:noMultiLvlLbl val="0"/>
      </c:catAx>
      <c:valAx>
        <c:axId val="6051685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s-ES_tradnl" sz="1050">
                    <a:solidFill>
                      <a:sysClr val="windowText" lastClr="000000"/>
                    </a:solidFill>
                    <a:latin typeface="Times New Roman" panose="02020603050405020304" pitchFamily="18" charset="0"/>
                    <a:cs typeface="Times New Roman" panose="02020603050405020304" pitchFamily="18" charset="0"/>
                  </a:rPr>
                  <a:t>Share of GDP</a:t>
                </a:r>
              </a:p>
            </c:rich>
          </c:tx>
          <c:overlay val="0"/>
          <c:spPr>
            <a:noFill/>
            <a:ln>
              <a:noFill/>
            </a:ln>
            <a:effectLst/>
          </c:spPr>
        </c:title>
        <c:numFmt formatCode="0%" sourceLinked="0"/>
        <c:majorTickMark val="out"/>
        <c:minorTickMark val="none"/>
        <c:tickLblPos val="nextTo"/>
        <c:spPr>
          <a:noFill/>
          <a:ln w="6350">
            <a:solidFill>
              <a:schemeClr val="tx1">
                <a:lumMod val="65000"/>
                <a:lumOff val="35000"/>
              </a:schemeClr>
            </a:solidFill>
          </a:ln>
          <a:effectLst/>
        </c:spPr>
        <c:txPr>
          <a:bodyPr rot="-60000000" spcFirstLastPara="1" vertOverflow="ellipsis" vert="horz" wrap="square" anchor="ctr" anchorCtr="1"/>
          <a:lstStyle/>
          <a:p>
            <a:pPr>
              <a:defRPr sz="950" b="0" i="0" u="none" strike="noStrike" kern="1200" baseline="0">
                <a:solidFill>
                  <a:schemeClr val="tx1"/>
                </a:solidFill>
                <a:latin typeface="Times New Roman" panose="02020603050405020304" pitchFamily="18" charset="0"/>
                <a:ea typeface="+mn-ea"/>
                <a:cs typeface="+mn-cs"/>
              </a:defRPr>
            </a:pPr>
            <a:endParaRPr lang="es-ES_tradnl"/>
          </a:p>
        </c:txPr>
        <c:crossAx val="709475840"/>
        <c:crosses val="autoZero"/>
        <c:crossBetween val="between"/>
      </c:valAx>
    </c:plotArea>
    <c:legend>
      <c:legendPos val="b"/>
      <c:layout>
        <c:manualLayout>
          <c:xMode val="edge"/>
          <c:yMode val="edge"/>
          <c:x val="0"/>
          <c:y val="0.80216933512597055"/>
          <c:w val="1"/>
          <c:h val="0.19783066487402948"/>
        </c:manualLayout>
      </c:layout>
      <c:overlay val="0"/>
      <c:spPr>
        <a:noFill/>
        <a:ln>
          <a:noFill/>
        </a:ln>
        <a:effectLst/>
      </c:spPr>
      <c:txPr>
        <a:bodyPr rot="0" spcFirstLastPara="1" vertOverflow="ellipsis" vert="horz" wrap="square" anchor="ctr" anchorCtr="1"/>
        <a:lstStyle/>
        <a:p>
          <a:pPr>
            <a:defRPr sz="9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legend>
    <c:plotVisOnly val="1"/>
    <c:dispBlanksAs val="gap"/>
    <c:showDLblsOverMax val="0"/>
  </c:chart>
  <c:spPr>
    <a:solidFill>
      <a:schemeClr val="bg1"/>
    </a:solidFill>
    <a:ln w="9525" cap="flat" cmpd="sng" algn="ctr">
      <a:noFill/>
      <a:round/>
    </a:ln>
    <a:effectLst/>
  </c:spPr>
  <c:txPr>
    <a:bodyPr/>
    <a:lstStyle/>
    <a:p>
      <a:pPr>
        <a:defRPr/>
      </a:pPr>
      <a:endParaRPr lang="es-ES_tradnl"/>
    </a:p>
  </c:txPr>
  <c:printSettings>
    <c:headerFooter/>
    <c:pageMargins b="0.75" l="0.25" r="0.25" t="0.75" header="0.3" footer="0.3"/>
    <c:pageSetup paperSize="9" orientation="landscape"/>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457409308717575"/>
          <c:y val="4.6087571003560986E-2"/>
          <c:w val="0.82558175067451101"/>
          <c:h val="0.64272676146640684"/>
        </c:manualLayout>
      </c:layout>
      <c:lineChart>
        <c:grouping val="standard"/>
        <c:varyColors val="0"/>
        <c:ser>
          <c:idx val="1"/>
          <c:order val="0"/>
          <c:tx>
            <c:strRef>
              <c:f>'2HU'!$D$45</c:f>
              <c:strCache>
                <c:ptCount val="1"/>
                <c:pt idx="0">
                  <c:v>Observed (National Accounts)</c:v>
                </c:pt>
              </c:strCache>
            </c:strRef>
          </c:tx>
          <c:spPr>
            <a:ln w="25400" cap="rnd">
              <a:solidFill>
                <a:schemeClr val="tx1">
                  <a:lumMod val="65000"/>
                  <a:lumOff val="35000"/>
                </a:schemeClr>
              </a:solidFill>
              <a:prstDash val="sysDash"/>
              <a:round/>
            </a:ln>
            <a:effectLst/>
          </c:spPr>
          <c:marker>
            <c:symbol val="none"/>
          </c:marker>
          <c:cat>
            <c:numRef>
              <c:extLst>
                <c:ext xmlns:c15="http://schemas.microsoft.com/office/drawing/2012/chart" uri="{02D57815-91ED-43cb-92C2-25804820EDAC}">
                  <c15:fullRef>
                    <c15:sqref>'2HU'!$B$46:$B$53</c15:sqref>
                  </c15:fullRef>
                </c:ext>
              </c:extLst>
              <c:f>'2HU'!$B$46:$B$50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'2HU'!$D$46:$D$53</c15:sqref>
                  </c15:fullRef>
                </c:ext>
              </c:extLst>
              <c:f>'2HU'!$D$46:$D$50</c:f>
              <c:numCache>
                <c:formatCode>_-* #,##0_-;\-* #,##0_-;_-* "-"??_-;_-@_-</c:formatCode>
                <c:ptCount val="5"/>
                <c:pt idx="0">
                  <c:v>2424565.1519999998</c:v>
                </c:pt>
                <c:pt idx="1">
                  <c:v>2527742.2760000001</c:v>
                </c:pt>
                <c:pt idx="2">
                  <c:v>2888586.0920000002</c:v>
                </c:pt>
                <c:pt idx="3">
                  <c:v>2785988.9991880003</c:v>
                </c:pt>
                <c:pt idx="4">
                  <c:v>3996321.3279220001</c:v>
                </c:pt>
              </c:numCache>
            </c:numRef>
          </c:val>
          <c:smooth val="0"/>
          <c:extLst>
            <c:ext xmlns:c16="http://schemas.microsoft.com/office/drawing/2014/chart" uri="{C3380CC4-5D6E-409C-BE32-E72D297353CC}">
              <c16:uniqueId val="{00000000-AD90-421E-8B87-D4621D5BA6F6}"/>
            </c:ext>
          </c:extLst>
        </c:ser>
        <c:ser>
          <c:idx val="0"/>
          <c:order val="1"/>
          <c:tx>
            <c:strRef>
              <c:f>'2HU'!$C$45</c:f>
              <c:strCache>
                <c:ptCount val="1"/>
                <c:pt idx="0">
                  <c:v>Baseline simulation (before reescaling)</c:v>
                </c:pt>
              </c:strCache>
            </c:strRef>
          </c:tx>
          <c:spPr>
            <a:ln w="25400" cap="rnd">
              <a:noFill/>
              <a:round/>
            </a:ln>
            <a:effectLst/>
          </c:spPr>
          <c:marker>
            <c:symbol val="circle"/>
            <c:size val="8"/>
            <c:spPr>
              <a:solidFill>
                <a:schemeClr val="bg1">
                  <a:lumMod val="85000"/>
                </a:schemeClr>
              </a:solidFill>
              <a:ln w="25400">
                <a:noFill/>
              </a:ln>
              <a:effectLst/>
            </c:spPr>
          </c:marker>
          <c:cat>
            <c:numRef>
              <c:extLst>
                <c:ext xmlns:c15="http://schemas.microsoft.com/office/drawing/2012/chart" uri="{02D57815-91ED-43cb-92C2-25804820EDAC}">
                  <c15:fullRef>
                    <c15:sqref>'2HU'!$B$46:$B$53</c15:sqref>
                  </c15:fullRef>
                </c:ext>
              </c:extLst>
              <c:f>'2HU'!$B$46:$B$50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'2HU'!$C$46:$C$53</c15:sqref>
                  </c15:fullRef>
                </c:ext>
              </c:extLst>
              <c:f>'2HU'!$C$46:$C$50</c:f>
              <c:numCache>
                <c:formatCode>_-* #,##0_-;\-* #,##0_-;_-* "-"??_-;_-@_-</c:formatCode>
                <c:ptCount val="5"/>
                <c:pt idx="0">
                  <c:v>1909141.237004</c:v>
                </c:pt>
                <c:pt idx="1">
                  <c:v>2062561.666836</c:v>
                </c:pt>
                <c:pt idx="2">
                  <c:v>2279167.7726170002</c:v>
                </c:pt>
                <c:pt idx="3">
                  <c:v>1757753.5557200001</c:v>
                </c:pt>
                <c:pt idx="4">
                  <c:v>2751277.8021209999</c:v>
                </c:pt>
              </c:numCache>
            </c:numRef>
          </c:val>
          <c:smooth val="0"/>
          <c:extLst>
            <c:ext xmlns:c16="http://schemas.microsoft.com/office/drawing/2014/chart" uri="{C3380CC4-5D6E-409C-BE32-E72D297353CC}">
              <c16:uniqueId val="{00000001-AD90-421E-8B87-D4621D5BA6F6}"/>
            </c:ext>
          </c:extLst>
        </c:ser>
        <c:ser>
          <c:idx val="3"/>
          <c:order val="3"/>
          <c:tx>
            <c:strRef>
              <c:f>'2HU'!$F$45</c:f>
              <c:strCache>
                <c:ptCount val="1"/>
                <c:pt idx="0">
                  <c:v>Baseline simulation (after reescaling)</c:v>
                </c:pt>
              </c:strCache>
            </c:strRef>
          </c:tx>
          <c:spPr>
            <a:ln w="25400" cap="rnd">
              <a:noFill/>
              <a:round/>
            </a:ln>
            <a:effectLst/>
          </c:spPr>
          <c:marker>
            <c:symbol val="circle"/>
            <c:size val="7"/>
            <c:spPr>
              <a:solidFill>
                <a:schemeClr val="tx1"/>
              </a:solidFill>
              <a:ln w="9525">
                <a:solidFill>
                  <a:schemeClr val="tx1"/>
                </a:solidFill>
              </a:ln>
              <a:effectLst/>
            </c:spPr>
          </c:marker>
          <c:cat>
            <c:numRef>
              <c:extLst>
                <c:ext xmlns:c15="http://schemas.microsoft.com/office/drawing/2012/chart" uri="{02D57815-91ED-43cb-92C2-25804820EDAC}">
                  <c15:fullRef>
                    <c15:sqref>'2HU'!$B$46:$B$53</c15:sqref>
                  </c15:fullRef>
                </c:ext>
              </c:extLst>
              <c:f>'2HU'!$B$46:$B$50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'2HU'!$F$46:$F$53</c15:sqref>
                  </c15:fullRef>
                </c:ext>
              </c:extLst>
              <c:f>'2HU'!$F$46:$F$50</c:f>
              <c:numCache>
                <c:formatCode>General</c:formatCode>
                <c:ptCount val="5"/>
                <c:pt idx="0" formatCode="_-* #,##0_-;\-* #,##0_-;_-* &quot;-&quot;??_-;_-@_-">
                  <c:v>2424565.1519999998</c:v>
                </c:pt>
                <c:pt idx="4" formatCode="_-* #,##0_-;\-* #,##0_-;_-* &quot;-&quot;??_-;_-@_-">
                  <c:v>3996321.3279220001</c:v>
                </c:pt>
              </c:numCache>
            </c:numRef>
          </c:val>
          <c:smooth val="0"/>
          <c:extLst>
            <c:ext xmlns:c16="http://schemas.microsoft.com/office/drawing/2014/chart" uri="{C3380CC4-5D6E-409C-BE32-E72D297353CC}">
              <c16:uniqueId val="{00000002-AD90-421E-8B87-D4621D5BA6F6}"/>
            </c:ext>
          </c:extLst>
        </c:ser>
        <c:ser>
          <c:idx val="4"/>
          <c:order val="4"/>
          <c:tx>
            <c:strRef>
              <c:f>'2HU'!$G$45</c:f>
              <c:strCache>
                <c:ptCount val="1"/>
                <c:pt idx="0">
                  <c:v>Unchanged legislation since 2019/2023</c:v>
                </c:pt>
              </c:strCache>
            </c:strRef>
          </c:tx>
          <c:spPr>
            <a:ln w="25400" cap="rnd">
              <a:noFill/>
              <a:round/>
            </a:ln>
            <a:effectLst/>
          </c:spPr>
          <c:marker>
            <c:symbol val="circle"/>
            <c:size val="6"/>
            <c:spPr>
              <a:noFill/>
              <a:ln w="25400">
                <a:solidFill>
                  <a:srgbClr val="C00000"/>
                </a:solidFill>
              </a:ln>
              <a:effectLst/>
            </c:spPr>
          </c:marker>
          <c:cat>
            <c:numRef>
              <c:extLst>
                <c:ext xmlns:c15="http://schemas.microsoft.com/office/drawing/2012/chart" uri="{02D57815-91ED-43cb-92C2-25804820EDAC}">
                  <c15:fullRef>
                    <c15:sqref>'2HU'!$B$46:$B$53</c15:sqref>
                  </c15:fullRef>
                </c:ext>
              </c:extLst>
              <c:f>'2HU'!$B$46:$B$50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'2HU'!$G$46:$G$53</c15:sqref>
                  </c15:fullRef>
                </c:ext>
              </c:extLst>
              <c:f>'2HU'!$G$46:$G$50</c:f>
              <c:numCache>
                <c:formatCode>General</c:formatCode>
                <c:ptCount val="5"/>
                <c:pt idx="4" formatCode="_-* #,##0_-;\-* #,##0_-;_-* &quot;-&quot;??_-;_-@_-">
                  <c:v>4424432.8954761298</c:v>
                </c:pt>
              </c:numCache>
            </c:numRef>
          </c:val>
          <c:smooth val="0"/>
          <c:extLst>
            <c:ext xmlns:c16="http://schemas.microsoft.com/office/drawing/2014/chart" uri="{C3380CC4-5D6E-409C-BE32-E72D297353CC}">
              <c16:uniqueId val="{00000003-AD90-421E-8B87-D4621D5BA6F6}"/>
            </c:ext>
          </c:extLst>
        </c:ser>
        <c:ser>
          <c:idx val="5"/>
          <c:order val="5"/>
          <c:tx>
            <c:strRef>
              <c:f>'2HU'!$H$45</c:f>
              <c:strCache>
                <c:ptCount val="1"/>
                <c:pt idx="0">
                  <c:v>Indexing with tax base growth</c:v>
                </c:pt>
              </c:strCache>
            </c:strRef>
          </c:tx>
          <c:spPr>
            <a:ln w="25400" cap="rnd">
              <a:noFill/>
              <a:round/>
            </a:ln>
            <a:effectLst/>
          </c:spPr>
          <c:marker>
            <c:symbol val="square"/>
            <c:size val="5"/>
            <c:spPr>
              <a:noFill/>
              <a:ln w="25400">
                <a:solidFill>
                  <a:schemeClr val="accent6">
                    <a:lumMod val="75000"/>
                  </a:schemeClr>
                </a:solidFill>
              </a:ln>
              <a:effectLst/>
            </c:spPr>
          </c:marker>
          <c:cat>
            <c:numRef>
              <c:extLst>
                <c:ext xmlns:c15="http://schemas.microsoft.com/office/drawing/2012/chart" uri="{02D57815-91ED-43cb-92C2-25804820EDAC}">
                  <c15:fullRef>
                    <c15:sqref>'2HU'!$B$46:$B$53</c15:sqref>
                  </c15:fullRef>
                </c:ext>
              </c:extLst>
              <c:f>'2HU'!$B$46:$B$50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'2HU'!$H$46:$H$53</c15:sqref>
                  </c15:fullRef>
                </c:ext>
              </c:extLst>
              <c:f>'2HU'!$H$46:$H$50</c:f>
              <c:numCache>
                <c:formatCode>General</c:formatCode>
                <c:ptCount val="5"/>
                <c:pt idx="4" formatCode="_-* #,##0_-;\-* #,##0_-;_-* &quot;-&quot;??_-;_-@_-">
                  <c:v>3891184.9652826665</c:v>
                </c:pt>
              </c:numCache>
            </c:numRef>
          </c:val>
          <c:smooth val="0"/>
          <c:extLst>
            <c:ext xmlns:c16="http://schemas.microsoft.com/office/drawing/2014/chart" uri="{C3380CC4-5D6E-409C-BE32-E72D297353CC}">
              <c16:uniqueId val="{00000004-AD90-421E-8B87-D4621D5BA6F6}"/>
            </c:ext>
          </c:extLst>
        </c:ser>
        <c:ser>
          <c:idx val="6"/>
          <c:order val="6"/>
          <c:tx>
            <c:strRef>
              <c:f>'2HU'!$I$45</c:f>
              <c:strCache>
                <c:ptCount val="1"/>
                <c:pt idx="0">
                  <c:v>Indexing with lagged HCPI</c:v>
                </c:pt>
              </c:strCache>
            </c:strRef>
          </c:tx>
          <c:spPr>
            <a:ln w="25400" cap="rnd">
              <a:noFill/>
              <a:round/>
            </a:ln>
            <a:effectLst/>
          </c:spPr>
          <c:marker>
            <c:symbol val="diamond"/>
            <c:size val="6"/>
            <c:spPr>
              <a:noFill/>
              <a:ln w="25400">
                <a:solidFill>
                  <a:schemeClr val="accent4"/>
                </a:solidFill>
              </a:ln>
              <a:effectLst/>
            </c:spPr>
          </c:marker>
          <c:cat>
            <c:numRef>
              <c:extLst>
                <c:ext xmlns:c15="http://schemas.microsoft.com/office/drawing/2012/chart" uri="{02D57815-91ED-43cb-92C2-25804820EDAC}">
                  <c15:fullRef>
                    <c15:sqref>'2HU'!$B$46:$B$53</c15:sqref>
                  </c15:fullRef>
                </c:ext>
              </c:extLst>
              <c:f>'2HU'!$B$46:$B$50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'2HU'!$I$46:$I$53</c15:sqref>
                  </c15:fullRef>
                </c:ext>
              </c:extLst>
              <c:f>'2HU'!$I$46:$I$50</c:f>
              <c:numCache>
                <c:formatCode>General</c:formatCode>
                <c:ptCount val="5"/>
                <c:pt idx="4" formatCode="_-* #,##0_-;\-* #,##0_-;_-* &quot;-&quot;??_-;_-@_-">
                  <c:v>3901760.9703108426</c:v>
                </c:pt>
              </c:numCache>
            </c:numRef>
          </c:val>
          <c:smooth val="0"/>
          <c:extLst>
            <c:ext xmlns:c16="http://schemas.microsoft.com/office/drawing/2014/chart" uri="{C3380CC4-5D6E-409C-BE32-E72D297353CC}">
              <c16:uniqueId val="{00000005-AD90-421E-8B87-D4621D5BA6F6}"/>
            </c:ext>
          </c:extLst>
        </c:ser>
        <c:ser>
          <c:idx val="7"/>
          <c:order val="7"/>
          <c:tx>
            <c:strRef>
              <c:f>'2HU'!$J$45</c:f>
              <c:strCache>
                <c:ptCount val="1"/>
                <c:pt idx="0">
                  <c:v>Indexing with concurrent HCPI</c:v>
                </c:pt>
              </c:strCache>
            </c:strRef>
          </c:tx>
          <c:spPr>
            <a:ln w="25400" cap="rnd">
              <a:noFill/>
              <a:round/>
            </a:ln>
            <a:effectLst/>
          </c:spPr>
          <c:marker>
            <c:symbol val="triangle"/>
            <c:size val="6"/>
            <c:spPr>
              <a:noFill/>
              <a:ln w="25400">
                <a:solidFill>
                  <a:schemeClr val="accent5">
                    <a:lumMod val="75000"/>
                  </a:schemeClr>
                </a:solidFill>
              </a:ln>
              <a:effectLst/>
            </c:spPr>
          </c:marker>
          <c:cat>
            <c:numRef>
              <c:extLst>
                <c:ext xmlns:c15="http://schemas.microsoft.com/office/drawing/2012/chart" uri="{02D57815-91ED-43cb-92C2-25804820EDAC}">
                  <c15:fullRef>
                    <c15:sqref>'2HU'!$B$46:$B$53</c15:sqref>
                  </c15:fullRef>
                </c:ext>
              </c:extLst>
              <c:f>'2HU'!$B$46:$B$50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'2HU'!$J$46:$J$53</c15:sqref>
                  </c15:fullRef>
                </c:ext>
              </c:extLst>
              <c:f>'2HU'!$J$46:$J$50</c:f>
              <c:numCache>
                <c:formatCode>General</c:formatCode>
                <c:ptCount val="5"/>
                <c:pt idx="4" formatCode="_-* #,##0_-;\-* #,##0_-;_-* &quot;-&quot;??_-;_-@_-">
                  <c:v>3853065.8218177226</c:v>
                </c:pt>
              </c:numCache>
            </c:numRef>
          </c:val>
          <c:smooth val="0"/>
          <c:extLst>
            <c:ext xmlns:c16="http://schemas.microsoft.com/office/drawing/2014/chart" uri="{C3380CC4-5D6E-409C-BE32-E72D297353CC}">
              <c16:uniqueId val="{00000006-AD90-421E-8B87-D4621D5BA6F6}"/>
            </c:ext>
          </c:extLst>
        </c:ser>
        <c:ser>
          <c:idx val="8"/>
          <c:order val="8"/>
          <c:tx>
            <c:strRef>
              <c:f>'2HU'!$K$45</c:f>
              <c:strCache>
                <c:ptCount val="1"/>
                <c:pt idx="0">
                  <c:v>Baseline w/o "indexation measures"</c:v>
                </c:pt>
              </c:strCache>
            </c:strRef>
          </c:tx>
          <c:spPr>
            <a:ln w="28575" cap="rnd">
              <a:noFill/>
              <a:round/>
            </a:ln>
            <a:effectLst/>
          </c:spPr>
          <c:marker>
            <c:symbol val="dash"/>
            <c:size val="9"/>
            <c:spPr>
              <a:solidFill>
                <a:schemeClr val="tx1">
                  <a:lumMod val="65000"/>
                  <a:lumOff val="35000"/>
                </a:schemeClr>
              </a:solidFill>
              <a:ln w="9525">
                <a:solidFill>
                  <a:schemeClr val="tx1">
                    <a:lumMod val="65000"/>
                    <a:lumOff val="35000"/>
                  </a:schemeClr>
                </a:solidFill>
              </a:ln>
              <a:effectLst/>
            </c:spPr>
          </c:marker>
          <c:cat>
            <c:strLit>
              <c:ptCount val="5"/>
              <c:pt idx="0">
                <c:v>2019</c:v>
              </c:pt>
              <c:pt idx="1">
                <c:v>2020</c:v>
              </c:pt>
              <c:pt idx="2">
                <c:v>2021</c:v>
              </c:pt>
              <c:pt idx="3">
                <c:v>2022</c:v>
              </c:pt>
              <c:pt idx="4">
                <c:v>2023</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'2HU'!$K$46:$K$53</c15:sqref>
                  </c15:fullRef>
                </c:ext>
              </c:extLst>
              <c:f>'2HU'!$K$46:$K$50</c:f>
              <c:numCache>
                <c:formatCode>General</c:formatCode>
                <c:ptCount val="5"/>
                <c:pt idx="4" formatCode="_-* #,##0_-;\-* #,##0_-;_-* &quot;-&quot;??_-;_-@_-">
                  <c:v>3996267.3569033882</c:v>
                </c:pt>
              </c:numCache>
            </c:numRef>
          </c:val>
          <c:smooth val="0"/>
          <c:extLst>
            <c:ext xmlns:c16="http://schemas.microsoft.com/office/drawing/2014/chart" uri="{C3380CC4-5D6E-409C-BE32-E72D297353CC}">
              <c16:uniqueId val="{00000007-AD90-421E-8B87-D4621D5BA6F6}"/>
            </c:ext>
          </c:extLst>
        </c:ser>
        <c:dLbls>
          <c:showLegendKey val="0"/>
          <c:showVal val="0"/>
          <c:showCatName val="0"/>
          <c:showSerName val="0"/>
          <c:showPercent val="0"/>
          <c:showBubbleSize val="0"/>
        </c:dLbls>
        <c:smooth val="0"/>
        <c:axId val="709475840"/>
        <c:axId val="605168576"/>
        <c:extLst>
          <c:ext xmlns:c15="http://schemas.microsoft.com/office/drawing/2012/chart" uri="{02D57815-91ED-43cb-92C2-25804820EDAC}">
            <c15:filteredLineSeries>
              <c15:ser>
                <c:idx val="2"/>
                <c:order val="2"/>
                <c:tx>
                  <c:strRef>
                    <c:extLst>
                      <c:ext uri="{02D57815-91ED-43cb-92C2-25804820EDAC}">
                        <c15:formulaRef>
                          <c15:sqref>'2HU'!$E$45</c15:sqref>
                        </c15:formulaRef>
                      </c:ext>
                    </c:extLst>
                    <c:strCache>
                      <c:ptCount val="1"/>
                      <c:pt idx="0">
                        <c:v>Reescaling factor
</c:v>
                      </c:pt>
                    </c:strCache>
                  </c:strRef>
                </c:tx>
                <c:spPr>
                  <a:ln w="25400" cap="rnd">
                    <a:noFill/>
                    <a:round/>
                  </a:ln>
                  <a:effectLst/>
                </c:spPr>
                <c:marker>
                  <c:symbol val="circle"/>
                  <c:size val="5"/>
                  <c:spPr>
                    <a:solidFill>
                      <a:schemeClr val="accent3"/>
                    </a:solidFill>
                    <a:ln w="9525">
                      <a:solidFill>
                        <a:schemeClr val="accent3"/>
                      </a:solidFill>
                    </a:ln>
                    <a:effectLst/>
                  </c:spPr>
                </c:marker>
                <c:cat>
                  <c:numRef>
                    <c:extLst>
                      <c:ext uri="{02D57815-91ED-43cb-92C2-25804820EDAC}">
                        <c15:fullRef>
                          <c15:sqref>'2HU'!$B$46:$B$53</c15:sqref>
                        </c15:fullRef>
                        <c15:formulaRef>
                          <c15:sqref>'2HU'!$B$46:$B$50</c15:sqref>
                        </c15:formulaRef>
                      </c:ext>
                    </c:extLst>
                    <c:numCache>
                      <c:formatCode>General</c:formatCode>
                      <c:ptCount val="5"/>
                      <c:pt idx="0">
                        <c:v>2019</c:v>
                      </c:pt>
                      <c:pt idx="1">
                        <c:v>2020</c:v>
                      </c:pt>
                      <c:pt idx="2">
                        <c:v>2021</c:v>
                      </c:pt>
                      <c:pt idx="3">
                        <c:v>2022</c:v>
                      </c:pt>
                      <c:pt idx="4">
                        <c:v>2023</c:v>
                      </c:pt>
                    </c:numCache>
                  </c:numRef>
                </c:cat>
                <c:val>
                  <c:numRef>
                    <c:extLst>
                      <c:ext uri="{02D57815-91ED-43cb-92C2-25804820EDAC}">
                        <c15:fullRef>
                          <c15:sqref>'2HU'!$E$46:$E$53</c15:sqref>
                        </c15:fullRef>
                        <c15:formulaRef>
                          <c15:sqref>'2HU'!$E$46:$E$50</c15:sqref>
                        </c15:formulaRef>
                      </c:ext>
                    </c:extLst>
                    <c:numCache>
                      <c:formatCode>General</c:formatCode>
                      <c:ptCount val="5"/>
                    </c:numCache>
                  </c:numRef>
                </c:val>
                <c:smooth val="0"/>
                <c:extLst>
                  <c:ext xmlns:c16="http://schemas.microsoft.com/office/drawing/2014/chart" uri="{C3380CC4-5D6E-409C-BE32-E72D297353CC}">
                    <c16:uniqueId val="{00000008-AD90-421E-8B87-D4621D5BA6F6}"/>
                  </c:ext>
                </c:extLst>
              </c15:ser>
            </c15:filteredLineSeries>
          </c:ext>
        </c:extLst>
      </c:lineChart>
      <c:catAx>
        <c:axId val="709475840"/>
        <c:scaling>
          <c:orientation val="minMax"/>
        </c:scaling>
        <c:delete val="0"/>
        <c:axPos val="b"/>
        <c:numFmt formatCode="General" sourceLinked="1"/>
        <c:majorTickMark val="out"/>
        <c:minorTickMark val="none"/>
        <c:tickLblPos val="nextTo"/>
        <c:spPr>
          <a:noFill/>
          <a:ln w="6350" cap="flat" cmpd="sng" algn="ctr">
            <a:solidFill>
              <a:schemeClr val="tx1"/>
            </a:solidFill>
            <a:round/>
          </a:ln>
          <a:effectLst/>
        </c:spPr>
        <c:txPr>
          <a:bodyPr rot="-60000000" spcFirstLastPara="1" vertOverflow="ellipsis" vert="horz" wrap="square" anchor="ctr" anchorCtr="1"/>
          <a:lstStyle/>
          <a:p>
            <a:pPr>
              <a:defRPr sz="950" b="0" i="0" u="none" strike="noStrike" kern="1200" baseline="0">
                <a:solidFill>
                  <a:schemeClr val="tx1"/>
                </a:solidFill>
                <a:latin typeface="Times New Roman" panose="02020603050405020304" pitchFamily="18" charset="0"/>
                <a:ea typeface="+mn-ea"/>
                <a:cs typeface="+mn-cs"/>
              </a:defRPr>
            </a:pPr>
            <a:endParaRPr lang="es-ES_tradnl"/>
          </a:p>
        </c:txPr>
        <c:crossAx val="605168576"/>
        <c:crosses val="autoZero"/>
        <c:auto val="1"/>
        <c:lblAlgn val="ctr"/>
        <c:lblOffset val="100"/>
        <c:noMultiLvlLbl val="0"/>
      </c:catAx>
      <c:valAx>
        <c:axId val="6051685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s-ES_tradnl" sz="1050">
                    <a:solidFill>
                      <a:sysClr val="windowText" lastClr="000000"/>
                    </a:solidFill>
                    <a:latin typeface="Times New Roman" panose="02020603050405020304" pitchFamily="18" charset="0"/>
                    <a:cs typeface="Times New Roman" panose="02020603050405020304" pitchFamily="18" charset="0"/>
                  </a:rPr>
                  <a:t>Million euros</a:t>
                </a:r>
              </a:p>
            </c:rich>
          </c:tx>
          <c:layout>
            <c:manualLayout>
              <c:xMode val="edge"/>
              <c:yMode val="edge"/>
              <c:x val="0"/>
              <c:y val="0.27024653144012073"/>
            </c:manualLayout>
          </c:layout>
          <c:overlay val="0"/>
          <c:spPr>
            <a:noFill/>
            <a:ln>
              <a:noFill/>
            </a:ln>
            <a:effectLst/>
          </c:spPr>
          <c:txPr>
            <a:bodyPr rot="-5400000" spcFirstLastPara="1" vertOverflow="ellipsis" vert="horz" wrap="square" anchor="ctr" anchorCtr="1"/>
            <a:lstStyle/>
            <a:p>
              <a:pPr>
                <a:defRPr sz="10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title>
        <c:numFmt formatCode="#,##0" sourceLinked="0"/>
        <c:majorTickMark val="out"/>
        <c:minorTickMark val="none"/>
        <c:tickLblPos val="nextTo"/>
        <c:spPr>
          <a:noFill/>
          <a:ln w="6350">
            <a:solidFill>
              <a:schemeClr val="tx1">
                <a:lumMod val="65000"/>
                <a:lumOff val="35000"/>
              </a:schemeClr>
            </a:solidFill>
          </a:ln>
          <a:effectLst/>
        </c:spPr>
        <c:txPr>
          <a:bodyPr rot="-60000000" spcFirstLastPara="1" vertOverflow="ellipsis" vert="horz" wrap="square" anchor="ctr" anchorCtr="1"/>
          <a:lstStyle/>
          <a:p>
            <a:pPr>
              <a:defRPr sz="950" b="0" i="0" u="none" strike="noStrike" kern="1200" baseline="0">
                <a:solidFill>
                  <a:schemeClr val="tx1"/>
                </a:solidFill>
                <a:latin typeface="Times New Roman" panose="02020603050405020304" pitchFamily="18" charset="0"/>
                <a:ea typeface="+mn-ea"/>
                <a:cs typeface="+mn-cs"/>
              </a:defRPr>
            </a:pPr>
            <a:endParaRPr lang="es-ES_tradnl"/>
          </a:p>
        </c:txPr>
        <c:crossAx val="709475840"/>
        <c:crosses val="autoZero"/>
        <c:crossBetween val="between"/>
      </c:valAx>
      <c:spPr>
        <a:noFill/>
        <a:ln>
          <a:noFill/>
        </a:ln>
        <a:effectLst/>
      </c:spPr>
    </c:plotArea>
    <c:legend>
      <c:legendPos val="b"/>
      <c:layout>
        <c:manualLayout>
          <c:xMode val="edge"/>
          <c:yMode val="edge"/>
          <c:x val="0"/>
          <c:y val="0.73648087849247201"/>
          <c:w val="1"/>
          <c:h val="0.26351912150752793"/>
        </c:manualLayout>
      </c:layout>
      <c:overlay val="0"/>
      <c:spPr>
        <a:noFill/>
        <a:ln>
          <a:noFill/>
        </a:ln>
        <a:effectLst/>
      </c:spPr>
      <c:txPr>
        <a:bodyPr rot="0" spcFirstLastPara="1" vertOverflow="ellipsis" vert="horz" wrap="square" anchor="ctr" anchorCtr="1"/>
        <a:lstStyle/>
        <a:p>
          <a:pPr>
            <a:defRPr sz="9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legend>
    <c:plotVisOnly val="1"/>
    <c:dispBlanksAs val="gap"/>
    <c:showDLblsOverMax val="0"/>
  </c:chart>
  <c:spPr>
    <a:solidFill>
      <a:schemeClr val="bg1"/>
    </a:solidFill>
    <a:ln w="9525" cap="flat" cmpd="sng" algn="ctr">
      <a:noFill/>
      <a:round/>
    </a:ln>
    <a:effectLst/>
  </c:spPr>
  <c:txPr>
    <a:bodyPr/>
    <a:lstStyle/>
    <a:p>
      <a:pPr>
        <a:defRPr/>
      </a:pPr>
      <a:endParaRPr lang="es-ES_tradnl"/>
    </a:p>
  </c:txPr>
  <c:printSettings>
    <c:headerFooter/>
    <c:pageMargins b="0.75" l="0.25" r="0.25" t="0.75" header="0.3" footer="0.3"/>
    <c:pageSetup paperSize="9" orientation="landscape"/>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457409308717575"/>
          <c:y val="4.6087571003560986E-2"/>
          <c:w val="0.82558175067451101"/>
          <c:h val="0.6515011552844524"/>
        </c:manualLayout>
      </c:layout>
      <c:lineChart>
        <c:grouping val="standard"/>
        <c:varyColors val="0"/>
        <c:ser>
          <c:idx val="1"/>
          <c:order val="0"/>
          <c:tx>
            <c:strRef>
              <c:f>'2HU'!$C$64</c:f>
              <c:strCache>
                <c:ptCount val="1"/>
                <c:pt idx="0">
                  <c:v>Baseline simulation
</c:v>
                </c:pt>
              </c:strCache>
            </c:strRef>
          </c:tx>
          <c:spPr>
            <a:ln w="28575" cap="rnd">
              <a:noFill/>
              <a:round/>
            </a:ln>
            <a:effectLst/>
          </c:spPr>
          <c:marker>
            <c:symbol val="circle"/>
            <c:size val="7"/>
            <c:spPr>
              <a:solidFill>
                <a:schemeClr val="tx1"/>
              </a:solidFill>
              <a:ln w="9525">
                <a:noFill/>
              </a:ln>
              <a:effectLst/>
            </c:spPr>
          </c:marker>
          <c:cat>
            <c:numRef>
              <c:extLst>
                <c:ext xmlns:c15="http://schemas.microsoft.com/office/drawing/2012/chart" uri="{02D57815-91ED-43cb-92C2-25804820EDAC}">
                  <c15:fullRef>
                    <c15:sqref>'2HU'!$B$65:$B$72</c15:sqref>
                  </c15:fullRef>
                </c:ext>
              </c:extLst>
              <c:f>'2HU'!$B$65:$B$69</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'2HU'!$C$65:$C$72</c15:sqref>
                  </c15:fullRef>
                </c:ext>
              </c:extLst>
              <c:f>'2HU'!$C$65:$C$69</c:f>
              <c:numCache>
                <c:formatCode>0.00</c:formatCode>
                <c:ptCount val="5"/>
                <c:pt idx="0">
                  <c:v>10.310440645019989</c:v>
                </c:pt>
                <c:pt idx="1">
                  <c:v>10.447429357132147</c:v>
                </c:pt>
                <c:pt idx="2">
                  <c:v>10.557580773438723</c:v>
                </c:pt>
                <c:pt idx="3">
                  <c:v>7.2921438356828476</c:v>
                </c:pt>
                <c:pt idx="4">
                  <c:v>9.9703561318237792</c:v>
                </c:pt>
              </c:numCache>
            </c:numRef>
          </c:val>
          <c:smooth val="0"/>
          <c:extLst>
            <c:ext xmlns:c16="http://schemas.microsoft.com/office/drawing/2014/chart" uri="{C3380CC4-5D6E-409C-BE32-E72D297353CC}">
              <c16:uniqueId val="{00000000-7D1D-4137-BDAD-ACBEA181EE4C}"/>
            </c:ext>
          </c:extLst>
        </c:ser>
        <c:ser>
          <c:idx val="0"/>
          <c:order val="1"/>
          <c:tx>
            <c:strRef>
              <c:f>'2HU'!$D$64</c:f>
              <c:strCache>
                <c:ptCount val="1"/>
                <c:pt idx="0">
                  <c:v>Legislation unchanged since 2019/2023</c:v>
                </c:pt>
              </c:strCache>
            </c:strRef>
          </c:tx>
          <c:spPr>
            <a:ln w="28575" cap="rnd">
              <a:noFill/>
              <a:round/>
            </a:ln>
            <a:effectLst/>
          </c:spPr>
          <c:marker>
            <c:symbol val="circle"/>
            <c:size val="7"/>
            <c:spPr>
              <a:noFill/>
              <a:ln w="25400">
                <a:solidFill>
                  <a:srgbClr val="C00000"/>
                </a:solidFill>
              </a:ln>
              <a:effectLst/>
            </c:spPr>
          </c:marker>
          <c:cat>
            <c:numRef>
              <c:extLst>
                <c:ext xmlns:c15="http://schemas.microsoft.com/office/drawing/2012/chart" uri="{02D57815-91ED-43cb-92C2-25804820EDAC}">
                  <c15:fullRef>
                    <c15:sqref>'2HU'!$B$65:$B$72</c15:sqref>
                  </c15:fullRef>
                </c:ext>
              </c:extLst>
              <c:f>'2HU'!$B$65:$B$69</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'2HU'!$D$65:$D$72</c15:sqref>
                  </c15:fullRef>
                </c:ext>
              </c:extLst>
              <c:f>'2HU'!$D$65:$D$69</c:f>
              <c:numCache>
                <c:formatCode>0.00%</c:formatCode>
                <c:ptCount val="5"/>
                <c:pt idx="4" formatCode="0.00">
                  <c:v>11.038444616812422</c:v>
                </c:pt>
              </c:numCache>
            </c:numRef>
          </c:val>
          <c:smooth val="0"/>
          <c:extLst>
            <c:ext xmlns:c16="http://schemas.microsoft.com/office/drawing/2014/chart" uri="{C3380CC4-5D6E-409C-BE32-E72D297353CC}">
              <c16:uniqueId val="{00000001-7D1D-4137-BDAD-ACBEA181EE4C}"/>
            </c:ext>
          </c:extLst>
        </c:ser>
        <c:ser>
          <c:idx val="2"/>
          <c:order val="2"/>
          <c:tx>
            <c:strRef>
              <c:f>'2HU'!$E$64</c:f>
              <c:strCache>
                <c:ptCount val="1"/>
                <c:pt idx="0">
                  <c:v>Index with tax base growth</c:v>
                </c:pt>
              </c:strCache>
            </c:strRef>
          </c:tx>
          <c:spPr>
            <a:ln w="28575" cap="rnd">
              <a:noFill/>
              <a:round/>
            </a:ln>
            <a:effectLst/>
          </c:spPr>
          <c:marker>
            <c:symbol val="square"/>
            <c:size val="6"/>
            <c:spPr>
              <a:noFill/>
              <a:ln w="25400">
                <a:solidFill>
                  <a:schemeClr val="accent6">
                    <a:lumMod val="75000"/>
                  </a:schemeClr>
                </a:solidFill>
              </a:ln>
              <a:effectLst/>
            </c:spPr>
          </c:marker>
          <c:cat>
            <c:numRef>
              <c:extLst>
                <c:ext xmlns:c15="http://schemas.microsoft.com/office/drawing/2012/chart" uri="{02D57815-91ED-43cb-92C2-25804820EDAC}">
                  <c15:fullRef>
                    <c15:sqref>'2HU'!$B$65:$B$72</c15:sqref>
                  </c15:fullRef>
                </c:ext>
              </c:extLst>
              <c:f>'2HU'!$B$65:$B$69</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'2HU'!$E$65:$E$72</c15:sqref>
                  </c15:fullRef>
                </c:ext>
              </c:extLst>
              <c:f>'2HU'!$E$65:$E$69</c:f>
              <c:numCache>
                <c:formatCode>0.00%</c:formatCode>
                <c:ptCount val="5"/>
                <c:pt idx="4" formatCode="0.00">
                  <c:v>9.7080531556855245</c:v>
                </c:pt>
              </c:numCache>
            </c:numRef>
          </c:val>
          <c:smooth val="0"/>
          <c:extLst xmlns:c15="http://schemas.microsoft.com/office/drawing/2012/chart">
            <c:ext xmlns:c16="http://schemas.microsoft.com/office/drawing/2014/chart" uri="{C3380CC4-5D6E-409C-BE32-E72D297353CC}">
              <c16:uniqueId val="{00000002-7D1D-4137-BDAD-ACBEA181EE4C}"/>
            </c:ext>
          </c:extLst>
        </c:ser>
        <c:ser>
          <c:idx val="3"/>
          <c:order val="3"/>
          <c:tx>
            <c:strRef>
              <c:f>'2HU'!$F$64</c:f>
              <c:strCache>
                <c:ptCount val="1"/>
                <c:pt idx="0">
                  <c:v>Index with lagged HCPI</c:v>
                </c:pt>
              </c:strCache>
            </c:strRef>
          </c:tx>
          <c:spPr>
            <a:ln w="28575" cap="rnd">
              <a:noFill/>
              <a:round/>
            </a:ln>
            <a:effectLst/>
          </c:spPr>
          <c:marker>
            <c:symbol val="diamond"/>
            <c:size val="7"/>
            <c:spPr>
              <a:noFill/>
              <a:ln w="25400">
                <a:solidFill>
                  <a:schemeClr val="accent4"/>
                </a:solidFill>
              </a:ln>
              <a:effectLst/>
            </c:spPr>
          </c:marker>
          <c:cat>
            <c:numRef>
              <c:extLst>
                <c:ext xmlns:c15="http://schemas.microsoft.com/office/drawing/2012/chart" uri="{02D57815-91ED-43cb-92C2-25804820EDAC}">
                  <c15:fullRef>
                    <c15:sqref>'2HU'!$B$65:$B$72</c15:sqref>
                  </c15:fullRef>
                </c:ext>
              </c:extLst>
              <c:f>'2HU'!$B$65:$B$69</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'2HU'!$F$65:$F$72</c15:sqref>
                  </c15:fullRef>
                </c:ext>
              </c:extLst>
              <c:f>'2HU'!$F$65:$F$69</c:f>
              <c:numCache>
                <c:formatCode>0.00%</c:formatCode>
                <c:ptCount val="5"/>
                <c:pt idx="4" formatCode="0.00">
                  <c:v>9.7344390561000207</c:v>
                </c:pt>
              </c:numCache>
            </c:numRef>
          </c:val>
          <c:smooth val="0"/>
          <c:extLst>
            <c:ext xmlns:c16="http://schemas.microsoft.com/office/drawing/2014/chart" uri="{C3380CC4-5D6E-409C-BE32-E72D297353CC}">
              <c16:uniqueId val="{00000003-7D1D-4137-BDAD-ACBEA181EE4C}"/>
            </c:ext>
          </c:extLst>
        </c:ser>
        <c:ser>
          <c:idx val="4"/>
          <c:order val="4"/>
          <c:tx>
            <c:strRef>
              <c:f>'2HU'!$G$64</c:f>
              <c:strCache>
                <c:ptCount val="1"/>
                <c:pt idx="0">
                  <c:v>Index with concurrent HCPI</c:v>
                </c:pt>
              </c:strCache>
            </c:strRef>
          </c:tx>
          <c:spPr>
            <a:ln w="28575" cap="rnd">
              <a:noFill/>
              <a:round/>
            </a:ln>
            <a:effectLst/>
          </c:spPr>
          <c:marker>
            <c:symbol val="triangle"/>
            <c:size val="6"/>
            <c:spPr>
              <a:noFill/>
              <a:ln w="25400">
                <a:solidFill>
                  <a:schemeClr val="accent5">
                    <a:lumMod val="75000"/>
                  </a:schemeClr>
                </a:solidFill>
              </a:ln>
              <a:effectLst/>
            </c:spPr>
          </c:marker>
          <c:cat>
            <c:numRef>
              <c:extLst>
                <c:ext xmlns:c15="http://schemas.microsoft.com/office/drawing/2012/chart" uri="{02D57815-91ED-43cb-92C2-25804820EDAC}">
                  <c15:fullRef>
                    <c15:sqref>'2HU'!$B$65:$B$72</c15:sqref>
                  </c15:fullRef>
                </c:ext>
              </c:extLst>
              <c:f>'2HU'!$B$65:$B$69</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'2HU'!$G$65:$G$72</c15:sqref>
                  </c15:fullRef>
                </c:ext>
              </c:extLst>
              <c:f>'2HU'!$G$65:$G$69</c:f>
              <c:numCache>
                <c:formatCode>0.00%</c:formatCode>
                <c:ptCount val="5"/>
                <c:pt idx="4" formatCode="0.00">
                  <c:v>9.6129503337151991</c:v>
                </c:pt>
              </c:numCache>
            </c:numRef>
          </c:val>
          <c:smooth val="0"/>
          <c:extLst>
            <c:ext xmlns:c16="http://schemas.microsoft.com/office/drawing/2014/chart" uri="{C3380CC4-5D6E-409C-BE32-E72D297353CC}">
              <c16:uniqueId val="{00000004-7D1D-4137-BDAD-ACBEA181EE4C}"/>
            </c:ext>
          </c:extLst>
        </c:ser>
        <c:dLbls>
          <c:showLegendKey val="0"/>
          <c:showVal val="0"/>
          <c:showCatName val="0"/>
          <c:showSerName val="0"/>
          <c:showPercent val="0"/>
          <c:showBubbleSize val="0"/>
        </c:dLbls>
        <c:marker val="1"/>
        <c:smooth val="0"/>
        <c:axId val="709475840"/>
        <c:axId val="605168576"/>
        <c:extLst/>
      </c:lineChart>
      <c:catAx>
        <c:axId val="709475840"/>
        <c:scaling>
          <c:orientation val="minMax"/>
        </c:scaling>
        <c:delete val="0"/>
        <c:axPos val="b"/>
        <c:numFmt formatCode="General" sourceLinked="1"/>
        <c:majorTickMark val="out"/>
        <c:minorTickMark val="none"/>
        <c:tickLblPos val="nextTo"/>
        <c:spPr>
          <a:noFill/>
          <a:ln w="635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mn-cs"/>
              </a:defRPr>
            </a:pPr>
            <a:endParaRPr lang="es-ES_tradnl"/>
          </a:p>
        </c:txPr>
        <c:crossAx val="605168576"/>
        <c:crosses val="autoZero"/>
        <c:auto val="1"/>
        <c:lblAlgn val="ctr"/>
        <c:lblOffset val="100"/>
        <c:noMultiLvlLbl val="0"/>
      </c:catAx>
      <c:valAx>
        <c:axId val="6051685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s-ES_tradnl" sz="1050">
                    <a:solidFill>
                      <a:sysClr val="windowText" lastClr="000000"/>
                    </a:solidFill>
                    <a:latin typeface="Times New Roman" panose="02020603050405020304" pitchFamily="18" charset="0"/>
                    <a:cs typeface="Times New Roman" panose="02020603050405020304" pitchFamily="18" charset="0"/>
                  </a:rPr>
                  <a:t>Rate</a:t>
                </a:r>
              </a:p>
            </c:rich>
          </c:tx>
          <c:overlay val="0"/>
          <c:spPr>
            <a:noFill/>
            <a:ln>
              <a:noFill/>
            </a:ln>
            <a:effectLst/>
          </c:spPr>
          <c:txPr>
            <a:bodyPr rot="-5400000" spcFirstLastPara="1" vertOverflow="ellipsis" vert="horz" wrap="square" anchor="ctr" anchorCtr="1"/>
            <a:lstStyle/>
            <a:p>
              <a:pPr>
                <a:defRPr sz="10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title>
        <c:numFmt formatCode="#,##0.0" sourceLinked="0"/>
        <c:majorTickMark val="out"/>
        <c:minorTickMark val="none"/>
        <c:tickLblPos val="nextTo"/>
        <c:spPr>
          <a:noFill/>
          <a:ln w="6350">
            <a:solidFill>
              <a:schemeClr val="tx1">
                <a:lumMod val="65000"/>
                <a:lumOff val="35000"/>
              </a:schemeClr>
            </a:solidFill>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mn-cs"/>
              </a:defRPr>
            </a:pPr>
            <a:endParaRPr lang="es-ES_tradnl"/>
          </a:p>
        </c:txPr>
        <c:crossAx val="709475840"/>
        <c:crosses val="autoZero"/>
        <c:crossBetween val="between"/>
      </c:valAx>
      <c:spPr>
        <a:noFill/>
        <a:ln>
          <a:noFill/>
        </a:ln>
        <a:effectLst/>
      </c:spPr>
    </c:plotArea>
    <c:legend>
      <c:legendPos val="b"/>
      <c:layout>
        <c:manualLayout>
          <c:xMode val="edge"/>
          <c:yMode val="edge"/>
          <c:x val="8.1926620958132398E-2"/>
          <c:y val="0.78900773467278962"/>
          <c:w val="0.8223310520657221"/>
          <c:h val="0.1997652991480407"/>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legend>
    <c:plotVisOnly val="1"/>
    <c:dispBlanksAs val="gap"/>
    <c:showDLblsOverMax val="0"/>
  </c:chart>
  <c:spPr>
    <a:solidFill>
      <a:schemeClr val="bg1"/>
    </a:solidFill>
    <a:ln w="9525" cap="flat" cmpd="sng" algn="ctr">
      <a:noFill/>
      <a:round/>
    </a:ln>
    <a:effectLst/>
  </c:spPr>
  <c:txPr>
    <a:bodyPr/>
    <a:lstStyle/>
    <a:p>
      <a:pPr>
        <a:defRPr/>
      </a:pPr>
      <a:endParaRPr lang="es-ES_tradnl"/>
    </a:p>
  </c:txPr>
  <c:printSettings>
    <c:headerFooter/>
    <c:pageMargins b="0.75" l="0.84" r="0.25" t="0.75" header="0.3" footer="0.3"/>
    <c:pageSetup paperSize="9" orientation="landscape"/>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457409308717575"/>
          <c:y val="4.6087571003560986E-2"/>
          <c:w val="0.82558175067451101"/>
          <c:h val="0.64272676146640684"/>
        </c:manualLayout>
      </c:layout>
      <c:lineChart>
        <c:grouping val="standard"/>
        <c:varyColors val="0"/>
        <c:ser>
          <c:idx val="1"/>
          <c:order val="0"/>
          <c:tx>
            <c:strRef>
              <c:f>'2HU'!$W$45</c:f>
              <c:strCache>
                <c:ptCount val="1"/>
                <c:pt idx="0">
                  <c:v>Observed (National Accounts)</c:v>
                </c:pt>
              </c:strCache>
            </c:strRef>
          </c:tx>
          <c:spPr>
            <a:ln w="25400" cap="rnd">
              <a:solidFill>
                <a:schemeClr val="tx1">
                  <a:lumMod val="65000"/>
                  <a:lumOff val="35000"/>
                </a:schemeClr>
              </a:solidFill>
              <a:prstDash val="sysDash"/>
              <a:round/>
            </a:ln>
            <a:effectLst/>
          </c:spPr>
          <c:marker>
            <c:symbol val="none"/>
          </c:marker>
          <c:cat>
            <c:numRef>
              <c:extLst>
                <c:ext xmlns:c15="http://schemas.microsoft.com/office/drawing/2012/chart" uri="{02D57815-91ED-43cb-92C2-25804820EDAC}">
                  <c15:fullRef>
                    <c15:sqref>'2HU'!$U$46:$U$53</c15:sqref>
                  </c15:fullRef>
                </c:ext>
              </c:extLst>
              <c:f>'2HU'!$U$46:$U$50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'2HU'!$W$46:$W$53</c15:sqref>
                  </c15:fullRef>
                </c:ext>
              </c:extLst>
              <c:f>'2HU'!$W$46:$W$50</c:f>
              <c:numCache>
                <c:formatCode>0.0%</c:formatCode>
                <c:ptCount val="5"/>
                <c:pt idx="0">
                  <c:v>5.0574469484003667E-2</c:v>
                </c:pt>
                <c:pt idx="1">
                  <c:v>5.1789755671259367E-2</c:v>
                </c:pt>
                <c:pt idx="2">
                  <c:v>5.199321093480485E-2</c:v>
                </c:pt>
                <c:pt idx="3">
                  <c:v>4.2106288165027324E-2</c:v>
                </c:pt>
                <c:pt idx="4">
                  <c:v>5.322283328897788E-2</c:v>
                </c:pt>
              </c:numCache>
            </c:numRef>
          </c:val>
          <c:smooth val="0"/>
          <c:extLst>
            <c:ext xmlns:c16="http://schemas.microsoft.com/office/drawing/2014/chart" uri="{C3380CC4-5D6E-409C-BE32-E72D297353CC}">
              <c16:uniqueId val="{00000000-0D68-4D46-BDC1-7559A4C51B02}"/>
            </c:ext>
          </c:extLst>
        </c:ser>
        <c:ser>
          <c:idx val="0"/>
          <c:order val="1"/>
          <c:tx>
            <c:strRef>
              <c:f>'2HU'!$V$45</c:f>
              <c:strCache>
                <c:ptCount val="1"/>
                <c:pt idx="0">
                  <c:v>Baseline simulation (before reescaling)</c:v>
                </c:pt>
              </c:strCache>
            </c:strRef>
          </c:tx>
          <c:spPr>
            <a:ln w="25400" cap="rnd">
              <a:noFill/>
              <a:round/>
            </a:ln>
            <a:effectLst/>
          </c:spPr>
          <c:marker>
            <c:symbol val="circle"/>
            <c:size val="8"/>
            <c:spPr>
              <a:solidFill>
                <a:schemeClr val="bg1">
                  <a:lumMod val="85000"/>
                </a:schemeClr>
              </a:solidFill>
              <a:ln w="25400">
                <a:noFill/>
              </a:ln>
              <a:effectLst/>
            </c:spPr>
          </c:marker>
          <c:cat>
            <c:numRef>
              <c:extLst>
                <c:ext xmlns:c15="http://schemas.microsoft.com/office/drawing/2012/chart" uri="{02D57815-91ED-43cb-92C2-25804820EDAC}">
                  <c15:fullRef>
                    <c15:sqref>'2HU'!$U$46:$U$53</c15:sqref>
                  </c15:fullRef>
                </c:ext>
              </c:extLst>
              <c:f>'2HU'!$U$46:$U$50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'2HU'!$V$46:$V$53</c15:sqref>
                  </c15:fullRef>
                </c:ext>
              </c:extLst>
              <c:f>'2HU'!$V$46:$V$50</c:f>
              <c:numCache>
                <c:formatCode>0.0%</c:formatCode>
                <c:ptCount val="5"/>
                <c:pt idx="0">
                  <c:v>3.9823143194096279E-2</c:v>
                </c:pt>
                <c:pt idx="1">
                  <c:v>4.2258882876057058E-2</c:v>
                </c:pt>
                <c:pt idx="2">
                  <c:v>4.102396362209066E-2</c:v>
                </c:pt>
                <c:pt idx="3">
                  <c:v>2.6565961948097887E-2</c:v>
                </c:pt>
                <c:pt idx="4">
                  <c:v>3.664139787029895E-2</c:v>
                </c:pt>
              </c:numCache>
            </c:numRef>
          </c:val>
          <c:smooth val="0"/>
          <c:extLst>
            <c:ext xmlns:c16="http://schemas.microsoft.com/office/drawing/2014/chart" uri="{C3380CC4-5D6E-409C-BE32-E72D297353CC}">
              <c16:uniqueId val="{00000001-0D68-4D46-BDC1-7559A4C51B02}"/>
            </c:ext>
          </c:extLst>
        </c:ser>
        <c:ser>
          <c:idx val="3"/>
          <c:order val="2"/>
          <c:tx>
            <c:strRef>
              <c:f>'2HU'!$Y$45</c:f>
              <c:strCache>
                <c:ptCount val="1"/>
                <c:pt idx="0">
                  <c:v>Baseline simulation (after reescaling)</c:v>
                </c:pt>
              </c:strCache>
            </c:strRef>
          </c:tx>
          <c:spPr>
            <a:ln w="25400" cap="rnd">
              <a:noFill/>
              <a:round/>
            </a:ln>
            <a:effectLst/>
          </c:spPr>
          <c:marker>
            <c:symbol val="circle"/>
            <c:size val="7"/>
            <c:spPr>
              <a:solidFill>
                <a:schemeClr val="tx1"/>
              </a:solidFill>
              <a:ln w="9525">
                <a:solidFill>
                  <a:schemeClr val="tx1"/>
                </a:solidFill>
              </a:ln>
              <a:effectLst/>
            </c:spPr>
          </c:marker>
          <c:cat>
            <c:numRef>
              <c:extLst>
                <c:ext xmlns:c15="http://schemas.microsoft.com/office/drawing/2012/chart" uri="{02D57815-91ED-43cb-92C2-25804820EDAC}">
                  <c15:fullRef>
                    <c15:sqref>'2HU'!$U$46:$U$53</c15:sqref>
                  </c15:fullRef>
                </c:ext>
              </c:extLst>
              <c:f>'2HU'!$U$46:$U$50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'2HU'!$Y$46:$Y$53</c15:sqref>
                  </c15:fullRef>
                </c:ext>
              </c:extLst>
              <c:f>'2HU'!$Y$46:$Y$50</c:f>
              <c:numCache>
                <c:formatCode>0.0%</c:formatCode>
                <c:ptCount val="5"/>
                <c:pt idx="0">
                  <c:v>5.0574469484003667E-2</c:v>
                </c:pt>
                <c:pt idx="4">
                  <c:v>5.322283328897788E-2</c:v>
                </c:pt>
              </c:numCache>
            </c:numRef>
          </c:val>
          <c:smooth val="0"/>
          <c:extLst>
            <c:ext xmlns:c16="http://schemas.microsoft.com/office/drawing/2014/chart" uri="{C3380CC4-5D6E-409C-BE32-E72D297353CC}">
              <c16:uniqueId val="{00000002-0D68-4D46-BDC1-7559A4C51B02}"/>
            </c:ext>
          </c:extLst>
        </c:ser>
        <c:ser>
          <c:idx val="4"/>
          <c:order val="3"/>
          <c:tx>
            <c:strRef>
              <c:f>'2HU'!$Z$45</c:f>
              <c:strCache>
                <c:ptCount val="1"/>
                <c:pt idx="0">
                  <c:v>Unchanged legislation since 2019/2023</c:v>
                </c:pt>
              </c:strCache>
            </c:strRef>
          </c:tx>
          <c:spPr>
            <a:ln w="25400" cap="rnd">
              <a:noFill/>
              <a:round/>
            </a:ln>
            <a:effectLst/>
          </c:spPr>
          <c:marker>
            <c:symbol val="circle"/>
            <c:size val="6"/>
            <c:spPr>
              <a:noFill/>
              <a:ln w="25400">
                <a:solidFill>
                  <a:srgbClr val="C00000"/>
                </a:solidFill>
              </a:ln>
              <a:effectLst/>
            </c:spPr>
          </c:marker>
          <c:cat>
            <c:numRef>
              <c:extLst>
                <c:ext xmlns:c15="http://schemas.microsoft.com/office/drawing/2012/chart" uri="{02D57815-91ED-43cb-92C2-25804820EDAC}">
                  <c15:fullRef>
                    <c15:sqref>'2HU'!$U$46:$U$53</c15:sqref>
                  </c15:fullRef>
                </c:ext>
              </c:extLst>
              <c:f>'2HU'!$U$46:$U$50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'2HU'!$Z$46:$Z$53</c15:sqref>
                  </c15:fullRef>
                </c:ext>
              </c:extLst>
              <c:f>'2HU'!$Z$46:$Z$50</c:f>
              <c:numCache>
                <c:formatCode>0.0%</c:formatCode>
                <c:ptCount val="5"/>
                <c:pt idx="4">
                  <c:v>5.8924404488925483E-2</c:v>
                </c:pt>
              </c:numCache>
            </c:numRef>
          </c:val>
          <c:smooth val="0"/>
          <c:extLst>
            <c:ext xmlns:c16="http://schemas.microsoft.com/office/drawing/2014/chart" uri="{C3380CC4-5D6E-409C-BE32-E72D297353CC}">
              <c16:uniqueId val="{00000003-0D68-4D46-BDC1-7559A4C51B02}"/>
            </c:ext>
          </c:extLst>
        </c:ser>
        <c:ser>
          <c:idx val="5"/>
          <c:order val="4"/>
          <c:tx>
            <c:strRef>
              <c:f>'2HU'!$AA$45</c:f>
              <c:strCache>
                <c:ptCount val="1"/>
                <c:pt idx="0">
                  <c:v>Indexing with tax base growth</c:v>
                </c:pt>
              </c:strCache>
            </c:strRef>
          </c:tx>
          <c:spPr>
            <a:ln w="25400" cap="rnd">
              <a:noFill/>
              <a:round/>
            </a:ln>
            <a:effectLst/>
          </c:spPr>
          <c:marker>
            <c:symbol val="square"/>
            <c:size val="5"/>
            <c:spPr>
              <a:noFill/>
              <a:ln w="25400">
                <a:solidFill>
                  <a:schemeClr val="accent6">
                    <a:lumMod val="75000"/>
                  </a:schemeClr>
                </a:solidFill>
              </a:ln>
              <a:effectLst/>
            </c:spPr>
          </c:marker>
          <c:cat>
            <c:numRef>
              <c:extLst>
                <c:ext xmlns:c15="http://schemas.microsoft.com/office/drawing/2012/chart" uri="{02D57815-91ED-43cb-92C2-25804820EDAC}">
                  <c15:fullRef>
                    <c15:sqref>'2HU'!$U$46:$U$53</c15:sqref>
                  </c15:fullRef>
                </c:ext>
              </c:extLst>
              <c:f>'2HU'!$U$46:$U$50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'2HU'!$AA$46:$AA$53</c15:sqref>
                  </c15:fullRef>
                </c:ext>
              </c:extLst>
              <c:f>'2HU'!$AA$46:$AA$50</c:f>
              <c:numCache>
                <c:formatCode>0.0%</c:formatCode>
                <c:ptCount val="5"/>
                <c:pt idx="4">
                  <c:v>5.1822631793100572E-2</c:v>
                </c:pt>
              </c:numCache>
            </c:numRef>
          </c:val>
          <c:smooth val="0"/>
          <c:extLst>
            <c:ext xmlns:c16="http://schemas.microsoft.com/office/drawing/2014/chart" uri="{C3380CC4-5D6E-409C-BE32-E72D297353CC}">
              <c16:uniqueId val="{00000004-0D68-4D46-BDC1-7559A4C51B02}"/>
            </c:ext>
          </c:extLst>
        </c:ser>
        <c:ser>
          <c:idx val="6"/>
          <c:order val="5"/>
          <c:tx>
            <c:strRef>
              <c:f>'2HU'!$AB$45</c:f>
              <c:strCache>
                <c:ptCount val="1"/>
                <c:pt idx="0">
                  <c:v>Indexing with lagged HCPI</c:v>
                </c:pt>
              </c:strCache>
            </c:strRef>
          </c:tx>
          <c:spPr>
            <a:ln w="25400" cap="rnd">
              <a:noFill/>
              <a:round/>
            </a:ln>
            <a:effectLst/>
          </c:spPr>
          <c:marker>
            <c:symbol val="diamond"/>
            <c:size val="6"/>
            <c:spPr>
              <a:noFill/>
              <a:ln w="25400">
                <a:solidFill>
                  <a:schemeClr val="accent4"/>
                </a:solidFill>
              </a:ln>
              <a:effectLst/>
            </c:spPr>
          </c:marker>
          <c:cat>
            <c:numRef>
              <c:extLst>
                <c:ext xmlns:c15="http://schemas.microsoft.com/office/drawing/2012/chart" uri="{02D57815-91ED-43cb-92C2-25804820EDAC}">
                  <c15:fullRef>
                    <c15:sqref>'2HU'!$U$46:$U$53</c15:sqref>
                  </c15:fullRef>
                </c:ext>
              </c:extLst>
              <c:f>'2HU'!$U$46:$U$50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'2HU'!$AB$46:$AB$53</c15:sqref>
                  </c15:fullRef>
                </c:ext>
              </c:extLst>
              <c:f>'2HU'!$AB$46:$AB$50</c:f>
              <c:numCache>
                <c:formatCode>0.0%</c:formatCode>
                <c:ptCount val="5"/>
                <c:pt idx="4">
                  <c:v>5.1963482567172516E-2</c:v>
                </c:pt>
              </c:numCache>
            </c:numRef>
          </c:val>
          <c:smooth val="0"/>
          <c:extLst>
            <c:ext xmlns:c16="http://schemas.microsoft.com/office/drawing/2014/chart" uri="{C3380CC4-5D6E-409C-BE32-E72D297353CC}">
              <c16:uniqueId val="{00000005-0D68-4D46-BDC1-7559A4C51B02}"/>
            </c:ext>
          </c:extLst>
        </c:ser>
        <c:ser>
          <c:idx val="7"/>
          <c:order val="6"/>
          <c:tx>
            <c:strRef>
              <c:f>'2HU'!$AC$45</c:f>
              <c:strCache>
                <c:ptCount val="1"/>
                <c:pt idx="0">
                  <c:v>Indexing with concurrent HCPI</c:v>
                </c:pt>
              </c:strCache>
            </c:strRef>
          </c:tx>
          <c:spPr>
            <a:ln w="25400" cap="rnd">
              <a:noFill/>
              <a:round/>
            </a:ln>
            <a:effectLst/>
          </c:spPr>
          <c:marker>
            <c:symbol val="triangle"/>
            <c:size val="6"/>
            <c:spPr>
              <a:noFill/>
              <a:ln w="25400">
                <a:solidFill>
                  <a:schemeClr val="accent5">
                    <a:lumMod val="75000"/>
                  </a:schemeClr>
                </a:solidFill>
              </a:ln>
              <a:effectLst/>
            </c:spPr>
          </c:marker>
          <c:cat>
            <c:numRef>
              <c:extLst>
                <c:ext xmlns:c15="http://schemas.microsoft.com/office/drawing/2012/chart" uri="{02D57815-91ED-43cb-92C2-25804820EDAC}">
                  <c15:fullRef>
                    <c15:sqref>'2HU'!$U$46:$U$53</c15:sqref>
                  </c15:fullRef>
                </c:ext>
              </c:extLst>
              <c:f>'2HU'!$U$46:$U$50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'2HU'!$AC$46:$AC$53</c15:sqref>
                  </c15:fullRef>
                </c:ext>
              </c:extLst>
              <c:f>'2HU'!$AC$46:$AC$50</c:f>
              <c:numCache>
                <c:formatCode>0.0%</c:formatCode>
                <c:ptCount val="5"/>
                <c:pt idx="4">
                  <c:v>5.1314962701634326E-2</c:v>
                </c:pt>
              </c:numCache>
            </c:numRef>
          </c:val>
          <c:smooth val="0"/>
          <c:extLst>
            <c:ext xmlns:c16="http://schemas.microsoft.com/office/drawing/2014/chart" uri="{C3380CC4-5D6E-409C-BE32-E72D297353CC}">
              <c16:uniqueId val="{00000006-0D68-4D46-BDC1-7559A4C51B02}"/>
            </c:ext>
          </c:extLst>
        </c:ser>
        <c:dLbls>
          <c:showLegendKey val="0"/>
          <c:showVal val="0"/>
          <c:showCatName val="0"/>
          <c:showSerName val="0"/>
          <c:showPercent val="0"/>
          <c:showBubbleSize val="0"/>
        </c:dLbls>
        <c:smooth val="0"/>
        <c:axId val="709475840"/>
        <c:axId val="605168576"/>
        <c:extLst/>
      </c:lineChart>
      <c:catAx>
        <c:axId val="709475840"/>
        <c:scaling>
          <c:orientation val="minMax"/>
        </c:scaling>
        <c:delete val="0"/>
        <c:axPos val="b"/>
        <c:numFmt formatCode="General" sourceLinked="1"/>
        <c:majorTickMark val="out"/>
        <c:minorTickMark val="none"/>
        <c:tickLblPos val="nextTo"/>
        <c:spPr>
          <a:noFill/>
          <a:ln w="6350" cap="flat" cmpd="sng" algn="ctr">
            <a:solidFill>
              <a:schemeClr val="tx1"/>
            </a:solidFill>
            <a:round/>
          </a:ln>
          <a:effectLst/>
        </c:spPr>
        <c:txPr>
          <a:bodyPr rot="-60000000" spcFirstLastPara="1" vertOverflow="ellipsis" vert="horz" wrap="square" anchor="ctr" anchorCtr="1"/>
          <a:lstStyle/>
          <a:p>
            <a:pPr>
              <a:defRPr sz="950" b="0" i="0" u="none" strike="noStrike" kern="1200" baseline="0">
                <a:solidFill>
                  <a:schemeClr val="tx1"/>
                </a:solidFill>
                <a:latin typeface="Times New Roman" panose="02020603050405020304" pitchFamily="18" charset="0"/>
                <a:ea typeface="+mn-ea"/>
                <a:cs typeface="+mn-cs"/>
              </a:defRPr>
            </a:pPr>
            <a:endParaRPr lang="es-ES_tradnl"/>
          </a:p>
        </c:txPr>
        <c:crossAx val="605168576"/>
        <c:crosses val="autoZero"/>
        <c:auto val="1"/>
        <c:lblAlgn val="ctr"/>
        <c:lblOffset val="100"/>
        <c:noMultiLvlLbl val="0"/>
      </c:catAx>
      <c:valAx>
        <c:axId val="6051685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s-ES_tradnl" sz="1050">
                    <a:solidFill>
                      <a:sysClr val="windowText" lastClr="000000"/>
                    </a:solidFill>
                    <a:latin typeface="Times New Roman" panose="02020603050405020304" pitchFamily="18" charset="0"/>
                    <a:cs typeface="Times New Roman" panose="02020603050405020304" pitchFamily="18" charset="0"/>
                  </a:rPr>
                  <a:t>Share of GDP</a:t>
                </a:r>
              </a:p>
            </c:rich>
          </c:tx>
          <c:overlay val="0"/>
          <c:spPr>
            <a:noFill/>
            <a:ln>
              <a:noFill/>
            </a:ln>
            <a:effectLst/>
          </c:spPr>
        </c:title>
        <c:numFmt formatCode="0%" sourceLinked="0"/>
        <c:majorTickMark val="out"/>
        <c:minorTickMark val="none"/>
        <c:tickLblPos val="nextTo"/>
        <c:spPr>
          <a:noFill/>
          <a:ln w="6350">
            <a:solidFill>
              <a:schemeClr val="tx1">
                <a:lumMod val="65000"/>
                <a:lumOff val="35000"/>
              </a:schemeClr>
            </a:solidFill>
          </a:ln>
          <a:effectLst/>
        </c:spPr>
        <c:txPr>
          <a:bodyPr rot="-60000000" spcFirstLastPara="1" vertOverflow="ellipsis" vert="horz" wrap="square" anchor="ctr" anchorCtr="1"/>
          <a:lstStyle/>
          <a:p>
            <a:pPr>
              <a:defRPr sz="950" b="0" i="0" u="none" strike="noStrike" kern="1200" baseline="0">
                <a:solidFill>
                  <a:schemeClr val="tx1"/>
                </a:solidFill>
                <a:latin typeface="Times New Roman" panose="02020603050405020304" pitchFamily="18" charset="0"/>
                <a:ea typeface="+mn-ea"/>
                <a:cs typeface="+mn-cs"/>
              </a:defRPr>
            </a:pPr>
            <a:endParaRPr lang="es-ES_tradnl"/>
          </a:p>
        </c:txPr>
        <c:crossAx val="709475840"/>
        <c:crosses val="autoZero"/>
        <c:crossBetween val="between"/>
      </c:valAx>
    </c:plotArea>
    <c:legend>
      <c:legendPos val="b"/>
      <c:layout>
        <c:manualLayout>
          <c:xMode val="edge"/>
          <c:yMode val="edge"/>
          <c:x val="0"/>
          <c:y val="0.80216933512597055"/>
          <c:w val="1"/>
          <c:h val="0.19783066487402948"/>
        </c:manualLayout>
      </c:layout>
      <c:overlay val="0"/>
      <c:spPr>
        <a:noFill/>
        <a:ln>
          <a:noFill/>
        </a:ln>
        <a:effectLst/>
      </c:spPr>
      <c:txPr>
        <a:bodyPr rot="0" spcFirstLastPara="1" vertOverflow="ellipsis" vert="horz" wrap="square" anchor="ctr" anchorCtr="1"/>
        <a:lstStyle/>
        <a:p>
          <a:pPr>
            <a:defRPr sz="9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legend>
    <c:plotVisOnly val="1"/>
    <c:dispBlanksAs val="gap"/>
    <c:showDLblsOverMax val="0"/>
  </c:chart>
  <c:spPr>
    <a:solidFill>
      <a:schemeClr val="bg1"/>
    </a:solidFill>
    <a:ln w="9525" cap="flat" cmpd="sng" algn="ctr">
      <a:noFill/>
      <a:round/>
    </a:ln>
    <a:effectLst/>
  </c:spPr>
  <c:txPr>
    <a:bodyPr/>
    <a:lstStyle/>
    <a:p>
      <a:pPr>
        <a:defRPr/>
      </a:pPr>
      <a:endParaRPr lang="es-ES_tradnl"/>
    </a:p>
  </c:txPr>
  <c:printSettings>
    <c:headerFooter/>
    <c:pageMargins b="0.75" l="0.25" r="0.25" t="0.75" header="0.3" footer="0.3"/>
    <c:pageSetup paperSize="9" orientation="landscape"/>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457409308717575"/>
          <c:y val="4.6087571003560986E-2"/>
          <c:w val="0.82558175067451101"/>
          <c:h val="0.64272676146640684"/>
        </c:manualLayout>
      </c:layout>
      <c:lineChart>
        <c:grouping val="standard"/>
        <c:varyColors val="0"/>
        <c:ser>
          <c:idx val="1"/>
          <c:order val="0"/>
          <c:tx>
            <c:strRef>
              <c:f>'2IE'!$D$45</c:f>
              <c:strCache>
                <c:ptCount val="1"/>
                <c:pt idx="0">
                  <c:v>Observed (National Accounts)</c:v>
                </c:pt>
              </c:strCache>
            </c:strRef>
          </c:tx>
          <c:spPr>
            <a:ln w="25400" cap="rnd">
              <a:solidFill>
                <a:schemeClr val="tx1">
                  <a:lumMod val="65000"/>
                  <a:lumOff val="35000"/>
                </a:schemeClr>
              </a:solidFill>
              <a:prstDash val="sysDash"/>
              <a:round/>
            </a:ln>
            <a:effectLst/>
          </c:spPr>
          <c:marker>
            <c:symbol val="none"/>
          </c:marker>
          <c:cat>
            <c:numRef>
              <c:extLst>
                <c:ext xmlns:c15="http://schemas.microsoft.com/office/drawing/2012/chart" uri="{02D57815-91ED-43cb-92C2-25804820EDAC}">
                  <c15:fullRef>
                    <c15:sqref>'2IE'!$B$46:$B$53</c15:sqref>
                  </c15:fullRef>
                </c:ext>
              </c:extLst>
              <c:f>'2IE'!$B$46:$B$50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'2IE'!$D$46:$D$53</c15:sqref>
                  </c15:fullRef>
                </c:ext>
              </c:extLst>
              <c:f>'2IE'!$D$46:$D$50</c:f>
              <c:numCache>
                <c:formatCode>_-* #,##0_-;\-* #,##0_-;_-* "-"??_-;_-@_-</c:formatCode>
                <c:ptCount val="5"/>
                <c:pt idx="0">
                  <c:v>23598.9</c:v>
                </c:pt>
                <c:pt idx="1">
                  <c:v>23427.8</c:v>
                </c:pt>
                <c:pt idx="2">
                  <c:v>27767.9</c:v>
                </c:pt>
                <c:pt idx="3">
                  <c:v>31287.5</c:v>
                </c:pt>
                <c:pt idx="4">
                  <c:v>33200.199999999997</c:v>
                </c:pt>
              </c:numCache>
            </c:numRef>
          </c:val>
          <c:smooth val="0"/>
          <c:extLst>
            <c:ext xmlns:c16="http://schemas.microsoft.com/office/drawing/2014/chart" uri="{C3380CC4-5D6E-409C-BE32-E72D297353CC}">
              <c16:uniqueId val="{00000000-699A-41FB-BC14-E21819160142}"/>
            </c:ext>
          </c:extLst>
        </c:ser>
        <c:ser>
          <c:idx val="0"/>
          <c:order val="1"/>
          <c:tx>
            <c:strRef>
              <c:f>'2IE'!$C$45</c:f>
              <c:strCache>
                <c:ptCount val="1"/>
                <c:pt idx="0">
                  <c:v>Baseline simulation (before reescaling)</c:v>
                </c:pt>
              </c:strCache>
            </c:strRef>
          </c:tx>
          <c:spPr>
            <a:ln w="25400" cap="rnd">
              <a:noFill/>
              <a:round/>
            </a:ln>
            <a:effectLst/>
          </c:spPr>
          <c:marker>
            <c:symbol val="circle"/>
            <c:size val="8"/>
            <c:spPr>
              <a:solidFill>
                <a:schemeClr val="bg1">
                  <a:lumMod val="85000"/>
                </a:schemeClr>
              </a:solidFill>
              <a:ln w="25400">
                <a:noFill/>
              </a:ln>
              <a:effectLst/>
            </c:spPr>
          </c:marker>
          <c:cat>
            <c:numRef>
              <c:extLst>
                <c:ext xmlns:c15="http://schemas.microsoft.com/office/drawing/2012/chart" uri="{02D57815-91ED-43cb-92C2-25804820EDAC}">
                  <c15:fullRef>
                    <c15:sqref>'2IE'!$B$46:$B$53</c15:sqref>
                  </c15:fullRef>
                </c:ext>
              </c:extLst>
              <c:f>'2IE'!$B$46:$B$50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'2IE'!$C$46:$C$53</c15:sqref>
                  </c15:fullRef>
                </c:ext>
              </c:extLst>
              <c:f>'2IE'!$C$46:$C$50</c:f>
              <c:numCache>
                <c:formatCode>_-* #,##0_-;\-* #,##0_-;_-* "-"??_-;_-@_-</c:formatCode>
                <c:ptCount val="5"/>
                <c:pt idx="0">
                  <c:v>21615.990285654021</c:v>
                </c:pt>
                <c:pt idx="1">
                  <c:v>22954.90048577635</c:v>
                </c:pt>
                <c:pt idx="2">
                  <c:v>24538.130902724417</c:v>
                </c:pt>
                <c:pt idx="3">
                  <c:v>25523.514644054358</c:v>
                </c:pt>
                <c:pt idx="4">
                  <c:v>25644.52649238841</c:v>
                </c:pt>
              </c:numCache>
            </c:numRef>
          </c:val>
          <c:smooth val="0"/>
          <c:extLst>
            <c:ext xmlns:c16="http://schemas.microsoft.com/office/drawing/2014/chart" uri="{C3380CC4-5D6E-409C-BE32-E72D297353CC}">
              <c16:uniqueId val="{00000001-699A-41FB-BC14-E21819160142}"/>
            </c:ext>
          </c:extLst>
        </c:ser>
        <c:ser>
          <c:idx val="3"/>
          <c:order val="3"/>
          <c:tx>
            <c:strRef>
              <c:f>'2IE'!$F$45</c:f>
              <c:strCache>
                <c:ptCount val="1"/>
                <c:pt idx="0">
                  <c:v>Baseline simulation (after reescaling)</c:v>
                </c:pt>
              </c:strCache>
            </c:strRef>
          </c:tx>
          <c:spPr>
            <a:ln w="25400" cap="rnd">
              <a:noFill/>
              <a:round/>
            </a:ln>
            <a:effectLst/>
          </c:spPr>
          <c:marker>
            <c:symbol val="circle"/>
            <c:size val="7"/>
            <c:spPr>
              <a:solidFill>
                <a:schemeClr val="tx1"/>
              </a:solidFill>
              <a:ln w="9525">
                <a:solidFill>
                  <a:schemeClr val="tx1"/>
                </a:solidFill>
              </a:ln>
              <a:effectLst/>
            </c:spPr>
          </c:marker>
          <c:cat>
            <c:numRef>
              <c:extLst>
                <c:ext xmlns:c15="http://schemas.microsoft.com/office/drawing/2012/chart" uri="{02D57815-91ED-43cb-92C2-25804820EDAC}">
                  <c15:fullRef>
                    <c15:sqref>'2IE'!$B$46:$B$53</c15:sqref>
                  </c15:fullRef>
                </c:ext>
              </c:extLst>
              <c:f>'2IE'!$B$46:$B$50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'2IE'!$F$46:$F$53</c15:sqref>
                  </c15:fullRef>
                </c:ext>
              </c:extLst>
              <c:f>'2IE'!$F$46:$F$50</c:f>
              <c:numCache>
                <c:formatCode>General</c:formatCode>
                <c:ptCount val="5"/>
                <c:pt idx="0" formatCode="_-* #,##0_-;\-* #,##0_-;_-* &quot;-&quot;??_-;_-@_-">
                  <c:v>23598.9</c:v>
                </c:pt>
                <c:pt idx="4" formatCode="_-* #,##0_-;\-* #,##0_-;_-* &quot;-&quot;??_-;_-@_-">
                  <c:v>33200.199999999997</c:v>
                </c:pt>
              </c:numCache>
            </c:numRef>
          </c:val>
          <c:smooth val="0"/>
          <c:extLst>
            <c:ext xmlns:c16="http://schemas.microsoft.com/office/drawing/2014/chart" uri="{C3380CC4-5D6E-409C-BE32-E72D297353CC}">
              <c16:uniqueId val="{00000002-699A-41FB-BC14-E21819160142}"/>
            </c:ext>
          </c:extLst>
        </c:ser>
        <c:ser>
          <c:idx val="4"/>
          <c:order val="4"/>
          <c:tx>
            <c:strRef>
              <c:f>'2IE'!$G$45</c:f>
              <c:strCache>
                <c:ptCount val="1"/>
                <c:pt idx="0">
                  <c:v>Unchanged legislation since 2019/2023</c:v>
                </c:pt>
              </c:strCache>
            </c:strRef>
          </c:tx>
          <c:spPr>
            <a:ln w="25400" cap="rnd">
              <a:noFill/>
              <a:round/>
            </a:ln>
            <a:effectLst/>
          </c:spPr>
          <c:marker>
            <c:symbol val="circle"/>
            <c:size val="6"/>
            <c:spPr>
              <a:noFill/>
              <a:ln w="25400">
                <a:solidFill>
                  <a:srgbClr val="C00000"/>
                </a:solidFill>
              </a:ln>
              <a:effectLst/>
            </c:spPr>
          </c:marker>
          <c:cat>
            <c:numRef>
              <c:extLst>
                <c:ext xmlns:c15="http://schemas.microsoft.com/office/drawing/2012/chart" uri="{02D57815-91ED-43cb-92C2-25804820EDAC}">
                  <c15:fullRef>
                    <c15:sqref>'2IE'!$B$46:$B$53</c15:sqref>
                  </c15:fullRef>
                </c:ext>
              </c:extLst>
              <c:f>'2IE'!$B$46:$B$50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'2IE'!$G$46:$G$53</c15:sqref>
                  </c15:fullRef>
                </c:ext>
              </c:extLst>
              <c:f>'2IE'!$G$46:$G$50</c:f>
              <c:numCache>
                <c:formatCode>General</c:formatCode>
                <c:ptCount val="5"/>
                <c:pt idx="4" formatCode="_-* #,##0_-;\-* #,##0_-;_-* &quot;-&quot;??_-;_-@_-">
                  <c:v>36069.146194912748</c:v>
                </c:pt>
              </c:numCache>
            </c:numRef>
          </c:val>
          <c:smooth val="0"/>
          <c:extLst>
            <c:ext xmlns:c16="http://schemas.microsoft.com/office/drawing/2014/chart" uri="{C3380CC4-5D6E-409C-BE32-E72D297353CC}">
              <c16:uniqueId val="{00000003-699A-41FB-BC14-E21819160142}"/>
            </c:ext>
          </c:extLst>
        </c:ser>
        <c:ser>
          <c:idx val="5"/>
          <c:order val="5"/>
          <c:tx>
            <c:strRef>
              <c:f>'2IE'!$H$45</c:f>
              <c:strCache>
                <c:ptCount val="1"/>
                <c:pt idx="0">
                  <c:v>Indexing with tax base growth</c:v>
                </c:pt>
              </c:strCache>
            </c:strRef>
          </c:tx>
          <c:spPr>
            <a:ln w="25400" cap="rnd">
              <a:noFill/>
              <a:round/>
            </a:ln>
            <a:effectLst/>
          </c:spPr>
          <c:marker>
            <c:symbol val="square"/>
            <c:size val="5"/>
            <c:spPr>
              <a:noFill/>
              <a:ln w="25400">
                <a:solidFill>
                  <a:schemeClr val="accent6">
                    <a:lumMod val="75000"/>
                  </a:schemeClr>
                </a:solidFill>
              </a:ln>
              <a:effectLst/>
            </c:spPr>
          </c:marker>
          <c:cat>
            <c:numRef>
              <c:extLst>
                <c:ext xmlns:c15="http://schemas.microsoft.com/office/drawing/2012/chart" uri="{02D57815-91ED-43cb-92C2-25804820EDAC}">
                  <c15:fullRef>
                    <c15:sqref>'2IE'!$B$46:$B$53</c15:sqref>
                  </c15:fullRef>
                </c:ext>
              </c:extLst>
              <c:f>'2IE'!$B$46:$B$50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'2IE'!$H$46:$H$53</c15:sqref>
                  </c15:fullRef>
                </c:ext>
              </c:extLst>
              <c:f>'2IE'!$H$46:$H$50</c:f>
              <c:numCache>
                <c:formatCode>General</c:formatCode>
                <c:ptCount val="5"/>
                <c:pt idx="4" formatCode="_-* #,##0_-;\-* #,##0_-;_-* &quot;-&quot;??_-;_-@_-">
                  <c:v>32587.271419646087</c:v>
                </c:pt>
              </c:numCache>
            </c:numRef>
          </c:val>
          <c:smooth val="0"/>
          <c:extLst>
            <c:ext xmlns:c16="http://schemas.microsoft.com/office/drawing/2014/chart" uri="{C3380CC4-5D6E-409C-BE32-E72D297353CC}">
              <c16:uniqueId val="{00000004-699A-41FB-BC14-E21819160142}"/>
            </c:ext>
          </c:extLst>
        </c:ser>
        <c:ser>
          <c:idx val="6"/>
          <c:order val="6"/>
          <c:tx>
            <c:strRef>
              <c:f>'2IE'!$I$45</c:f>
              <c:strCache>
                <c:ptCount val="1"/>
                <c:pt idx="0">
                  <c:v>Indexing with lagged HCPI</c:v>
                </c:pt>
              </c:strCache>
            </c:strRef>
          </c:tx>
          <c:spPr>
            <a:ln w="25400" cap="rnd">
              <a:noFill/>
              <a:round/>
            </a:ln>
            <a:effectLst/>
          </c:spPr>
          <c:marker>
            <c:symbol val="diamond"/>
            <c:size val="6"/>
            <c:spPr>
              <a:noFill/>
              <a:ln w="25400">
                <a:solidFill>
                  <a:schemeClr val="accent4"/>
                </a:solidFill>
              </a:ln>
              <a:effectLst/>
            </c:spPr>
          </c:marker>
          <c:cat>
            <c:numRef>
              <c:extLst>
                <c:ext xmlns:c15="http://schemas.microsoft.com/office/drawing/2012/chart" uri="{02D57815-91ED-43cb-92C2-25804820EDAC}">
                  <c15:fullRef>
                    <c15:sqref>'2IE'!$B$46:$B$53</c15:sqref>
                  </c15:fullRef>
                </c:ext>
              </c:extLst>
              <c:f>'2IE'!$B$46:$B$50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'2IE'!$I$46:$I$53</c15:sqref>
                  </c15:fullRef>
                </c:ext>
              </c:extLst>
              <c:f>'2IE'!$I$46:$I$50</c:f>
              <c:numCache>
                <c:formatCode>General</c:formatCode>
                <c:ptCount val="5"/>
                <c:pt idx="4" formatCode="_-* #,##0_-;\-* #,##0_-;_-* &quot;-&quot;??_-;_-@_-">
                  <c:v>33428.22501860089</c:v>
                </c:pt>
              </c:numCache>
            </c:numRef>
          </c:val>
          <c:smooth val="0"/>
          <c:extLst>
            <c:ext xmlns:c16="http://schemas.microsoft.com/office/drawing/2014/chart" uri="{C3380CC4-5D6E-409C-BE32-E72D297353CC}">
              <c16:uniqueId val="{00000005-699A-41FB-BC14-E21819160142}"/>
            </c:ext>
          </c:extLst>
        </c:ser>
        <c:ser>
          <c:idx val="7"/>
          <c:order val="7"/>
          <c:tx>
            <c:strRef>
              <c:f>'2IE'!$J$45</c:f>
              <c:strCache>
                <c:ptCount val="1"/>
                <c:pt idx="0">
                  <c:v>Indexing with concurrent HCPI</c:v>
                </c:pt>
              </c:strCache>
            </c:strRef>
          </c:tx>
          <c:spPr>
            <a:ln w="25400" cap="rnd">
              <a:noFill/>
              <a:round/>
            </a:ln>
            <a:effectLst/>
          </c:spPr>
          <c:marker>
            <c:symbol val="triangle"/>
            <c:size val="6"/>
            <c:spPr>
              <a:noFill/>
              <a:ln w="25400">
                <a:solidFill>
                  <a:schemeClr val="accent5">
                    <a:lumMod val="75000"/>
                  </a:schemeClr>
                </a:solidFill>
              </a:ln>
              <a:effectLst/>
            </c:spPr>
          </c:marker>
          <c:cat>
            <c:numRef>
              <c:extLst>
                <c:ext xmlns:c15="http://schemas.microsoft.com/office/drawing/2012/chart" uri="{02D57815-91ED-43cb-92C2-25804820EDAC}">
                  <c15:fullRef>
                    <c15:sqref>'2IE'!$B$46:$B$53</c15:sqref>
                  </c15:fullRef>
                </c:ext>
              </c:extLst>
              <c:f>'2IE'!$B$46:$B$50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'2IE'!$J$46:$J$53</c15:sqref>
                  </c15:fullRef>
                </c:ext>
              </c:extLst>
              <c:f>'2IE'!$J$46:$J$50</c:f>
              <c:numCache>
                <c:formatCode>General</c:formatCode>
                <c:ptCount val="5"/>
                <c:pt idx="4" formatCode="_-* #,##0_-;\-* #,##0_-;_-* &quot;-&quot;??_-;_-@_-">
                  <c:v>32380.2244113911</c:v>
                </c:pt>
              </c:numCache>
            </c:numRef>
          </c:val>
          <c:smooth val="0"/>
          <c:extLst>
            <c:ext xmlns:c16="http://schemas.microsoft.com/office/drawing/2014/chart" uri="{C3380CC4-5D6E-409C-BE32-E72D297353CC}">
              <c16:uniqueId val="{00000006-699A-41FB-BC14-E21819160142}"/>
            </c:ext>
          </c:extLst>
        </c:ser>
        <c:ser>
          <c:idx val="8"/>
          <c:order val="8"/>
          <c:tx>
            <c:strRef>
              <c:f>'2IE'!$K$45</c:f>
              <c:strCache>
                <c:ptCount val="1"/>
                <c:pt idx="0">
                  <c:v>Baseline w/o "indexation measures"</c:v>
                </c:pt>
              </c:strCache>
            </c:strRef>
          </c:tx>
          <c:spPr>
            <a:ln w="28575" cap="rnd">
              <a:noFill/>
              <a:round/>
            </a:ln>
            <a:effectLst/>
          </c:spPr>
          <c:marker>
            <c:symbol val="dash"/>
            <c:size val="9"/>
            <c:spPr>
              <a:solidFill>
                <a:schemeClr val="tx1">
                  <a:lumMod val="65000"/>
                  <a:lumOff val="35000"/>
                </a:schemeClr>
              </a:solidFill>
              <a:ln w="9525">
                <a:solidFill>
                  <a:schemeClr val="tx1">
                    <a:lumMod val="65000"/>
                    <a:lumOff val="35000"/>
                  </a:schemeClr>
                </a:solidFill>
              </a:ln>
              <a:effectLst/>
            </c:spPr>
          </c:marker>
          <c:cat>
            <c:strLit>
              <c:ptCount val="5"/>
              <c:pt idx="0">
                <c:v>2019</c:v>
              </c:pt>
              <c:pt idx="1">
                <c:v>2020</c:v>
              </c:pt>
              <c:pt idx="2">
                <c:v>2021</c:v>
              </c:pt>
              <c:pt idx="3">
                <c:v>2022</c:v>
              </c:pt>
              <c:pt idx="4">
                <c:v>2023</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'2IE'!$K$46:$K$53</c15:sqref>
                  </c15:fullRef>
                </c:ext>
              </c:extLst>
              <c:f>'2IE'!$K$46:$K$50</c:f>
              <c:numCache>
                <c:formatCode>General</c:formatCode>
                <c:ptCount val="5"/>
                <c:pt idx="4" formatCode="_-* #,##0_-;\-* #,##0_-;_-* &quot;-&quot;??_-;_-@_-">
                  <c:v>35543.675540300166</c:v>
                </c:pt>
              </c:numCache>
            </c:numRef>
          </c:val>
          <c:smooth val="0"/>
          <c:extLst>
            <c:ext xmlns:c16="http://schemas.microsoft.com/office/drawing/2014/chart" uri="{C3380CC4-5D6E-409C-BE32-E72D297353CC}">
              <c16:uniqueId val="{00000007-699A-41FB-BC14-E21819160142}"/>
            </c:ext>
          </c:extLst>
        </c:ser>
        <c:dLbls>
          <c:showLegendKey val="0"/>
          <c:showVal val="0"/>
          <c:showCatName val="0"/>
          <c:showSerName val="0"/>
          <c:showPercent val="0"/>
          <c:showBubbleSize val="0"/>
        </c:dLbls>
        <c:smooth val="0"/>
        <c:axId val="709475840"/>
        <c:axId val="605168576"/>
        <c:extLst>
          <c:ext xmlns:c15="http://schemas.microsoft.com/office/drawing/2012/chart" uri="{02D57815-91ED-43cb-92C2-25804820EDAC}">
            <c15:filteredLineSeries>
              <c15:ser>
                <c:idx val="2"/>
                <c:order val="2"/>
                <c:tx>
                  <c:strRef>
                    <c:extLst>
                      <c:ext uri="{02D57815-91ED-43cb-92C2-25804820EDAC}">
                        <c15:formulaRef>
                          <c15:sqref>'2IE'!$E$45</c15:sqref>
                        </c15:formulaRef>
                      </c:ext>
                    </c:extLst>
                    <c:strCache>
                      <c:ptCount val="1"/>
                      <c:pt idx="0">
                        <c:v>Reescaling factor
</c:v>
                      </c:pt>
                    </c:strCache>
                  </c:strRef>
                </c:tx>
                <c:spPr>
                  <a:ln w="25400" cap="rnd">
                    <a:noFill/>
                    <a:round/>
                  </a:ln>
                  <a:effectLst/>
                </c:spPr>
                <c:marker>
                  <c:symbol val="circle"/>
                  <c:size val="5"/>
                  <c:spPr>
                    <a:solidFill>
                      <a:schemeClr val="accent3"/>
                    </a:solidFill>
                    <a:ln w="9525">
                      <a:solidFill>
                        <a:schemeClr val="accent3"/>
                      </a:solidFill>
                    </a:ln>
                    <a:effectLst/>
                  </c:spPr>
                </c:marker>
                <c:cat>
                  <c:numRef>
                    <c:extLst>
                      <c:ext uri="{02D57815-91ED-43cb-92C2-25804820EDAC}">
                        <c15:fullRef>
                          <c15:sqref>'2IE'!$B$46:$B$53</c15:sqref>
                        </c15:fullRef>
                        <c15:formulaRef>
                          <c15:sqref>'2IE'!$B$46:$B$50</c15:sqref>
                        </c15:formulaRef>
                      </c:ext>
                    </c:extLst>
                    <c:numCache>
                      <c:formatCode>General</c:formatCode>
                      <c:ptCount val="5"/>
                      <c:pt idx="0">
                        <c:v>2019</c:v>
                      </c:pt>
                      <c:pt idx="1">
                        <c:v>2020</c:v>
                      </c:pt>
                      <c:pt idx="2">
                        <c:v>2021</c:v>
                      </c:pt>
                      <c:pt idx="3">
                        <c:v>2022</c:v>
                      </c:pt>
                      <c:pt idx="4">
                        <c:v>2023</c:v>
                      </c:pt>
                    </c:numCache>
                  </c:numRef>
                </c:cat>
                <c:val>
                  <c:numRef>
                    <c:extLst>
                      <c:ext uri="{02D57815-91ED-43cb-92C2-25804820EDAC}">
                        <c15:fullRef>
                          <c15:sqref>'2IE'!$E$46:$E$53</c15:sqref>
                        </c15:fullRef>
                        <c15:formulaRef>
                          <c15:sqref>'2IE'!$E$46:$E$50</c15:sqref>
                        </c15:formulaRef>
                      </c:ext>
                    </c:extLst>
                    <c:numCache>
                      <c:formatCode>General</c:formatCode>
                      <c:ptCount val="5"/>
                    </c:numCache>
                  </c:numRef>
                </c:val>
                <c:smooth val="0"/>
                <c:extLst>
                  <c:ext xmlns:c16="http://schemas.microsoft.com/office/drawing/2014/chart" uri="{C3380CC4-5D6E-409C-BE32-E72D297353CC}">
                    <c16:uniqueId val="{00000008-699A-41FB-BC14-E21819160142}"/>
                  </c:ext>
                </c:extLst>
              </c15:ser>
            </c15:filteredLineSeries>
          </c:ext>
        </c:extLst>
      </c:lineChart>
      <c:catAx>
        <c:axId val="709475840"/>
        <c:scaling>
          <c:orientation val="minMax"/>
        </c:scaling>
        <c:delete val="0"/>
        <c:axPos val="b"/>
        <c:numFmt formatCode="General" sourceLinked="1"/>
        <c:majorTickMark val="out"/>
        <c:minorTickMark val="none"/>
        <c:tickLblPos val="nextTo"/>
        <c:spPr>
          <a:noFill/>
          <a:ln w="6350" cap="flat" cmpd="sng" algn="ctr">
            <a:solidFill>
              <a:schemeClr val="tx1"/>
            </a:solidFill>
            <a:round/>
          </a:ln>
          <a:effectLst/>
        </c:spPr>
        <c:txPr>
          <a:bodyPr rot="-60000000" spcFirstLastPara="1" vertOverflow="ellipsis" vert="horz" wrap="square" anchor="ctr" anchorCtr="1"/>
          <a:lstStyle/>
          <a:p>
            <a:pPr>
              <a:defRPr sz="950" b="0" i="0" u="none" strike="noStrike" kern="1200" baseline="0">
                <a:solidFill>
                  <a:schemeClr val="tx1"/>
                </a:solidFill>
                <a:latin typeface="Times New Roman" panose="02020603050405020304" pitchFamily="18" charset="0"/>
                <a:ea typeface="+mn-ea"/>
                <a:cs typeface="+mn-cs"/>
              </a:defRPr>
            </a:pPr>
            <a:endParaRPr lang="es-ES_tradnl"/>
          </a:p>
        </c:txPr>
        <c:crossAx val="605168576"/>
        <c:crosses val="autoZero"/>
        <c:auto val="1"/>
        <c:lblAlgn val="ctr"/>
        <c:lblOffset val="100"/>
        <c:noMultiLvlLbl val="0"/>
      </c:catAx>
      <c:valAx>
        <c:axId val="6051685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s-ES_tradnl" sz="1050">
                    <a:solidFill>
                      <a:sysClr val="windowText" lastClr="000000"/>
                    </a:solidFill>
                    <a:latin typeface="Times New Roman" panose="02020603050405020304" pitchFamily="18" charset="0"/>
                    <a:cs typeface="Times New Roman" panose="02020603050405020304" pitchFamily="18" charset="0"/>
                  </a:rPr>
                  <a:t>Million euros</a:t>
                </a:r>
              </a:p>
            </c:rich>
          </c:tx>
          <c:layout>
            <c:manualLayout>
              <c:xMode val="edge"/>
              <c:yMode val="edge"/>
              <c:x val="0"/>
              <c:y val="0.27024653144012073"/>
            </c:manualLayout>
          </c:layout>
          <c:overlay val="0"/>
          <c:spPr>
            <a:noFill/>
            <a:ln>
              <a:noFill/>
            </a:ln>
            <a:effectLst/>
          </c:spPr>
          <c:txPr>
            <a:bodyPr rot="-5400000" spcFirstLastPara="1" vertOverflow="ellipsis" vert="horz" wrap="square" anchor="ctr" anchorCtr="1"/>
            <a:lstStyle/>
            <a:p>
              <a:pPr>
                <a:defRPr sz="10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title>
        <c:numFmt formatCode="#,##0" sourceLinked="0"/>
        <c:majorTickMark val="out"/>
        <c:minorTickMark val="none"/>
        <c:tickLblPos val="nextTo"/>
        <c:spPr>
          <a:noFill/>
          <a:ln w="6350">
            <a:solidFill>
              <a:schemeClr val="tx1">
                <a:lumMod val="65000"/>
                <a:lumOff val="35000"/>
              </a:schemeClr>
            </a:solidFill>
          </a:ln>
          <a:effectLst/>
        </c:spPr>
        <c:txPr>
          <a:bodyPr rot="-60000000" spcFirstLastPara="1" vertOverflow="ellipsis" vert="horz" wrap="square" anchor="ctr" anchorCtr="1"/>
          <a:lstStyle/>
          <a:p>
            <a:pPr>
              <a:defRPr sz="950" b="0" i="0" u="none" strike="noStrike" kern="1200" baseline="0">
                <a:solidFill>
                  <a:schemeClr val="tx1"/>
                </a:solidFill>
                <a:latin typeface="Times New Roman" panose="02020603050405020304" pitchFamily="18" charset="0"/>
                <a:ea typeface="+mn-ea"/>
                <a:cs typeface="+mn-cs"/>
              </a:defRPr>
            </a:pPr>
            <a:endParaRPr lang="es-ES_tradnl"/>
          </a:p>
        </c:txPr>
        <c:crossAx val="709475840"/>
        <c:crosses val="autoZero"/>
        <c:crossBetween val="between"/>
      </c:valAx>
      <c:spPr>
        <a:noFill/>
        <a:ln>
          <a:noFill/>
        </a:ln>
        <a:effectLst/>
      </c:spPr>
    </c:plotArea>
    <c:legend>
      <c:legendPos val="b"/>
      <c:layout>
        <c:manualLayout>
          <c:xMode val="edge"/>
          <c:yMode val="edge"/>
          <c:x val="0"/>
          <c:y val="0.73648087849247201"/>
          <c:w val="1"/>
          <c:h val="0.26351912150752793"/>
        </c:manualLayout>
      </c:layout>
      <c:overlay val="0"/>
      <c:spPr>
        <a:noFill/>
        <a:ln>
          <a:noFill/>
        </a:ln>
        <a:effectLst/>
      </c:spPr>
      <c:txPr>
        <a:bodyPr rot="0" spcFirstLastPara="1" vertOverflow="ellipsis" vert="horz" wrap="square" anchor="ctr" anchorCtr="1"/>
        <a:lstStyle/>
        <a:p>
          <a:pPr>
            <a:defRPr sz="9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legend>
    <c:plotVisOnly val="1"/>
    <c:dispBlanksAs val="gap"/>
    <c:showDLblsOverMax val="0"/>
  </c:chart>
  <c:spPr>
    <a:solidFill>
      <a:schemeClr val="bg1"/>
    </a:solidFill>
    <a:ln w="9525" cap="flat" cmpd="sng" algn="ctr">
      <a:noFill/>
      <a:round/>
    </a:ln>
    <a:effectLst/>
  </c:spPr>
  <c:txPr>
    <a:bodyPr/>
    <a:lstStyle/>
    <a:p>
      <a:pPr>
        <a:defRPr/>
      </a:pPr>
      <a:endParaRPr lang="es-ES_tradnl"/>
    </a:p>
  </c:txPr>
  <c:printSettings>
    <c:headerFooter/>
    <c:pageMargins b="0.75" l="0.25" r="0.25" t="0.75" header="0.3" footer="0.3"/>
    <c:pageSetup paperSize="9" orientation="landscape"/>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457409308717575"/>
          <c:y val="4.6087571003560986E-2"/>
          <c:w val="0.82558175067451101"/>
          <c:h val="0.6515011552844524"/>
        </c:manualLayout>
      </c:layout>
      <c:lineChart>
        <c:grouping val="standard"/>
        <c:varyColors val="0"/>
        <c:ser>
          <c:idx val="1"/>
          <c:order val="0"/>
          <c:tx>
            <c:strRef>
              <c:f>'2IE'!$C$64</c:f>
              <c:strCache>
                <c:ptCount val="1"/>
                <c:pt idx="0">
                  <c:v>Baseline simulation
</c:v>
                </c:pt>
              </c:strCache>
            </c:strRef>
          </c:tx>
          <c:spPr>
            <a:ln w="28575" cap="rnd">
              <a:noFill/>
              <a:round/>
            </a:ln>
            <a:effectLst/>
          </c:spPr>
          <c:marker>
            <c:symbol val="circle"/>
            <c:size val="7"/>
            <c:spPr>
              <a:solidFill>
                <a:schemeClr val="tx1"/>
              </a:solidFill>
              <a:ln w="9525">
                <a:noFill/>
              </a:ln>
              <a:effectLst/>
            </c:spPr>
          </c:marker>
          <c:cat>
            <c:numRef>
              <c:extLst>
                <c:ext xmlns:c15="http://schemas.microsoft.com/office/drawing/2012/chart" uri="{02D57815-91ED-43cb-92C2-25804820EDAC}">
                  <c15:fullRef>
                    <c15:sqref>'2IE'!$B$65:$B$72</c15:sqref>
                  </c15:fullRef>
                </c:ext>
              </c:extLst>
              <c:f>'2IE'!$B$65:$B$69</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'2IE'!$C$65:$C$72</c15:sqref>
                  </c15:fullRef>
                </c:ext>
              </c:extLst>
              <c:f>'2IE'!$C$65:$C$69</c:f>
              <c:numCache>
                <c:formatCode>0.00</c:formatCode>
                <c:ptCount val="5"/>
                <c:pt idx="0">
                  <c:v>19.57967121956872</c:v>
                </c:pt>
                <c:pt idx="1">
                  <c:v>20.166056433141058</c:v>
                </c:pt>
                <c:pt idx="2">
                  <c:v>20.78071015211594</c:v>
                </c:pt>
                <c:pt idx="3">
                  <c:v>20.75875872399461</c:v>
                </c:pt>
                <c:pt idx="4">
                  <c:v>20.218944729105125</c:v>
                </c:pt>
              </c:numCache>
            </c:numRef>
          </c:val>
          <c:smooth val="0"/>
          <c:extLst>
            <c:ext xmlns:c16="http://schemas.microsoft.com/office/drawing/2014/chart" uri="{C3380CC4-5D6E-409C-BE32-E72D297353CC}">
              <c16:uniqueId val="{00000000-F1CA-4482-9A12-BE97113622F3}"/>
            </c:ext>
          </c:extLst>
        </c:ser>
        <c:ser>
          <c:idx val="0"/>
          <c:order val="1"/>
          <c:tx>
            <c:strRef>
              <c:f>'2IE'!$D$64</c:f>
              <c:strCache>
                <c:ptCount val="1"/>
                <c:pt idx="0">
                  <c:v>Legislation unchanged since 2019/2023</c:v>
                </c:pt>
              </c:strCache>
            </c:strRef>
          </c:tx>
          <c:spPr>
            <a:ln w="28575" cap="rnd">
              <a:noFill/>
              <a:round/>
            </a:ln>
            <a:effectLst/>
          </c:spPr>
          <c:marker>
            <c:symbol val="circle"/>
            <c:size val="7"/>
            <c:spPr>
              <a:noFill/>
              <a:ln w="25400">
                <a:solidFill>
                  <a:srgbClr val="C00000"/>
                </a:solidFill>
              </a:ln>
              <a:effectLst/>
            </c:spPr>
          </c:marker>
          <c:cat>
            <c:numRef>
              <c:extLst>
                <c:ext xmlns:c15="http://schemas.microsoft.com/office/drawing/2012/chart" uri="{02D57815-91ED-43cb-92C2-25804820EDAC}">
                  <c15:fullRef>
                    <c15:sqref>'2IE'!$B$65:$B$72</c15:sqref>
                  </c15:fullRef>
                </c:ext>
              </c:extLst>
              <c:f>'2IE'!$B$65:$B$69</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'2IE'!$D$65:$D$72</c15:sqref>
                  </c15:fullRef>
                </c:ext>
              </c:extLst>
              <c:f>'2IE'!$D$65:$D$69</c:f>
              <c:numCache>
                <c:formatCode>0.00%</c:formatCode>
                <c:ptCount val="5"/>
                <c:pt idx="4" formatCode="0.00">
                  <c:v>21.966134943191712</c:v>
                </c:pt>
              </c:numCache>
            </c:numRef>
          </c:val>
          <c:smooth val="0"/>
          <c:extLst>
            <c:ext xmlns:c16="http://schemas.microsoft.com/office/drawing/2014/chart" uri="{C3380CC4-5D6E-409C-BE32-E72D297353CC}">
              <c16:uniqueId val="{00000001-F1CA-4482-9A12-BE97113622F3}"/>
            </c:ext>
          </c:extLst>
        </c:ser>
        <c:ser>
          <c:idx val="2"/>
          <c:order val="2"/>
          <c:tx>
            <c:strRef>
              <c:f>'2IE'!$E$64</c:f>
              <c:strCache>
                <c:ptCount val="1"/>
                <c:pt idx="0">
                  <c:v>Index with tax base growth</c:v>
                </c:pt>
              </c:strCache>
            </c:strRef>
          </c:tx>
          <c:spPr>
            <a:ln w="28575" cap="rnd">
              <a:noFill/>
              <a:round/>
            </a:ln>
            <a:effectLst/>
          </c:spPr>
          <c:marker>
            <c:symbol val="square"/>
            <c:size val="6"/>
            <c:spPr>
              <a:noFill/>
              <a:ln w="25400">
                <a:solidFill>
                  <a:schemeClr val="accent6">
                    <a:lumMod val="75000"/>
                  </a:schemeClr>
                </a:solidFill>
              </a:ln>
              <a:effectLst/>
            </c:spPr>
          </c:marker>
          <c:cat>
            <c:numRef>
              <c:extLst>
                <c:ext xmlns:c15="http://schemas.microsoft.com/office/drawing/2012/chart" uri="{02D57815-91ED-43cb-92C2-25804820EDAC}">
                  <c15:fullRef>
                    <c15:sqref>'2IE'!$B$65:$B$72</c15:sqref>
                  </c15:fullRef>
                </c:ext>
              </c:extLst>
              <c:f>'2IE'!$B$65:$B$69</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'2IE'!$E$65:$E$72</c15:sqref>
                  </c15:fullRef>
                </c:ext>
              </c:extLst>
              <c:f>'2IE'!$E$65:$E$69</c:f>
              <c:numCache>
                <c:formatCode>0.00%</c:formatCode>
                <c:ptCount val="5"/>
                <c:pt idx="4" formatCode="0.00">
                  <c:v>19.845670800361788</c:v>
                </c:pt>
              </c:numCache>
            </c:numRef>
          </c:val>
          <c:smooth val="0"/>
          <c:extLst xmlns:c15="http://schemas.microsoft.com/office/drawing/2012/chart">
            <c:ext xmlns:c16="http://schemas.microsoft.com/office/drawing/2014/chart" uri="{C3380CC4-5D6E-409C-BE32-E72D297353CC}">
              <c16:uniqueId val="{00000002-F1CA-4482-9A12-BE97113622F3}"/>
            </c:ext>
          </c:extLst>
        </c:ser>
        <c:ser>
          <c:idx val="3"/>
          <c:order val="3"/>
          <c:tx>
            <c:strRef>
              <c:f>'2IE'!$F$64</c:f>
              <c:strCache>
                <c:ptCount val="1"/>
                <c:pt idx="0">
                  <c:v>Index with lagged HCPI</c:v>
                </c:pt>
              </c:strCache>
            </c:strRef>
          </c:tx>
          <c:spPr>
            <a:ln w="28575" cap="rnd">
              <a:noFill/>
              <a:round/>
            </a:ln>
            <a:effectLst/>
          </c:spPr>
          <c:marker>
            <c:symbol val="diamond"/>
            <c:size val="7"/>
            <c:spPr>
              <a:noFill/>
              <a:ln w="25400">
                <a:solidFill>
                  <a:schemeClr val="accent4"/>
                </a:solidFill>
              </a:ln>
              <a:effectLst/>
            </c:spPr>
          </c:marker>
          <c:cat>
            <c:numRef>
              <c:extLst>
                <c:ext xmlns:c15="http://schemas.microsoft.com/office/drawing/2012/chart" uri="{02D57815-91ED-43cb-92C2-25804820EDAC}">
                  <c15:fullRef>
                    <c15:sqref>'2IE'!$B$65:$B$72</c15:sqref>
                  </c15:fullRef>
                </c:ext>
              </c:extLst>
              <c:f>'2IE'!$B$65:$B$69</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'2IE'!$F$65:$F$72</c15:sqref>
                  </c15:fullRef>
                </c:ext>
              </c:extLst>
              <c:f>'2IE'!$F$65:$F$69</c:f>
              <c:numCache>
                <c:formatCode>0.00%</c:formatCode>
                <c:ptCount val="5"/>
                <c:pt idx="4" formatCode="0.00">
                  <c:v>20.357812122914336</c:v>
                </c:pt>
              </c:numCache>
            </c:numRef>
          </c:val>
          <c:smooth val="0"/>
          <c:extLst>
            <c:ext xmlns:c16="http://schemas.microsoft.com/office/drawing/2014/chart" uri="{C3380CC4-5D6E-409C-BE32-E72D297353CC}">
              <c16:uniqueId val="{00000003-F1CA-4482-9A12-BE97113622F3}"/>
            </c:ext>
          </c:extLst>
        </c:ser>
        <c:ser>
          <c:idx val="4"/>
          <c:order val="4"/>
          <c:tx>
            <c:strRef>
              <c:f>'2IE'!$G$64</c:f>
              <c:strCache>
                <c:ptCount val="1"/>
                <c:pt idx="0">
                  <c:v>Index with concurrent HCPI</c:v>
                </c:pt>
              </c:strCache>
            </c:strRef>
          </c:tx>
          <c:spPr>
            <a:ln w="28575" cap="rnd">
              <a:noFill/>
              <a:round/>
            </a:ln>
            <a:effectLst/>
          </c:spPr>
          <c:marker>
            <c:symbol val="triangle"/>
            <c:size val="6"/>
            <c:spPr>
              <a:noFill/>
              <a:ln w="25400">
                <a:solidFill>
                  <a:schemeClr val="accent5">
                    <a:lumMod val="75000"/>
                  </a:schemeClr>
                </a:solidFill>
              </a:ln>
              <a:effectLst/>
            </c:spPr>
          </c:marker>
          <c:cat>
            <c:numRef>
              <c:extLst>
                <c:ext xmlns:c15="http://schemas.microsoft.com/office/drawing/2012/chart" uri="{02D57815-91ED-43cb-92C2-25804820EDAC}">
                  <c15:fullRef>
                    <c15:sqref>'2IE'!$B$65:$B$72</c15:sqref>
                  </c15:fullRef>
                </c:ext>
              </c:extLst>
              <c:f>'2IE'!$B$65:$B$69</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'2IE'!$G$65:$G$72</c15:sqref>
                  </c15:fullRef>
                </c:ext>
              </c:extLst>
              <c:f>'2IE'!$G$65:$G$69</c:f>
              <c:numCache>
                <c:formatCode>0.00%</c:formatCode>
                <c:ptCount val="5"/>
                <c:pt idx="4" formatCode="0.00">
                  <c:v>19.719579029341308</c:v>
                </c:pt>
              </c:numCache>
            </c:numRef>
          </c:val>
          <c:smooth val="0"/>
          <c:extLst>
            <c:ext xmlns:c16="http://schemas.microsoft.com/office/drawing/2014/chart" uri="{C3380CC4-5D6E-409C-BE32-E72D297353CC}">
              <c16:uniqueId val="{00000004-F1CA-4482-9A12-BE97113622F3}"/>
            </c:ext>
          </c:extLst>
        </c:ser>
        <c:dLbls>
          <c:showLegendKey val="0"/>
          <c:showVal val="0"/>
          <c:showCatName val="0"/>
          <c:showSerName val="0"/>
          <c:showPercent val="0"/>
          <c:showBubbleSize val="0"/>
        </c:dLbls>
        <c:marker val="1"/>
        <c:smooth val="0"/>
        <c:axId val="709475840"/>
        <c:axId val="605168576"/>
        <c:extLst/>
      </c:lineChart>
      <c:catAx>
        <c:axId val="709475840"/>
        <c:scaling>
          <c:orientation val="minMax"/>
        </c:scaling>
        <c:delete val="0"/>
        <c:axPos val="b"/>
        <c:numFmt formatCode="General" sourceLinked="1"/>
        <c:majorTickMark val="out"/>
        <c:minorTickMark val="none"/>
        <c:tickLblPos val="nextTo"/>
        <c:spPr>
          <a:noFill/>
          <a:ln w="635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mn-cs"/>
              </a:defRPr>
            </a:pPr>
            <a:endParaRPr lang="es-ES_tradnl"/>
          </a:p>
        </c:txPr>
        <c:crossAx val="605168576"/>
        <c:crosses val="autoZero"/>
        <c:auto val="1"/>
        <c:lblAlgn val="ctr"/>
        <c:lblOffset val="100"/>
        <c:noMultiLvlLbl val="0"/>
      </c:catAx>
      <c:valAx>
        <c:axId val="6051685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s-ES_tradnl" sz="1050">
                    <a:solidFill>
                      <a:sysClr val="windowText" lastClr="000000"/>
                    </a:solidFill>
                    <a:latin typeface="Times New Roman" panose="02020603050405020304" pitchFamily="18" charset="0"/>
                    <a:cs typeface="Times New Roman" panose="02020603050405020304" pitchFamily="18" charset="0"/>
                  </a:rPr>
                  <a:t>Rate</a:t>
                </a:r>
              </a:p>
            </c:rich>
          </c:tx>
          <c:overlay val="0"/>
          <c:spPr>
            <a:noFill/>
            <a:ln>
              <a:noFill/>
            </a:ln>
            <a:effectLst/>
          </c:spPr>
          <c:txPr>
            <a:bodyPr rot="-5400000" spcFirstLastPara="1" vertOverflow="ellipsis" vert="horz" wrap="square" anchor="ctr" anchorCtr="1"/>
            <a:lstStyle/>
            <a:p>
              <a:pPr>
                <a:defRPr sz="10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title>
        <c:numFmt formatCode="#,##0.0" sourceLinked="0"/>
        <c:majorTickMark val="out"/>
        <c:minorTickMark val="none"/>
        <c:tickLblPos val="nextTo"/>
        <c:spPr>
          <a:noFill/>
          <a:ln w="6350">
            <a:solidFill>
              <a:schemeClr val="tx1">
                <a:lumMod val="65000"/>
                <a:lumOff val="35000"/>
              </a:schemeClr>
            </a:solidFill>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mn-cs"/>
              </a:defRPr>
            </a:pPr>
            <a:endParaRPr lang="es-ES_tradnl"/>
          </a:p>
        </c:txPr>
        <c:crossAx val="709475840"/>
        <c:crosses val="autoZero"/>
        <c:crossBetween val="between"/>
      </c:valAx>
      <c:spPr>
        <a:noFill/>
        <a:ln>
          <a:noFill/>
        </a:ln>
        <a:effectLst/>
      </c:spPr>
    </c:plotArea>
    <c:legend>
      <c:legendPos val="b"/>
      <c:layout>
        <c:manualLayout>
          <c:xMode val="edge"/>
          <c:yMode val="edge"/>
          <c:x val="8.1926620958132398E-2"/>
          <c:y val="0.78900773467278962"/>
          <c:w val="0.8223310520657221"/>
          <c:h val="0.1997652991480407"/>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legend>
    <c:plotVisOnly val="1"/>
    <c:dispBlanksAs val="gap"/>
    <c:showDLblsOverMax val="0"/>
  </c:chart>
  <c:spPr>
    <a:solidFill>
      <a:schemeClr val="bg1"/>
    </a:solidFill>
    <a:ln w="9525" cap="flat" cmpd="sng" algn="ctr">
      <a:noFill/>
      <a:round/>
    </a:ln>
    <a:effectLst/>
  </c:spPr>
  <c:txPr>
    <a:bodyPr/>
    <a:lstStyle/>
    <a:p>
      <a:pPr>
        <a:defRPr/>
      </a:pPr>
      <a:endParaRPr lang="es-ES_tradnl"/>
    </a:p>
  </c:txPr>
  <c:printSettings>
    <c:headerFooter/>
    <c:pageMargins b="0.75" l="0.84" r="0.25" t="0.75" header="0.3" footer="0.3"/>
    <c:pageSetup paperSize="9" orientation="landscape"/>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457409308717575"/>
          <c:y val="4.6087571003560986E-2"/>
          <c:w val="0.82558175067451101"/>
          <c:h val="0.64272676146640684"/>
        </c:manualLayout>
      </c:layout>
      <c:lineChart>
        <c:grouping val="standard"/>
        <c:varyColors val="0"/>
        <c:ser>
          <c:idx val="1"/>
          <c:order val="0"/>
          <c:tx>
            <c:strRef>
              <c:f>'2IE'!$W$45</c:f>
              <c:strCache>
                <c:ptCount val="1"/>
                <c:pt idx="0">
                  <c:v>Observed (National Accounts)</c:v>
                </c:pt>
              </c:strCache>
            </c:strRef>
          </c:tx>
          <c:spPr>
            <a:ln w="25400" cap="rnd">
              <a:solidFill>
                <a:schemeClr val="tx1">
                  <a:lumMod val="65000"/>
                  <a:lumOff val="35000"/>
                </a:schemeClr>
              </a:solidFill>
              <a:prstDash val="sysDash"/>
              <a:round/>
            </a:ln>
            <a:effectLst/>
          </c:spPr>
          <c:marker>
            <c:symbol val="none"/>
          </c:marker>
          <c:cat>
            <c:numRef>
              <c:extLst>
                <c:ext xmlns:c15="http://schemas.microsoft.com/office/drawing/2012/chart" uri="{02D57815-91ED-43cb-92C2-25804820EDAC}">
                  <c15:fullRef>
                    <c15:sqref>'2IE'!$U$46:$U$53</c15:sqref>
                  </c15:fullRef>
                </c:ext>
              </c:extLst>
              <c:f>'2IE'!$U$46:$U$50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'2IE'!$W$46:$W$53</c15:sqref>
                  </c15:fullRef>
                </c:ext>
              </c:extLst>
              <c:f>'2IE'!$W$46:$W$50</c:f>
              <c:numCache>
                <c:formatCode>0.0%</c:formatCode>
                <c:ptCount val="5"/>
                <c:pt idx="0">
                  <c:v>6.4890098271835644E-2</c:v>
                </c:pt>
                <c:pt idx="1">
                  <c:v>6.1296087906268615E-2</c:v>
                </c:pt>
                <c:pt idx="2">
                  <c:v>6.1814069607861691E-2</c:v>
                </c:pt>
                <c:pt idx="3">
                  <c:v>6.0060241646131489E-2</c:v>
                </c:pt>
                <c:pt idx="4">
                  <c:v>6.510458439405449E-2</c:v>
                </c:pt>
              </c:numCache>
            </c:numRef>
          </c:val>
          <c:smooth val="0"/>
          <c:extLst>
            <c:ext xmlns:c16="http://schemas.microsoft.com/office/drawing/2014/chart" uri="{C3380CC4-5D6E-409C-BE32-E72D297353CC}">
              <c16:uniqueId val="{00000000-B3A3-4573-B751-DC8098C8FB73}"/>
            </c:ext>
          </c:extLst>
        </c:ser>
        <c:ser>
          <c:idx val="0"/>
          <c:order val="1"/>
          <c:tx>
            <c:strRef>
              <c:f>'2IE'!$V$45</c:f>
              <c:strCache>
                <c:ptCount val="1"/>
                <c:pt idx="0">
                  <c:v>Baseline simulation (before reescaling)</c:v>
                </c:pt>
              </c:strCache>
            </c:strRef>
          </c:tx>
          <c:spPr>
            <a:ln w="25400" cap="rnd">
              <a:noFill/>
              <a:round/>
            </a:ln>
            <a:effectLst/>
          </c:spPr>
          <c:marker>
            <c:symbol val="circle"/>
            <c:size val="8"/>
            <c:spPr>
              <a:solidFill>
                <a:schemeClr val="bg1">
                  <a:lumMod val="85000"/>
                </a:schemeClr>
              </a:solidFill>
              <a:ln w="25400">
                <a:noFill/>
              </a:ln>
              <a:effectLst/>
            </c:spPr>
          </c:marker>
          <c:cat>
            <c:numRef>
              <c:extLst>
                <c:ext xmlns:c15="http://schemas.microsoft.com/office/drawing/2012/chart" uri="{02D57815-91ED-43cb-92C2-25804820EDAC}">
                  <c15:fullRef>
                    <c15:sqref>'2IE'!$U$46:$U$53</c15:sqref>
                  </c15:fullRef>
                </c:ext>
              </c:extLst>
              <c:f>'2IE'!$U$46:$U$50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'2IE'!$V$46:$V$53</c15:sqref>
                  </c15:fullRef>
                </c:ext>
              </c:extLst>
              <c:f>'2IE'!$V$46:$V$50</c:f>
              <c:numCache>
                <c:formatCode>0.0%</c:formatCode>
                <c:ptCount val="5"/>
                <c:pt idx="0">
                  <c:v>5.9437674378006344E-2</c:v>
                </c:pt>
                <c:pt idx="1">
                  <c:v>6.0058801853174242E-2</c:v>
                </c:pt>
                <c:pt idx="2">
                  <c:v>5.4624286736405313E-2</c:v>
                </c:pt>
                <c:pt idx="3">
                  <c:v>4.899555596262023E-2</c:v>
                </c:pt>
                <c:pt idx="4">
                  <c:v>5.0288138001255041E-2</c:v>
                </c:pt>
              </c:numCache>
            </c:numRef>
          </c:val>
          <c:smooth val="0"/>
          <c:extLst>
            <c:ext xmlns:c16="http://schemas.microsoft.com/office/drawing/2014/chart" uri="{C3380CC4-5D6E-409C-BE32-E72D297353CC}">
              <c16:uniqueId val="{00000001-B3A3-4573-B751-DC8098C8FB73}"/>
            </c:ext>
          </c:extLst>
        </c:ser>
        <c:ser>
          <c:idx val="3"/>
          <c:order val="2"/>
          <c:tx>
            <c:strRef>
              <c:f>'2IE'!$Y$45</c:f>
              <c:strCache>
                <c:ptCount val="1"/>
                <c:pt idx="0">
                  <c:v>Baseline simulation (after reescaling)</c:v>
                </c:pt>
              </c:strCache>
            </c:strRef>
          </c:tx>
          <c:spPr>
            <a:ln w="25400" cap="rnd">
              <a:noFill/>
              <a:round/>
            </a:ln>
            <a:effectLst/>
          </c:spPr>
          <c:marker>
            <c:symbol val="circle"/>
            <c:size val="7"/>
            <c:spPr>
              <a:solidFill>
                <a:schemeClr val="tx1"/>
              </a:solidFill>
              <a:ln w="9525">
                <a:solidFill>
                  <a:schemeClr val="tx1"/>
                </a:solidFill>
              </a:ln>
              <a:effectLst/>
            </c:spPr>
          </c:marker>
          <c:cat>
            <c:numRef>
              <c:extLst>
                <c:ext xmlns:c15="http://schemas.microsoft.com/office/drawing/2012/chart" uri="{02D57815-91ED-43cb-92C2-25804820EDAC}">
                  <c15:fullRef>
                    <c15:sqref>'2IE'!$U$46:$U$53</c15:sqref>
                  </c15:fullRef>
                </c:ext>
              </c:extLst>
              <c:f>'2IE'!$U$46:$U$50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'2IE'!$Y$46:$Y$53</c15:sqref>
                  </c15:fullRef>
                </c:ext>
              </c:extLst>
              <c:f>'2IE'!$Y$46:$Y$50</c:f>
              <c:numCache>
                <c:formatCode>0.0%</c:formatCode>
                <c:ptCount val="5"/>
                <c:pt idx="0">
                  <c:v>6.4890098271835644E-2</c:v>
                </c:pt>
                <c:pt idx="4">
                  <c:v>6.510458439405449E-2</c:v>
                </c:pt>
              </c:numCache>
            </c:numRef>
          </c:val>
          <c:smooth val="0"/>
          <c:extLst>
            <c:ext xmlns:c16="http://schemas.microsoft.com/office/drawing/2014/chart" uri="{C3380CC4-5D6E-409C-BE32-E72D297353CC}">
              <c16:uniqueId val="{00000002-B3A3-4573-B751-DC8098C8FB73}"/>
            </c:ext>
          </c:extLst>
        </c:ser>
        <c:ser>
          <c:idx val="4"/>
          <c:order val="3"/>
          <c:tx>
            <c:strRef>
              <c:f>'2IE'!$Z$45</c:f>
              <c:strCache>
                <c:ptCount val="1"/>
                <c:pt idx="0">
                  <c:v>Unchanged legislation since 2019/2023</c:v>
                </c:pt>
              </c:strCache>
            </c:strRef>
          </c:tx>
          <c:spPr>
            <a:ln w="25400" cap="rnd">
              <a:noFill/>
              <a:round/>
            </a:ln>
            <a:effectLst/>
          </c:spPr>
          <c:marker>
            <c:symbol val="circle"/>
            <c:size val="6"/>
            <c:spPr>
              <a:noFill/>
              <a:ln w="25400">
                <a:solidFill>
                  <a:srgbClr val="C00000"/>
                </a:solidFill>
              </a:ln>
              <a:effectLst/>
            </c:spPr>
          </c:marker>
          <c:cat>
            <c:numRef>
              <c:extLst>
                <c:ext xmlns:c15="http://schemas.microsoft.com/office/drawing/2012/chart" uri="{02D57815-91ED-43cb-92C2-25804820EDAC}">
                  <c15:fullRef>
                    <c15:sqref>'2IE'!$U$46:$U$53</c15:sqref>
                  </c15:fullRef>
                </c:ext>
              </c:extLst>
              <c:f>'2IE'!$U$46:$U$50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'2IE'!$Z$46:$Z$53</c15:sqref>
                  </c15:fullRef>
                </c:ext>
              </c:extLst>
              <c:f>'2IE'!$Z$46:$Z$50</c:f>
              <c:numCache>
                <c:formatCode>0.0%</c:formatCode>
                <c:ptCount val="5"/>
                <c:pt idx="4">
                  <c:v>7.0730500794217707E-2</c:v>
                </c:pt>
              </c:numCache>
            </c:numRef>
          </c:val>
          <c:smooth val="0"/>
          <c:extLst>
            <c:ext xmlns:c16="http://schemas.microsoft.com/office/drawing/2014/chart" uri="{C3380CC4-5D6E-409C-BE32-E72D297353CC}">
              <c16:uniqueId val="{00000003-B3A3-4573-B751-DC8098C8FB73}"/>
            </c:ext>
          </c:extLst>
        </c:ser>
        <c:ser>
          <c:idx val="5"/>
          <c:order val="4"/>
          <c:tx>
            <c:strRef>
              <c:f>'2IE'!$AA$45</c:f>
              <c:strCache>
                <c:ptCount val="1"/>
                <c:pt idx="0">
                  <c:v>Indexing with tax base growth</c:v>
                </c:pt>
              </c:strCache>
            </c:strRef>
          </c:tx>
          <c:spPr>
            <a:ln w="25400" cap="rnd">
              <a:noFill/>
              <a:round/>
            </a:ln>
            <a:effectLst/>
          </c:spPr>
          <c:marker>
            <c:symbol val="square"/>
            <c:size val="5"/>
            <c:spPr>
              <a:noFill/>
              <a:ln w="25400">
                <a:solidFill>
                  <a:schemeClr val="accent6">
                    <a:lumMod val="75000"/>
                  </a:schemeClr>
                </a:solidFill>
              </a:ln>
              <a:effectLst/>
            </c:spPr>
          </c:marker>
          <c:cat>
            <c:numRef>
              <c:extLst>
                <c:ext xmlns:c15="http://schemas.microsoft.com/office/drawing/2012/chart" uri="{02D57815-91ED-43cb-92C2-25804820EDAC}">
                  <c15:fullRef>
                    <c15:sqref>'2IE'!$U$46:$U$53</c15:sqref>
                  </c15:fullRef>
                </c:ext>
              </c:extLst>
              <c:f>'2IE'!$U$46:$U$50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'2IE'!$AA$46:$AA$53</c15:sqref>
                  </c15:fullRef>
                </c:ext>
              </c:extLst>
              <c:f>'2IE'!$AA$46:$AA$50</c:f>
              <c:numCache>
                <c:formatCode>0.0%</c:formatCode>
                <c:ptCount val="5"/>
                <c:pt idx="4">
                  <c:v>6.3902650053683674E-2</c:v>
                </c:pt>
              </c:numCache>
            </c:numRef>
          </c:val>
          <c:smooth val="0"/>
          <c:extLst>
            <c:ext xmlns:c16="http://schemas.microsoft.com/office/drawing/2014/chart" uri="{C3380CC4-5D6E-409C-BE32-E72D297353CC}">
              <c16:uniqueId val="{00000004-B3A3-4573-B751-DC8098C8FB73}"/>
            </c:ext>
          </c:extLst>
        </c:ser>
        <c:ser>
          <c:idx val="6"/>
          <c:order val="5"/>
          <c:tx>
            <c:strRef>
              <c:f>'2IE'!$AB$45</c:f>
              <c:strCache>
                <c:ptCount val="1"/>
                <c:pt idx="0">
                  <c:v>Indexing with lagged HCPI</c:v>
                </c:pt>
              </c:strCache>
            </c:strRef>
          </c:tx>
          <c:spPr>
            <a:ln w="25400" cap="rnd">
              <a:noFill/>
              <a:round/>
            </a:ln>
            <a:effectLst/>
          </c:spPr>
          <c:marker>
            <c:symbol val="diamond"/>
            <c:size val="6"/>
            <c:spPr>
              <a:noFill/>
              <a:ln w="25400">
                <a:solidFill>
                  <a:schemeClr val="accent4"/>
                </a:solidFill>
              </a:ln>
              <a:effectLst/>
            </c:spPr>
          </c:marker>
          <c:cat>
            <c:numRef>
              <c:extLst>
                <c:ext xmlns:c15="http://schemas.microsoft.com/office/drawing/2012/chart" uri="{02D57815-91ED-43cb-92C2-25804820EDAC}">
                  <c15:fullRef>
                    <c15:sqref>'2IE'!$U$46:$U$53</c15:sqref>
                  </c15:fullRef>
                </c:ext>
              </c:extLst>
              <c:f>'2IE'!$U$46:$U$50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'2IE'!$AB$46:$AB$53</c15:sqref>
                  </c15:fullRef>
                </c:ext>
              </c:extLst>
              <c:f>'2IE'!$AB$46:$AB$50</c:f>
              <c:numCache>
                <c:formatCode>0.0%</c:formatCode>
                <c:ptCount val="5"/>
                <c:pt idx="4">
                  <c:v>6.5551734533736111E-2</c:v>
                </c:pt>
              </c:numCache>
            </c:numRef>
          </c:val>
          <c:smooth val="0"/>
          <c:extLst>
            <c:ext xmlns:c16="http://schemas.microsoft.com/office/drawing/2014/chart" uri="{C3380CC4-5D6E-409C-BE32-E72D297353CC}">
              <c16:uniqueId val="{00000005-B3A3-4573-B751-DC8098C8FB73}"/>
            </c:ext>
          </c:extLst>
        </c:ser>
        <c:ser>
          <c:idx val="7"/>
          <c:order val="6"/>
          <c:tx>
            <c:strRef>
              <c:f>'2IE'!$AC$45</c:f>
              <c:strCache>
                <c:ptCount val="1"/>
                <c:pt idx="0">
                  <c:v>Indexing with concurrent HCPI</c:v>
                </c:pt>
              </c:strCache>
            </c:strRef>
          </c:tx>
          <c:spPr>
            <a:ln w="25400" cap="rnd">
              <a:noFill/>
              <a:round/>
            </a:ln>
            <a:effectLst/>
          </c:spPr>
          <c:marker>
            <c:symbol val="triangle"/>
            <c:size val="6"/>
            <c:spPr>
              <a:noFill/>
              <a:ln w="25400">
                <a:solidFill>
                  <a:schemeClr val="accent5">
                    <a:lumMod val="75000"/>
                  </a:schemeClr>
                </a:solidFill>
              </a:ln>
              <a:effectLst/>
            </c:spPr>
          </c:marker>
          <c:cat>
            <c:numRef>
              <c:extLst>
                <c:ext xmlns:c15="http://schemas.microsoft.com/office/drawing/2012/chart" uri="{02D57815-91ED-43cb-92C2-25804820EDAC}">
                  <c15:fullRef>
                    <c15:sqref>'2IE'!$U$46:$U$53</c15:sqref>
                  </c15:fullRef>
                </c:ext>
              </c:extLst>
              <c:f>'2IE'!$U$46:$U$50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'2IE'!$AC$46:$AC$53</c15:sqref>
                  </c15:fullRef>
                </c:ext>
              </c:extLst>
              <c:f>'2IE'!$AC$46:$AC$50</c:f>
              <c:numCache>
                <c:formatCode>0.0%</c:formatCode>
                <c:ptCount val="5"/>
                <c:pt idx="4">
                  <c:v>6.3496637155494112E-2</c:v>
                </c:pt>
              </c:numCache>
            </c:numRef>
          </c:val>
          <c:smooth val="0"/>
          <c:extLst>
            <c:ext xmlns:c16="http://schemas.microsoft.com/office/drawing/2014/chart" uri="{C3380CC4-5D6E-409C-BE32-E72D297353CC}">
              <c16:uniqueId val="{00000006-B3A3-4573-B751-DC8098C8FB73}"/>
            </c:ext>
          </c:extLst>
        </c:ser>
        <c:dLbls>
          <c:showLegendKey val="0"/>
          <c:showVal val="0"/>
          <c:showCatName val="0"/>
          <c:showSerName val="0"/>
          <c:showPercent val="0"/>
          <c:showBubbleSize val="0"/>
        </c:dLbls>
        <c:smooth val="0"/>
        <c:axId val="709475840"/>
        <c:axId val="605168576"/>
        <c:extLst/>
      </c:lineChart>
      <c:catAx>
        <c:axId val="709475840"/>
        <c:scaling>
          <c:orientation val="minMax"/>
        </c:scaling>
        <c:delete val="0"/>
        <c:axPos val="b"/>
        <c:numFmt formatCode="General" sourceLinked="1"/>
        <c:majorTickMark val="out"/>
        <c:minorTickMark val="none"/>
        <c:tickLblPos val="nextTo"/>
        <c:spPr>
          <a:noFill/>
          <a:ln w="6350" cap="flat" cmpd="sng" algn="ctr">
            <a:solidFill>
              <a:schemeClr val="tx1"/>
            </a:solidFill>
            <a:round/>
          </a:ln>
          <a:effectLst/>
        </c:spPr>
        <c:txPr>
          <a:bodyPr rot="-60000000" spcFirstLastPara="1" vertOverflow="ellipsis" vert="horz" wrap="square" anchor="ctr" anchorCtr="1"/>
          <a:lstStyle/>
          <a:p>
            <a:pPr>
              <a:defRPr sz="950" b="0" i="0" u="none" strike="noStrike" kern="1200" baseline="0">
                <a:solidFill>
                  <a:schemeClr val="tx1"/>
                </a:solidFill>
                <a:latin typeface="Times New Roman" panose="02020603050405020304" pitchFamily="18" charset="0"/>
                <a:ea typeface="+mn-ea"/>
                <a:cs typeface="+mn-cs"/>
              </a:defRPr>
            </a:pPr>
            <a:endParaRPr lang="es-ES_tradnl"/>
          </a:p>
        </c:txPr>
        <c:crossAx val="605168576"/>
        <c:crosses val="autoZero"/>
        <c:auto val="1"/>
        <c:lblAlgn val="ctr"/>
        <c:lblOffset val="100"/>
        <c:noMultiLvlLbl val="0"/>
      </c:catAx>
      <c:valAx>
        <c:axId val="6051685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s-ES_tradnl" sz="1050">
                    <a:solidFill>
                      <a:sysClr val="windowText" lastClr="000000"/>
                    </a:solidFill>
                    <a:latin typeface="Times New Roman" panose="02020603050405020304" pitchFamily="18" charset="0"/>
                    <a:cs typeface="Times New Roman" panose="02020603050405020304" pitchFamily="18" charset="0"/>
                  </a:rPr>
                  <a:t>Share of GDP</a:t>
                </a:r>
              </a:p>
            </c:rich>
          </c:tx>
          <c:overlay val="0"/>
          <c:spPr>
            <a:noFill/>
            <a:ln>
              <a:noFill/>
            </a:ln>
            <a:effectLst/>
          </c:spPr>
        </c:title>
        <c:numFmt formatCode="0%" sourceLinked="0"/>
        <c:majorTickMark val="out"/>
        <c:minorTickMark val="none"/>
        <c:tickLblPos val="nextTo"/>
        <c:spPr>
          <a:noFill/>
          <a:ln w="6350">
            <a:solidFill>
              <a:schemeClr val="tx1">
                <a:lumMod val="65000"/>
                <a:lumOff val="35000"/>
              </a:schemeClr>
            </a:solidFill>
          </a:ln>
          <a:effectLst/>
        </c:spPr>
        <c:txPr>
          <a:bodyPr rot="-60000000" spcFirstLastPara="1" vertOverflow="ellipsis" vert="horz" wrap="square" anchor="ctr" anchorCtr="1"/>
          <a:lstStyle/>
          <a:p>
            <a:pPr>
              <a:defRPr sz="950" b="0" i="0" u="none" strike="noStrike" kern="1200" baseline="0">
                <a:solidFill>
                  <a:schemeClr val="tx1"/>
                </a:solidFill>
                <a:latin typeface="Times New Roman" panose="02020603050405020304" pitchFamily="18" charset="0"/>
                <a:ea typeface="+mn-ea"/>
                <a:cs typeface="+mn-cs"/>
              </a:defRPr>
            </a:pPr>
            <a:endParaRPr lang="es-ES_tradnl"/>
          </a:p>
        </c:txPr>
        <c:crossAx val="709475840"/>
        <c:crosses val="autoZero"/>
        <c:crossBetween val="between"/>
      </c:valAx>
    </c:plotArea>
    <c:legend>
      <c:legendPos val="b"/>
      <c:layout>
        <c:manualLayout>
          <c:xMode val="edge"/>
          <c:yMode val="edge"/>
          <c:x val="0"/>
          <c:y val="0.80216933512597055"/>
          <c:w val="1"/>
          <c:h val="0.19783066487402948"/>
        </c:manualLayout>
      </c:layout>
      <c:overlay val="0"/>
      <c:spPr>
        <a:noFill/>
        <a:ln>
          <a:noFill/>
        </a:ln>
        <a:effectLst/>
      </c:spPr>
      <c:txPr>
        <a:bodyPr rot="0" spcFirstLastPara="1" vertOverflow="ellipsis" vert="horz" wrap="square" anchor="ctr" anchorCtr="1"/>
        <a:lstStyle/>
        <a:p>
          <a:pPr>
            <a:defRPr sz="9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legend>
    <c:plotVisOnly val="1"/>
    <c:dispBlanksAs val="gap"/>
    <c:showDLblsOverMax val="0"/>
  </c:chart>
  <c:spPr>
    <a:solidFill>
      <a:schemeClr val="bg1"/>
    </a:solidFill>
    <a:ln w="9525" cap="flat" cmpd="sng" algn="ctr">
      <a:noFill/>
      <a:round/>
    </a:ln>
    <a:effectLst/>
  </c:spPr>
  <c:txPr>
    <a:bodyPr/>
    <a:lstStyle/>
    <a:p>
      <a:pPr>
        <a:defRPr/>
      </a:pPr>
      <a:endParaRPr lang="es-ES_tradnl"/>
    </a:p>
  </c:txPr>
  <c:printSettings>
    <c:headerFooter/>
    <c:pageMargins b="0.75" l="0.25" r="0.25" t="0.75" header="0.3" footer="0.3"/>
    <c:pageSetup paperSize="9" orientation="landscape"/>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457409308717575"/>
          <c:y val="4.6087571003560986E-2"/>
          <c:w val="0.82558175067451101"/>
          <c:h val="0.64272676146640684"/>
        </c:manualLayout>
      </c:layout>
      <c:lineChart>
        <c:grouping val="standard"/>
        <c:varyColors val="0"/>
        <c:ser>
          <c:idx val="1"/>
          <c:order val="0"/>
          <c:tx>
            <c:strRef>
              <c:f>'2IT'!$D$45</c:f>
              <c:strCache>
                <c:ptCount val="1"/>
                <c:pt idx="0">
                  <c:v>Observed (National Accounts)</c:v>
                </c:pt>
              </c:strCache>
            </c:strRef>
          </c:tx>
          <c:spPr>
            <a:ln w="25400" cap="rnd">
              <a:solidFill>
                <a:schemeClr val="tx1">
                  <a:lumMod val="65000"/>
                  <a:lumOff val="35000"/>
                </a:schemeClr>
              </a:solidFill>
              <a:prstDash val="sysDash"/>
              <a:round/>
            </a:ln>
            <a:effectLst/>
          </c:spPr>
          <c:marker>
            <c:symbol val="none"/>
          </c:marker>
          <c:cat>
            <c:numRef>
              <c:extLst>
                <c:ext xmlns:c15="http://schemas.microsoft.com/office/drawing/2012/chart" uri="{02D57815-91ED-43cb-92C2-25804820EDAC}">
                  <c15:fullRef>
                    <c15:sqref>'2IT'!$B$46:$B$53</c15:sqref>
                  </c15:fullRef>
                </c:ext>
              </c:extLst>
              <c:f>'2IT'!$B$46:$B$50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'2IT'!$D$46:$D$53</c15:sqref>
                  </c15:fullRef>
                </c:ext>
              </c:extLst>
              <c:f>'2IT'!$D$46:$D$50</c:f>
              <c:numCache>
                <c:formatCode>_-* #,##0_-;\-* #,##0_-;_-* "-"??_-;_-@_-</c:formatCode>
                <c:ptCount val="5"/>
                <c:pt idx="0">
                  <c:v>177339.76644000001</c:v>
                </c:pt>
                <c:pt idx="1">
                  <c:v>171343.22094</c:v>
                </c:pt>
                <c:pt idx="2">
                  <c:v>183882.23851999996</c:v>
                </c:pt>
                <c:pt idx="3">
                  <c:v>188122.57157999999</c:v>
                </c:pt>
                <c:pt idx="4">
                  <c:v>206920</c:v>
                </c:pt>
              </c:numCache>
            </c:numRef>
          </c:val>
          <c:smooth val="0"/>
          <c:extLst>
            <c:ext xmlns:c16="http://schemas.microsoft.com/office/drawing/2014/chart" uri="{C3380CC4-5D6E-409C-BE32-E72D297353CC}">
              <c16:uniqueId val="{00000000-5479-4220-BDCB-791BC04DD0CE}"/>
            </c:ext>
          </c:extLst>
        </c:ser>
        <c:ser>
          <c:idx val="0"/>
          <c:order val="1"/>
          <c:tx>
            <c:strRef>
              <c:f>'2IT'!$C$45</c:f>
              <c:strCache>
                <c:ptCount val="1"/>
                <c:pt idx="0">
                  <c:v>Baseline simulation (before reescaling)</c:v>
                </c:pt>
              </c:strCache>
            </c:strRef>
          </c:tx>
          <c:spPr>
            <a:ln w="25400" cap="rnd">
              <a:noFill/>
              <a:round/>
            </a:ln>
            <a:effectLst/>
          </c:spPr>
          <c:marker>
            <c:symbol val="circle"/>
            <c:size val="8"/>
            <c:spPr>
              <a:solidFill>
                <a:schemeClr val="bg1">
                  <a:lumMod val="85000"/>
                </a:schemeClr>
              </a:solidFill>
              <a:ln w="25400">
                <a:noFill/>
              </a:ln>
              <a:effectLst/>
            </c:spPr>
          </c:marker>
          <c:cat>
            <c:numRef>
              <c:extLst>
                <c:ext xmlns:c15="http://schemas.microsoft.com/office/drawing/2012/chart" uri="{02D57815-91ED-43cb-92C2-25804820EDAC}">
                  <c15:fullRef>
                    <c15:sqref>'2IT'!$B$46:$B$53</c15:sqref>
                  </c15:fullRef>
                </c:ext>
              </c:extLst>
              <c:f>'2IT'!$B$46:$B$50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'2IT'!$C$46:$C$53</c15:sqref>
                  </c15:fullRef>
                </c:ext>
              </c:extLst>
              <c:f>'2IT'!$C$46:$C$50</c:f>
              <c:numCache>
                <c:formatCode>_-* #,##0_-;\-* #,##0_-;_-* "-"??_-;_-@_-</c:formatCode>
                <c:ptCount val="5"/>
                <c:pt idx="0">
                  <c:v>176709.98367761445</c:v>
                </c:pt>
                <c:pt idx="1">
                  <c:v>172980.04464574103</c:v>
                </c:pt>
                <c:pt idx="2">
                  <c:v>174216.51333663386</c:v>
                </c:pt>
                <c:pt idx="3">
                  <c:v>177240.78722070224</c:v>
                </c:pt>
                <c:pt idx="4">
                  <c:v>193940.35732521644</c:v>
                </c:pt>
              </c:numCache>
            </c:numRef>
          </c:val>
          <c:smooth val="0"/>
          <c:extLst>
            <c:ext xmlns:c16="http://schemas.microsoft.com/office/drawing/2014/chart" uri="{C3380CC4-5D6E-409C-BE32-E72D297353CC}">
              <c16:uniqueId val="{00000001-5479-4220-BDCB-791BC04DD0CE}"/>
            </c:ext>
          </c:extLst>
        </c:ser>
        <c:ser>
          <c:idx val="3"/>
          <c:order val="3"/>
          <c:tx>
            <c:strRef>
              <c:f>'2IT'!$F$45</c:f>
              <c:strCache>
                <c:ptCount val="1"/>
                <c:pt idx="0">
                  <c:v>Baseline simulation (after reescaling)</c:v>
                </c:pt>
              </c:strCache>
            </c:strRef>
          </c:tx>
          <c:spPr>
            <a:ln w="25400" cap="rnd">
              <a:noFill/>
              <a:round/>
            </a:ln>
            <a:effectLst/>
          </c:spPr>
          <c:marker>
            <c:symbol val="circle"/>
            <c:size val="7"/>
            <c:spPr>
              <a:solidFill>
                <a:schemeClr val="tx1"/>
              </a:solidFill>
              <a:ln w="9525">
                <a:solidFill>
                  <a:schemeClr val="tx1"/>
                </a:solidFill>
              </a:ln>
              <a:effectLst/>
            </c:spPr>
          </c:marker>
          <c:cat>
            <c:numRef>
              <c:extLst>
                <c:ext xmlns:c15="http://schemas.microsoft.com/office/drawing/2012/chart" uri="{02D57815-91ED-43cb-92C2-25804820EDAC}">
                  <c15:fullRef>
                    <c15:sqref>'2IT'!$B$46:$B$53</c15:sqref>
                  </c15:fullRef>
                </c:ext>
              </c:extLst>
              <c:f>'2IT'!$B$46:$B$50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'2IT'!$F$46:$F$53</c15:sqref>
                  </c15:fullRef>
                </c:ext>
              </c:extLst>
              <c:f>'2IT'!$F$46:$F$50</c:f>
              <c:numCache>
                <c:formatCode>General</c:formatCode>
                <c:ptCount val="5"/>
                <c:pt idx="0" formatCode="_-* #,##0_-;\-* #,##0_-;_-* &quot;-&quot;??_-;_-@_-">
                  <c:v>177339.76644000001</c:v>
                </c:pt>
                <c:pt idx="4" formatCode="_-* #,##0_-;\-* #,##0_-;_-* &quot;-&quot;??_-;_-@_-">
                  <c:v>206920</c:v>
                </c:pt>
              </c:numCache>
            </c:numRef>
          </c:val>
          <c:smooth val="0"/>
          <c:extLst>
            <c:ext xmlns:c16="http://schemas.microsoft.com/office/drawing/2014/chart" uri="{C3380CC4-5D6E-409C-BE32-E72D297353CC}">
              <c16:uniqueId val="{00000002-5479-4220-BDCB-791BC04DD0CE}"/>
            </c:ext>
          </c:extLst>
        </c:ser>
        <c:ser>
          <c:idx val="4"/>
          <c:order val="4"/>
          <c:tx>
            <c:strRef>
              <c:f>'2IT'!$G$45</c:f>
              <c:strCache>
                <c:ptCount val="1"/>
                <c:pt idx="0">
                  <c:v>Unchanged legislation since 2019/2023</c:v>
                </c:pt>
              </c:strCache>
            </c:strRef>
          </c:tx>
          <c:spPr>
            <a:ln w="25400" cap="rnd">
              <a:noFill/>
              <a:round/>
            </a:ln>
            <a:effectLst/>
          </c:spPr>
          <c:marker>
            <c:symbol val="circle"/>
            <c:size val="6"/>
            <c:spPr>
              <a:noFill/>
              <a:ln w="25400">
                <a:solidFill>
                  <a:srgbClr val="C00000"/>
                </a:solidFill>
              </a:ln>
              <a:effectLst/>
            </c:spPr>
          </c:marker>
          <c:cat>
            <c:numRef>
              <c:extLst>
                <c:ext xmlns:c15="http://schemas.microsoft.com/office/drawing/2012/chart" uri="{02D57815-91ED-43cb-92C2-25804820EDAC}">
                  <c15:fullRef>
                    <c15:sqref>'2IT'!$B$46:$B$53</c15:sqref>
                  </c15:fullRef>
                </c:ext>
              </c:extLst>
              <c:f>'2IT'!$B$46:$B$50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'2IT'!$G$46:$G$53</c15:sqref>
                  </c15:fullRef>
                </c:ext>
              </c:extLst>
              <c:f>'2IT'!$G$46:$G$50</c:f>
              <c:numCache>
                <c:formatCode>General</c:formatCode>
                <c:ptCount val="5"/>
                <c:pt idx="4" formatCode="_-* #,##0_-;\-* #,##0_-;_-* &quot;-&quot;??_-;_-@_-">
                  <c:v>213787.70824371401</c:v>
                </c:pt>
              </c:numCache>
            </c:numRef>
          </c:val>
          <c:smooth val="0"/>
          <c:extLst>
            <c:ext xmlns:c16="http://schemas.microsoft.com/office/drawing/2014/chart" uri="{C3380CC4-5D6E-409C-BE32-E72D297353CC}">
              <c16:uniqueId val="{00000003-5479-4220-BDCB-791BC04DD0CE}"/>
            </c:ext>
          </c:extLst>
        </c:ser>
        <c:ser>
          <c:idx val="5"/>
          <c:order val="5"/>
          <c:tx>
            <c:strRef>
              <c:f>'2IT'!$H$45</c:f>
              <c:strCache>
                <c:ptCount val="1"/>
                <c:pt idx="0">
                  <c:v>Indexing with tax base growth</c:v>
                </c:pt>
              </c:strCache>
            </c:strRef>
          </c:tx>
          <c:spPr>
            <a:ln w="25400" cap="rnd">
              <a:noFill/>
              <a:round/>
            </a:ln>
            <a:effectLst/>
          </c:spPr>
          <c:marker>
            <c:symbol val="square"/>
            <c:size val="5"/>
            <c:spPr>
              <a:noFill/>
              <a:ln w="25400">
                <a:solidFill>
                  <a:schemeClr val="accent6">
                    <a:lumMod val="75000"/>
                  </a:schemeClr>
                </a:solidFill>
              </a:ln>
              <a:effectLst/>
            </c:spPr>
          </c:marker>
          <c:cat>
            <c:numRef>
              <c:extLst>
                <c:ext xmlns:c15="http://schemas.microsoft.com/office/drawing/2012/chart" uri="{02D57815-91ED-43cb-92C2-25804820EDAC}">
                  <c15:fullRef>
                    <c15:sqref>'2IT'!$B$46:$B$53</c15:sqref>
                  </c15:fullRef>
                </c:ext>
              </c:extLst>
              <c:f>'2IT'!$B$46:$B$50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'2IT'!$H$46:$H$53</c15:sqref>
                  </c15:fullRef>
                </c:ext>
              </c:extLst>
              <c:f>'2IT'!$H$46:$H$50</c:f>
              <c:numCache>
                <c:formatCode>General</c:formatCode>
                <c:ptCount val="5"/>
                <c:pt idx="4" formatCode="_-* #,##0_-;\-* #,##0_-;_-* &quot;-&quot;??_-;_-@_-">
                  <c:v>201478.71839773984</c:v>
                </c:pt>
              </c:numCache>
            </c:numRef>
          </c:val>
          <c:smooth val="0"/>
          <c:extLst>
            <c:ext xmlns:c16="http://schemas.microsoft.com/office/drawing/2014/chart" uri="{C3380CC4-5D6E-409C-BE32-E72D297353CC}">
              <c16:uniqueId val="{00000004-5479-4220-BDCB-791BC04DD0CE}"/>
            </c:ext>
          </c:extLst>
        </c:ser>
        <c:ser>
          <c:idx val="6"/>
          <c:order val="6"/>
          <c:tx>
            <c:strRef>
              <c:f>'2IT'!$I$45</c:f>
              <c:strCache>
                <c:ptCount val="1"/>
                <c:pt idx="0">
                  <c:v>Indexing with lagged HCPI</c:v>
                </c:pt>
              </c:strCache>
            </c:strRef>
          </c:tx>
          <c:spPr>
            <a:ln w="25400" cap="rnd">
              <a:noFill/>
              <a:round/>
            </a:ln>
            <a:effectLst/>
          </c:spPr>
          <c:marker>
            <c:symbol val="diamond"/>
            <c:size val="6"/>
            <c:spPr>
              <a:noFill/>
              <a:ln w="25400">
                <a:solidFill>
                  <a:schemeClr val="accent4"/>
                </a:solidFill>
              </a:ln>
              <a:effectLst/>
            </c:spPr>
          </c:marker>
          <c:cat>
            <c:numRef>
              <c:extLst>
                <c:ext xmlns:c15="http://schemas.microsoft.com/office/drawing/2012/chart" uri="{02D57815-91ED-43cb-92C2-25804820EDAC}">
                  <c15:fullRef>
                    <c15:sqref>'2IT'!$B$46:$B$53</c15:sqref>
                  </c15:fullRef>
                </c:ext>
              </c:extLst>
              <c:f>'2IT'!$B$46:$B$50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'2IT'!$I$46:$I$53</c15:sqref>
                  </c15:fullRef>
                </c:ext>
              </c:extLst>
              <c:f>'2IT'!$I$46:$I$50</c:f>
              <c:numCache>
                <c:formatCode>General</c:formatCode>
                <c:ptCount val="5"/>
                <c:pt idx="4" formatCode="_-* #,##0_-;\-* #,##0_-;_-* &quot;-&quot;??_-;_-@_-">
                  <c:v>196355.47542746409</c:v>
                </c:pt>
              </c:numCache>
            </c:numRef>
          </c:val>
          <c:smooth val="0"/>
          <c:extLst>
            <c:ext xmlns:c16="http://schemas.microsoft.com/office/drawing/2014/chart" uri="{C3380CC4-5D6E-409C-BE32-E72D297353CC}">
              <c16:uniqueId val="{00000005-5479-4220-BDCB-791BC04DD0CE}"/>
            </c:ext>
          </c:extLst>
        </c:ser>
        <c:ser>
          <c:idx val="7"/>
          <c:order val="7"/>
          <c:tx>
            <c:strRef>
              <c:f>'2IT'!$J$45</c:f>
              <c:strCache>
                <c:ptCount val="1"/>
                <c:pt idx="0">
                  <c:v>Indexing with concurrent HCPI</c:v>
                </c:pt>
              </c:strCache>
            </c:strRef>
          </c:tx>
          <c:spPr>
            <a:ln w="25400" cap="rnd">
              <a:noFill/>
              <a:round/>
            </a:ln>
            <a:effectLst/>
          </c:spPr>
          <c:marker>
            <c:symbol val="triangle"/>
            <c:size val="6"/>
            <c:spPr>
              <a:noFill/>
              <a:ln w="25400">
                <a:solidFill>
                  <a:schemeClr val="accent5">
                    <a:lumMod val="75000"/>
                  </a:schemeClr>
                </a:solidFill>
              </a:ln>
              <a:effectLst/>
            </c:spPr>
          </c:marker>
          <c:cat>
            <c:numRef>
              <c:extLst>
                <c:ext xmlns:c15="http://schemas.microsoft.com/office/drawing/2012/chart" uri="{02D57815-91ED-43cb-92C2-25804820EDAC}">
                  <c15:fullRef>
                    <c15:sqref>'2IT'!$B$46:$B$53</c15:sqref>
                  </c15:fullRef>
                </c:ext>
              </c:extLst>
              <c:f>'2IT'!$B$46:$B$50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'2IT'!$J$46:$J$53</c15:sqref>
                  </c15:fullRef>
                </c:ext>
              </c:extLst>
              <c:f>'2IT'!$J$46:$J$50</c:f>
              <c:numCache>
                <c:formatCode>General</c:formatCode>
                <c:ptCount val="5"/>
                <c:pt idx="4" formatCode="_-* #,##0_-;\-* #,##0_-;_-* &quot;-&quot;??_-;_-@_-">
                  <c:v>188018.96926440197</c:v>
                </c:pt>
              </c:numCache>
            </c:numRef>
          </c:val>
          <c:smooth val="0"/>
          <c:extLst>
            <c:ext xmlns:c16="http://schemas.microsoft.com/office/drawing/2014/chart" uri="{C3380CC4-5D6E-409C-BE32-E72D297353CC}">
              <c16:uniqueId val="{00000006-5479-4220-BDCB-791BC04DD0CE}"/>
            </c:ext>
          </c:extLst>
        </c:ser>
        <c:ser>
          <c:idx val="8"/>
          <c:order val="8"/>
          <c:tx>
            <c:strRef>
              <c:f>'2IT'!$K$45</c:f>
              <c:strCache>
                <c:ptCount val="1"/>
                <c:pt idx="0">
                  <c:v>Baseline w/o "indexation measures"</c:v>
                </c:pt>
              </c:strCache>
            </c:strRef>
          </c:tx>
          <c:spPr>
            <a:ln w="28575" cap="rnd">
              <a:noFill/>
              <a:round/>
            </a:ln>
            <a:effectLst/>
          </c:spPr>
          <c:marker>
            <c:symbol val="dash"/>
            <c:size val="9"/>
            <c:spPr>
              <a:solidFill>
                <a:schemeClr val="tx1">
                  <a:lumMod val="65000"/>
                  <a:lumOff val="35000"/>
                </a:schemeClr>
              </a:solidFill>
              <a:ln w="9525">
                <a:solidFill>
                  <a:schemeClr val="tx1">
                    <a:lumMod val="65000"/>
                    <a:lumOff val="35000"/>
                  </a:schemeClr>
                </a:solidFill>
              </a:ln>
              <a:effectLst/>
            </c:spPr>
          </c:marker>
          <c:cat>
            <c:strLit>
              <c:ptCount val="5"/>
              <c:pt idx="0">
                <c:v>2019</c:v>
              </c:pt>
              <c:pt idx="1">
                <c:v>2020</c:v>
              </c:pt>
              <c:pt idx="2">
                <c:v>2021</c:v>
              </c:pt>
              <c:pt idx="3">
                <c:v>2022</c:v>
              </c:pt>
              <c:pt idx="4">
                <c:v>2023</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'2IT'!$K$46:$K$53</c15:sqref>
                  </c15:fullRef>
                </c:ext>
              </c:extLst>
              <c:f>'2IT'!$K$46:$K$50</c:f>
              <c:numCache>
                <c:formatCode>General</c:formatCode>
                <c:ptCount val="5"/>
                <c:pt idx="4" formatCode="_-* #,##0_-;\-* #,##0_-;_-* &quot;-&quot;??_-;_-@_-">
                  <c:v>207183.63509220362</c:v>
                </c:pt>
              </c:numCache>
            </c:numRef>
          </c:val>
          <c:smooth val="0"/>
          <c:extLst>
            <c:ext xmlns:c16="http://schemas.microsoft.com/office/drawing/2014/chart" uri="{C3380CC4-5D6E-409C-BE32-E72D297353CC}">
              <c16:uniqueId val="{00000007-5479-4220-BDCB-791BC04DD0CE}"/>
            </c:ext>
          </c:extLst>
        </c:ser>
        <c:dLbls>
          <c:showLegendKey val="0"/>
          <c:showVal val="0"/>
          <c:showCatName val="0"/>
          <c:showSerName val="0"/>
          <c:showPercent val="0"/>
          <c:showBubbleSize val="0"/>
        </c:dLbls>
        <c:smooth val="0"/>
        <c:axId val="709475840"/>
        <c:axId val="605168576"/>
        <c:extLst>
          <c:ext xmlns:c15="http://schemas.microsoft.com/office/drawing/2012/chart" uri="{02D57815-91ED-43cb-92C2-25804820EDAC}">
            <c15:filteredLineSeries>
              <c15:ser>
                <c:idx val="2"/>
                <c:order val="2"/>
                <c:tx>
                  <c:strRef>
                    <c:extLst>
                      <c:ext uri="{02D57815-91ED-43cb-92C2-25804820EDAC}">
                        <c15:formulaRef>
                          <c15:sqref>'2IT'!$E$45</c15:sqref>
                        </c15:formulaRef>
                      </c:ext>
                    </c:extLst>
                    <c:strCache>
                      <c:ptCount val="1"/>
                      <c:pt idx="0">
                        <c:v>Reescaling factor
</c:v>
                      </c:pt>
                    </c:strCache>
                  </c:strRef>
                </c:tx>
                <c:spPr>
                  <a:ln w="25400" cap="rnd">
                    <a:noFill/>
                    <a:round/>
                  </a:ln>
                  <a:effectLst/>
                </c:spPr>
                <c:marker>
                  <c:symbol val="circle"/>
                  <c:size val="5"/>
                  <c:spPr>
                    <a:solidFill>
                      <a:schemeClr val="accent3"/>
                    </a:solidFill>
                    <a:ln w="9525">
                      <a:solidFill>
                        <a:schemeClr val="accent3"/>
                      </a:solidFill>
                    </a:ln>
                    <a:effectLst/>
                  </c:spPr>
                </c:marker>
                <c:cat>
                  <c:numRef>
                    <c:extLst>
                      <c:ext uri="{02D57815-91ED-43cb-92C2-25804820EDAC}">
                        <c15:fullRef>
                          <c15:sqref>'2IT'!$B$46:$B$53</c15:sqref>
                        </c15:fullRef>
                        <c15:formulaRef>
                          <c15:sqref>'2IT'!$B$46:$B$50</c15:sqref>
                        </c15:formulaRef>
                      </c:ext>
                    </c:extLst>
                    <c:numCache>
                      <c:formatCode>General</c:formatCode>
                      <c:ptCount val="5"/>
                      <c:pt idx="0">
                        <c:v>2019</c:v>
                      </c:pt>
                      <c:pt idx="1">
                        <c:v>2020</c:v>
                      </c:pt>
                      <c:pt idx="2">
                        <c:v>2021</c:v>
                      </c:pt>
                      <c:pt idx="3">
                        <c:v>2022</c:v>
                      </c:pt>
                      <c:pt idx="4">
                        <c:v>2023</c:v>
                      </c:pt>
                    </c:numCache>
                  </c:numRef>
                </c:cat>
                <c:val>
                  <c:numRef>
                    <c:extLst>
                      <c:ext uri="{02D57815-91ED-43cb-92C2-25804820EDAC}">
                        <c15:fullRef>
                          <c15:sqref>'2IT'!$E$46:$E$53</c15:sqref>
                        </c15:fullRef>
                        <c15:formulaRef>
                          <c15:sqref>'2IT'!$E$46:$E$50</c15:sqref>
                        </c15:formulaRef>
                      </c:ext>
                    </c:extLst>
                    <c:numCache>
                      <c:formatCode>General</c:formatCode>
                      <c:ptCount val="5"/>
                    </c:numCache>
                  </c:numRef>
                </c:val>
                <c:smooth val="0"/>
                <c:extLst>
                  <c:ext xmlns:c16="http://schemas.microsoft.com/office/drawing/2014/chart" uri="{C3380CC4-5D6E-409C-BE32-E72D297353CC}">
                    <c16:uniqueId val="{00000008-5479-4220-BDCB-791BC04DD0CE}"/>
                  </c:ext>
                </c:extLst>
              </c15:ser>
            </c15:filteredLineSeries>
          </c:ext>
        </c:extLst>
      </c:lineChart>
      <c:catAx>
        <c:axId val="709475840"/>
        <c:scaling>
          <c:orientation val="minMax"/>
        </c:scaling>
        <c:delete val="0"/>
        <c:axPos val="b"/>
        <c:numFmt formatCode="General" sourceLinked="1"/>
        <c:majorTickMark val="out"/>
        <c:minorTickMark val="none"/>
        <c:tickLblPos val="nextTo"/>
        <c:spPr>
          <a:noFill/>
          <a:ln w="6350" cap="flat" cmpd="sng" algn="ctr">
            <a:solidFill>
              <a:schemeClr val="tx1"/>
            </a:solidFill>
            <a:round/>
          </a:ln>
          <a:effectLst/>
        </c:spPr>
        <c:txPr>
          <a:bodyPr rot="-60000000" spcFirstLastPara="1" vertOverflow="ellipsis" vert="horz" wrap="square" anchor="ctr" anchorCtr="1"/>
          <a:lstStyle/>
          <a:p>
            <a:pPr>
              <a:defRPr sz="950" b="0" i="0" u="none" strike="noStrike" kern="1200" baseline="0">
                <a:solidFill>
                  <a:schemeClr val="tx1"/>
                </a:solidFill>
                <a:latin typeface="Times New Roman" panose="02020603050405020304" pitchFamily="18" charset="0"/>
                <a:ea typeface="+mn-ea"/>
                <a:cs typeface="+mn-cs"/>
              </a:defRPr>
            </a:pPr>
            <a:endParaRPr lang="es-ES_tradnl"/>
          </a:p>
        </c:txPr>
        <c:crossAx val="605168576"/>
        <c:crosses val="autoZero"/>
        <c:auto val="1"/>
        <c:lblAlgn val="ctr"/>
        <c:lblOffset val="100"/>
        <c:noMultiLvlLbl val="0"/>
      </c:catAx>
      <c:valAx>
        <c:axId val="6051685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s-ES_tradnl" sz="1050">
                    <a:solidFill>
                      <a:sysClr val="windowText" lastClr="000000"/>
                    </a:solidFill>
                    <a:latin typeface="Times New Roman" panose="02020603050405020304" pitchFamily="18" charset="0"/>
                    <a:cs typeface="Times New Roman" panose="02020603050405020304" pitchFamily="18" charset="0"/>
                  </a:rPr>
                  <a:t>Million euros</a:t>
                </a:r>
              </a:p>
            </c:rich>
          </c:tx>
          <c:layout>
            <c:manualLayout>
              <c:xMode val="edge"/>
              <c:yMode val="edge"/>
              <c:x val="0"/>
              <c:y val="0.27024653144012073"/>
            </c:manualLayout>
          </c:layout>
          <c:overlay val="0"/>
          <c:spPr>
            <a:noFill/>
            <a:ln>
              <a:noFill/>
            </a:ln>
            <a:effectLst/>
          </c:spPr>
          <c:txPr>
            <a:bodyPr rot="-5400000" spcFirstLastPara="1" vertOverflow="ellipsis" vert="horz" wrap="square" anchor="ctr" anchorCtr="1"/>
            <a:lstStyle/>
            <a:p>
              <a:pPr>
                <a:defRPr sz="10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title>
        <c:numFmt formatCode="#,##0" sourceLinked="0"/>
        <c:majorTickMark val="out"/>
        <c:minorTickMark val="none"/>
        <c:tickLblPos val="nextTo"/>
        <c:spPr>
          <a:noFill/>
          <a:ln w="6350">
            <a:solidFill>
              <a:schemeClr val="tx1">
                <a:lumMod val="65000"/>
                <a:lumOff val="35000"/>
              </a:schemeClr>
            </a:solidFill>
          </a:ln>
          <a:effectLst/>
        </c:spPr>
        <c:txPr>
          <a:bodyPr rot="-60000000" spcFirstLastPara="1" vertOverflow="ellipsis" vert="horz" wrap="square" anchor="ctr" anchorCtr="1"/>
          <a:lstStyle/>
          <a:p>
            <a:pPr>
              <a:defRPr sz="950" b="0" i="0" u="none" strike="noStrike" kern="1200" baseline="0">
                <a:solidFill>
                  <a:schemeClr val="tx1"/>
                </a:solidFill>
                <a:latin typeface="Times New Roman" panose="02020603050405020304" pitchFamily="18" charset="0"/>
                <a:ea typeface="+mn-ea"/>
                <a:cs typeface="+mn-cs"/>
              </a:defRPr>
            </a:pPr>
            <a:endParaRPr lang="es-ES_tradnl"/>
          </a:p>
        </c:txPr>
        <c:crossAx val="709475840"/>
        <c:crosses val="autoZero"/>
        <c:crossBetween val="between"/>
      </c:valAx>
      <c:spPr>
        <a:noFill/>
        <a:ln>
          <a:noFill/>
        </a:ln>
        <a:effectLst/>
      </c:spPr>
    </c:plotArea>
    <c:legend>
      <c:legendPos val="b"/>
      <c:layout>
        <c:manualLayout>
          <c:xMode val="edge"/>
          <c:yMode val="edge"/>
          <c:x val="0"/>
          <c:y val="0.73648087849247201"/>
          <c:w val="1"/>
          <c:h val="0.26351912150752793"/>
        </c:manualLayout>
      </c:layout>
      <c:overlay val="0"/>
      <c:spPr>
        <a:noFill/>
        <a:ln>
          <a:noFill/>
        </a:ln>
        <a:effectLst/>
      </c:spPr>
      <c:txPr>
        <a:bodyPr rot="0" spcFirstLastPara="1" vertOverflow="ellipsis" vert="horz" wrap="square" anchor="ctr" anchorCtr="1"/>
        <a:lstStyle/>
        <a:p>
          <a:pPr>
            <a:defRPr sz="9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legend>
    <c:plotVisOnly val="1"/>
    <c:dispBlanksAs val="gap"/>
    <c:showDLblsOverMax val="0"/>
  </c:chart>
  <c:spPr>
    <a:solidFill>
      <a:schemeClr val="bg1"/>
    </a:solidFill>
    <a:ln w="9525" cap="flat" cmpd="sng" algn="ctr">
      <a:noFill/>
      <a:round/>
    </a:ln>
    <a:effectLst/>
  </c:spPr>
  <c:txPr>
    <a:bodyPr/>
    <a:lstStyle/>
    <a:p>
      <a:pPr>
        <a:defRPr/>
      </a:pPr>
      <a:endParaRPr lang="es-ES_tradnl"/>
    </a:p>
  </c:txPr>
  <c:printSettings>
    <c:headerFooter/>
    <c:pageMargins b="0.75" l="0.25" r="0.25" t="0.75" header="0.3" footer="0.3"/>
    <c:pageSetup paperSize="9" orientation="landscape"/>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457409308717575"/>
          <c:y val="4.6087571003560986E-2"/>
          <c:w val="0.82558175067451101"/>
          <c:h val="0.6515011552844524"/>
        </c:manualLayout>
      </c:layout>
      <c:lineChart>
        <c:grouping val="standard"/>
        <c:varyColors val="0"/>
        <c:ser>
          <c:idx val="1"/>
          <c:order val="0"/>
          <c:tx>
            <c:strRef>
              <c:f>'2IT'!$C$64</c:f>
              <c:strCache>
                <c:ptCount val="1"/>
                <c:pt idx="0">
                  <c:v>Baseline simulation
</c:v>
                </c:pt>
              </c:strCache>
            </c:strRef>
          </c:tx>
          <c:spPr>
            <a:ln w="28575" cap="rnd">
              <a:noFill/>
              <a:round/>
            </a:ln>
            <a:effectLst/>
          </c:spPr>
          <c:marker>
            <c:symbol val="circle"/>
            <c:size val="7"/>
            <c:spPr>
              <a:solidFill>
                <a:schemeClr val="tx1"/>
              </a:solidFill>
              <a:ln w="9525">
                <a:noFill/>
              </a:ln>
              <a:effectLst/>
            </c:spPr>
          </c:marker>
          <c:cat>
            <c:numRef>
              <c:extLst>
                <c:ext xmlns:c15="http://schemas.microsoft.com/office/drawing/2012/chart" uri="{02D57815-91ED-43cb-92C2-25804820EDAC}">
                  <c15:fullRef>
                    <c15:sqref>'2IT'!$B$65:$B$72</c15:sqref>
                  </c15:fullRef>
                </c:ext>
              </c:extLst>
              <c:f>'2IT'!$B$65:$B$69</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'2IT'!$C$65:$C$72</c15:sqref>
                  </c15:fullRef>
                </c:ext>
              </c:extLst>
              <c:f>'2IT'!$C$65:$C$69</c:f>
              <c:numCache>
                <c:formatCode>0.00</c:formatCode>
                <c:ptCount val="5"/>
                <c:pt idx="0">
                  <c:v>18.91373730197807</c:v>
                </c:pt>
                <c:pt idx="1">
                  <c:v>18.603816477894668</c:v>
                </c:pt>
                <c:pt idx="2">
                  <c:v>18.403332044660022</c:v>
                </c:pt>
                <c:pt idx="3">
                  <c:v>18.332145635939636</c:v>
                </c:pt>
                <c:pt idx="4">
                  <c:v>19.228975648457421</c:v>
                </c:pt>
              </c:numCache>
            </c:numRef>
          </c:val>
          <c:smooth val="0"/>
          <c:extLst>
            <c:ext xmlns:c16="http://schemas.microsoft.com/office/drawing/2014/chart" uri="{C3380CC4-5D6E-409C-BE32-E72D297353CC}">
              <c16:uniqueId val="{00000000-3046-4DE2-B6D2-01A1EF086534}"/>
            </c:ext>
          </c:extLst>
        </c:ser>
        <c:ser>
          <c:idx val="0"/>
          <c:order val="1"/>
          <c:tx>
            <c:strRef>
              <c:f>'2IT'!$D$64</c:f>
              <c:strCache>
                <c:ptCount val="1"/>
                <c:pt idx="0">
                  <c:v>Legislation unchanged since 2019/2023</c:v>
                </c:pt>
              </c:strCache>
            </c:strRef>
          </c:tx>
          <c:spPr>
            <a:ln w="28575" cap="rnd">
              <a:noFill/>
              <a:round/>
            </a:ln>
            <a:effectLst/>
          </c:spPr>
          <c:marker>
            <c:symbol val="circle"/>
            <c:size val="7"/>
            <c:spPr>
              <a:noFill/>
              <a:ln w="25400">
                <a:solidFill>
                  <a:srgbClr val="C00000"/>
                </a:solidFill>
              </a:ln>
              <a:effectLst/>
            </c:spPr>
          </c:marker>
          <c:cat>
            <c:numRef>
              <c:extLst>
                <c:ext xmlns:c15="http://schemas.microsoft.com/office/drawing/2012/chart" uri="{02D57815-91ED-43cb-92C2-25804820EDAC}">
                  <c15:fullRef>
                    <c15:sqref>'2IT'!$B$65:$B$72</c15:sqref>
                  </c15:fullRef>
                </c:ext>
              </c:extLst>
              <c:f>'2IT'!$B$65:$B$69</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'2IT'!$D$65:$D$72</c15:sqref>
                  </c15:fullRef>
                </c:ext>
              </c:extLst>
              <c:f>'2IT'!$D$65:$D$69</c:f>
              <c:numCache>
                <c:formatCode>0.00%</c:formatCode>
                <c:ptCount val="5"/>
                <c:pt idx="4" formatCode="0.00">
                  <c:v>19.867188458137914</c:v>
                </c:pt>
              </c:numCache>
            </c:numRef>
          </c:val>
          <c:smooth val="0"/>
          <c:extLst>
            <c:ext xmlns:c16="http://schemas.microsoft.com/office/drawing/2014/chart" uri="{C3380CC4-5D6E-409C-BE32-E72D297353CC}">
              <c16:uniqueId val="{00000001-3046-4DE2-B6D2-01A1EF086534}"/>
            </c:ext>
          </c:extLst>
        </c:ser>
        <c:ser>
          <c:idx val="2"/>
          <c:order val="2"/>
          <c:tx>
            <c:strRef>
              <c:f>'2IT'!$E$64</c:f>
              <c:strCache>
                <c:ptCount val="1"/>
                <c:pt idx="0">
                  <c:v>Index with tax base growth</c:v>
                </c:pt>
              </c:strCache>
            </c:strRef>
          </c:tx>
          <c:spPr>
            <a:ln w="28575" cap="rnd">
              <a:noFill/>
              <a:round/>
            </a:ln>
            <a:effectLst/>
          </c:spPr>
          <c:marker>
            <c:symbol val="square"/>
            <c:size val="6"/>
            <c:spPr>
              <a:noFill/>
              <a:ln w="25400">
                <a:solidFill>
                  <a:schemeClr val="accent6">
                    <a:lumMod val="75000"/>
                  </a:schemeClr>
                </a:solidFill>
              </a:ln>
              <a:effectLst/>
            </c:spPr>
          </c:marker>
          <c:cat>
            <c:numRef>
              <c:extLst>
                <c:ext xmlns:c15="http://schemas.microsoft.com/office/drawing/2012/chart" uri="{02D57815-91ED-43cb-92C2-25804820EDAC}">
                  <c15:fullRef>
                    <c15:sqref>'2IT'!$B$65:$B$72</c15:sqref>
                  </c15:fullRef>
                </c:ext>
              </c:extLst>
              <c:f>'2IT'!$B$65:$B$69</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'2IT'!$E$65:$E$72</c15:sqref>
                  </c15:fullRef>
                </c:ext>
              </c:extLst>
              <c:f>'2IT'!$E$65:$E$69</c:f>
              <c:numCache>
                <c:formatCode>0.00%</c:formatCode>
                <c:ptCount val="5"/>
                <c:pt idx="4" formatCode="0.00">
                  <c:v>18.72331997753987</c:v>
                </c:pt>
              </c:numCache>
            </c:numRef>
          </c:val>
          <c:smooth val="0"/>
          <c:extLst xmlns:c15="http://schemas.microsoft.com/office/drawing/2012/chart">
            <c:ext xmlns:c16="http://schemas.microsoft.com/office/drawing/2014/chart" uri="{C3380CC4-5D6E-409C-BE32-E72D297353CC}">
              <c16:uniqueId val="{00000002-3046-4DE2-B6D2-01A1EF086534}"/>
            </c:ext>
          </c:extLst>
        </c:ser>
        <c:ser>
          <c:idx val="3"/>
          <c:order val="3"/>
          <c:tx>
            <c:strRef>
              <c:f>'2IT'!$F$64</c:f>
              <c:strCache>
                <c:ptCount val="1"/>
                <c:pt idx="0">
                  <c:v>Index with lagged HCPI</c:v>
                </c:pt>
              </c:strCache>
            </c:strRef>
          </c:tx>
          <c:spPr>
            <a:ln w="28575" cap="rnd">
              <a:noFill/>
              <a:round/>
            </a:ln>
            <a:effectLst/>
          </c:spPr>
          <c:marker>
            <c:symbol val="diamond"/>
            <c:size val="7"/>
            <c:spPr>
              <a:noFill/>
              <a:ln w="25400">
                <a:solidFill>
                  <a:schemeClr val="accent4"/>
                </a:solidFill>
              </a:ln>
              <a:effectLst/>
            </c:spPr>
          </c:marker>
          <c:cat>
            <c:numRef>
              <c:extLst>
                <c:ext xmlns:c15="http://schemas.microsoft.com/office/drawing/2012/chart" uri="{02D57815-91ED-43cb-92C2-25804820EDAC}">
                  <c15:fullRef>
                    <c15:sqref>'2IT'!$B$65:$B$72</c15:sqref>
                  </c15:fullRef>
                </c:ext>
              </c:extLst>
              <c:f>'2IT'!$B$65:$B$69</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'2IT'!$F$65:$F$72</c15:sqref>
                  </c15:fullRef>
                </c:ext>
              </c:extLst>
              <c:f>'2IT'!$F$65:$F$69</c:f>
              <c:numCache>
                <c:formatCode>0.00%</c:formatCode>
                <c:ptCount val="5"/>
                <c:pt idx="4" formatCode="0.00">
                  <c:v>18.247219483065855</c:v>
                </c:pt>
              </c:numCache>
            </c:numRef>
          </c:val>
          <c:smooth val="0"/>
          <c:extLst>
            <c:ext xmlns:c16="http://schemas.microsoft.com/office/drawing/2014/chart" uri="{C3380CC4-5D6E-409C-BE32-E72D297353CC}">
              <c16:uniqueId val="{00000003-3046-4DE2-B6D2-01A1EF086534}"/>
            </c:ext>
          </c:extLst>
        </c:ser>
        <c:ser>
          <c:idx val="4"/>
          <c:order val="4"/>
          <c:tx>
            <c:strRef>
              <c:f>'2IT'!$G$64</c:f>
              <c:strCache>
                <c:ptCount val="1"/>
                <c:pt idx="0">
                  <c:v>Index with concurrent HCPI</c:v>
                </c:pt>
              </c:strCache>
            </c:strRef>
          </c:tx>
          <c:spPr>
            <a:ln w="28575" cap="rnd">
              <a:noFill/>
              <a:round/>
            </a:ln>
            <a:effectLst/>
          </c:spPr>
          <c:marker>
            <c:symbol val="triangle"/>
            <c:size val="6"/>
            <c:spPr>
              <a:noFill/>
              <a:ln w="25400">
                <a:solidFill>
                  <a:schemeClr val="accent5">
                    <a:lumMod val="75000"/>
                  </a:schemeClr>
                </a:solidFill>
              </a:ln>
              <a:effectLst/>
            </c:spPr>
          </c:marker>
          <c:cat>
            <c:numRef>
              <c:extLst>
                <c:ext xmlns:c15="http://schemas.microsoft.com/office/drawing/2012/chart" uri="{02D57815-91ED-43cb-92C2-25804820EDAC}">
                  <c15:fullRef>
                    <c15:sqref>'2IT'!$B$65:$B$72</c15:sqref>
                  </c15:fullRef>
                </c:ext>
              </c:extLst>
              <c:f>'2IT'!$B$65:$B$69</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'2IT'!$G$65:$G$72</c15:sqref>
                  </c15:fullRef>
                </c:ext>
              </c:extLst>
              <c:f>'2IT'!$G$65:$G$69</c:f>
              <c:numCache>
                <c:formatCode>0.00%</c:formatCode>
                <c:ptCount val="5"/>
                <c:pt idx="4" formatCode="0.00">
                  <c:v>17.472511992234921</c:v>
                </c:pt>
              </c:numCache>
            </c:numRef>
          </c:val>
          <c:smooth val="0"/>
          <c:extLst>
            <c:ext xmlns:c16="http://schemas.microsoft.com/office/drawing/2014/chart" uri="{C3380CC4-5D6E-409C-BE32-E72D297353CC}">
              <c16:uniqueId val="{00000004-3046-4DE2-B6D2-01A1EF086534}"/>
            </c:ext>
          </c:extLst>
        </c:ser>
        <c:dLbls>
          <c:showLegendKey val="0"/>
          <c:showVal val="0"/>
          <c:showCatName val="0"/>
          <c:showSerName val="0"/>
          <c:showPercent val="0"/>
          <c:showBubbleSize val="0"/>
        </c:dLbls>
        <c:marker val="1"/>
        <c:smooth val="0"/>
        <c:axId val="709475840"/>
        <c:axId val="605168576"/>
        <c:extLst/>
      </c:lineChart>
      <c:catAx>
        <c:axId val="709475840"/>
        <c:scaling>
          <c:orientation val="minMax"/>
        </c:scaling>
        <c:delete val="0"/>
        <c:axPos val="b"/>
        <c:numFmt formatCode="General" sourceLinked="1"/>
        <c:majorTickMark val="out"/>
        <c:minorTickMark val="none"/>
        <c:tickLblPos val="nextTo"/>
        <c:spPr>
          <a:noFill/>
          <a:ln w="635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mn-cs"/>
              </a:defRPr>
            </a:pPr>
            <a:endParaRPr lang="es-ES_tradnl"/>
          </a:p>
        </c:txPr>
        <c:crossAx val="605168576"/>
        <c:crosses val="autoZero"/>
        <c:auto val="1"/>
        <c:lblAlgn val="ctr"/>
        <c:lblOffset val="100"/>
        <c:noMultiLvlLbl val="0"/>
      </c:catAx>
      <c:valAx>
        <c:axId val="6051685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s-ES_tradnl" sz="1050">
                    <a:solidFill>
                      <a:sysClr val="windowText" lastClr="000000"/>
                    </a:solidFill>
                    <a:latin typeface="Times New Roman" panose="02020603050405020304" pitchFamily="18" charset="0"/>
                    <a:cs typeface="Times New Roman" panose="02020603050405020304" pitchFamily="18" charset="0"/>
                  </a:rPr>
                  <a:t>Rate</a:t>
                </a:r>
              </a:p>
            </c:rich>
          </c:tx>
          <c:overlay val="0"/>
          <c:spPr>
            <a:noFill/>
            <a:ln>
              <a:noFill/>
            </a:ln>
            <a:effectLst/>
          </c:spPr>
          <c:txPr>
            <a:bodyPr rot="-5400000" spcFirstLastPara="1" vertOverflow="ellipsis" vert="horz" wrap="square" anchor="ctr" anchorCtr="1"/>
            <a:lstStyle/>
            <a:p>
              <a:pPr>
                <a:defRPr sz="10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title>
        <c:numFmt formatCode="#,##0.0" sourceLinked="0"/>
        <c:majorTickMark val="out"/>
        <c:minorTickMark val="none"/>
        <c:tickLblPos val="nextTo"/>
        <c:spPr>
          <a:noFill/>
          <a:ln w="6350">
            <a:solidFill>
              <a:schemeClr val="tx1">
                <a:lumMod val="65000"/>
                <a:lumOff val="35000"/>
              </a:schemeClr>
            </a:solidFill>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mn-cs"/>
              </a:defRPr>
            </a:pPr>
            <a:endParaRPr lang="es-ES_tradnl"/>
          </a:p>
        </c:txPr>
        <c:crossAx val="709475840"/>
        <c:crosses val="autoZero"/>
        <c:crossBetween val="between"/>
      </c:valAx>
      <c:spPr>
        <a:noFill/>
        <a:ln>
          <a:noFill/>
        </a:ln>
        <a:effectLst/>
      </c:spPr>
    </c:plotArea>
    <c:legend>
      <c:legendPos val="b"/>
      <c:layout>
        <c:manualLayout>
          <c:xMode val="edge"/>
          <c:yMode val="edge"/>
          <c:x val="8.1926620958132398E-2"/>
          <c:y val="0.78900773467278962"/>
          <c:w val="0.8223310520657221"/>
          <c:h val="0.1997652991480407"/>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legend>
    <c:plotVisOnly val="1"/>
    <c:dispBlanksAs val="gap"/>
    <c:showDLblsOverMax val="0"/>
  </c:chart>
  <c:spPr>
    <a:solidFill>
      <a:schemeClr val="bg1"/>
    </a:solidFill>
    <a:ln w="9525" cap="flat" cmpd="sng" algn="ctr">
      <a:noFill/>
      <a:round/>
    </a:ln>
    <a:effectLst/>
  </c:spPr>
  <c:txPr>
    <a:bodyPr/>
    <a:lstStyle/>
    <a:p>
      <a:pPr>
        <a:defRPr/>
      </a:pPr>
      <a:endParaRPr lang="es-ES_tradnl"/>
    </a:p>
  </c:txPr>
  <c:printSettings>
    <c:headerFooter/>
    <c:pageMargins b="0.75" l="0.84" r="0.25" t="0.75" header="0.3" footer="0.3"/>
    <c:pageSetup paperSize="9" orientation="landscape"/>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457409308717575"/>
          <c:y val="4.6087571003560986E-2"/>
          <c:w val="0.82558175067451101"/>
          <c:h val="0.64272676146640684"/>
        </c:manualLayout>
      </c:layout>
      <c:lineChart>
        <c:grouping val="standard"/>
        <c:varyColors val="0"/>
        <c:ser>
          <c:idx val="1"/>
          <c:order val="0"/>
          <c:tx>
            <c:strRef>
              <c:f>'2IT'!$W$45</c:f>
              <c:strCache>
                <c:ptCount val="1"/>
                <c:pt idx="0">
                  <c:v>Observed (National Accounts)</c:v>
                </c:pt>
              </c:strCache>
            </c:strRef>
          </c:tx>
          <c:spPr>
            <a:ln w="25400" cap="rnd">
              <a:solidFill>
                <a:schemeClr val="tx1">
                  <a:lumMod val="65000"/>
                  <a:lumOff val="35000"/>
                </a:schemeClr>
              </a:solidFill>
              <a:prstDash val="sysDash"/>
              <a:round/>
            </a:ln>
            <a:effectLst/>
          </c:spPr>
          <c:marker>
            <c:symbol val="none"/>
          </c:marker>
          <c:cat>
            <c:numRef>
              <c:extLst>
                <c:ext xmlns:c15="http://schemas.microsoft.com/office/drawing/2012/chart" uri="{02D57815-91ED-43cb-92C2-25804820EDAC}">
                  <c15:fullRef>
                    <c15:sqref>'2IT'!$U$46:$U$53</c15:sqref>
                  </c15:fullRef>
                </c:ext>
              </c:extLst>
              <c:f>'2IT'!$U$46:$U$50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'2IT'!$W$46:$W$53</c15:sqref>
                  </c15:fullRef>
                </c:ext>
              </c:extLst>
              <c:f>'2IT'!$W$46:$W$50</c:f>
              <c:numCache>
                <c:formatCode>0.0%</c:formatCode>
                <c:ptCount val="5"/>
                <c:pt idx="0">
                  <c:v>9.8299999999999998E-2</c:v>
                </c:pt>
                <c:pt idx="1">
                  <c:v>0.1026</c:v>
                </c:pt>
                <c:pt idx="2">
                  <c:v>9.9799999999999986E-2</c:v>
                </c:pt>
                <c:pt idx="3">
                  <c:v>9.4200000000000006E-2</c:v>
                </c:pt>
                <c:pt idx="4">
                  <c:v>9.723677813369859E-2</c:v>
                </c:pt>
              </c:numCache>
            </c:numRef>
          </c:val>
          <c:smooth val="0"/>
          <c:extLst>
            <c:ext xmlns:c16="http://schemas.microsoft.com/office/drawing/2014/chart" uri="{C3380CC4-5D6E-409C-BE32-E72D297353CC}">
              <c16:uniqueId val="{00000000-C8F8-40F0-B120-11B08F11D5EB}"/>
            </c:ext>
          </c:extLst>
        </c:ser>
        <c:ser>
          <c:idx val="0"/>
          <c:order val="1"/>
          <c:tx>
            <c:strRef>
              <c:f>'2IT'!$V$45</c:f>
              <c:strCache>
                <c:ptCount val="1"/>
                <c:pt idx="0">
                  <c:v>Baseline simulation (before reescaling)</c:v>
                </c:pt>
              </c:strCache>
            </c:strRef>
          </c:tx>
          <c:spPr>
            <a:ln w="25400" cap="rnd">
              <a:noFill/>
              <a:round/>
            </a:ln>
            <a:effectLst/>
          </c:spPr>
          <c:marker>
            <c:symbol val="circle"/>
            <c:size val="8"/>
            <c:spPr>
              <a:solidFill>
                <a:schemeClr val="bg1">
                  <a:lumMod val="85000"/>
                </a:schemeClr>
              </a:solidFill>
              <a:ln w="25400">
                <a:noFill/>
              </a:ln>
              <a:effectLst/>
            </c:spPr>
          </c:marker>
          <c:cat>
            <c:numRef>
              <c:extLst>
                <c:ext xmlns:c15="http://schemas.microsoft.com/office/drawing/2012/chart" uri="{02D57815-91ED-43cb-92C2-25804820EDAC}">
                  <c15:fullRef>
                    <c15:sqref>'2IT'!$U$46:$U$53</c15:sqref>
                  </c15:fullRef>
                </c:ext>
              </c:extLst>
              <c:f>'2IT'!$U$46:$U$50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'2IT'!$V$46:$V$53</c15:sqref>
                  </c15:fullRef>
                </c:ext>
              </c:extLst>
              <c:f>'2IT'!$V$46:$V$50</c:f>
              <c:numCache>
                <c:formatCode>0.0%</c:formatCode>
                <c:ptCount val="5"/>
                <c:pt idx="0">
                  <c:v>9.795090939959343E-2</c:v>
                </c:pt>
                <c:pt idx="1">
                  <c:v>0.10358012697139525</c:v>
                </c:pt>
                <c:pt idx="2">
                  <c:v>9.4554037251971881E-2</c:v>
                </c:pt>
                <c:pt idx="3">
                  <c:v>8.8751084019123488E-2</c:v>
                </c:pt>
                <c:pt idx="4">
                  <c:v>9.1137326002330848E-2</c:v>
                </c:pt>
              </c:numCache>
            </c:numRef>
          </c:val>
          <c:smooth val="0"/>
          <c:extLst>
            <c:ext xmlns:c16="http://schemas.microsoft.com/office/drawing/2014/chart" uri="{C3380CC4-5D6E-409C-BE32-E72D297353CC}">
              <c16:uniqueId val="{00000001-C8F8-40F0-B120-11B08F11D5EB}"/>
            </c:ext>
          </c:extLst>
        </c:ser>
        <c:ser>
          <c:idx val="3"/>
          <c:order val="2"/>
          <c:tx>
            <c:strRef>
              <c:f>'2IT'!$Y$45</c:f>
              <c:strCache>
                <c:ptCount val="1"/>
                <c:pt idx="0">
                  <c:v>Baseline simulation (after reescaling)</c:v>
                </c:pt>
              </c:strCache>
            </c:strRef>
          </c:tx>
          <c:spPr>
            <a:ln w="25400" cap="rnd">
              <a:noFill/>
              <a:round/>
            </a:ln>
            <a:effectLst/>
          </c:spPr>
          <c:marker>
            <c:symbol val="circle"/>
            <c:size val="7"/>
            <c:spPr>
              <a:solidFill>
                <a:schemeClr val="tx1"/>
              </a:solidFill>
              <a:ln w="9525">
                <a:solidFill>
                  <a:schemeClr val="tx1"/>
                </a:solidFill>
              </a:ln>
              <a:effectLst/>
            </c:spPr>
          </c:marker>
          <c:cat>
            <c:numRef>
              <c:extLst>
                <c:ext xmlns:c15="http://schemas.microsoft.com/office/drawing/2012/chart" uri="{02D57815-91ED-43cb-92C2-25804820EDAC}">
                  <c15:fullRef>
                    <c15:sqref>'2IT'!$U$46:$U$53</c15:sqref>
                  </c15:fullRef>
                </c:ext>
              </c:extLst>
              <c:f>'2IT'!$U$46:$U$50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'2IT'!$Y$46:$Y$53</c15:sqref>
                  </c15:fullRef>
                </c:ext>
              </c:extLst>
              <c:f>'2IT'!$Y$46:$Y$50</c:f>
              <c:numCache>
                <c:formatCode>0.0%</c:formatCode>
                <c:ptCount val="5"/>
                <c:pt idx="0">
                  <c:v>9.8299999999999998E-2</c:v>
                </c:pt>
                <c:pt idx="4">
                  <c:v>9.723677813369859E-2</c:v>
                </c:pt>
              </c:numCache>
            </c:numRef>
          </c:val>
          <c:smooth val="0"/>
          <c:extLst>
            <c:ext xmlns:c16="http://schemas.microsoft.com/office/drawing/2014/chart" uri="{C3380CC4-5D6E-409C-BE32-E72D297353CC}">
              <c16:uniqueId val="{00000002-C8F8-40F0-B120-11B08F11D5EB}"/>
            </c:ext>
          </c:extLst>
        </c:ser>
        <c:ser>
          <c:idx val="4"/>
          <c:order val="3"/>
          <c:tx>
            <c:strRef>
              <c:f>'2IT'!$Z$45</c:f>
              <c:strCache>
                <c:ptCount val="1"/>
                <c:pt idx="0">
                  <c:v>Unchanged legislation since 2019/2023</c:v>
                </c:pt>
              </c:strCache>
            </c:strRef>
          </c:tx>
          <c:spPr>
            <a:ln w="25400" cap="rnd">
              <a:noFill/>
              <a:round/>
            </a:ln>
            <a:effectLst/>
          </c:spPr>
          <c:marker>
            <c:symbol val="circle"/>
            <c:size val="6"/>
            <c:spPr>
              <a:noFill/>
              <a:ln w="25400">
                <a:solidFill>
                  <a:srgbClr val="C00000"/>
                </a:solidFill>
              </a:ln>
              <a:effectLst/>
            </c:spPr>
          </c:marker>
          <c:cat>
            <c:numRef>
              <c:extLst>
                <c:ext xmlns:c15="http://schemas.microsoft.com/office/drawing/2012/chart" uri="{02D57815-91ED-43cb-92C2-25804820EDAC}">
                  <c15:fullRef>
                    <c15:sqref>'2IT'!$U$46:$U$53</c15:sqref>
                  </c15:fullRef>
                </c:ext>
              </c:extLst>
              <c:f>'2IT'!$U$46:$U$50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'2IT'!$Z$46:$Z$53</c15:sqref>
                  </c15:fullRef>
                </c:ext>
              </c:extLst>
              <c:f>'2IT'!$Z$46:$Z$50</c:f>
              <c:numCache>
                <c:formatCode>0.0%</c:formatCode>
                <c:ptCount val="5"/>
                <c:pt idx="4">
                  <c:v>0.10046408251597674</c:v>
                </c:pt>
              </c:numCache>
            </c:numRef>
          </c:val>
          <c:smooth val="0"/>
          <c:extLst>
            <c:ext xmlns:c16="http://schemas.microsoft.com/office/drawing/2014/chart" uri="{C3380CC4-5D6E-409C-BE32-E72D297353CC}">
              <c16:uniqueId val="{00000003-C8F8-40F0-B120-11B08F11D5EB}"/>
            </c:ext>
          </c:extLst>
        </c:ser>
        <c:ser>
          <c:idx val="5"/>
          <c:order val="4"/>
          <c:tx>
            <c:strRef>
              <c:f>'2IT'!$AA$45</c:f>
              <c:strCache>
                <c:ptCount val="1"/>
                <c:pt idx="0">
                  <c:v>Indexing with tax base growth</c:v>
                </c:pt>
              </c:strCache>
            </c:strRef>
          </c:tx>
          <c:spPr>
            <a:ln w="25400" cap="rnd">
              <a:noFill/>
              <a:round/>
            </a:ln>
            <a:effectLst/>
          </c:spPr>
          <c:marker>
            <c:symbol val="square"/>
            <c:size val="5"/>
            <c:spPr>
              <a:noFill/>
              <a:ln w="25400">
                <a:solidFill>
                  <a:schemeClr val="accent6">
                    <a:lumMod val="75000"/>
                  </a:schemeClr>
                </a:solidFill>
              </a:ln>
              <a:effectLst/>
            </c:spPr>
          </c:marker>
          <c:cat>
            <c:numRef>
              <c:extLst>
                <c:ext xmlns:c15="http://schemas.microsoft.com/office/drawing/2012/chart" uri="{02D57815-91ED-43cb-92C2-25804820EDAC}">
                  <c15:fullRef>
                    <c15:sqref>'2IT'!$U$46:$U$53</c15:sqref>
                  </c15:fullRef>
                </c:ext>
              </c:extLst>
              <c:f>'2IT'!$U$46:$U$50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'2IT'!$AA$46:$AA$53</c15:sqref>
                  </c15:fullRef>
                </c:ext>
              </c:extLst>
              <c:f>'2IT'!$AA$46:$AA$50</c:f>
              <c:numCache>
                <c:formatCode>0.0%</c:formatCode>
                <c:ptCount val="5"/>
                <c:pt idx="4">
                  <c:v>9.4679786581785066E-2</c:v>
                </c:pt>
              </c:numCache>
            </c:numRef>
          </c:val>
          <c:smooth val="0"/>
          <c:extLst>
            <c:ext xmlns:c16="http://schemas.microsoft.com/office/drawing/2014/chart" uri="{C3380CC4-5D6E-409C-BE32-E72D297353CC}">
              <c16:uniqueId val="{00000004-C8F8-40F0-B120-11B08F11D5EB}"/>
            </c:ext>
          </c:extLst>
        </c:ser>
        <c:ser>
          <c:idx val="6"/>
          <c:order val="5"/>
          <c:tx>
            <c:strRef>
              <c:f>'2IT'!$AB$45</c:f>
              <c:strCache>
                <c:ptCount val="1"/>
                <c:pt idx="0">
                  <c:v>Indexing with lagged HCPI</c:v>
                </c:pt>
              </c:strCache>
            </c:strRef>
          </c:tx>
          <c:spPr>
            <a:ln w="25400" cap="rnd">
              <a:noFill/>
              <a:round/>
            </a:ln>
            <a:effectLst/>
          </c:spPr>
          <c:marker>
            <c:symbol val="diamond"/>
            <c:size val="6"/>
            <c:spPr>
              <a:noFill/>
              <a:ln w="25400">
                <a:solidFill>
                  <a:schemeClr val="accent4"/>
                </a:solidFill>
              </a:ln>
              <a:effectLst/>
            </c:spPr>
          </c:marker>
          <c:cat>
            <c:numRef>
              <c:extLst>
                <c:ext xmlns:c15="http://schemas.microsoft.com/office/drawing/2012/chart" uri="{02D57815-91ED-43cb-92C2-25804820EDAC}">
                  <c15:fullRef>
                    <c15:sqref>'2IT'!$U$46:$U$53</c15:sqref>
                  </c15:fullRef>
                </c:ext>
              </c:extLst>
              <c:f>'2IT'!$U$46:$U$50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'2IT'!$AB$46:$AB$53</c15:sqref>
                  </c15:fullRef>
                </c:ext>
              </c:extLst>
              <c:f>'2IT'!$AB$46:$AB$50</c:f>
              <c:numCache>
                <c:formatCode>0.0%</c:formatCode>
                <c:ptCount val="5"/>
                <c:pt idx="4">
                  <c:v>9.2272249175900017E-2</c:v>
                </c:pt>
              </c:numCache>
            </c:numRef>
          </c:val>
          <c:smooth val="0"/>
          <c:extLst>
            <c:ext xmlns:c16="http://schemas.microsoft.com/office/drawing/2014/chart" uri="{C3380CC4-5D6E-409C-BE32-E72D297353CC}">
              <c16:uniqueId val="{00000005-C8F8-40F0-B120-11B08F11D5EB}"/>
            </c:ext>
          </c:extLst>
        </c:ser>
        <c:ser>
          <c:idx val="7"/>
          <c:order val="6"/>
          <c:tx>
            <c:strRef>
              <c:f>'2IT'!$AC$45</c:f>
              <c:strCache>
                <c:ptCount val="1"/>
                <c:pt idx="0">
                  <c:v>Indexing with concurrent HCPI</c:v>
                </c:pt>
              </c:strCache>
            </c:strRef>
          </c:tx>
          <c:spPr>
            <a:ln w="25400" cap="rnd">
              <a:noFill/>
              <a:round/>
            </a:ln>
            <a:effectLst/>
          </c:spPr>
          <c:marker>
            <c:symbol val="triangle"/>
            <c:size val="6"/>
            <c:spPr>
              <a:noFill/>
              <a:ln w="25400">
                <a:solidFill>
                  <a:schemeClr val="accent5">
                    <a:lumMod val="75000"/>
                  </a:schemeClr>
                </a:solidFill>
              </a:ln>
              <a:effectLst/>
            </c:spPr>
          </c:marker>
          <c:cat>
            <c:numRef>
              <c:extLst>
                <c:ext xmlns:c15="http://schemas.microsoft.com/office/drawing/2012/chart" uri="{02D57815-91ED-43cb-92C2-25804820EDAC}">
                  <c15:fullRef>
                    <c15:sqref>'2IT'!$U$46:$U$53</c15:sqref>
                  </c15:fullRef>
                </c:ext>
              </c:extLst>
              <c:f>'2IT'!$U$46:$U$50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'2IT'!$AC$46:$AC$53</c15:sqref>
                  </c15:fullRef>
                </c:ext>
              </c:extLst>
              <c:f>'2IT'!$AC$46:$AC$50</c:f>
              <c:numCache>
                <c:formatCode>0.0%</c:formatCode>
                <c:ptCount val="5"/>
                <c:pt idx="4">
                  <c:v>8.835472066155689E-2</c:v>
                </c:pt>
              </c:numCache>
            </c:numRef>
          </c:val>
          <c:smooth val="0"/>
          <c:extLst>
            <c:ext xmlns:c16="http://schemas.microsoft.com/office/drawing/2014/chart" uri="{C3380CC4-5D6E-409C-BE32-E72D297353CC}">
              <c16:uniqueId val="{00000006-C8F8-40F0-B120-11B08F11D5EB}"/>
            </c:ext>
          </c:extLst>
        </c:ser>
        <c:dLbls>
          <c:showLegendKey val="0"/>
          <c:showVal val="0"/>
          <c:showCatName val="0"/>
          <c:showSerName val="0"/>
          <c:showPercent val="0"/>
          <c:showBubbleSize val="0"/>
        </c:dLbls>
        <c:smooth val="0"/>
        <c:axId val="709475840"/>
        <c:axId val="605168576"/>
        <c:extLst/>
      </c:lineChart>
      <c:catAx>
        <c:axId val="709475840"/>
        <c:scaling>
          <c:orientation val="minMax"/>
        </c:scaling>
        <c:delete val="0"/>
        <c:axPos val="b"/>
        <c:numFmt formatCode="General" sourceLinked="1"/>
        <c:majorTickMark val="out"/>
        <c:minorTickMark val="none"/>
        <c:tickLblPos val="nextTo"/>
        <c:spPr>
          <a:noFill/>
          <a:ln w="6350" cap="flat" cmpd="sng" algn="ctr">
            <a:solidFill>
              <a:schemeClr val="tx1"/>
            </a:solidFill>
            <a:round/>
          </a:ln>
          <a:effectLst/>
        </c:spPr>
        <c:txPr>
          <a:bodyPr rot="-60000000" spcFirstLastPara="1" vertOverflow="ellipsis" vert="horz" wrap="square" anchor="ctr" anchorCtr="1"/>
          <a:lstStyle/>
          <a:p>
            <a:pPr>
              <a:defRPr sz="950" b="0" i="0" u="none" strike="noStrike" kern="1200" baseline="0">
                <a:solidFill>
                  <a:schemeClr val="tx1"/>
                </a:solidFill>
                <a:latin typeface="Times New Roman" panose="02020603050405020304" pitchFamily="18" charset="0"/>
                <a:ea typeface="+mn-ea"/>
                <a:cs typeface="+mn-cs"/>
              </a:defRPr>
            </a:pPr>
            <a:endParaRPr lang="es-ES_tradnl"/>
          </a:p>
        </c:txPr>
        <c:crossAx val="605168576"/>
        <c:crosses val="autoZero"/>
        <c:auto val="1"/>
        <c:lblAlgn val="ctr"/>
        <c:lblOffset val="100"/>
        <c:noMultiLvlLbl val="0"/>
      </c:catAx>
      <c:valAx>
        <c:axId val="6051685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s-ES_tradnl" sz="1050">
                    <a:solidFill>
                      <a:sysClr val="windowText" lastClr="000000"/>
                    </a:solidFill>
                    <a:latin typeface="Times New Roman" panose="02020603050405020304" pitchFamily="18" charset="0"/>
                    <a:cs typeface="Times New Roman" panose="02020603050405020304" pitchFamily="18" charset="0"/>
                  </a:rPr>
                  <a:t>Share of GDP</a:t>
                </a:r>
              </a:p>
            </c:rich>
          </c:tx>
          <c:overlay val="0"/>
          <c:spPr>
            <a:noFill/>
            <a:ln>
              <a:noFill/>
            </a:ln>
            <a:effectLst/>
          </c:spPr>
        </c:title>
        <c:numFmt formatCode="0%" sourceLinked="0"/>
        <c:majorTickMark val="out"/>
        <c:minorTickMark val="none"/>
        <c:tickLblPos val="nextTo"/>
        <c:spPr>
          <a:noFill/>
          <a:ln w="6350">
            <a:solidFill>
              <a:schemeClr val="tx1">
                <a:lumMod val="65000"/>
                <a:lumOff val="35000"/>
              </a:schemeClr>
            </a:solidFill>
          </a:ln>
          <a:effectLst/>
        </c:spPr>
        <c:txPr>
          <a:bodyPr rot="-60000000" spcFirstLastPara="1" vertOverflow="ellipsis" vert="horz" wrap="square" anchor="ctr" anchorCtr="1"/>
          <a:lstStyle/>
          <a:p>
            <a:pPr>
              <a:defRPr sz="950" b="0" i="0" u="none" strike="noStrike" kern="1200" baseline="0">
                <a:solidFill>
                  <a:schemeClr val="tx1"/>
                </a:solidFill>
                <a:latin typeface="Times New Roman" panose="02020603050405020304" pitchFamily="18" charset="0"/>
                <a:ea typeface="+mn-ea"/>
                <a:cs typeface="+mn-cs"/>
              </a:defRPr>
            </a:pPr>
            <a:endParaRPr lang="es-ES_tradnl"/>
          </a:p>
        </c:txPr>
        <c:crossAx val="709475840"/>
        <c:crosses val="autoZero"/>
        <c:crossBetween val="between"/>
      </c:valAx>
    </c:plotArea>
    <c:legend>
      <c:legendPos val="b"/>
      <c:layout>
        <c:manualLayout>
          <c:xMode val="edge"/>
          <c:yMode val="edge"/>
          <c:x val="0"/>
          <c:y val="0.80216933512597055"/>
          <c:w val="1"/>
          <c:h val="0.19783066487402948"/>
        </c:manualLayout>
      </c:layout>
      <c:overlay val="0"/>
      <c:spPr>
        <a:noFill/>
        <a:ln>
          <a:noFill/>
        </a:ln>
        <a:effectLst/>
      </c:spPr>
      <c:txPr>
        <a:bodyPr rot="0" spcFirstLastPara="1" vertOverflow="ellipsis" vert="horz" wrap="square" anchor="ctr" anchorCtr="1"/>
        <a:lstStyle/>
        <a:p>
          <a:pPr>
            <a:defRPr sz="9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legend>
    <c:plotVisOnly val="1"/>
    <c:dispBlanksAs val="gap"/>
    <c:showDLblsOverMax val="0"/>
  </c:chart>
  <c:spPr>
    <a:solidFill>
      <a:schemeClr val="bg1"/>
    </a:solidFill>
    <a:ln w="9525" cap="flat" cmpd="sng" algn="ctr">
      <a:noFill/>
      <a:round/>
    </a:ln>
    <a:effectLst/>
  </c:spPr>
  <c:txPr>
    <a:bodyPr/>
    <a:lstStyle/>
    <a:p>
      <a:pPr>
        <a:defRPr/>
      </a:pPr>
      <a:endParaRPr lang="es-ES_tradnl"/>
    </a:p>
  </c:txPr>
  <c:printSettings>
    <c:headerFooter/>
    <c:pageMargins b="0.75" l="0.25" r="0.25" t="0.75" header="0.3" footer="0.3"/>
    <c:pageSetup paperSize="9" orientation="landscape"/>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457409308717575"/>
          <c:y val="4.6087571003560986E-2"/>
          <c:w val="0.82558175067451101"/>
          <c:h val="0.64272676146640684"/>
        </c:manualLayout>
      </c:layout>
      <c:lineChart>
        <c:grouping val="standard"/>
        <c:varyColors val="0"/>
        <c:ser>
          <c:idx val="1"/>
          <c:order val="0"/>
          <c:tx>
            <c:strRef>
              <c:f>'2LT'!$D$45</c:f>
              <c:strCache>
                <c:ptCount val="1"/>
                <c:pt idx="0">
                  <c:v>Observed (National Accounts)</c:v>
                </c:pt>
              </c:strCache>
            </c:strRef>
          </c:tx>
          <c:spPr>
            <a:ln w="25400" cap="rnd">
              <a:solidFill>
                <a:schemeClr val="tx1">
                  <a:lumMod val="65000"/>
                  <a:lumOff val="35000"/>
                </a:schemeClr>
              </a:solidFill>
              <a:prstDash val="sysDash"/>
              <a:round/>
            </a:ln>
            <a:effectLst/>
          </c:spPr>
          <c:marker>
            <c:symbol val="none"/>
          </c:marker>
          <c:cat>
            <c:numRef>
              <c:extLst>
                <c:ext xmlns:c15="http://schemas.microsoft.com/office/drawing/2012/chart" uri="{02D57815-91ED-43cb-92C2-25804820EDAC}">
                  <c15:fullRef>
                    <c15:sqref>'2LT'!$B$46:$B$53</c15:sqref>
                  </c15:fullRef>
                </c:ext>
              </c:extLst>
              <c:f>'2LT'!$B$46:$B$50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'2LT'!$D$46:$D$53</c15:sqref>
                  </c15:fullRef>
                </c:ext>
              </c:extLst>
              <c:f>'2LT'!$D$46:$D$50</c:f>
              <c:numCache>
                <c:formatCode>_-* #,##0_-;\-* #,##0_-;_-* "-"??_-;_-@_-</c:formatCode>
                <c:ptCount val="5"/>
                <c:pt idx="0">
                  <c:v>3529.3</c:v>
                </c:pt>
                <c:pt idx="1">
                  <c:v>3628.3</c:v>
                </c:pt>
                <c:pt idx="2">
                  <c:v>4214.8</c:v>
                </c:pt>
                <c:pt idx="3">
                  <c:v>5104.8</c:v>
                </c:pt>
                <c:pt idx="4">
                  <c:v>5709.9</c:v>
                </c:pt>
              </c:numCache>
            </c:numRef>
          </c:val>
          <c:smooth val="0"/>
          <c:extLst>
            <c:ext xmlns:c16="http://schemas.microsoft.com/office/drawing/2014/chart" uri="{C3380CC4-5D6E-409C-BE32-E72D297353CC}">
              <c16:uniqueId val="{00000000-EFB6-4948-A4DE-14EAB6280C6C}"/>
            </c:ext>
          </c:extLst>
        </c:ser>
        <c:ser>
          <c:idx val="0"/>
          <c:order val="1"/>
          <c:tx>
            <c:strRef>
              <c:f>'2LT'!$C$45</c:f>
              <c:strCache>
                <c:ptCount val="1"/>
                <c:pt idx="0">
                  <c:v>Baseline simulation (before reescaling)</c:v>
                </c:pt>
              </c:strCache>
            </c:strRef>
          </c:tx>
          <c:spPr>
            <a:ln w="25400" cap="rnd">
              <a:noFill/>
              <a:round/>
            </a:ln>
            <a:effectLst/>
          </c:spPr>
          <c:marker>
            <c:symbol val="circle"/>
            <c:size val="8"/>
            <c:spPr>
              <a:solidFill>
                <a:schemeClr val="bg1">
                  <a:lumMod val="85000"/>
                </a:schemeClr>
              </a:solidFill>
              <a:ln w="25400">
                <a:noFill/>
              </a:ln>
              <a:effectLst/>
            </c:spPr>
          </c:marker>
          <c:cat>
            <c:numRef>
              <c:extLst>
                <c:ext xmlns:c15="http://schemas.microsoft.com/office/drawing/2012/chart" uri="{02D57815-91ED-43cb-92C2-25804820EDAC}">
                  <c15:fullRef>
                    <c15:sqref>'2LT'!$B$46:$B$53</c15:sqref>
                  </c15:fullRef>
                </c:ext>
              </c:extLst>
              <c:f>'2LT'!$B$46:$B$50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'2LT'!$C$46:$C$53</c15:sqref>
                  </c15:fullRef>
                </c:ext>
              </c:extLst>
              <c:f>'2LT'!$C$46:$C$50</c:f>
              <c:numCache>
                <c:formatCode>_-* #,##0_-;\-* #,##0_-;_-* "-"??_-;_-@_-</c:formatCode>
                <c:ptCount val="5"/>
                <c:pt idx="0">
                  <c:v>3534.6668961696032</c:v>
                </c:pt>
                <c:pt idx="1">
                  <c:v>3729.3036483311976</c:v>
                </c:pt>
                <c:pt idx="2">
                  <c:v>4201.2916867271942</c:v>
                </c:pt>
                <c:pt idx="3">
                  <c:v>4694.8010635991941</c:v>
                </c:pt>
                <c:pt idx="4">
                  <c:v>5329.9967376179984</c:v>
                </c:pt>
              </c:numCache>
            </c:numRef>
          </c:val>
          <c:smooth val="0"/>
          <c:extLst>
            <c:ext xmlns:c16="http://schemas.microsoft.com/office/drawing/2014/chart" uri="{C3380CC4-5D6E-409C-BE32-E72D297353CC}">
              <c16:uniqueId val="{00000001-EFB6-4948-A4DE-14EAB6280C6C}"/>
            </c:ext>
          </c:extLst>
        </c:ser>
        <c:ser>
          <c:idx val="3"/>
          <c:order val="3"/>
          <c:tx>
            <c:strRef>
              <c:f>'2LT'!$F$45</c:f>
              <c:strCache>
                <c:ptCount val="1"/>
                <c:pt idx="0">
                  <c:v>Baseline simulation (after reescaling)</c:v>
                </c:pt>
              </c:strCache>
            </c:strRef>
          </c:tx>
          <c:spPr>
            <a:ln w="25400" cap="rnd">
              <a:noFill/>
              <a:round/>
            </a:ln>
            <a:effectLst/>
          </c:spPr>
          <c:marker>
            <c:symbol val="circle"/>
            <c:size val="7"/>
            <c:spPr>
              <a:solidFill>
                <a:schemeClr val="tx1"/>
              </a:solidFill>
              <a:ln w="9525">
                <a:solidFill>
                  <a:schemeClr val="tx1"/>
                </a:solidFill>
              </a:ln>
              <a:effectLst/>
            </c:spPr>
          </c:marker>
          <c:cat>
            <c:numRef>
              <c:extLst>
                <c:ext xmlns:c15="http://schemas.microsoft.com/office/drawing/2012/chart" uri="{02D57815-91ED-43cb-92C2-25804820EDAC}">
                  <c15:fullRef>
                    <c15:sqref>'2LT'!$B$46:$B$53</c15:sqref>
                  </c15:fullRef>
                </c:ext>
              </c:extLst>
              <c:f>'2LT'!$B$46:$B$50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'2LT'!$F$46:$F$53</c15:sqref>
                  </c15:fullRef>
                </c:ext>
              </c:extLst>
              <c:f>'2LT'!$F$46:$F$50</c:f>
              <c:numCache>
                <c:formatCode>General</c:formatCode>
                <c:ptCount val="5"/>
                <c:pt idx="0" formatCode="_-* #,##0_-;\-* #,##0_-;_-* &quot;-&quot;??_-;_-@_-">
                  <c:v>3529.3</c:v>
                </c:pt>
                <c:pt idx="4" formatCode="_-* #,##0_-;\-* #,##0_-;_-* &quot;-&quot;??_-;_-@_-">
                  <c:v>5709.9</c:v>
                </c:pt>
              </c:numCache>
            </c:numRef>
          </c:val>
          <c:smooth val="0"/>
          <c:extLst>
            <c:ext xmlns:c16="http://schemas.microsoft.com/office/drawing/2014/chart" uri="{C3380CC4-5D6E-409C-BE32-E72D297353CC}">
              <c16:uniqueId val="{00000002-EFB6-4948-A4DE-14EAB6280C6C}"/>
            </c:ext>
          </c:extLst>
        </c:ser>
        <c:ser>
          <c:idx val="4"/>
          <c:order val="4"/>
          <c:tx>
            <c:strRef>
              <c:f>'2LT'!$G$45</c:f>
              <c:strCache>
                <c:ptCount val="1"/>
                <c:pt idx="0">
                  <c:v>Unchanged legislation since 2019/2023</c:v>
                </c:pt>
              </c:strCache>
            </c:strRef>
          </c:tx>
          <c:spPr>
            <a:ln w="25400" cap="rnd">
              <a:noFill/>
              <a:round/>
            </a:ln>
            <a:effectLst/>
          </c:spPr>
          <c:marker>
            <c:symbol val="circle"/>
            <c:size val="6"/>
            <c:spPr>
              <a:noFill/>
              <a:ln w="25400">
                <a:solidFill>
                  <a:srgbClr val="C00000"/>
                </a:solidFill>
              </a:ln>
              <a:effectLst/>
            </c:spPr>
          </c:marker>
          <c:cat>
            <c:numRef>
              <c:extLst>
                <c:ext xmlns:c15="http://schemas.microsoft.com/office/drawing/2012/chart" uri="{02D57815-91ED-43cb-92C2-25804820EDAC}">
                  <c15:fullRef>
                    <c15:sqref>'2LT'!$B$46:$B$53</c15:sqref>
                  </c15:fullRef>
                </c:ext>
              </c:extLst>
              <c:f>'2LT'!$B$46:$B$50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'2LT'!$G$46:$G$53</c15:sqref>
                  </c15:fullRef>
                </c:ext>
              </c:extLst>
              <c:f>'2LT'!$G$46:$G$50</c:f>
              <c:numCache>
                <c:formatCode>General</c:formatCode>
                <c:ptCount val="5"/>
                <c:pt idx="4" formatCode="_-* #,##0_-;\-* #,##0_-;_-* &quot;-&quot;??_-;_-@_-">
                  <c:v>6259.0713999342133</c:v>
                </c:pt>
              </c:numCache>
            </c:numRef>
          </c:val>
          <c:smooth val="0"/>
          <c:extLst>
            <c:ext xmlns:c16="http://schemas.microsoft.com/office/drawing/2014/chart" uri="{C3380CC4-5D6E-409C-BE32-E72D297353CC}">
              <c16:uniqueId val="{00000003-EFB6-4948-A4DE-14EAB6280C6C}"/>
            </c:ext>
          </c:extLst>
        </c:ser>
        <c:ser>
          <c:idx val="5"/>
          <c:order val="5"/>
          <c:tx>
            <c:strRef>
              <c:f>'2LT'!$H$45</c:f>
              <c:strCache>
                <c:ptCount val="1"/>
                <c:pt idx="0">
                  <c:v>Indexing with tax base growth</c:v>
                </c:pt>
              </c:strCache>
            </c:strRef>
          </c:tx>
          <c:spPr>
            <a:ln w="25400" cap="rnd">
              <a:noFill/>
              <a:round/>
            </a:ln>
            <a:effectLst/>
          </c:spPr>
          <c:marker>
            <c:symbol val="square"/>
            <c:size val="5"/>
            <c:spPr>
              <a:noFill/>
              <a:ln w="25400">
                <a:solidFill>
                  <a:schemeClr val="accent6">
                    <a:lumMod val="75000"/>
                  </a:schemeClr>
                </a:solidFill>
              </a:ln>
              <a:effectLst/>
            </c:spPr>
          </c:marker>
          <c:cat>
            <c:numRef>
              <c:extLst>
                <c:ext xmlns:c15="http://schemas.microsoft.com/office/drawing/2012/chart" uri="{02D57815-91ED-43cb-92C2-25804820EDAC}">
                  <c15:fullRef>
                    <c15:sqref>'2LT'!$B$46:$B$53</c15:sqref>
                  </c15:fullRef>
                </c:ext>
              </c:extLst>
              <c:f>'2LT'!$B$46:$B$50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'2LT'!$H$46:$H$53</c15:sqref>
                  </c15:fullRef>
                </c:ext>
              </c:extLst>
              <c:f>'2LT'!$H$46:$H$50</c:f>
              <c:numCache>
                <c:formatCode>General</c:formatCode>
                <c:ptCount val="5"/>
                <c:pt idx="4" formatCode="_-* #,##0_-;\-* #,##0_-;_-* &quot;-&quot;??_-;_-@_-">
                  <c:v>5661.9442133284438</c:v>
                </c:pt>
              </c:numCache>
            </c:numRef>
          </c:val>
          <c:smooth val="0"/>
          <c:extLst>
            <c:ext xmlns:c16="http://schemas.microsoft.com/office/drawing/2014/chart" uri="{C3380CC4-5D6E-409C-BE32-E72D297353CC}">
              <c16:uniqueId val="{00000004-EFB6-4948-A4DE-14EAB6280C6C}"/>
            </c:ext>
          </c:extLst>
        </c:ser>
        <c:ser>
          <c:idx val="6"/>
          <c:order val="6"/>
          <c:tx>
            <c:strRef>
              <c:f>'2LT'!$I$45</c:f>
              <c:strCache>
                <c:ptCount val="1"/>
                <c:pt idx="0">
                  <c:v>Indexing with lagged HCPI</c:v>
                </c:pt>
              </c:strCache>
            </c:strRef>
          </c:tx>
          <c:spPr>
            <a:ln w="25400" cap="rnd">
              <a:noFill/>
              <a:round/>
            </a:ln>
            <a:effectLst/>
          </c:spPr>
          <c:marker>
            <c:symbol val="diamond"/>
            <c:size val="6"/>
            <c:spPr>
              <a:noFill/>
              <a:ln w="25400">
                <a:solidFill>
                  <a:schemeClr val="accent4"/>
                </a:solidFill>
              </a:ln>
              <a:effectLst/>
            </c:spPr>
          </c:marker>
          <c:cat>
            <c:numRef>
              <c:extLst>
                <c:ext xmlns:c15="http://schemas.microsoft.com/office/drawing/2012/chart" uri="{02D57815-91ED-43cb-92C2-25804820EDAC}">
                  <c15:fullRef>
                    <c15:sqref>'2LT'!$B$46:$B$53</c15:sqref>
                  </c15:fullRef>
                </c:ext>
              </c:extLst>
              <c:f>'2LT'!$B$46:$B$50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'2LT'!$I$46:$I$53</c15:sqref>
                  </c15:fullRef>
                </c:ext>
              </c:extLst>
              <c:f>'2LT'!$I$46:$I$50</c:f>
              <c:numCache>
                <c:formatCode>General</c:formatCode>
                <c:ptCount val="5"/>
                <c:pt idx="4" formatCode="_-* #,##0_-;\-* #,##0_-;_-* &quot;-&quot;??_-;_-@_-">
                  <c:v>5909.4511933137856</c:v>
                </c:pt>
              </c:numCache>
            </c:numRef>
          </c:val>
          <c:smooth val="0"/>
          <c:extLst>
            <c:ext xmlns:c16="http://schemas.microsoft.com/office/drawing/2014/chart" uri="{C3380CC4-5D6E-409C-BE32-E72D297353CC}">
              <c16:uniqueId val="{00000005-EFB6-4948-A4DE-14EAB6280C6C}"/>
            </c:ext>
          </c:extLst>
        </c:ser>
        <c:ser>
          <c:idx val="7"/>
          <c:order val="7"/>
          <c:tx>
            <c:strRef>
              <c:f>'2LT'!$J$45</c:f>
              <c:strCache>
                <c:ptCount val="1"/>
                <c:pt idx="0">
                  <c:v>Indexing with concurrent HCPI</c:v>
                </c:pt>
              </c:strCache>
            </c:strRef>
          </c:tx>
          <c:spPr>
            <a:ln w="25400" cap="rnd">
              <a:noFill/>
              <a:round/>
            </a:ln>
            <a:effectLst/>
          </c:spPr>
          <c:marker>
            <c:symbol val="triangle"/>
            <c:size val="6"/>
            <c:spPr>
              <a:noFill/>
              <a:ln w="25400">
                <a:solidFill>
                  <a:schemeClr val="accent5">
                    <a:lumMod val="75000"/>
                  </a:schemeClr>
                </a:solidFill>
              </a:ln>
              <a:effectLst/>
            </c:spPr>
          </c:marker>
          <c:cat>
            <c:numRef>
              <c:extLst>
                <c:ext xmlns:c15="http://schemas.microsoft.com/office/drawing/2012/chart" uri="{02D57815-91ED-43cb-92C2-25804820EDAC}">
                  <c15:fullRef>
                    <c15:sqref>'2LT'!$B$46:$B$53</c15:sqref>
                  </c15:fullRef>
                </c:ext>
              </c:extLst>
              <c:f>'2LT'!$B$46:$B$50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'2LT'!$J$46:$J$53</c15:sqref>
                  </c15:fullRef>
                </c:ext>
              </c:extLst>
              <c:f>'2LT'!$J$46:$J$50</c:f>
              <c:numCache>
                <c:formatCode>General</c:formatCode>
                <c:ptCount val="5"/>
                <c:pt idx="4" formatCode="_-* #,##0_-;\-* #,##0_-;_-* &quot;-&quot;??_-;_-@_-">
                  <c:v>5810.2865390953084</c:v>
                </c:pt>
              </c:numCache>
            </c:numRef>
          </c:val>
          <c:smooth val="0"/>
          <c:extLst>
            <c:ext xmlns:c16="http://schemas.microsoft.com/office/drawing/2014/chart" uri="{C3380CC4-5D6E-409C-BE32-E72D297353CC}">
              <c16:uniqueId val="{00000006-EFB6-4948-A4DE-14EAB6280C6C}"/>
            </c:ext>
          </c:extLst>
        </c:ser>
        <c:ser>
          <c:idx val="8"/>
          <c:order val="8"/>
          <c:tx>
            <c:strRef>
              <c:f>'2LT'!$K$45</c:f>
              <c:strCache>
                <c:ptCount val="1"/>
                <c:pt idx="0">
                  <c:v>Baseline w/o "indexation measures"</c:v>
                </c:pt>
              </c:strCache>
            </c:strRef>
          </c:tx>
          <c:spPr>
            <a:ln w="28575" cap="rnd">
              <a:noFill/>
              <a:round/>
            </a:ln>
            <a:effectLst/>
          </c:spPr>
          <c:marker>
            <c:symbol val="dash"/>
            <c:size val="9"/>
            <c:spPr>
              <a:solidFill>
                <a:schemeClr val="tx1">
                  <a:lumMod val="65000"/>
                  <a:lumOff val="35000"/>
                </a:schemeClr>
              </a:solidFill>
              <a:ln w="9525">
                <a:solidFill>
                  <a:schemeClr val="tx1">
                    <a:lumMod val="65000"/>
                    <a:lumOff val="35000"/>
                  </a:schemeClr>
                </a:solidFill>
              </a:ln>
              <a:effectLst/>
            </c:spPr>
          </c:marker>
          <c:cat>
            <c:strLit>
              <c:ptCount val="5"/>
              <c:pt idx="0">
                <c:v>2019</c:v>
              </c:pt>
              <c:pt idx="1">
                <c:v>2020</c:v>
              </c:pt>
              <c:pt idx="2">
                <c:v>2021</c:v>
              </c:pt>
              <c:pt idx="3">
                <c:v>2022</c:v>
              </c:pt>
              <c:pt idx="4">
                <c:v>2023</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'2LT'!$K$46:$K$53</c15:sqref>
                  </c15:fullRef>
                </c:ext>
              </c:extLst>
              <c:f>'2LT'!$K$46:$K$50</c:f>
              <c:numCache>
                <c:formatCode>General</c:formatCode>
                <c:ptCount val="5"/>
                <c:pt idx="4" formatCode="_-* #,##0_-;\-* #,##0_-;_-* &quot;-&quot;??_-;_-@_-">
                  <c:v>6330.3813134087304</c:v>
                </c:pt>
              </c:numCache>
            </c:numRef>
          </c:val>
          <c:smooth val="0"/>
          <c:extLst>
            <c:ext xmlns:c16="http://schemas.microsoft.com/office/drawing/2014/chart" uri="{C3380CC4-5D6E-409C-BE32-E72D297353CC}">
              <c16:uniqueId val="{00000007-EFB6-4948-A4DE-14EAB6280C6C}"/>
            </c:ext>
          </c:extLst>
        </c:ser>
        <c:dLbls>
          <c:showLegendKey val="0"/>
          <c:showVal val="0"/>
          <c:showCatName val="0"/>
          <c:showSerName val="0"/>
          <c:showPercent val="0"/>
          <c:showBubbleSize val="0"/>
        </c:dLbls>
        <c:smooth val="0"/>
        <c:axId val="709475840"/>
        <c:axId val="605168576"/>
        <c:extLst>
          <c:ext xmlns:c15="http://schemas.microsoft.com/office/drawing/2012/chart" uri="{02D57815-91ED-43cb-92C2-25804820EDAC}">
            <c15:filteredLineSeries>
              <c15:ser>
                <c:idx val="2"/>
                <c:order val="2"/>
                <c:tx>
                  <c:strRef>
                    <c:extLst>
                      <c:ext uri="{02D57815-91ED-43cb-92C2-25804820EDAC}">
                        <c15:formulaRef>
                          <c15:sqref>'2LT'!$E$45</c15:sqref>
                        </c15:formulaRef>
                      </c:ext>
                    </c:extLst>
                    <c:strCache>
                      <c:ptCount val="1"/>
                      <c:pt idx="0">
                        <c:v>Reescaling factor
</c:v>
                      </c:pt>
                    </c:strCache>
                  </c:strRef>
                </c:tx>
                <c:spPr>
                  <a:ln w="25400" cap="rnd">
                    <a:noFill/>
                    <a:round/>
                  </a:ln>
                  <a:effectLst/>
                </c:spPr>
                <c:marker>
                  <c:symbol val="circle"/>
                  <c:size val="5"/>
                  <c:spPr>
                    <a:solidFill>
                      <a:schemeClr val="accent3"/>
                    </a:solidFill>
                    <a:ln w="9525">
                      <a:solidFill>
                        <a:schemeClr val="accent3"/>
                      </a:solidFill>
                    </a:ln>
                    <a:effectLst/>
                  </c:spPr>
                </c:marker>
                <c:cat>
                  <c:numRef>
                    <c:extLst>
                      <c:ext uri="{02D57815-91ED-43cb-92C2-25804820EDAC}">
                        <c15:fullRef>
                          <c15:sqref>'2LT'!$B$46:$B$53</c15:sqref>
                        </c15:fullRef>
                        <c15:formulaRef>
                          <c15:sqref>'2LT'!$B$46:$B$50</c15:sqref>
                        </c15:formulaRef>
                      </c:ext>
                    </c:extLst>
                    <c:numCache>
                      <c:formatCode>General</c:formatCode>
                      <c:ptCount val="5"/>
                      <c:pt idx="0">
                        <c:v>2019</c:v>
                      </c:pt>
                      <c:pt idx="1">
                        <c:v>2020</c:v>
                      </c:pt>
                      <c:pt idx="2">
                        <c:v>2021</c:v>
                      </c:pt>
                      <c:pt idx="3">
                        <c:v>2022</c:v>
                      </c:pt>
                      <c:pt idx="4">
                        <c:v>2023</c:v>
                      </c:pt>
                    </c:numCache>
                  </c:numRef>
                </c:cat>
                <c:val>
                  <c:numRef>
                    <c:extLst>
                      <c:ext uri="{02D57815-91ED-43cb-92C2-25804820EDAC}">
                        <c15:fullRef>
                          <c15:sqref>'2LT'!$E$46:$E$53</c15:sqref>
                        </c15:fullRef>
                        <c15:formulaRef>
                          <c15:sqref>'2LT'!$E$46:$E$50</c15:sqref>
                        </c15:formulaRef>
                      </c:ext>
                    </c:extLst>
                    <c:numCache>
                      <c:formatCode>General</c:formatCode>
                      <c:ptCount val="5"/>
                    </c:numCache>
                  </c:numRef>
                </c:val>
                <c:smooth val="0"/>
                <c:extLst>
                  <c:ext xmlns:c16="http://schemas.microsoft.com/office/drawing/2014/chart" uri="{C3380CC4-5D6E-409C-BE32-E72D297353CC}">
                    <c16:uniqueId val="{00000008-EFB6-4948-A4DE-14EAB6280C6C}"/>
                  </c:ext>
                </c:extLst>
              </c15:ser>
            </c15:filteredLineSeries>
          </c:ext>
        </c:extLst>
      </c:lineChart>
      <c:catAx>
        <c:axId val="709475840"/>
        <c:scaling>
          <c:orientation val="minMax"/>
        </c:scaling>
        <c:delete val="0"/>
        <c:axPos val="b"/>
        <c:numFmt formatCode="General" sourceLinked="1"/>
        <c:majorTickMark val="out"/>
        <c:minorTickMark val="none"/>
        <c:tickLblPos val="nextTo"/>
        <c:spPr>
          <a:noFill/>
          <a:ln w="6350" cap="flat" cmpd="sng" algn="ctr">
            <a:solidFill>
              <a:schemeClr val="tx1"/>
            </a:solidFill>
            <a:round/>
          </a:ln>
          <a:effectLst/>
        </c:spPr>
        <c:txPr>
          <a:bodyPr rot="-60000000" spcFirstLastPara="1" vertOverflow="ellipsis" vert="horz" wrap="square" anchor="ctr" anchorCtr="1"/>
          <a:lstStyle/>
          <a:p>
            <a:pPr>
              <a:defRPr sz="950" b="0" i="0" u="none" strike="noStrike" kern="1200" baseline="0">
                <a:solidFill>
                  <a:schemeClr val="tx1"/>
                </a:solidFill>
                <a:latin typeface="Times New Roman" panose="02020603050405020304" pitchFamily="18" charset="0"/>
                <a:ea typeface="+mn-ea"/>
                <a:cs typeface="+mn-cs"/>
              </a:defRPr>
            </a:pPr>
            <a:endParaRPr lang="es-ES_tradnl"/>
          </a:p>
        </c:txPr>
        <c:crossAx val="605168576"/>
        <c:crosses val="autoZero"/>
        <c:auto val="1"/>
        <c:lblAlgn val="ctr"/>
        <c:lblOffset val="100"/>
        <c:noMultiLvlLbl val="0"/>
      </c:catAx>
      <c:valAx>
        <c:axId val="605168576"/>
        <c:scaling>
          <c:orientation val="minMax"/>
          <c:max val="7000"/>
          <c:min val="2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s-ES_tradnl" sz="1050">
                    <a:solidFill>
                      <a:sysClr val="windowText" lastClr="000000"/>
                    </a:solidFill>
                    <a:latin typeface="Times New Roman" panose="02020603050405020304" pitchFamily="18" charset="0"/>
                    <a:cs typeface="Times New Roman" panose="02020603050405020304" pitchFamily="18" charset="0"/>
                  </a:rPr>
                  <a:t>Million euros</a:t>
                </a:r>
              </a:p>
            </c:rich>
          </c:tx>
          <c:layout>
            <c:manualLayout>
              <c:xMode val="edge"/>
              <c:yMode val="edge"/>
              <c:x val="0"/>
              <c:y val="0.27024653144012073"/>
            </c:manualLayout>
          </c:layout>
          <c:overlay val="0"/>
          <c:spPr>
            <a:noFill/>
            <a:ln>
              <a:noFill/>
            </a:ln>
            <a:effectLst/>
          </c:spPr>
          <c:txPr>
            <a:bodyPr rot="-5400000" spcFirstLastPara="1" vertOverflow="ellipsis" vert="horz" wrap="square" anchor="ctr" anchorCtr="1"/>
            <a:lstStyle/>
            <a:p>
              <a:pPr>
                <a:defRPr sz="10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title>
        <c:numFmt formatCode="#,##0" sourceLinked="0"/>
        <c:majorTickMark val="out"/>
        <c:minorTickMark val="none"/>
        <c:tickLblPos val="nextTo"/>
        <c:spPr>
          <a:noFill/>
          <a:ln w="6350">
            <a:solidFill>
              <a:schemeClr val="tx1">
                <a:lumMod val="65000"/>
                <a:lumOff val="35000"/>
              </a:schemeClr>
            </a:solidFill>
          </a:ln>
          <a:effectLst/>
        </c:spPr>
        <c:txPr>
          <a:bodyPr rot="-60000000" spcFirstLastPara="1" vertOverflow="ellipsis" vert="horz" wrap="square" anchor="ctr" anchorCtr="1"/>
          <a:lstStyle/>
          <a:p>
            <a:pPr>
              <a:defRPr sz="950" b="0" i="0" u="none" strike="noStrike" kern="1200" baseline="0">
                <a:solidFill>
                  <a:schemeClr val="tx1"/>
                </a:solidFill>
                <a:latin typeface="Times New Roman" panose="02020603050405020304" pitchFamily="18" charset="0"/>
                <a:ea typeface="+mn-ea"/>
                <a:cs typeface="+mn-cs"/>
              </a:defRPr>
            </a:pPr>
            <a:endParaRPr lang="es-ES_tradnl"/>
          </a:p>
        </c:txPr>
        <c:crossAx val="709475840"/>
        <c:crosses val="autoZero"/>
        <c:crossBetween val="between"/>
      </c:valAx>
      <c:spPr>
        <a:noFill/>
        <a:ln>
          <a:noFill/>
        </a:ln>
        <a:effectLst/>
      </c:spPr>
    </c:plotArea>
    <c:legend>
      <c:legendPos val="b"/>
      <c:layout>
        <c:manualLayout>
          <c:xMode val="edge"/>
          <c:yMode val="edge"/>
          <c:x val="0"/>
          <c:y val="0.73648087849247201"/>
          <c:w val="1"/>
          <c:h val="0.26351912150752793"/>
        </c:manualLayout>
      </c:layout>
      <c:overlay val="0"/>
      <c:spPr>
        <a:noFill/>
        <a:ln>
          <a:noFill/>
        </a:ln>
        <a:effectLst/>
      </c:spPr>
      <c:txPr>
        <a:bodyPr rot="0" spcFirstLastPara="1" vertOverflow="ellipsis" vert="horz" wrap="square" anchor="ctr" anchorCtr="1"/>
        <a:lstStyle/>
        <a:p>
          <a:pPr>
            <a:defRPr sz="9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legend>
    <c:plotVisOnly val="1"/>
    <c:dispBlanksAs val="gap"/>
    <c:showDLblsOverMax val="0"/>
  </c:chart>
  <c:spPr>
    <a:solidFill>
      <a:schemeClr val="bg1"/>
    </a:solidFill>
    <a:ln w="9525" cap="flat" cmpd="sng" algn="ctr">
      <a:noFill/>
      <a:round/>
    </a:ln>
    <a:effectLst/>
  </c:spPr>
  <c:txPr>
    <a:bodyPr/>
    <a:lstStyle/>
    <a:p>
      <a:pPr>
        <a:defRPr/>
      </a:pPr>
      <a:endParaRPr lang="es-ES_tradnl"/>
    </a:p>
  </c:txPr>
  <c:printSettings>
    <c:headerFooter/>
    <c:pageMargins b="0.75" l="0.25" r="0.25" t="0.75" header="0.3" footer="0.3"/>
    <c:pageSetup paperSize="9" orientation="landscape"/>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457409308717575"/>
          <c:y val="4.6087571003560986E-2"/>
          <c:w val="0.82558175067451101"/>
          <c:h val="0.6515011552844524"/>
        </c:manualLayout>
      </c:layout>
      <c:lineChart>
        <c:grouping val="standard"/>
        <c:varyColors val="0"/>
        <c:ser>
          <c:idx val="1"/>
          <c:order val="0"/>
          <c:tx>
            <c:strRef>
              <c:f>'2LT'!$C$64</c:f>
              <c:strCache>
                <c:ptCount val="1"/>
                <c:pt idx="0">
                  <c:v>Baseline simulation
</c:v>
                </c:pt>
              </c:strCache>
            </c:strRef>
          </c:tx>
          <c:spPr>
            <a:ln w="28575" cap="rnd">
              <a:noFill/>
              <a:round/>
            </a:ln>
            <a:effectLst/>
          </c:spPr>
          <c:marker>
            <c:symbol val="circle"/>
            <c:size val="7"/>
            <c:spPr>
              <a:solidFill>
                <a:schemeClr val="tx1"/>
              </a:solidFill>
              <a:ln w="9525">
                <a:noFill/>
              </a:ln>
              <a:effectLst/>
            </c:spPr>
          </c:marker>
          <c:cat>
            <c:numRef>
              <c:extLst>
                <c:ext xmlns:c15="http://schemas.microsoft.com/office/drawing/2012/chart" uri="{02D57815-91ED-43cb-92C2-25804820EDAC}">
                  <c15:fullRef>
                    <c15:sqref>'2LT'!$B$65:$B$72</c15:sqref>
                  </c15:fullRef>
                </c:ext>
              </c:extLst>
              <c:f>'2LT'!$B$65:$B$69</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'2LT'!$C$65:$C$72</c15:sqref>
                  </c15:fullRef>
                </c:ext>
              </c:extLst>
              <c:f>'2LT'!$C$65:$C$69</c:f>
              <c:numCache>
                <c:formatCode>0.00</c:formatCode>
                <c:ptCount val="5"/>
                <c:pt idx="0">
                  <c:v>15.406929667398602</c:v>
                </c:pt>
                <c:pt idx="1">
                  <c:v>14.882234585056761</c:v>
                </c:pt>
                <c:pt idx="2">
                  <c:v>15.364202746636233</c:v>
                </c:pt>
                <c:pt idx="3">
                  <c:v>15.387573495801647</c:v>
                </c:pt>
                <c:pt idx="4">
                  <c:v>15.605770089485727</c:v>
                </c:pt>
              </c:numCache>
            </c:numRef>
          </c:val>
          <c:smooth val="0"/>
          <c:extLst>
            <c:ext xmlns:c16="http://schemas.microsoft.com/office/drawing/2014/chart" uri="{C3380CC4-5D6E-409C-BE32-E72D297353CC}">
              <c16:uniqueId val="{00000000-6C55-4325-B1D5-2B87F67BBD8F}"/>
            </c:ext>
          </c:extLst>
        </c:ser>
        <c:ser>
          <c:idx val="0"/>
          <c:order val="1"/>
          <c:tx>
            <c:strRef>
              <c:f>'2LT'!$D$64</c:f>
              <c:strCache>
                <c:ptCount val="1"/>
                <c:pt idx="0">
                  <c:v>Legislation unchanged since 2019/2023</c:v>
                </c:pt>
              </c:strCache>
            </c:strRef>
          </c:tx>
          <c:spPr>
            <a:ln w="28575" cap="rnd">
              <a:noFill/>
              <a:round/>
            </a:ln>
            <a:effectLst/>
          </c:spPr>
          <c:marker>
            <c:symbol val="circle"/>
            <c:size val="7"/>
            <c:spPr>
              <a:noFill/>
              <a:ln w="25400">
                <a:solidFill>
                  <a:srgbClr val="C00000"/>
                </a:solidFill>
              </a:ln>
              <a:effectLst/>
            </c:spPr>
          </c:marker>
          <c:cat>
            <c:numRef>
              <c:extLst>
                <c:ext xmlns:c15="http://schemas.microsoft.com/office/drawing/2012/chart" uri="{02D57815-91ED-43cb-92C2-25804820EDAC}">
                  <c15:fullRef>
                    <c15:sqref>'2LT'!$B$65:$B$72</c15:sqref>
                  </c15:fullRef>
                </c:ext>
              </c:extLst>
              <c:f>'2LT'!$B$65:$B$69</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'2LT'!$D$65:$D$72</c15:sqref>
                  </c15:fullRef>
                </c:ext>
              </c:extLst>
              <c:f>'2LT'!$D$65:$D$69</c:f>
              <c:numCache>
                <c:formatCode>0.00%</c:formatCode>
                <c:ptCount val="5"/>
                <c:pt idx="4" formatCode="0.00">
                  <c:v>17.106714520578102</c:v>
                </c:pt>
              </c:numCache>
            </c:numRef>
          </c:val>
          <c:smooth val="0"/>
          <c:extLst>
            <c:ext xmlns:c16="http://schemas.microsoft.com/office/drawing/2014/chart" uri="{C3380CC4-5D6E-409C-BE32-E72D297353CC}">
              <c16:uniqueId val="{00000001-6C55-4325-B1D5-2B87F67BBD8F}"/>
            </c:ext>
          </c:extLst>
        </c:ser>
        <c:ser>
          <c:idx val="2"/>
          <c:order val="2"/>
          <c:tx>
            <c:strRef>
              <c:f>'2LT'!$E$64</c:f>
              <c:strCache>
                <c:ptCount val="1"/>
                <c:pt idx="0">
                  <c:v>Index with tax base growth</c:v>
                </c:pt>
              </c:strCache>
            </c:strRef>
          </c:tx>
          <c:spPr>
            <a:ln w="28575" cap="rnd">
              <a:noFill/>
              <a:round/>
            </a:ln>
            <a:effectLst/>
          </c:spPr>
          <c:marker>
            <c:symbol val="square"/>
            <c:size val="6"/>
            <c:spPr>
              <a:noFill/>
              <a:ln w="25400">
                <a:solidFill>
                  <a:schemeClr val="accent6">
                    <a:lumMod val="75000"/>
                  </a:schemeClr>
                </a:solidFill>
              </a:ln>
              <a:effectLst/>
            </c:spPr>
          </c:marker>
          <c:cat>
            <c:numRef>
              <c:extLst>
                <c:ext xmlns:c15="http://schemas.microsoft.com/office/drawing/2012/chart" uri="{02D57815-91ED-43cb-92C2-25804820EDAC}">
                  <c15:fullRef>
                    <c15:sqref>'2LT'!$B$65:$B$72</c15:sqref>
                  </c15:fullRef>
                </c:ext>
              </c:extLst>
              <c:f>'2LT'!$B$65:$B$69</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'2LT'!$E$65:$E$72</c15:sqref>
                  </c15:fullRef>
                </c:ext>
              </c:extLst>
              <c:f>'2LT'!$E$65:$E$69</c:f>
              <c:numCache>
                <c:formatCode>0.00%</c:formatCode>
                <c:ptCount val="5"/>
                <c:pt idx="4" formatCode="0.00">
                  <c:v>15.47470177283277</c:v>
                </c:pt>
              </c:numCache>
            </c:numRef>
          </c:val>
          <c:smooth val="0"/>
          <c:extLst xmlns:c15="http://schemas.microsoft.com/office/drawing/2012/chart">
            <c:ext xmlns:c16="http://schemas.microsoft.com/office/drawing/2014/chart" uri="{C3380CC4-5D6E-409C-BE32-E72D297353CC}">
              <c16:uniqueId val="{00000002-6C55-4325-B1D5-2B87F67BBD8F}"/>
            </c:ext>
          </c:extLst>
        </c:ser>
        <c:ser>
          <c:idx val="3"/>
          <c:order val="3"/>
          <c:tx>
            <c:strRef>
              <c:f>'2LT'!$F$64</c:f>
              <c:strCache>
                <c:ptCount val="1"/>
                <c:pt idx="0">
                  <c:v>Index with lagged HCPI</c:v>
                </c:pt>
              </c:strCache>
            </c:strRef>
          </c:tx>
          <c:spPr>
            <a:ln w="28575" cap="rnd">
              <a:noFill/>
              <a:round/>
            </a:ln>
            <a:effectLst/>
          </c:spPr>
          <c:marker>
            <c:symbol val="diamond"/>
            <c:size val="7"/>
            <c:spPr>
              <a:noFill/>
              <a:ln w="25400">
                <a:solidFill>
                  <a:schemeClr val="accent4"/>
                </a:solidFill>
              </a:ln>
              <a:effectLst/>
            </c:spPr>
          </c:marker>
          <c:cat>
            <c:numRef>
              <c:extLst>
                <c:ext xmlns:c15="http://schemas.microsoft.com/office/drawing/2012/chart" uri="{02D57815-91ED-43cb-92C2-25804820EDAC}">
                  <c15:fullRef>
                    <c15:sqref>'2LT'!$B$65:$B$72</c15:sqref>
                  </c15:fullRef>
                </c:ext>
              </c:extLst>
              <c:f>'2LT'!$B$65:$B$69</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'2LT'!$F$65:$F$72</c15:sqref>
                  </c15:fullRef>
                </c:ext>
              </c:extLst>
              <c:f>'2LT'!$F$65:$F$69</c:f>
              <c:numCache>
                <c:formatCode>0.00%</c:formatCode>
                <c:ptCount val="5"/>
                <c:pt idx="4" formatCode="0.00">
                  <c:v>16.151164937720804</c:v>
                </c:pt>
              </c:numCache>
            </c:numRef>
          </c:val>
          <c:smooth val="0"/>
          <c:extLst>
            <c:ext xmlns:c16="http://schemas.microsoft.com/office/drawing/2014/chart" uri="{C3380CC4-5D6E-409C-BE32-E72D297353CC}">
              <c16:uniqueId val="{00000003-6C55-4325-B1D5-2B87F67BBD8F}"/>
            </c:ext>
          </c:extLst>
        </c:ser>
        <c:ser>
          <c:idx val="4"/>
          <c:order val="4"/>
          <c:tx>
            <c:strRef>
              <c:f>'2LT'!$G$64</c:f>
              <c:strCache>
                <c:ptCount val="1"/>
                <c:pt idx="0">
                  <c:v>Index with concurrent HCPI</c:v>
                </c:pt>
              </c:strCache>
            </c:strRef>
          </c:tx>
          <c:spPr>
            <a:ln w="28575" cap="rnd">
              <a:noFill/>
              <a:round/>
            </a:ln>
            <a:effectLst/>
          </c:spPr>
          <c:marker>
            <c:symbol val="triangle"/>
            <c:size val="6"/>
            <c:spPr>
              <a:noFill/>
              <a:ln w="25400">
                <a:solidFill>
                  <a:schemeClr val="accent5">
                    <a:lumMod val="75000"/>
                  </a:schemeClr>
                </a:solidFill>
              </a:ln>
              <a:effectLst/>
            </c:spPr>
          </c:marker>
          <c:cat>
            <c:numRef>
              <c:extLst>
                <c:ext xmlns:c15="http://schemas.microsoft.com/office/drawing/2012/chart" uri="{02D57815-91ED-43cb-92C2-25804820EDAC}">
                  <c15:fullRef>
                    <c15:sqref>'2LT'!$B$65:$B$72</c15:sqref>
                  </c15:fullRef>
                </c:ext>
              </c:extLst>
              <c:f>'2LT'!$B$65:$B$69</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'2LT'!$G$65:$G$72</c15:sqref>
                  </c15:fullRef>
                </c:ext>
              </c:extLst>
              <c:f>'2LT'!$G$65:$G$69</c:f>
              <c:numCache>
                <c:formatCode>0.00%</c:formatCode>
                <c:ptCount val="5"/>
                <c:pt idx="4" formatCode="0.00">
                  <c:v>15.88013728491832</c:v>
                </c:pt>
              </c:numCache>
            </c:numRef>
          </c:val>
          <c:smooth val="0"/>
          <c:extLst>
            <c:ext xmlns:c16="http://schemas.microsoft.com/office/drawing/2014/chart" uri="{C3380CC4-5D6E-409C-BE32-E72D297353CC}">
              <c16:uniqueId val="{00000004-6C55-4325-B1D5-2B87F67BBD8F}"/>
            </c:ext>
          </c:extLst>
        </c:ser>
        <c:dLbls>
          <c:showLegendKey val="0"/>
          <c:showVal val="0"/>
          <c:showCatName val="0"/>
          <c:showSerName val="0"/>
          <c:showPercent val="0"/>
          <c:showBubbleSize val="0"/>
        </c:dLbls>
        <c:marker val="1"/>
        <c:smooth val="0"/>
        <c:axId val="709475840"/>
        <c:axId val="605168576"/>
        <c:extLst/>
      </c:lineChart>
      <c:catAx>
        <c:axId val="709475840"/>
        <c:scaling>
          <c:orientation val="minMax"/>
        </c:scaling>
        <c:delete val="0"/>
        <c:axPos val="b"/>
        <c:numFmt formatCode="General" sourceLinked="1"/>
        <c:majorTickMark val="out"/>
        <c:minorTickMark val="none"/>
        <c:tickLblPos val="nextTo"/>
        <c:spPr>
          <a:noFill/>
          <a:ln w="635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mn-cs"/>
              </a:defRPr>
            </a:pPr>
            <a:endParaRPr lang="es-ES_tradnl"/>
          </a:p>
        </c:txPr>
        <c:crossAx val="605168576"/>
        <c:crosses val="autoZero"/>
        <c:auto val="1"/>
        <c:lblAlgn val="ctr"/>
        <c:lblOffset val="100"/>
        <c:noMultiLvlLbl val="0"/>
      </c:catAx>
      <c:valAx>
        <c:axId val="6051685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s-ES_tradnl" sz="1050">
                    <a:solidFill>
                      <a:sysClr val="windowText" lastClr="000000"/>
                    </a:solidFill>
                    <a:latin typeface="Times New Roman" panose="02020603050405020304" pitchFamily="18" charset="0"/>
                    <a:cs typeface="Times New Roman" panose="02020603050405020304" pitchFamily="18" charset="0"/>
                  </a:rPr>
                  <a:t>Rate</a:t>
                </a:r>
              </a:p>
            </c:rich>
          </c:tx>
          <c:overlay val="0"/>
          <c:spPr>
            <a:noFill/>
            <a:ln>
              <a:noFill/>
            </a:ln>
            <a:effectLst/>
          </c:spPr>
          <c:txPr>
            <a:bodyPr rot="-5400000" spcFirstLastPara="1" vertOverflow="ellipsis" vert="horz" wrap="square" anchor="ctr" anchorCtr="1"/>
            <a:lstStyle/>
            <a:p>
              <a:pPr>
                <a:defRPr sz="10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title>
        <c:numFmt formatCode="#,##0.0" sourceLinked="0"/>
        <c:majorTickMark val="out"/>
        <c:minorTickMark val="none"/>
        <c:tickLblPos val="nextTo"/>
        <c:spPr>
          <a:noFill/>
          <a:ln w="6350">
            <a:solidFill>
              <a:schemeClr val="tx1">
                <a:lumMod val="65000"/>
                <a:lumOff val="35000"/>
              </a:schemeClr>
            </a:solidFill>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mn-cs"/>
              </a:defRPr>
            </a:pPr>
            <a:endParaRPr lang="es-ES_tradnl"/>
          </a:p>
        </c:txPr>
        <c:crossAx val="709475840"/>
        <c:crosses val="autoZero"/>
        <c:crossBetween val="between"/>
      </c:valAx>
      <c:spPr>
        <a:noFill/>
        <a:ln>
          <a:noFill/>
        </a:ln>
        <a:effectLst/>
      </c:spPr>
    </c:plotArea>
    <c:legend>
      <c:legendPos val="b"/>
      <c:layout>
        <c:manualLayout>
          <c:xMode val="edge"/>
          <c:yMode val="edge"/>
          <c:x val="8.1926620958132398E-2"/>
          <c:y val="0.78900773467278962"/>
          <c:w val="0.8223310520657221"/>
          <c:h val="0.1997652991480407"/>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legend>
    <c:plotVisOnly val="1"/>
    <c:dispBlanksAs val="gap"/>
    <c:showDLblsOverMax val="0"/>
  </c:chart>
  <c:spPr>
    <a:solidFill>
      <a:schemeClr val="bg1"/>
    </a:solidFill>
    <a:ln w="9525" cap="flat" cmpd="sng" algn="ctr">
      <a:noFill/>
      <a:round/>
    </a:ln>
    <a:effectLst/>
  </c:spPr>
  <c:txPr>
    <a:bodyPr/>
    <a:lstStyle/>
    <a:p>
      <a:pPr>
        <a:defRPr/>
      </a:pPr>
      <a:endParaRPr lang="es-ES_tradnl"/>
    </a:p>
  </c:txPr>
  <c:printSettings>
    <c:headerFooter/>
    <c:pageMargins b="0.75" l="0.84" r="0.25" t="0.75" header="0.3" footer="0.3"/>
    <c:pageSetup paperSize="9" orientation="landscape"/>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457409308717575"/>
          <c:y val="4.6087571003560986E-2"/>
          <c:w val="0.82558175067451101"/>
          <c:h val="0.64272676146640684"/>
        </c:manualLayout>
      </c:layout>
      <c:lineChart>
        <c:grouping val="standard"/>
        <c:varyColors val="0"/>
        <c:ser>
          <c:idx val="1"/>
          <c:order val="0"/>
          <c:tx>
            <c:strRef>
              <c:f>'2LT'!$W$45</c:f>
              <c:strCache>
                <c:ptCount val="1"/>
                <c:pt idx="0">
                  <c:v>Observed (National Accounts)</c:v>
                </c:pt>
              </c:strCache>
            </c:strRef>
          </c:tx>
          <c:spPr>
            <a:ln w="25400" cap="rnd">
              <a:solidFill>
                <a:schemeClr val="tx1">
                  <a:lumMod val="65000"/>
                  <a:lumOff val="35000"/>
                </a:schemeClr>
              </a:solidFill>
              <a:prstDash val="sysDash"/>
              <a:round/>
            </a:ln>
            <a:effectLst/>
          </c:spPr>
          <c:marker>
            <c:symbol val="none"/>
          </c:marker>
          <c:cat>
            <c:numRef>
              <c:extLst>
                <c:ext xmlns:c15="http://schemas.microsoft.com/office/drawing/2012/chart" uri="{02D57815-91ED-43cb-92C2-25804820EDAC}">
                  <c15:fullRef>
                    <c15:sqref>'2LT'!$U$46:$U$53</c15:sqref>
                  </c15:fullRef>
                </c:ext>
              </c:extLst>
              <c:f>'2LT'!$U$46:$U$50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'2LT'!$W$46:$W$53</c15:sqref>
                  </c15:fullRef>
                </c:ext>
              </c:extLst>
              <c:f>'2LT'!$W$46:$W$50</c:f>
              <c:numCache>
                <c:formatCode>0.0%</c:formatCode>
                <c:ptCount val="5"/>
                <c:pt idx="0">
                  <c:v>7.1676631626833909E-2</c:v>
                </c:pt>
                <c:pt idx="1">
                  <c:v>7.2184002260039876E-2</c:v>
                </c:pt>
                <c:pt idx="2">
                  <c:v>7.4361720333735004E-2</c:v>
                </c:pt>
                <c:pt idx="3">
                  <c:v>7.5676557137668535E-2</c:v>
                </c:pt>
                <c:pt idx="4">
                  <c:v>7.7377467720428014E-2</c:v>
                </c:pt>
              </c:numCache>
            </c:numRef>
          </c:val>
          <c:smooth val="0"/>
          <c:extLst>
            <c:ext xmlns:c16="http://schemas.microsoft.com/office/drawing/2014/chart" uri="{C3380CC4-5D6E-409C-BE32-E72D297353CC}">
              <c16:uniqueId val="{00000000-6854-4BF8-827A-CB325306E1D7}"/>
            </c:ext>
          </c:extLst>
        </c:ser>
        <c:ser>
          <c:idx val="0"/>
          <c:order val="1"/>
          <c:tx>
            <c:strRef>
              <c:f>'2LT'!$V$45</c:f>
              <c:strCache>
                <c:ptCount val="1"/>
                <c:pt idx="0">
                  <c:v>Baseline simulation (before reescaling)</c:v>
                </c:pt>
              </c:strCache>
            </c:strRef>
          </c:tx>
          <c:spPr>
            <a:ln w="25400" cap="rnd">
              <a:noFill/>
              <a:round/>
            </a:ln>
            <a:effectLst/>
          </c:spPr>
          <c:marker>
            <c:symbol val="circle"/>
            <c:size val="8"/>
            <c:spPr>
              <a:solidFill>
                <a:schemeClr val="bg1">
                  <a:lumMod val="85000"/>
                </a:schemeClr>
              </a:solidFill>
              <a:ln w="25400">
                <a:noFill/>
              </a:ln>
              <a:effectLst/>
            </c:spPr>
          </c:marker>
          <c:cat>
            <c:numRef>
              <c:extLst>
                <c:ext xmlns:c15="http://schemas.microsoft.com/office/drawing/2012/chart" uri="{02D57815-91ED-43cb-92C2-25804820EDAC}">
                  <c15:fullRef>
                    <c15:sqref>'2LT'!$U$46:$U$53</c15:sqref>
                  </c15:fullRef>
                </c:ext>
              </c:extLst>
              <c:f>'2LT'!$U$46:$U$50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'2LT'!$V$46:$V$53</c15:sqref>
                  </c15:fullRef>
                </c:ext>
              </c:extLst>
              <c:f>'2LT'!$V$46:$V$50</c:f>
              <c:numCache>
                <c:formatCode>0.0%</c:formatCode>
                <c:ptCount val="5"/>
                <c:pt idx="0">
                  <c:v>7.1785628039643279E-2</c:v>
                </c:pt>
                <c:pt idx="1">
                  <c:v>7.4193441275394567E-2</c:v>
                </c:pt>
                <c:pt idx="2">
                  <c:v>7.4123393150055394E-2</c:v>
                </c:pt>
                <c:pt idx="3">
                  <c:v>6.9598491799767168E-2</c:v>
                </c:pt>
                <c:pt idx="4">
                  <c:v>7.2229224770140155E-2</c:v>
                </c:pt>
              </c:numCache>
            </c:numRef>
          </c:val>
          <c:smooth val="0"/>
          <c:extLst>
            <c:ext xmlns:c16="http://schemas.microsoft.com/office/drawing/2014/chart" uri="{C3380CC4-5D6E-409C-BE32-E72D297353CC}">
              <c16:uniqueId val="{00000001-6854-4BF8-827A-CB325306E1D7}"/>
            </c:ext>
          </c:extLst>
        </c:ser>
        <c:ser>
          <c:idx val="3"/>
          <c:order val="2"/>
          <c:tx>
            <c:strRef>
              <c:f>'2LT'!$Y$45</c:f>
              <c:strCache>
                <c:ptCount val="1"/>
                <c:pt idx="0">
                  <c:v>Baseline simulation (after reescaling)</c:v>
                </c:pt>
              </c:strCache>
            </c:strRef>
          </c:tx>
          <c:spPr>
            <a:ln w="25400" cap="rnd">
              <a:noFill/>
              <a:round/>
            </a:ln>
            <a:effectLst/>
          </c:spPr>
          <c:marker>
            <c:symbol val="circle"/>
            <c:size val="7"/>
            <c:spPr>
              <a:solidFill>
                <a:schemeClr val="tx1"/>
              </a:solidFill>
              <a:ln w="9525">
                <a:solidFill>
                  <a:schemeClr val="tx1"/>
                </a:solidFill>
              </a:ln>
              <a:effectLst/>
            </c:spPr>
          </c:marker>
          <c:cat>
            <c:numRef>
              <c:extLst>
                <c:ext xmlns:c15="http://schemas.microsoft.com/office/drawing/2012/chart" uri="{02D57815-91ED-43cb-92C2-25804820EDAC}">
                  <c15:fullRef>
                    <c15:sqref>'2LT'!$U$46:$U$53</c15:sqref>
                  </c15:fullRef>
                </c:ext>
              </c:extLst>
              <c:f>'2LT'!$U$46:$U$50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'2LT'!$Y$46:$Y$53</c15:sqref>
                  </c15:fullRef>
                </c:ext>
              </c:extLst>
              <c:f>'2LT'!$Y$46:$Y$50</c:f>
              <c:numCache>
                <c:formatCode>0.0%</c:formatCode>
                <c:ptCount val="5"/>
                <c:pt idx="0">
                  <c:v>7.1676631626833909E-2</c:v>
                </c:pt>
                <c:pt idx="4">
                  <c:v>7.7377467720428014E-2</c:v>
                </c:pt>
              </c:numCache>
            </c:numRef>
          </c:val>
          <c:smooth val="0"/>
          <c:extLst>
            <c:ext xmlns:c16="http://schemas.microsoft.com/office/drawing/2014/chart" uri="{C3380CC4-5D6E-409C-BE32-E72D297353CC}">
              <c16:uniqueId val="{00000002-6854-4BF8-827A-CB325306E1D7}"/>
            </c:ext>
          </c:extLst>
        </c:ser>
        <c:ser>
          <c:idx val="4"/>
          <c:order val="3"/>
          <c:tx>
            <c:strRef>
              <c:f>'2LT'!$Z$45</c:f>
              <c:strCache>
                <c:ptCount val="1"/>
                <c:pt idx="0">
                  <c:v>Unchanged legislation since 2019/2023</c:v>
                </c:pt>
              </c:strCache>
            </c:strRef>
          </c:tx>
          <c:spPr>
            <a:ln w="25400" cap="rnd">
              <a:noFill/>
              <a:round/>
            </a:ln>
            <a:effectLst/>
          </c:spPr>
          <c:marker>
            <c:symbol val="circle"/>
            <c:size val="6"/>
            <c:spPr>
              <a:noFill/>
              <a:ln w="25400">
                <a:solidFill>
                  <a:srgbClr val="C00000"/>
                </a:solidFill>
              </a:ln>
              <a:effectLst/>
            </c:spPr>
          </c:marker>
          <c:cat>
            <c:numRef>
              <c:extLst>
                <c:ext xmlns:c15="http://schemas.microsoft.com/office/drawing/2012/chart" uri="{02D57815-91ED-43cb-92C2-25804820EDAC}">
                  <c15:fullRef>
                    <c15:sqref>'2LT'!$U$46:$U$53</c15:sqref>
                  </c15:fullRef>
                </c:ext>
              </c:extLst>
              <c:f>'2LT'!$U$46:$U$50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'2LT'!$Z$46:$Z$53</c15:sqref>
                  </c15:fullRef>
                </c:ext>
              </c:extLst>
              <c:f>'2LT'!$Z$46:$Z$50</c:f>
              <c:numCache>
                <c:formatCode>0.0%</c:formatCode>
                <c:ptCount val="5"/>
                <c:pt idx="4">
                  <c:v>8.4819540658901862E-2</c:v>
                </c:pt>
              </c:numCache>
            </c:numRef>
          </c:val>
          <c:smooth val="0"/>
          <c:extLst>
            <c:ext xmlns:c16="http://schemas.microsoft.com/office/drawing/2014/chart" uri="{C3380CC4-5D6E-409C-BE32-E72D297353CC}">
              <c16:uniqueId val="{00000003-6854-4BF8-827A-CB325306E1D7}"/>
            </c:ext>
          </c:extLst>
        </c:ser>
        <c:ser>
          <c:idx val="5"/>
          <c:order val="4"/>
          <c:tx>
            <c:strRef>
              <c:f>'2LT'!$AA$45</c:f>
              <c:strCache>
                <c:ptCount val="1"/>
                <c:pt idx="0">
                  <c:v>Indexing with tax base growth</c:v>
                </c:pt>
              </c:strCache>
            </c:strRef>
          </c:tx>
          <c:spPr>
            <a:ln w="25400" cap="rnd">
              <a:noFill/>
              <a:round/>
            </a:ln>
            <a:effectLst/>
          </c:spPr>
          <c:marker>
            <c:symbol val="square"/>
            <c:size val="5"/>
            <c:spPr>
              <a:noFill/>
              <a:ln w="25400">
                <a:solidFill>
                  <a:schemeClr val="accent6">
                    <a:lumMod val="75000"/>
                  </a:schemeClr>
                </a:solidFill>
              </a:ln>
              <a:effectLst/>
            </c:spPr>
          </c:marker>
          <c:cat>
            <c:numRef>
              <c:extLst>
                <c:ext xmlns:c15="http://schemas.microsoft.com/office/drawing/2012/chart" uri="{02D57815-91ED-43cb-92C2-25804820EDAC}">
                  <c15:fullRef>
                    <c15:sqref>'2LT'!$U$46:$U$53</c15:sqref>
                  </c15:fullRef>
                </c:ext>
              </c:extLst>
              <c:f>'2LT'!$U$46:$U$50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'2LT'!$AA$46:$AA$53</c15:sqref>
                  </c15:fullRef>
                </c:ext>
              </c:extLst>
              <c:f>'2LT'!$AA$46:$AA$50</c:f>
              <c:numCache>
                <c:formatCode>0.0%</c:formatCode>
                <c:ptCount val="5"/>
                <c:pt idx="4">
                  <c:v>7.6727596910924151E-2</c:v>
                </c:pt>
              </c:numCache>
            </c:numRef>
          </c:val>
          <c:smooth val="0"/>
          <c:extLst>
            <c:ext xmlns:c16="http://schemas.microsoft.com/office/drawing/2014/chart" uri="{C3380CC4-5D6E-409C-BE32-E72D297353CC}">
              <c16:uniqueId val="{00000004-6854-4BF8-827A-CB325306E1D7}"/>
            </c:ext>
          </c:extLst>
        </c:ser>
        <c:ser>
          <c:idx val="6"/>
          <c:order val="5"/>
          <c:tx>
            <c:strRef>
              <c:f>'2LT'!$AB$45</c:f>
              <c:strCache>
                <c:ptCount val="1"/>
                <c:pt idx="0">
                  <c:v>Indexing with lagged HCPI</c:v>
                </c:pt>
              </c:strCache>
            </c:strRef>
          </c:tx>
          <c:spPr>
            <a:ln w="25400" cap="rnd">
              <a:noFill/>
              <a:round/>
            </a:ln>
            <a:effectLst/>
          </c:spPr>
          <c:marker>
            <c:symbol val="diamond"/>
            <c:size val="6"/>
            <c:spPr>
              <a:noFill/>
              <a:ln w="25400">
                <a:solidFill>
                  <a:schemeClr val="accent4"/>
                </a:solidFill>
              </a:ln>
              <a:effectLst/>
            </c:spPr>
          </c:marker>
          <c:cat>
            <c:numRef>
              <c:extLst>
                <c:ext xmlns:c15="http://schemas.microsoft.com/office/drawing/2012/chart" uri="{02D57815-91ED-43cb-92C2-25804820EDAC}">
                  <c15:fullRef>
                    <c15:sqref>'2LT'!$U$46:$U$53</c15:sqref>
                  </c15:fullRef>
                </c:ext>
              </c:extLst>
              <c:f>'2LT'!$U$46:$U$50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'2LT'!$AB$46:$AB$53</c15:sqref>
                  </c15:fullRef>
                </c:ext>
              </c:extLst>
              <c:f>'2LT'!$AB$46:$AB$50</c:f>
              <c:numCache>
                <c:formatCode>0.0%</c:formatCode>
                <c:ptCount val="5"/>
                <c:pt idx="4">
                  <c:v>8.0081677254607297E-2</c:v>
                </c:pt>
              </c:numCache>
            </c:numRef>
          </c:val>
          <c:smooth val="0"/>
          <c:extLst>
            <c:ext xmlns:c16="http://schemas.microsoft.com/office/drawing/2014/chart" uri="{C3380CC4-5D6E-409C-BE32-E72D297353CC}">
              <c16:uniqueId val="{00000005-6854-4BF8-827A-CB325306E1D7}"/>
            </c:ext>
          </c:extLst>
        </c:ser>
        <c:ser>
          <c:idx val="7"/>
          <c:order val="6"/>
          <c:tx>
            <c:strRef>
              <c:f>'2LT'!$AC$45</c:f>
              <c:strCache>
                <c:ptCount val="1"/>
                <c:pt idx="0">
                  <c:v>Indexing with concurrent HCPI</c:v>
                </c:pt>
              </c:strCache>
            </c:strRef>
          </c:tx>
          <c:spPr>
            <a:ln w="25400" cap="rnd">
              <a:noFill/>
              <a:round/>
            </a:ln>
            <a:effectLst/>
          </c:spPr>
          <c:marker>
            <c:symbol val="triangle"/>
            <c:size val="6"/>
            <c:spPr>
              <a:noFill/>
              <a:ln w="25400">
                <a:solidFill>
                  <a:schemeClr val="accent5">
                    <a:lumMod val="75000"/>
                  </a:schemeClr>
                </a:solidFill>
              </a:ln>
              <a:effectLst/>
            </c:spPr>
          </c:marker>
          <c:cat>
            <c:numRef>
              <c:extLst>
                <c:ext xmlns:c15="http://schemas.microsoft.com/office/drawing/2012/chart" uri="{02D57815-91ED-43cb-92C2-25804820EDAC}">
                  <c15:fullRef>
                    <c15:sqref>'2LT'!$U$46:$U$53</c15:sqref>
                  </c15:fullRef>
                </c:ext>
              </c:extLst>
              <c:f>'2LT'!$U$46:$U$50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'2LT'!$AC$46:$AC$53</c15:sqref>
                  </c15:fullRef>
                </c:ext>
              </c:extLst>
              <c:f>'2LT'!$AC$46:$AC$50</c:f>
              <c:numCache>
                <c:formatCode>0.0%</c:formatCode>
                <c:ptCount val="5"/>
                <c:pt idx="4">
                  <c:v>7.8737851648064697E-2</c:v>
                </c:pt>
              </c:numCache>
            </c:numRef>
          </c:val>
          <c:smooth val="0"/>
          <c:extLst>
            <c:ext xmlns:c16="http://schemas.microsoft.com/office/drawing/2014/chart" uri="{C3380CC4-5D6E-409C-BE32-E72D297353CC}">
              <c16:uniqueId val="{00000006-6854-4BF8-827A-CB325306E1D7}"/>
            </c:ext>
          </c:extLst>
        </c:ser>
        <c:dLbls>
          <c:showLegendKey val="0"/>
          <c:showVal val="0"/>
          <c:showCatName val="0"/>
          <c:showSerName val="0"/>
          <c:showPercent val="0"/>
          <c:showBubbleSize val="0"/>
        </c:dLbls>
        <c:smooth val="0"/>
        <c:axId val="709475840"/>
        <c:axId val="605168576"/>
        <c:extLst/>
      </c:lineChart>
      <c:catAx>
        <c:axId val="709475840"/>
        <c:scaling>
          <c:orientation val="minMax"/>
        </c:scaling>
        <c:delete val="0"/>
        <c:axPos val="b"/>
        <c:numFmt formatCode="General" sourceLinked="1"/>
        <c:majorTickMark val="out"/>
        <c:minorTickMark val="none"/>
        <c:tickLblPos val="nextTo"/>
        <c:spPr>
          <a:noFill/>
          <a:ln w="6350" cap="flat" cmpd="sng" algn="ctr">
            <a:solidFill>
              <a:schemeClr val="tx1"/>
            </a:solidFill>
            <a:round/>
          </a:ln>
          <a:effectLst/>
        </c:spPr>
        <c:txPr>
          <a:bodyPr rot="-60000000" spcFirstLastPara="1" vertOverflow="ellipsis" vert="horz" wrap="square" anchor="ctr" anchorCtr="1"/>
          <a:lstStyle/>
          <a:p>
            <a:pPr>
              <a:defRPr sz="950" b="0" i="0" u="none" strike="noStrike" kern="1200" baseline="0">
                <a:solidFill>
                  <a:schemeClr val="tx1"/>
                </a:solidFill>
                <a:latin typeface="Times New Roman" panose="02020603050405020304" pitchFamily="18" charset="0"/>
                <a:ea typeface="+mn-ea"/>
                <a:cs typeface="+mn-cs"/>
              </a:defRPr>
            </a:pPr>
            <a:endParaRPr lang="es-ES_tradnl"/>
          </a:p>
        </c:txPr>
        <c:crossAx val="605168576"/>
        <c:crosses val="autoZero"/>
        <c:auto val="1"/>
        <c:lblAlgn val="ctr"/>
        <c:lblOffset val="100"/>
        <c:noMultiLvlLbl val="0"/>
      </c:catAx>
      <c:valAx>
        <c:axId val="605168576"/>
        <c:scaling>
          <c:orientation val="minMax"/>
          <c:min val="6.0000000000000012E-2"/>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s-ES_tradnl" sz="1050">
                    <a:solidFill>
                      <a:sysClr val="windowText" lastClr="000000"/>
                    </a:solidFill>
                    <a:latin typeface="Times New Roman" panose="02020603050405020304" pitchFamily="18" charset="0"/>
                    <a:cs typeface="Times New Roman" panose="02020603050405020304" pitchFamily="18" charset="0"/>
                  </a:rPr>
                  <a:t>Share of GDP</a:t>
                </a:r>
              </a:p>
            </c:rich>
          </c:tx>
          <c:overlay val="0"/>
          <c:spPr>
            <a:noFill/>
            <a:ln>
              <a:noFill/>
            </a:ln>
            <a:effectLst/>
          </c:spPr>
        </c:title>
        <c:numFmt formatCode="0%" sourceLinked="0"/>
        <c:majorTickMark val="out"/>
        <c:minorTickMark val="none"/>
        <c:tickLblPos val="nextTo"/>
        <c:spPr>
          <a:noFill/>
          <a:ln w="6350">
            <a:solidFill>
              <a:schemeClr val="tx1">
                <a:lumMod val="65000"/>
                <a:lumOff val="35000"/>
              </a:schemeClr>
            </a:solidFill>
          </a:ln>
          <a:effectLst/>
        </c:spPr>
        <c:txPr>
          <a:bodyPr rot="-60000000" spcFirstLastPara="1" vertOverflow="ellipsis" vert="horz" wrap="square" anchor="ctr" anchorCtr="1"/>
          <a:lstStyle/>
          <a:p>
            <a:pPr>
              <a:defRPr sz="950" b="0" i="0" u="none" strike="noStrike" kern="1200" baseline="0">
                <a:solidFill>
                  <a:schemeClr val="tx1"/>
                </a:solidFill>
                <a:latin typeface="Times New Roman" panose="02020603050405020304" pitchFamily="18" charset="0"/>
                <a:ea typeface="+mn-ea"/>
                <a:cs typeface="+mn-cs"/>
              </a:defRPr>
            </a:pPr>
            <a:endParaRPr lang="es-ES_tradnl"/>
          </a:p>
        </c:txPr>
        <c:crossAx val="709475840"/>
        <c:crosses val="autoZero"/>
        <c:crossBetween val="between"/>
      </c:valAx>
    </c:plotArea>
    <c:legend>
      <c:legendPos val="b"/>
      <c:layout>
        <c:manualLayout>
          <c:xMode val="edge"/>
          <c:yMode val="edge"/>
          <c:x val="0"/>
          <c:y val="0.80216933512597055"/>
          <c:w val="1"/>
          <c:h val="0.19783066487402948"/>
        </c:manualLayout>
      </c:layout>
      <c:overlay val="0"/>
      <c:spPr>
        <a:noFill/>
        <a:ln>
          <a:noFill/>
        </a:ln>
        <a:effectLst/>
      </c:spPr>
      <c:txPr>
        <a:bodyPr rot="0" spcFirstLastPara="1" vertOverflow="ellipsis" vert="horz" wrap="square" anchor="ctr" anchorCtr="1"/>
        <a:lstStyle/>
        <a:p>
          <a:pPr>
            <a:defRPr sz="9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legend>
    <c:plotVisOnly val="1"/>
    <c:dispBlanksAs val="gap"/>
    <c:showDLblsOverMax val="0"/>
  </c:chart>
  <c:spPr>
    <a:solidFill>
      <a:schemeClr val="bg1"/>
    </a:solidFill>
    <a:ln w="9525" cap="flat" cmpd="sng" algn="ctr">
      <a:noFill/>
      <a:round/>
    </a:ln>
    <a:effectLst/>
  </c:spPr>
  <c:txPr>
    <a:bodyPr/>
    <a:lstStyle/>
    <a:p>
      <a:pPr>
        <a:defRPr/>
      </a:pPr>
      <a:endParaRPr lang="es-ES_tradnl"/>
    </a:p>
  </c:txPr>
  <c:printSettings>
    <c:headerFooter/>
    <c:pageMargins b="0.75" l="0.25" r="0.25" t="0.75" header="0.3" footer="0.3"/>
    <c:pageSetup paperSize="9" orientation="landscape"/>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457409308717575"/>
          <c:y val="4.6087571003560986E-2"/>
          <c:w val="0.82558175067451101"/>
          <c:h val="0.64272676146640684"/>
        </c:manualLayout>
      </c:layout>
      <c:lineChart>
        <c:grouping val="standard"/>
        <c:varyColors val="0"/>
        <c:ser>
          <c:idx val="1"/>
          <c:order val="0"/>
          <c:tx>
            <c:strRef>
              <c:f>'2LU'!$D$45</c:f>
              <c:strCache>
                <c:ptCount val="1"/>
                <c:pt idx="0">
                  <c:v>Observed (National Accounts)</c:v>
                </c:pt>
              </c:strCache>
            </c:strRef>
          </c:tx>
          <c:spPr>
            <a:ln w="25400" cap="rnd">
              <a:solidFill>
                <a:schemeClr val="tx1">
                  <a:lumMod val="65000"/>
                  <a:lumOff val="35000"/>
                </a:schemeClr>
              </a:solidFill>
              <a:prstDash val="sysDash"/>
              <a:round/>
            </a:ln>
            <a:effectLst/>
          </c:spPr>
          <c:marker>
            <c:symbol val="none"/>
          </c:marker>
          <c:cat>
            <c:numRef>
              <c:extLst>
                <c:ext xmlns:c15="http://schemas.microsoft.com/office/drawing/2012/chart" uri="{02D57815-91ED-43cb-92C2-25804820EDAC}">
                  <c15:fullRef>
                    <c15:sqref>'2LU'!$B$46:$B$53</c15:sqref>
                  </c15:fullRef>
                </c:ext>
              </c:extLst>
              <c:f>'2LU'!$B$46:$B$50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'2LU'!$D$46:$D$53</c15:sqref>
                  </c15:fullRef>
                </c:ext>
              </c:extLst>
              <c:f>'2LU'!$D$46:$D$50</c:f>
              <c:numCache>
                <c:formatCode>_-* #,##0_-;\-* #,##0_-;_-* "-"??_-;_-@_-</c:formatCode>
                <c:ptCount val="5"/>
                <c:pt idx="0">
                  <c:v>4478.7</c:v>
                </c:pt>
                <c:pt idx="1">
                  <c:v>4759.3500000000004</c:v>
                </c:pt>
                <c:pt idx="2">
                  <c:v>5530.7250000000004</c:v>
                </c:pt>
                <c:pt idx="3">
                  <c:v>6063.5249999999996</c:v>
                </c:pt>
                <c:pt idx="4">
                  <c:v>6925.5749999999998</c:v>
                </c:pt>
              </c:numCache>
            </c:numRef>
          </c:val>
          <c:smooth val="0"/>
          <c:extLst>
            <c:ext xmlns:c16="http://schemas.microsoft.com/office/drawing/2014/chart" uri="{C3380CC4-5D6E-409C-BE32-E72D297353CC}">
              <c16:uniqueId val="{00000000-A841-4C6E-A597-9FD993A85141}"/>
            </c:ext>
          </c:extLst>
        </c:ser>
        <c:ser>
          <c:idx val="0"/>
          <c:order val="1"/>
          <c:tx>
            <c:strRef>
              <c:f>'2LU'!$C$45</c:f>
              <c:strCache>
                <c:ptCount val="1"/>
                <c:pt idx="0">
                  <c:v>Baseline simulation (before reescaling)</c:v>
                </c:pt>
              </c:strCache>
            </c:strRef>
          </c:tx>
          <c:spPr>
            <a:ln w="25400" cap="rnd">
              <a:noFill/>
              <a:round/>
            </a:ln>
            <a:effectLst/>
          </c:spPr>
          <c:marker>
            <c:symbol val="circle"/>
            <c:size val="8"/>
            <c:spPr>
              <a:solidFill>
                <a:schemeClr val="bg1">
                  <a:lumMod val="85000"/>
                </a:schemeClr>
              </a:solidFill>
              <a:ln w="25400">
                <a:noFill/>
              </a:ln>
              <a:effectLst/>
            </c:spPr>
          </c:marker>
          <c:cat>
            <c:numRef>
              <c:extLst>
                <c:ext xmlns:c15="http://schemas.microsoft.com/office/drawing/2012/chart" uri="{02D57815-91ED-43cb-92C2-25804820EDAC}">
                  <c15:fullRef>
                    <c15:sqref>'2LU'!$B$46:$B$53</c15:sqref>
                  </c15:fullRef>
                </c:ext>
              </c:extLst>
              <c:f>'2LU'!$B$46:$B$50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'2LU'!$C$46:$C$53</c15:sqref>
                  </c15:fullRef>
                </c:ext>
              </c:extLst>
              <c:f>'2LU'!$C$46:$C$50</c:f>
              <c:numCache>
                <c:formatCode>_-* #,##0_-;\-* #,##0_-;_-* "-"??_-;_-@_-</c:formatCode>
                <c:ptCount val="5"/>
                <c:pt idx="0">
                  <c:v>4407.3627534480029</c:v>
                </c:pt>
                <c:pt idx="1">
                  <c:v>4484.0604100379978</c:v>
                </c:pt>
                <c:pt idx="2">
                  <c:v>4921.7771450627806</c:v>
                </c:pt>
                <c:pt idx="3">
                  <c:v>5141.096696208002</c:v>
                </c:pt>
                <c:pt idx="4">
                  <c:v>5157.1933778051989</c:v>
                </c:pt>
              </c:numCache>
            </c:numRef>
          </c:val>
          <c:smooth val="0"/>
          <c:extLst>
            <c:ext xmlns:c16="http://schemas.microsoft.com/office/drawing/2014/chart" uri="{C3380CC4-5D6E-409C-BE32-E72D297353CC}">
              <c16:uniqueId val="{00000001-A841-4C6E-A597-9FD993A85141}"/>
            </c:ext>
          </c:extLst>
        </c:ser>
        <c:ser>
          <c:idx val="3"/>
          <c:order val="3"/>
          <c:tx>
            <c:strRef>
              <c:f>'2LU'!$F$45</c:f>
              <c:strCache>
                <c:ptCount val="1"/>
                <c:pt idx="0">
                  <c:v>Baseline simulation (after reescaling)</c:v>
                </c:pt>
              </c:strCache>
            </c:strRef>
          </c:tx>
          <c:spPr>
            <a:ln w="25400" cap="rnd">
              <a:noFill/>
              <a:round/>
            </a:ln>
            <a:effectLst/>
          </c:spPr>
          <c:marker>
            <c:symbol val="circle"/>
            <c:size val="7"/>
            <c:spPr>
              <a:solidFill>
                <a:schemeClr val="tx1"/>
              </a:solidFill>
              <a:ln w="9525">
                <a:solidFill>
                  <a:schemeClr val="tx1"/>
                </a:solidFill>
              </a:ln>
              <a:effectLst/>
            </c:spPr>
          </c:marker>
          <c:cat>
            <c:numRef>
              <c:extLst>
                <c:ext xmlns:c15="http://schemas.microsoft.com/office/drawing/2012/chart" uri="{02D57815-91ED-43cb-92C2-25804820EDAC}">
                  <c15:fullRef>
                    <c15:sqref>'2LU'!$B$46:$B$53</c15:sqref>
                  </c15:fullRef>
                </c:ext>
              </c:extLst>
              <c:f>'2LU'!$B$46:$B$50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'2LU'!$F$46:$F$53</c15:sqref>
                  </c15:fullRef>
                </c:ext>
              </c:extLst>
              <c:f>'2LU'!$F$46:$F$50</c:f>
              <c:numCache>
                <c:formatCode>General</c:formatCode>
                <c:ptCount val="5"/>
                <c:pt idx="0" formatCode="_-* #,##0_-;\-* #,##0_-;_-* &quot;-&quot;??_-;_-@_-">
                  <c:v>4478.7</c:v>
                </c:pt>
                <c:pt idx="4" formatCode="_-* #,##0_-;\-* #,##0_-;_-* &quot;-&quot;??_-;_-@_-">
                  <c:v>6925.5749999999998</c:v>
                </c:pt>
              </c:numCache>
            </c:numRef>
          </c:val>
          <c:smooth val="0"/>
          <c:extLst>
            <c:ext xmlns:c16="http://schemas.microsoft.com/office/drawing/2014/chart" uri="{C3380CC4-5D6E-409C-BE32-E72D297353CC}">
              <c16:uniqueId val="{00000002-A841-4C6E-A597-9FD993A85141}"/>
            </c:ext>
          </c:extLst>
        </c:ser>
        <c:ser>
          <c:idx val="4"/>
          <c:order val="4"/>
          <c:tx>
            <c:strRef>
              <c:f>'2LU'!$G$45</c:f>
              <c:strCache>
                <c:ptCount val="1"/>
                <c:pt idx="0">
                  <c:v>Unchanged legislation since 2019/2023</c:v>
                </c:pt>
              </c:strCache>
            </c:strRef>
          </c:tx>
          <c:spPr>
            <a:ln w="25400" cap="rnd">
              <a:noFill/>
              <a:round/>
            </a:ln>
            <a:effectLst/>
          </c:spPr>
          <c:marker>
            <c:symbol val="circle"/>
            <c:size val="6"/>
            <c:spPr>
              <a:noFill/>
              <a:ln w="25400">
                <a:solidFill>
                  <a:srgbClr val="C00000"/>
                </a:solidFill>
              </a:ln>
              <a:effectLst/>
            </c:spPr>
          </c:marker>
          <c:cat>
            <c:numRef>
              <c:extLst>
                <c:ext xmlns:c15="http://schemas.microsoft.com/office/drawing/2012/chart" uri="{02D57815-91ED-43cb-92C2-25804820EDAC}">
                  <c15:fullRef>
                    <c15:sqref>'2LU'!$B$46:$B$53</c15:sqref>
                  </c15:fullRef>
                </c:ext>
              </c:extLst>
              <c:f>'2LU'!$B$46:$B$50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'2LU'!$G$46:$G$53</c15:sqref>
                  </c15:fullRef>
                </c:ext>
              </c:extLst>
              <c:f>'2LU'!$G$46:$G$50</c:f>
              <c:numCache>
                <c:formatCode>General</c:formatCode>
                <c:ptCount val="5"/>
                <c:pt idx="4" formatCode="_-* #,##0_-;\-* #,##0_-;_-* &quot;-&quot;??_-;_-@_-">
                  <c:v>7968.4859701317791</c:v>
                </c:pt>
              </c:numCache>
            </c:numRef>
          </c:val>
          <c:smooth val="0"/>
          <c:extLst>
            <c:ext xmlns:c16="http://schemas.microsoft.com/office/drawing/2014/chart" uri="{C3380CC4-5D6E-409C-BE32-E72D297353CC}">
              <c16:uniqueId val="{00000003-A841-4C6E-A597-9FD993A85141}"/>
            </c:ext>
          </c:extLst>
        </c:ser>
        <c:ser>
          <c:idx val="5"/>
          <c:order val="5"/>
          <c:tx>
            <c:strRef>
              <c:f>'2LU'!$H$45</c:f>
              <c:strCache>
                <c:ptCount val="1"/>
                <c:pt idx="0">
                  <c:v>Indexing with tax base growth</c:v>
                </c:pt>
              </c:strCache>
            </c:strRef>
          </c:tx>
          <c:spPr>
            <a:ln w="25400" cap="rnd">
              <a:noFill/>
              <a:round/>
            </a:ln>
            <a:effectLst/>
          </c:spPr>
          <c:marker>
            <c:symbol val="square"/>
            <c:size val="5"/>
            <c:spPr>
              <a:noFill/>
              <a:ln w="25400">
                <a:solidFill>
                  <a:schemeClr val="accent6">
                    <a:lumMod val="75000"/>
                  </a:schemeClr>
                </a:solidFill>
              </a:ln>
              <a:effectLst/>
            </c:spPr>
          </c:marker>
          <c:cat>
            <c:numRef>
              <c:extLst>
                <c:ext xmlns:c15="http://schemas.microsoft.com/office/drawing/2012/chart" uri="{02D57815-91ED-43cb-92C2-25804820EDAC}">
                  <c15:fullRef>
                    <c15:sqref>'2LU'!$B$46:$B$53</c15:sqref>
                  </c15:fullRef>
                </c:ext>
              </c:extLst>
              <c:f>'2LU'!$B$46:$B$50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'2LU'!$H$46:$H$53</c15:sqref>
                  </c15:fullRef>
                </c:ext>
              </c:extLst>
              <c:f>'2LU'!$H$46:$H$50</c:f>
              <c:numCache>
                <c:formatCode>General</c:formatCode>
                <c:ptCount val="5"/>
                <c:pt idx="4" formatCode="_-* #,##0_-;\-* #,##0_-;_-* &quot;-&quot;??_-;_-@_-">
                  <c:v>6964.5767396094589</c:v>
                </c:pt>
              </c:numCache>
            </c:numRef>
          </c:val>
          <c:smooth val="0"/>
          <c:extLst>
            <c:ext xmlns:c16="http://schemas.microsoft.com/office/drawing/2014/chart" uri="{C3380CC4-5D6E-409C-BE32-E72D297353CC}">
              <c16:uniqueId val="{00000004-A841-4C6E-A597-9FD993A85141}"/>
            </c:ext>
          </c:extLst>
        </c:ser>
        <c:ser>
          <c:idx val="6"/>
          <c:order val="6"/>
          <c:tx>
            <c:strRef>
              <c:f>'2LU'!$I$45</c:f>
              <c:strCache>
                <c:ptCount val="1"/>
                <c:pt idx="0">
                  <c:v>Indexing with lagged HCPI</c:v>
                </c:pt>
              </c:strCache>
            </c:strRef>
          </c:tx>
          <c:spPr>
            <a:ln w="25400" cap="rnd">
              <a:noFill/>
              <a:round/>
            </a:ln>
            <a:effectLst/>
          </c:spPr>
          <c:marker>
            <c:symbol val="diamond"/>
            <c:size val="6"/>
            <c:spPr>
              <a:noFill/>
              <a:ln w="25400">
                <a:solidFill>
                  <a:schemeClr val="accent4"/>
                </a:solidFill>
              </a:ln>
              <a:effectLst/>
            </c:spPr>
          </c:marker>
          <c:cat>
            <c:numRef>
              <c:extLst>
                <c:ext xmlns:c15="http://schemas.microsoft.com/office/drawing/2012/chart" uri="{02D57815-91ED-43cb-92C2-25804820EDAC}">
                  <c15:fullRef>
                    <c15:sqref>'2LU'!$B$46:$B$53</c15:sqref>
                  </c15:fullRef>
                </c:ext>
              </c:extLst>
              <c:f>'2LU'!$B$46:$B$50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'2LU'!$I$46:$I$53</c15:sqref>
                  </c15:fullRef>
                </c:ext>
              </c:extLst>
              <c:f>'2LU'!$I$46:$I$50</c:f>
              <c:numCache>
                <c:formatCode>General</c:formatCode>
                <c:ptCount val="5"/>
                <c:pt idx="4" formatCode="_-* #,##0_-;\-* #,##0_-;_-* &quot;-&quot;??_-;_-@_-">
                  <c:v>7198.1792174446027</c:v>
                </c:pt>
              </c:numCache>
            </c:numRef>
          </c:val>
          <c:smooth val="0"/>
          <c:extLst>
            <c:ext xmlns:c16="http://schemas.microsoft.com/office/drawing/2014/chart" uri="{C3380CC4-5D6E-409C-BE32-E72D297353CC}">
              <c16:uniqueId val="{00000005-A841-4C6E-A597-9FD993A85141}"/>
            </c:ext>
          </c:extLst>
        </c:ser>
        <c:ser>
          <c:idx val="7"/>
          <c:order val="7"/>
          <c:tx>
            <c:strRef>
              <c:f>'2LU'!$J$45</c:f>
              <c:strCache>
                <c:ptCount val="1"/>
                <c:pt idx="0">
                  <c:v>Indexing with concurrent HCPI</c:v>
                </c:pt>
              </c:strCache>
            </c:strRef>
          </c:tx>
          <c:spPr>
            <a:ln w="25400" cap="rnd">
              <a:noFill/>
              <a:round/>
            </a:ln>
            <a:effectLst/>
          </c:spPr>
          <c:marker>
            <c:symbol val="triangle"/>
            <c:size val="6"/>
            <c:spPr>
              <a:noFill/>
              <a:ln w="25400">
                <a:solidFill>
                  <a:schemeClr val="accent5">
                    <a:lumMod val="75000"/>
                  </a:schemeClr>
                </a:solidFill>
              </a:ln>
              <a:effectLst/>
            </c:spPr>
          </c:marker>
          <c:cat>
            <c:numRef>
              <c:extLst>
                <c:ext xmlns:c15="http://schemas.microsoft.com/office/drawing/2012/chart" uri="{02D57815-91ED-43cb-92C2-25804820EDAC}">
                  <c15:fullRef>
                    <c15:sqref>'2LU'!$B$46:$B$53</c15:sqref>
                  </c15:fullRef>
                </c:ext>
              </c:extLst>
              <c:f>'2LU'!$B$46:$B$50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'2LU'!$J$46:$J$53</c15:sqref>
                  </c15:fullRef>
                </c:ext>
              </c:extLst>
              <c:f>'2LU'!$J$46:$J$50</c:f>
              <c:numCache>
                <c:formatCode>General</c:formatCode>
                <c:ptCount val="5"/>
                <c:pt idx="4" formatCode="_-* #,##0_-;\-* #,##0_-;_-* &quot;-&quot;??_-;_-@_-">
                  <c:v>7122.0955003507424</c:v>
                </c:pt>
              </c:numCache>
            </c:numRef>
          </c:val>
          <c:smooth val="0"/>
          <c:extLst>
            <c:ext xmlns:c16="http://schemas.microsoft.com/office/drawing/2014/chart" uri="{C3380CC4-5D6E-409C-BE32-E72D297353CC}">
              <c16:uniqueId val="{00000006-A841-4C6E-A597-9FD993A85141}"/>
            </c:ext>
          </c:extLst>
        </c:ser>
        <c:ser>
          <c:idx val="8"/>
          <c:order val="8"/>
          <c:tx>
            <c:strRef>
              <c:f>'2LU'!$K$45</c:f>
              <c:strCache>
                <c:ptCount val="1"/>
                <c:pt idx="0">
                  <c:v>Baseline w/o "indexation measures"</c:v>
                </c:pt>
              </c:strCache>
            </c:strRef>
          </c:tx>
          <c:spPr>
            <a:ln w="28575" cap="rnd">
              <a:noFill/>
              <a:round/>
            </a:ln>
            <a:effectLst/>
          </c:spPr>
          <c:marker>
            <c:symbol val="dash"/>
            <c:size val="9"/>
            <c:spPr>
              <a:solidFill>
                <a:schemeClr val="tx1">
                  <a:lumMod val="65000"/>
                  <a:lumOff val="35000"/>
                </a:schemeClr>
              </a:solidFill>
              <a:ln w="9525">
                <a:solidFill>
                  <a:schemeClr val="tx1">
                    <a:lumMod val="65000"/>
                    <a:lumOff val="35000"/>
                  </a:schemeClr>
                </a:solidFill>
              </a:ln>
              <a:effectLst/>
            </c:spPr>
          </c:marker>
          <c:cat>
            <c:strLit>
              <c:ptCount val="5"/>
              <c:pt idx="0">
                <c:v>2019</c:v>
              </c:pt>
              <c:pt idx="1">
                <c:v>2020</c:v>
              </c:pt>
              <c:pt idx="2">
                <c:v>2021</c:v>
              </c:pt>
              <c:pt idx="3">
                <c:v>2022</c:v>
              </c:pt>
              <c:pt idx="4">
                <c:v>2023</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'2LU'!$K$46:$K$53</c15:sqref>
                  </c15:fullRef>
                </c:ext>
              </c:extLst>
              <c:f>'2LU'!$K$46:$K$50</c:f>
              <c:numCache>
                <c:formatCode>General</c:formatCode>
                <c:ptCount val="5"/>
                <c:pt idx="4" formatCode="_-* #,##0_-;\-* #,##0_-;_-* &quot;-&quot;??_-;_-@_-">
                  <c:v>7071.5762636509044</c:v>
                </c:pt>
              </c:numCache>
            </c:numRef>
          </c:val>
          <c:smooth val="0"/>
          <c:extLst>
            <c:ext xmlns:c16="http://schemas.microsoft.com/office/drawing/2014/chart" uri="{C3380CC4-5D6E-409C-BE32-E72D297353CC}">
              <c16:uniqueId val="{00000007-A841-4C6E-A597-9FD993A85141}"/>
            </c:ext>
          </c:extLst>
        </c:ser>
        <c:dLbls>
          <c:showLegendKey val="0"/>
          <c:showVal val="0"/>
          <c:showCatName val="0"/>
          <c:showSerName val="0"/>
          <c:showPercent val="0"/>
          <c:showBubbleSize val="0"/>
        </c:dLbls>
        <c:smooth val="0"/>
        <c:axId val="709475840"/>
        <c:axId val="605168576"/>
        <c:extLst>
          <c:ext xmlns:c15="http://schemas.microsoft.com/office/drawing/2012/chart" uri="{02D57815-91ED-43cb-92C2-25804820EDAC}">
            <c15:filteredLineSeries>
              <c15:ser>
                <c:idx val="2"/>
                <c:order val="2"/>
                <c:tx>
                  <c:strRef>
                    <c:extLst>
                      <c:ext uri="{02D57815-91ED-43cb-92C2-25804820EDAC}">
                        <c15:formulaRef>
                          <c15:sqref>'2LU'!$E$45</c15:sqref>
                        </c15:formulaRef>
                      </c:ext>
                    </c:extLst>
                    <c:strCache>
                      <c:ptCount val="1"/>
                      <c:pt idx="0">
                        <c:v>Reescaling factor
</c:v>
                      </c:pt>
                    </c:strCache>
                  </c:strRef>
                </c:tx>
                <c:spPr>
                  <a:ln w="25400" cap="rnd">
                    <a:noFill/>
                    <a:round/>
                  </a:ln>
                  <a:effectLst/>
                </c:spPr>
                <c:marker>
                  <c:symbol val="circle"/>
                  <c:size val="5"/>
                  <c:spPr>
                    <a:solidFill>
                      <a:schemeClr val="accent3"/>
                    </a:solidFill>
                    <a:ln w="9525">
                      <a:solidFill>
                        <a:schemeClr val="accent3"/>
                      </a:solidFill>
                    </a:ln>
                    <a:effectLst/>
                  </c:spPr>
                </c:marker>
                <c:cat>
                  <c:numRef>
                    <c:extLst>
                      <c:ext uri="{02D57815-91ED-43cb-92C2-25804820EDAC}">
                        <c15:fullRef>
                          <c15:sqref>'2LU'!$B$46:$B$53</c15:sqref>
                        </c15:fullRef>
                        <c15:formulaRef>
                          <c15:sqref>'2LU'!$B$46:$B$50</c15:sqref>
                        </c15:formulaRef>
                      </c:ext>
                    </c:extLst>
                    <c:numCache>
                      <c:formatCode>General</c:formatCode>
                      <c:ptCount val="5"/>
                      <c:pt idx="0">
                        <c:v>2019</c:v>
                      </c:pt>
                      <c:pt idx="1">
                        <c:v>2020</c:v>
                      </c:pt>
                      <c:pt idx="2">
                        <c:v>2021</c:v>
                      </c:pt>
                      <c:pt idx="3">
                        <c:v>2022</c:v>
                      </c:pt>
                      <c:pt idx="4">
                        <c:v>2023</c:v>
                      </c:pt>
                    </c:numCache>
                  </c:numRef>
                </c:cat>
                <c:val>
                  <c:numRef>
                    <c:extLst>
                      <c:ext uri="{02D57815-91ED-43cb-92C2-25804820EDAC}">
                        <c15:fullRef>
                          <c15:sqref>'2LU'!$E$46:$E$53</c15:sqref>
                        </c15:fullRef>
                        <c15:formulaRef>
                          <c15:sqref>'2LU'!$E$46:$E$50</c15:sqref>
                        </c15:formulaRef>
                      </c:ext>
                    </c:extLst>
                    <c:numCache>
                      <c:formatCode>General</c:formatCode>
                      <c:ptCount val="5"/>
                    </c:numCache>
                  </c:numRef>
                </c:val>
                <c:smooth val="0"/>
                <c:extLst>
                  <c:ext xmlns:c16="http://schemas.microsoft.com/office/drawing/2014/chart" uri="{C3380CC4-5D6E-409C-BE32-E72D297353CC}">
                    <c16:uniqueId val="{00000008-A841-4C6E-A597-9FD993A85141}"/>
                  </c:ext>
                </c:extLst>
              </c15:ser>
            </c15:filteredLineSeries>
          </c:ext>
        </c:extLst>
      </c:lineChart>
      <c:catAx>
        <c:axId val="709475840"/>
        <c:scaling>
          <c:orientation val="minMax"/>
        </c:scaling>
        <c:delete val="0"/>
        <c:axPos val="b"/>
        <c:numFmt formatCode="General" sourceLinked="1"/>
        <c:majorTickMark val="out"/>
        <c:minorTickMark val="none"/>
        <c:tickLblPos val="nextTo"/>
        <c:spPr>
          <a:noFill/>
          <a:ln w="6350" cap="flat" cmpd="sng" algn="ctr">
            <a:solidFill>
              <a:schemeClr val="tx1"/>
            </a:solidFill>
            <a:round/>
          </a:ln>
          <a:effectLst/>
        </c:spPr>
        <c:txPr>
          <a:bodyPr rot="-60000000" spcFirstLastPara="1" vertOverflow="ellipsis" vert="horz" wrap="square" anchor="ctr" anchorCtr="1"/>
          <a:lstStyle/>
          <a:p>
            <a:pPr>
              <a:defRPr sz="950" b="0" i="0" u="none" strike="noStrike" kern="1200" baseline="0">
                <a:solidFill>
                  <a:schemeClr val="tx1"/>
                </a:solidFill>
                <a:latin typeface="Times New Roman" panose="02020603050405020304" pitchFamily="18" charset="0"/>
                <a:ea typeface="+mn-ea"/>
                <a:cs typeface="+mn-cs"/>
              </a:defRPr>
            </a:pPr>
            <a:endParaRPr lang="es-ES_tradnl"/>
          </a:p>
        </c:txPr>
        <c:crossAx val="605168576"/>
        <c:crosses val="autoZero"/>
        <c:auto val="1"/>
        <c:lblAlgn val="ctr"/>
        <c:lblOffset val="100"/>
        <c:noMultiLvlLbl val="0"/>
      </c:catAx>
      <c:valAx>
        <c:axId val="6051685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s-ES_tradnl" sz="1050">
                    <a:solidFill>
                      <a:sysClr val="windowText" lastClr="000000"/>
                    </a:solidFill>
                    <a:latin typeface="Times New Roman" panose="02020603050405020304" pitchFamily="18" charset="0"/>
                    <a:cs typeface="Times New Roman" panose="02020603050405020304" pitchFamily="18" charset="0"/>
                  </a:rPr>
                  <a:t>Million euros</a:t>
                </a:r>
              </a:p>
            </c:rich>
          </c:tx>
          <c:layout>
            <c:manualLayout>
              <c:xMode val="edge"/>
              <c:yMode val="edge"/>
              <c:x val="0"/>
              <c:y val="0.27024653144012073"/>
            </c:manualLayout>
          </c:layout>
          <c:overlay val="0"/>
          <c:spPr>
            <a:noFill/>
            <a:ln>
              <a:noFill/>
            </a:ln>
            <a:effectLst/>
          </c:spPr>
          <c:txPr>
            <a:bodyPr rot="-5400000" spcFirstLastPara="1" vertOverflow="ellipsis" vert="horz" wrap="square" anchor="ctr" anchorCtr="1"/>
            <a:lstStyle/>
            <a:p>
              <a:pPr>
                <a:defRPr sz="10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title>
        <c:numFmt formatCode="#,##0" sourceLinked="0"/>
        <c:majorTickMark val="out"/>
        <c:minorTickMark val="none"/>
        <c:tickLblPos val="nextTo"/>
        <c:spPr>
          <a:noFill/>
          <a:ln w="6350">
            <a:solidFill>
              <a:schemeClr val="tx1">
                <a:lumMod val="65000"/>
                <a:lumOff val="35000"/>
              </a:schemeClr>
            </a:solidFill>
          </a:ln>
          <a:effectLst/>
        </c:spPr>
        <c:txPr>
          <a:bodyPr rot="-60000000" spcFirstLastPara="1" vertOverflow="ellipsis" vert="horz" wrap="square" anchor="ctr" anchorCtr="1"/>
          <a:lstStyle/>
          <a:p>
            <a:pPr>
              <a:defRPr sz="950" b="0" i="0" u="none" strike="noStrike" kern="1200" baseline="0">
                <a:solidFill>
                  <a:schemeClr val="tx1"/>
                </a:solidFill>
                <a:latin typeface="Times New Roman" panose="02020603050405020304" pitchFamily="18" charset="0"/>
                <a:ea typeface="+mn-ea"/>
                <a:cs typeface="+mn-cs"/>
              </a:defRPr>
            </a:pPr>
            <a:endParaRPr lang="es-ES_tradnl"/>
          </a:p>
        </c:txPr>
        <c:crossAx val="709475840"/>
        <c:crosses val="autoZero"/>
        <c:crossBetween val="between"/>
      </c:valAx>
      <c:spPr>
        <a:noFill/>
        <a:ln>
          <a:noFill/>
        </a:ln>
        <a:effectLst/>
      </c:spPr>
    </c:plotArea>
    <c:legend>
      <c:legendPos val="b"/>
      <c:layout>
        <c:manualLayout>
          <c:xMode val="edge"/>
          <c:yMode val="edge"/>
          <c:x val="0"/>
          <c:y val="0.73648087849247201"/>
          <c:w val="1"/>
          <c:h val="0.26351912150752793"/>
        </c:manualLayout>
      </c:layout>
      <c:overlay val="0"/>
      <c:spPr>
        <a:noFill/>
        <a:ln>
          <a:noFill/>
        </a:ln>
        <a:effectLst/>
      </c:spPr>
      <c:txPr>
        <a:bodyPr rot="0" spcFirstLastPara="1" vertOverflow="ellipsis" vert="horz" wrap="square" anchor="ctr" anchorCtr="1"/>
        <a:lstStyle/>
        <a:p>
          <a:pPr>
            <a:defRPr sz="9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legend>
    <c:plotVisOnly val="1"/>
    <c:dispBlanksAs val="gap"/>
    <c:showDLblsOverMax val="0"/>
  </c:chart>
  <c:spPr>
    <a:solidFill>
      <a:schemeClr val="bg1"/>
    </a:solidFill>
    <a:ln w="9525" cap="flat" cmpd="sng" algn="ctr">
      <a:noFill/>
      <a:round/>
    </a:ln>
    <a:effectLst/>
  </c:spPr>
  <c:txPr>
    <a:bodyPr/>
    <a:lstStyle/>
    <a:p>
      <a:pPr>
        <a:defRPr/>
      </a:pPr>
      <a:endParaRPr lang="es-ES_tradnl"/>
    </a:p>
  </c:txPr>
  <c:printSettings>
    <c:headerFooter/>
    <c:pageMargins b="0.75" l="0.25" r="0.25" t="0.75" header="0.3" footer="0.3"/>
    <c:pageSetup paperSize="9" orientation="landscape"/>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457409308717575"/>
          <c:y val="4.6087571003560986E-2"/>
          <c:w val="0.82558175067451101"/>
          <c:h val="0.6515011552844524"/>
        </c:manualLayout>
      </c:layout>
      <c:lineChart>
        <c:grouping val="standard"/>
        <c:varyColors val="0"/>
        <c:ser>
          <c:idx val="1"/>
          <c:order val="0"/>
          <c:tx>
            <c:strRef>
              <c:f>'2LU'!$C$64</c:f>
              <c:strCache>
                <c:ptCount val="1"/>
                <c:pt idx="0">
                  <c:v>Baseline simulation
</c:v>
                </c:pt>
              </c:strCache>
            </c:strRef>
          </c:tx>
          <c:spPr>
            <a:ln w="28575" cap="rnd">
              <a:noFill/>
              <a:round/>
            </a:ln>
            <a:effectLst/>
          </c:spPr>
          <c:marker>
            <c:symbol val="circle"/>
            <c:size val="7"/>
            <c:spPr>
              <a:solidFill>
                <a:schemeClr val="tx1"/>
              </a:solidFill>
              <a:ln w="9525">
                <a:noFill/>
              </a:ln>
              <a:effectLst/>
            </c:spPr>
          </c:marker>
          <c:cat>
            <c:numRef>
              <c:extLst>
                <c:ext xmlns:c15="http://schemas.microsoft.com/office/drawing/2012/chart" uri="{02D57815-91ED-43cb-92C2-25804820EDAC}">
                  <c15:fullRef>
                    <c15:sqref>'2LU'!$B$65:$B$72</c15:sqref>
                  </c15:fullRef>
                </c:ext>
              </c:extLst>
              <c:f>'2LU'!$B$65:$B$69</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'2LU'!$C$65:$C$72</c15:sqref>
                  </c15:fullRef>
                </c:ext>
              </c:extLst>
              <c:f>'2LU'!$C$65:$C$69</c:f>
              <c:numCache>
                <c:formatCode>0.00</c:formatCode>
                <c:ptCount val="5"/>
                <c:pt idx="0">
                  <c:v>18.175348653786521</c:v>
                </c:pt>
                <c:pt idx="1">
                  <c:v>18.250471288714742</c:v>
                </c:pt>
                <c:pt idx="2">
                  <c:v>19.015558247809118</c:v>
                </c:pt>
                <c:pt idx="3">
                  <c:v>18.97933597176306</c:v>
                </c:pt>
                <c:pt idx="4">
                  <c:v>17.99921793306866</c:v>
                </c:pt>
              </c:numCache>
            </c:numRef>
          </c:val>
          <c:smooth val="0"/>
          <c:extLst>
            <c:ext xmlns:c16="http://schemas.microsoft.com/office/drawing/2014/chart" uri="{C3380CC4-5D6E-409C-BE32-E72D297353CC}">
              <c16:uniqueId val="{00000000-3154-4108-AB22-87ACB0976899}"/>
            </c:ext>
          </c:extLst>
        </c:ser>
        <c:ser>
          <c:idx val="0"/>
          <c:order val="1"/>
          <c:tx>
            <c:strRef>
              <c:f>'2LU'!$D$64</c:f>
              <c:strCache>
                <c:ptCount val="1"/>
                <c:pt idx="0">
                  <c:v>Legislation unchanged since 2019/2023</c:v>
                </c:pt>
              </c:strCache>
            </c:strRef>
          </c:tx>
          <c:spPr>
            <a:ln w="28575" cap="rnd">
              <a:noFill/>
              <a:round/>
            </a:ln>
            <a:effectLst/>
          </c:spPr>
          <c:marker>
            <c:symbol val="circle"/>
            <c:size val="7"/>
            <c:spPr>
              <a:noFill/>
              <a:ln w="25400">
                <a:solidFill>
                  <a:srgbClr val="C00000"/>
                </a:solidFill>
              </a:ln>
              <a:effectLst/>
            </c:spPr>
          </c:marker>
          <c:cat>
            <c:numRef>
              <c:extLst>
                <c:ext xmlns:c15="http://schemas.microsoft.com/office/drawing/2012/chart" uri="{02D57815-91ED-43cb-92C2-25804820EDAC}">
                  <c15:fullRef>
                    <c15:sqref>'2LU'!$B$65:$B$72</c15:sqref>
                  </c15:fullRef>
                </c:ext>
              </c:extLst>
              <c:f>'2LU'!$B$65:$B$69</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'2LU'!$D$65:$D$72</c15:sqref>
                  </c15:fullRef>
                </c:ext>
              </c:extLst>
              <c:f>'2LU'!$D$65:$D$69</c:f>
              <c:numCache>
                <c:formatCode>0.00%</c:formatCode>
                <c:ptCount val="5"/>
                <c:pt idx="4" formatCode="0.00">
                  <c:v>20.709690613848224</c:v>
                </c:pt>
              </c:numCache>
            </c:numRef>
          </c:val>
          <c:smooth val="0"/>
          <c:extLst>
            <c:ext xmlns:c16="http://schemas.microsoft.com/office/drawing/2014/chart" uri="{C3380CC4-5D6E-409C-BE32-E72D297353CC}">
              <c16:uniqueId val="{00000001-3154-4108-AB22-87ACB0976899}"/>
            </c:ext>
          </c:extLst>
        </c:ser>
        <c:ser>
          <c:idx val="2"/>
          <c:order val="2"/>
          <c:tx>
            <c:strRef>
              <c:f>'2LU'!$E$64</c:f>
              <c:strCache>
                <c:ptCount val="1"/>
                <c:pt idx="0">
                  <c:v>Index with tax base growth</c:v>
                </c:pt>
              </c:strCache>
            </c:strRef>
          </c:tx>
          <c:spPr>
            <a:ln w="28575" cap="rnd">
              <a:noFill/>
              <a:round/>
            </a:ln>
            <a:effectLst/>
          </c:spPr>
          <c:marker>
            <c:symbol val="square"/>
            <c:size val="6"/>
            <c:spPr>
              <a:noFill/>
              <a:ln w="25400">
                <a:solidFill>
                  <a:schemeClr val="accent6">
                    <a:lumMod val="75000"/>
                  </a:schemeClr>
                </a:solidFill>
              </a:ln>
              <a:effectLst/>
            </c:spPr>
          </c:marker>
          <c:cat>
            <c:numRef>
              <c:extLst>
                <c:ext xmlns:c15="http://schemas.microsoft.com/office/drawing/2012/chart" uri="{02D57815-91ED-43cb-92C2-25804820EDAC}">
                  <c15:fullRef>
                    <c15:sqref>'2LU'!$B$65:$B$72</c15:sqref>
                  </c15:fullRef>
                </c:ext>
              </c:extLst>
              <c:f>'2LU'!$B$65:$B$69</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'2LU'!$E$65:$E$72</c15:sqref>
                  </c15:fullRef>
                </c:ext>
              </c:extLst>
              <c:f>'2LU'!$E$65:$E$69</c:f>
              <c:numCache>
                <c:formatCode>0.00%</c:formatCode>
                <c:ptCount val="5"/>
                <c:pt idx="4" formatCode="0.00">
                  <c:v>18.100581474868356</c:v>
                </c:pt>
              </c:numCache>
            </c:numRef>
          </c:val>
          <c:smooth val="0"/>
          <c:extLst xmlns:c15="http://schemas.microsoft.com/office/drawing/2012/chart">
            <c:ext xmlns:c16="http://schemas.microsoft.com/office/drawing/2014/chart" uri="{C3380CC4-5D6E-409C-BE32-E72D297353CC}">
              <c16:uniqueId val="{00000002-3154-4108-AB22-87ACB0976899}"/>
            </c:ext>
          </c:extLst>
        </c:ser>
        <c:ser>
          <c:idx val="3"/>
          <c:order val="3"/>
          <c:tx>
            <c:strRef>
              <c:f>'2LU'!$F$64</c:f>
              <c:strCache>
                <c:ptCount val="1"/>
                <c:pt idx="0">
                  <c:v>Index with lagged HCPI</c:v>
                </c:pt>
              </c:strCache>
            </c:strRef>
          </c:tx>
          <c:spPr>
            <a:ln w="28575" cap="rnd">
              <a:noFill/>
              <a:round/>
            </a:ln>
            <a:effectLst/>
          </c:spPr>
          <c:marker>
            <c:symbol val="diamond"/>
            <c:size val="7"/>
            <c:spPr>
              <a:noFill/>
              <a:ln w="25400">
                <a:solidFill>
                  <a:schemeClr val="accent4"/>
                </a:solidFill>
              </a:ln>
              <a:effectLst/>
            </c:spPr>
          </c:marker>
          <c:cat>
            <c:numRef>
              <c:extLst>
                <c:ext xmlns:c15="http://schemas.microsoft.com/office/drawing/2012/chart" uri="{02D57815-91ED-43cb-92C2-25804820EDAC}">
                  <c15:fullRef>
                    <c15:sqref>'2LU'!$B$65:$B$72</c15:sqref>
                  </c15:fullRef>
                </c:ext>
              </c:extLst>
              <c:f>'2LU'!$B$65:$B$69</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'2LU'!$F$65:$F$72</c15:sqref>
                  </c15:fullRef>
                </c:ext>
              </c:extLst>
              <c:f>'2LU'!$F$65:$F$69</c:f>
              <c:numCache>
                <c:formatCode>0.00%</c:formatCode>
                <c:ptCount val="5"/>
                <c:pt idx="4" formatCode="0.00">
                  <c:v>18.707702458795264</c:v>
                </c:pt>
              </c:numCache>
            </c:numRef>
          </c:val>
          <c:smooth val="0"/>
          <c:extLst>
            <c:ext xmlns:c16="http://schemas.microsoft.com/office/drawing/2014/chart" uri="{C3380CC4-5D6E-409C-BE32-E72D297353CC}">
              <c16:uniqueId val="{00000003-3154-4108-AB22-87ACB0976899}"/>
            </c:ext>
          </c:extLst>
        </c:ser>
        <c:ser>
          <c:idx val="4"/>
          <c:order val="4"/>
          <c:tx>
            <c:strRef>
              <c:f>'2LU'!$G$64</c:f>
              <c:strCache>
                <c:ptCount val="1"/>
                <c:pt idx="0">
                  <c:v>Index with concurrent HCPI</c:v>
                </c:pt>
              </c:strCache>
            </c:strRef>
          </c:tx>
          <c:spPr>
            <a:ln w="28575" cap="rnd">
              <a:noFill/>
              <a:round/>
            </a:ln>
            <a:effectLst/>
          </c:spPr>
          <c:marker>
            <c:symbol val="triangle"/>
            <c:size val="6"/>
            <c:spPr>
              <a:noFill/>
              <a:ln w="25400">
                <a:solidFill>
                  <a:schemeClr val="accent5">
                    <a:lumMod val="75000"/>
                  </a:schemeClr>
                </a:solidFill>
              </a:ln>
              <a:effectLst/>
            </c:spPr>
          </c:marker>
          <c:cat>
            <c:numRef>
              <c:extLst>
                <c:ext xmlns:c15="http://schemas.microsoft.com/office/drawing/2012/chart" uri="{02D57815-91ED-43cb-92C2-25804820EDAC}">
                  <c15:fullRef>
                    <c15:sqref>'2LU'!$B$65:$B$72</c15:sqref>
                  </c15:fullRef>
                </c:ext>
              </c:extLst>
              <c:f>'2LU'!$B$65:$B$69</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'2LU'!$G$65:$G$72</c15:sqref>
                  </c15:fullRef>
                </c:ext>
              </c:extLst>
              <c:f>'2LU'!$G$65:$G$69</c:f>
              <c:numCache>
                <c:formatCode>0.00%</c:formatCode>
                <c:ptCount val="5"/>
                <c:pt idx="4" formatCode="0.00">
                  <c:v>18.509964739525696</c:v>
                </c:pt>
              </c:numCache>
            </c:numRef>
          </c:val>
          <c:smooth val="0"/>
          <c:extLst>
            <c:ext xmlns:c16="http://schemas.microsoft.com/office/drawing/2014/chart" uri="{C3380CC4-5D6E-409C-BE32-E72D297353CC}">
              <c16:uniqueId val="{00000004-3154-4108-AB22-87ACB0976899}"/>
            </c:ext>
          </c:extLst>
        </c:ser>
        <c:dLbls>
          <c:showLegendKey val="0"/>
          <c:showVal val="0"/>
          <c:showCatName val="0"/>
          <c:showSerName val="0"/>
          <c:showPercent val="0"/>
          <c:showBubbleSize val="0"/>
        </c:dLbls>
        <c:marker val="1"/>
        <c:smooth val="0"/>
        <c:axId val="709475840"/>
        <c:axId val="605168576"/>
        <c:extLst/>
      </c:lineChart>
      <c:catAx>
        <c:axId val="709475840"/>
        <c:scaling>
          <c:orientation val="minMax"/>
        </c:scaling>
        <c:delete val="0"/>
        <c:axPos val="b"/>
        <c:numFmt formatCode="General" sourceLinked="1"/>
        <c:majorTickMark val="out"/>
        <c:minorTickMark val="none"/>
        <c:tickLblPos val="nextTo"/>
        <c:spPr>
          <a:noFill/>
          <a:ln w="635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mn-cs"/>
              </a:defRPr>
            </a:pPr>
            <a:endParaRPr lang="es-ES_tradnl"/>
          </a:p>
        </c:txPr>
        <c:crossAx val="605168576"/>
        <c:crosses val="autoZero"/>
        <c:auto val="1"/>
        <c:lblAlgn val="ctr"/>
        <c:lblOffset val="100"/>
        <c:noMultiLvlLbl val="0"/>
      </c:catAx>
      <c:valAx>
        <c:axId val="6051685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s-ES_tradnl" sz="1050">
                    <a:solidFill>
                      <a:sysClr val="windowText" lastClr="000000"/>
                    </a:solidFill>
                    <a:latin typeface="Times New Roman" panose="02020603050405020304" pitchFamily="18" charset="0"/>
                    <a:cs typeface="Times New Roman" panose="02020603050405020304" pitchFamily="18" charset="0"/>
                  </a:rPr>
                  <a:t>Rate</a:t>
                </a:r>
              </a:p>
            </c:rich>
          </c:tx>
          <c:overlay val="0"/>
          <c:spPr>
            <a:noFill/>
            <a:ln>
              <a:noFill/>
            </a:ln>
            <a:effectLst/>
          </c:spPr>
          <c:txPr>
            <a:bodyPr rot="-5400000" spcFirstLastPara="1" vertOverflow="ellipsis" vert="horz" wrap="square" anchor="ctr" anchorCtr="1"/>
            <a:lstStyle/>
            <a:p>
              <a:pPr>
                <a:defRPr sz="10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title>
        <c:numFmt formatCode="#,##0.0" sourceLinked="0"/>
        <c:majorTickMark val="out"/>
        <c:minorTickMark val="none"/>
        <c:tickLblPos val="nextTo"/>
        <c:spPr>
          <a:noFill/>
          <a:ln w="6350">
            <a:solidFill>
              <a:schemeClr val="tx1">
                <a:lumMod val="65000"/>
                <a:lumOff val="35000"/>
              </a:schemeClr>
            </a:solidFill>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mn-cs"/>
              </a:defRPr>
            </a:pPr>
            <a:endParaRPr lang="es-ES_tradnl"/>
          </a:p>
        </c:txPr>
        <c:crossAx val="709475840"/>
        <c:crosses val="autoZero"/>
        <c:crossBetween val="between"/>
      </c:valAx>
      <c:spPr>
        <a:noFill/>
        <a:ln>
          <a:noFill/>
        </a:ln>
        <a:effectLst/>
      </c:spPr>
    </c:plotArea>
    <c:legend>
      <c:legendPos val="b"/>
      <c:layout>
        <c:manualLayout>
          <c:xMode val="edge"/>
          <c:yMode val="edge"/>
          <c:x val="8.1926620958132398E-2"/>
          <c:y val="0.78900773467278962"/>
          <c:w val="0.8223310520657221"/>
          <c:h val="0.1997652991480407"/>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legend>
    <c:plotVisOnly val="1"/>
    <c:dispBlanksAs val="gap"/>
    <c:showDLblsOverMax val="0"/>
  </c:chart>
  <c:spPr>
    <a:solidFill>
      <a:schemeClr val="bg1"/>
    </a:solidFill>
    <a:ln w="9525" cap="flat" cmpd="sng" algn="ctr">
      <a:noFill/>
      <a:round/>
    </a:ln>
    <a:effectLst/>
  </c:spPr>
  <c:txPr>
    <a:bodyPr/>
    <a:lstStyle/>
    <a:p>
      <a:pPr>
        <a:defRPr/>
      </a:pPr>
      <a:endParaRPr lang="es-ES_tradnl"/>
    </a:p>
  </c:txPr>
  <c:printSettings>
    <c:headerFooter/>
    <c:pageMargins b="0.75" l="0.84" r="0.25" t="0.75" header="0.3" footer="0.3"/>
    <c:pageSetup paperSize="9" orientation="landscape"/>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457409308717575"/>
          <c:y val="4.6087571003560986E-2"/>
          <c:w val="0.82558175067451101"/>
          <c:h val="0.64272676146640684"/>
        </c:manualLayout>
      </c:layout>
      <c:lineChart>
        <c:grouping val="standard"/>
        <c:varyColors val="0"/>
        <c:ser>
          <c:idx val="1"/>
          <c:order val="0"/>
          <c:tx>
            <c:strRef>
              <c:f>'2LU'!$W$45</c:f>
              <c:strCache>
                <c:ptCount val="1"/>
                <c:pt idx="0">
                  <c:v>Observed (National Accounts)</c:v>
                </c:pt>
              </c:strCache>
            </c:strRef>
          </c:tx>
          <c:spPr>
            <a:ln w="25400" cap="rnd">
              <a:solidFill>
                <a:schemeClr val="tx1">
                  <a:lumMod val="65000"/>
                  <a:lumOff val="35000"/>
                </a:schemeClr>
              </a:solidFill>
              <a:prstDash val="sysDash"/>
              <a:round/>
            </a:ln>
            <a:effectLst/>
          </c:spPr>
          <c:marker>
            <c:symbol val="none"/>
          </c:marker>
          <c:cat>
            <c:numRef>
              <c:extLst>
                <c:ext xmlns:c15="http://schemas.microsoft.com/office/drawing/2012/chart" uri="{02D57815-91ED-43cb-92C2-25804820EDAC}">
                  <c15:fullRef>
                    <c15:sqref>'2LU'!$U$46:$U$53</c15:sqref>
                  </c15:fullRef>
                </c:ext>
              </c:extLst>
              <c:f>'2LU'!$U$46:$U$50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'2LU'!$W$46:$W$53</c15:sqref>
                  </c15:fullRef>
                </c:ext>
              </c:extLst>
              <c:f>'2LU'!$W$46:$W$50</c:f>
              <c:numCache>
                <c:formatCode>0.0%</c:formatCode>
                <c:ptCount val="5"/>
                <c:pt idx="0">
                  <c:v>7.1737250128139418E-2</c:v>
                </c:pt>
                <c:pt idx="1">
                  <c:v>7.3760926167007621E-2</c:v>
                </c:pt>
                <c:pt idx="2">
                  <c:v>7.6432401431710456E-2</c:v>
                </c:pt>
                <c:pt idx="3">
                  <c:v>7.820976666795651E-2</c:v>
                </c:pt>
                <c:pt idx="4">
                  <c:v>8.7322847055856759E-2</c:v>
                </c:pt>
              </c:numCache>
            </c:numRef>
          </c:val>
          <c:smooth val="0"/>
          <c:extLst>
            <c:ext xmlns:c16="http://schemas.microsoft.com/office/drawing/2014/chart" uri="{C3380CC4-5D6E-409C-BE32-E72D297353CC}">
              <c16:uniqueId val="{00000000-59A4-4CC1-B51A-6B61AD80F296}"/>
            </c:ext>
          </c:extLst>
        </c:ser>
        <c:ser>
          <c:idx val="0"/>
          <c:order val="1"/>
          <c:tx>
            <c:strRef>
              <c:f>'2LU'!$V$45</c:f>
              <c:strCache>
                <c:ptCount val="1"/>
                <c:pt idx="0">
                  <c:v>Baseline simulation (before reescaling)</c:v>
                </c:pt>
              </c:strCache>
            </c:strRef>
          </c:tx>
          <c:spPr>
            <a:ln w="25400" cap="rnd">
              <a:noFill/>
              <a:round/>
            </a:ln>
            <a:effectLst/>
          </c:spPr>
          <c:marker>
            <c:symbol val="circle"/>
            <c:size val="8"/>
            <c:spPr>
              <a:solidFill>
                <a:schemeClr val="bg1">
                  <a:lumMod val="85000"/>
                </a:schemeClr>
              </a:solidFill>
              <a:ln w="25400">
                <a:noFill/>
              </a:ln>
              <a:effectLst/>
            </c:spPr>
          </c:marker>
          <c:cat>
            <c:numRef>
              <c:extLst>
                <c:ext xmlns:c15="http://schemas.microsoft.com/office/drawing/2012/chart" uri="{02D57815-91ED-43cb-92C2-25804820EDAC}">
                  <c15:fullRef>
                    <c15:sqref>'2LU'!$U$46:$U$53</c15:sqref>
                  </c15:fullRef>
                </c:ext>
              </c:extLst>
              <c:f>'2LU'!$U$46:$U$50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'2LU'!$V$46:$V$53</c15:sqref>
                  </c15:fullRef>
                </c:ext>
              </c:extLst>
              <c:f>'2LU'!$V$46:$V$50</c:f>
              <c:numCache>
                <c:formatCode>0.0%</c:formatCode>
                <c:ptCount val="5"/>
                <c:pt idx="0">
                  <c:v>7.0594610991927265E-2</c:v>
                </c:pt>
                <c:pt idx="1">
                  <c:v>6.9494458031709103E-2</c:v>
                </c:pt>
                <c:pt idx="2">
                  <c:v>6.801698629182544E-2</c:v>
                </c:pt>
                <c:pt idx="3">
                  <c:v>6.6311918072050488E-2</c:v>
                </c:pt>
                <c:pt idx="4">
                  <c:v>6.5025764440867467E-2</c:v>
                </c:pt>
              </c:numCache>
            </c:numRef>
          </c:val>
          <c:smooth val="0"/>
          <c:extLst>
            <c:ext xmlns:c16="http://schemas.microsoft.com/office/drawing/2014/chart" uri="{C3380CC4-5D6E-409C-BE32-E72D297353CC}">
              <c16:uniqueId val="{00000001-59A4-4CC1-B51A-6B61AD80F296}"/>
            </c:ext>
          </c:extLst>
        </c:ser>
        <c:ser>
          <c:idx val="3"/>
          <c:order val="2"/>
          <c:tx>
            <c:strRef>
              <c:f>'2LU'!$Y$45</c:f>
              <c:strCache>
                <c:ptCount val="1"/>
                <c:pt idx="0">
                  <c:v>Baseline simulation (after reescaling)</c:v>
                </c:pt>
              </c:strCache>
            </c:strRef>
          </c:tx>
          <c:spPr>
            <a:ln w="25400" cap="rnd">
              <a:noFill/>
              <a:round/>
            </a:ln>
            <a:effectLst/>
          </c:spPr>
          <c:marker>
            <c:symbol val="circle"/>
            <c:size val="7"/>
            <c:spPr>
              <a:solidFill>
                <a:schemeClr val="tx1"/>
              </a:solidFill>
              <a:ln w="9525">
                <a:solidFill>
                  <a:schemeClr val="tx1"/>
                </a:solidFill>
              </a:ln>
              <a:effectLst/>
            </c:spPr>
          </c:marker>
          <c:cat>
            <c:numRef>
              <c:extLst>
                <c:ext xmlns:c15="http://schemas.microsoft.com/office/drawing/2012/chart" uri="{02D57815-91ED-43cb-92C2-25804820EDAC}">
                  <c15:fullRef>
                    <c15:sqref>'2LU'!$U$46:$U$53</c15:sqref>
                  </c15:fullRef>
                </c:ext>
              </c:extLst>
              <c:f>'2LU'!$U$46:$U$50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'2LU'!$Y$46:$Y$53</c15:sqref>
                  </c15:fullRef>
                </c:ext>
              </c:extLst>
              <c:f>'2LU'!$Y$46:$Y$50</c:f>
              <c:numCache>
                <c:formatCode>0.0%</c:formatCode>
                <c:ptCount val="5"/>
                <c:pt idx="0">
                  <c:v>7.1737250128139418E-2</c:v>
                </c:pt>
                <c:pt idx="4">
                  <c:v>8.7322847055856759E-2</c:v>
                </c:pt>
              </c:numCache>
            </c:numRef>
          </c:val>
          <c:smooth val="0"/>
          <c:extLst>
            <c:ext xmlns:c16="http://schemas.microsoft.com/office/drawing/2014/chart" uri="{C3380CC4-5D6E-409C-BE32-E72D297353CC}">
              <c16:uniqueId val="{00000002-59A4-4CC1-B51A-6B61AD80F296}"/>
            </c:ext>
          </c:extLst>
        </c:ser>
        <c:ser>
          <c:idx val="4"/>
          <c:order val="3"/>
          <c:tx>
            <c:strRef>
              <c:f>'2LU'!$Z$45</c:f>
              <c:strCache>
                <c:ptCount val="1"/>
                <c:pt idx="0">
                  <c:v>Unchanged legislation since 2019/2023</c:v>
                </c:pt>
              </c:strCache>
            </c:strRef>
          </c:tx>
          <c:spPr>
            <a:ln w="25400" cap="rnd">
              <a:noFill/>
              <a:round/>
            </a:ln>
            <a:effectLst/>
          </c:spPr>
          <c:marker>
            <c:symbol val="circle"/>
            <c:size val="6"/>
            <c:spPr>
              <a:noFill/>
              <a:ln w="25400">
                <a:solidFill>
                  <a:srgbClr val="C00000"/>
                </a:solidFill>
              </a:ln>
              <a:effectLst/>
            </c:spPr>
          </c:marker>
          <c:cat>
            <c:numRef>
              <c:extLst>
                <c:ext xmlns:c15="http://schemas.microsoft.com/office/drawing/2012/chart" uri="{02D57815-91ED-43cb-92C2-25804820EDAC}">
                  <c15:fullRef>
                    <c15:sqref>'2LU'!$U$46:$U$53</c15:sqref>
                  </c15:fullRef>
                </c:ext>
              </c:extLst>
              <c:f>'2LU'!$U$46:$U$50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'2LU'!$Z$46:$Z$53</c15:sqref>
                  </c15:fullRef>
                </c:ext>
              </c:extLst>
              <c:f>'2LU'!$Z$46:$Z$50</c:f>
              <c:numCache>
                <c:formatCode>0.0%</c:formatCode>
                <c:ptCount val="5"/>
                <c:pt idx="4">
                  <c:v>0.10047265124362349</c:v>
                </c:pt>
              </c:numCache>
            </c:numRef>
          </c:val>
          <c:smooth val="0"/>
          <c:extLst>
            <c:ext xmlns:c16="http://schemas.microsoft.com/office/drawing/2014/chart" uri="{C3380CC4-5D6E-409C-BE32-E72D297353CC}">
              <c16:uniqueId val="{00000003-59A4-4CC1-B51A-6B61AD80F296}"/>
            </c:ext>
          </c:extLst>
        </c:ser>
        <c:ser>
          <c:idx val="5"/>
          <c:order val="4"/>
          <c:tx>
            <c:strRef>
              <c:f>'2LU'!$AA$45</c:f>
              <c:strCache>
                <c:ptCount val="1"/>
                <c:pt idx="0">
                  <c:v>Indexing with tax base growth</c:v>
                </c:pt>
              </c:strCache>
            </c:strRef>
          </c:tx>
          <c:spPr>
            <a:ln w="25400" cap="rnd">
              <a:noFill/>
              <a:round/>
            </a:ln>
            <a:effectLst/>
          </c:spPr>
          <c:marker>
            <c:symbol val="square"/>
            <c:size val="5"/>
            <c:spPr>
              <a:noFill/>
              <a:ln w="25400">
                <a:solidFill>
                  <a:schemeClr val="accent6">
                    <a:lumMod val="75000"/>
                  </a:schemeClr>
                </a:solidFill>
              </a:ln>
              <a:effectLst/>
            </c:spPr>
          </c:marker>
          <c:cat>
            <c:numRef>
              <c:extLst>
                <c:ext xmlns:c15="http://schemas.microsoft.com/office/drawing/2012/chart" uri="{02D57815-91ED-43cb-92C2-25804820EDAC}">
                  <c15:fullRef>
                    <c15:sqref>'2LU'!$U$46:$U$53</c15:sqref>
                  </c15:fullRef>
                </c:ext>
              </c:extLst>
              <c:f>'2LU'!$U$46:$U$50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'2LU'!$AA$46:$AA$53</c15:sqref>
                  </c15:fullRef>
                </c:ext>
              </c:extLst>
              <c:f>'2LU'!$AA$46:$AA$50</c:f>
              <c:numCache>
                <c:formatCode>0.0%</c:formatCode>
                <c:ptCount val="5"/>
                <c:pt idx="4">
                  <c:v>8.7814610258598644E-2</c:v>
                </c:pt>
              </c:numCache>
            </c:numRef>
          </c:val>
          <c:smooth val="0"/>
          <c:extLst>
            <c:ext xmlns:c16="http://schemas.microsoft.com/office/drawing/2014/chart" uri="{C3380CC4-5D6E-409C-BE32-E72D297353CC}">
              <c16:uniqueId val="{00000004-59A4-4CC1-B51A-6B61AD80F296}"/>
            </c:ext>
          </c:extLst>
        </c:ser>
        <c:ser>
          <c:idx val="6"/>
          <c:order val="5"/>
          <c:tx>
            <c:strRef>
              <c:f>'2LU'!$AB$45</c:f>
              <c:strCache>
                <c:ptCount val="1"/>
                <c:pt idx="0">
                  <c:v>Indexing with lagged HCPI</c:v>
                </c:pt>
              </c:strCache>
            </c:strRef>
          </c:tx>
          <c:spPr>
            <a:ln w="25400" cap="rnd">
              <a:noFill/>
              <a:round/>
            </a:ln>
            <a:effectLst/>
          </c:spPr>
          <c:marker>
            <c:symbol val="diamond"/>
            <c:size val="6"/>
            <c:spPr>
              <a:noFill/>
              <a:ln w="25400">
                <a:solidFill>
                  <a:schemeClr val="accent4"/>
                </a:solidFill>
              </a:ln>
              <a:effectLst/>
            </c:spPr>
          </c:marker>
          <c:cat>
            <c:numRef>
              <c:extLst>
                <c:ext xmlns:c15="http://schemas.microsoft.com/office/drawing/2012/chart" uri="{02D57815-91ED-43cb-92C2-25804820EDAC}">
                  <c15:fullRef>
                    <c15:sqref>'2LU'!$U$46:$U$53</c15:sqref>
                  </c15:fullRef>
                </c:ext>
              </c:extLst>
              <c:f>'2LU'!$U$46:$U$50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'2LU'!$AB$46:$AB$53</c15:sqref>
                  </c15:fullRef>
                </c:ext>
              </c:extLst>
              <c:f>'2LU'!$AB$46:$AB$50</c:f>
              <c:numCache>
                <c:formatCode>0.0%</c:formatCode>
                <c:ptCount val="5"/>
                <c:pt idx="4">
                  <c:v>9.0760045611456341E-2</c:v>
                </c:pt>
              </c:numCache>
            </c:numRef>
          </c:val>
          <c:smooth val="0"/>
          <c:extLst>
            <c:ext xmlns:c16="http://schemas.microsoft.com/office/drawing/2014/chart" uri="{C3380CC4-5D6E-409C-BE32-E72D297353CC}">
              <c16:uniqueId val="{00000005-59A4-4CC1-B51A-6B61AD80F296}"/>
            </c:ext>
          </c:extLst>
        </c:ser>
        <c:ser>
          <c:idx val="7"/>
          <c:order val="6"/>
          <c:tx>
            <c:strRef>
              <c:f>'2LU'!$AC$45</c:f>
              <c:strCache>
                <c:ptCount val="1"/>
                <c:pt idx="0">
                  <c:v>Indexing with concurrent HCPI</c:v>
                </c:pt>
              </c:strCache>
            </c:strRef>
          </c:tx>
          <c:spPr>
            <a:ln w="25400" cap="rnd">
              <a:noFill/>
              <a:round/>
            </a:ln>
            <a:effectLst/>
          </c:spPr>
          <c:marker>
            <c:symbol val="triangle"/>
            <c:size val="6"/>
            <c:spPr>
              <a:noFill/>
              <a:ln w="25400">
                <a:solidFill>
                  <a:schemeClr val="accent5">
                    <a:lumMod val="75000"/>
                  </a:schemeClr>
                </a:solidFill>
              </a:ln>
              <a:effectLst/>
            </c:spPr>
          </c:marker>
          <c:cat>
            <c:numRef>
              <c:extLst>
                <c:ext xmlns:c15="http://schemas.microsoft.com/office/drawing/2012/chart" uri="{02D57815-91ED-43cb-92C2-25804820EDAC}">
                  <c15:fullRef>
                    <c15:sqref>'2LU'!$U$46:$U$53</c15:sqref>
                  </c15:fullRef>
                </c:ext>
              </c:extLst>
              <c:f>'2LU'!$U$46:$U$50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'2LU'!$AC$46:$AC$53</c15:sqref>
                  </c15:fullRef>
                </c:ext>
              </c:extLst>
              <c:f>'2LU'!$AC$46:$AC$50</c:f>
              <c:numCache>
                <c:formatCode>0.0%</c:formatCode>
                <c:ptCount val="5"/>
                <c:pt idx="4">
                  <c:v>8.9800725007574606E-2</c:v>
                </c:pt>
              </c:numCache>
            </c:numRef>
          </c:val>
          <c:smooth val="0"/>
          <c:extLst>
            <c:ext xmlns:c16="http://schemas.microsoft.com/office/drawing/2014/chart" uri="{C3380CC4-5D6E-409C-BE32-E72D297353CC}">
              <c16:uniqueId val="{00000006-59A4-4CC1-B51A-6B61AD80F296}"/>
            </c:ext>
          </c:extLst>
        </c:ser>
        <c:dLbls>
          <c:showLegendKey val="0"/>
          <c:showVal val="0"/>
          <c:showCatName val="0"/>
          <c:showSerName val="0"/>
          <c:showPercent val="0"/>
          <c:showBubbleSize val="0"/>
        </c:dLbls>
        <c:smooth val="0"/>
        <c:axId val="709475840"/>
        <c:axId val="605168576"/>
        <c:extLst/>
      </c:lineChart>
      <c:catAx>
        <c:axId val="709475840"/>
        <c:scaling>
          <c:orientation val="minMax"/>
        </c:scaling>
        <c:delete val="0"/>
        <c:axPos val="b"/>
        <c:numFmt formatCode="General" sourceLinked="1"/>
        <c:majorTickMark val="out"/>
        <c:minorTickMark val="none"/>
        <c:tickLblPos val="nextTo"/>
        <c:spPr>
          <a:noFill/>
          <a:ln w="6350" cap="flat" cmpd="sng" algn="ctr">
            <a:solidFill>
              <a:schemeClr val="tx1"/>
            </a:solidFill>
            <a:round/>
          </a:ln>
          <a:effectLst/>
        </c:spPr>
        <c:txPr>
          <a:bodyPr rot="-60000000" spcFirstLastPara="1" vertOverflow="ellipsis" vert="horz" wrap="square" anchor="ctr" anchorCtr="1"/>
          <a:lstStyle/>
          <a:p>
            <a:pPr>
              <a:defRPr sz="950" b="0" i="0" u="none" strike="noStrike" kern="1200" baseline="0">
                <a:solidFill>
                  <a:schemeClr val="tx1"/>
                </a:solidFill>
                <a:latin typeface="Times New Roman" panose="02020603050405020304" pitchFamily="18" charset="0"/>
                <a:ea typeface="+mn-ea"/>
                <a:cs typeface="+mn-cs"/>
              </a:defRPr>
            </a:pPr>
            <a:endParaRPr lang="es-ES_tradnl"/>
          </a:p>
        </c:txPr>
        <c:crossAx val="605168576"/>
        <c:crosses val="autoZero"/>
        <c:auto val="1"/>
        <c:lblAlgn val="ctr"/>
        <c:lblOffset val="100"/>
        <c:noMultiLvlLbl val="0"/>
      </c:catAx>
      <c:valAx>
        <c:axId val="6051685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s-ES_tradnl" sz="1050">
                    <a:solidFill>
                      <a:sysClr val="windowText" lastClr="000000"/>
                    </a:solidFill>
                    <a:latin typeface="Times New Roman" panose="02020603050405020304" pitchFamily="18" charset="0"/>
                    <a:cs typeface="Times New Roman" panose="02020603050405020304" pitchFamily="18" charset="0"/>
                  </a:rPr>
                  <a:t>Share of GDP</a:t>
                </a:r>
              </a:p>
            </c:rich>
          </c:tx>
          <c:overlay val="0"/>
          <c:spPr>
            <a:noFill/>
            <a:ln>
              <a:noFill/>
            </a:ln>
            <a:effectLst/>
          </c:spPr>
        </c:title>
        <c:numFmt formatCode="0%" sourceLinked="0"/>
        <c:majorTickMark val="out"/>
        <c:minorTickMark val="none"/>
        <c:tickLblPos val="nextTo"/>
        <c:spPr>
          <a:noFill/>
          <a:ln w="6350">
            <a:solidFill>
              <a:schemeClr val="tx1">
                <a:lumMod val="65000"/>
                <a:lumOff val="35000"/>
              </a:schemeClr>
            </a:solidFill>
          </a:ln>
          <a:effectLst/>
        </c:spPr>
        <c:txPr>
          <a:bodyPr rot="-60000000" spcFirstLastPara="1" vertOverflow="ellipsis" vert="horz" wrap="square" anchor="ctr" anchorCtr="1"/>
          <a:lstStyle/>
          <a:p>
            <a:pPr>
              <a:defRPr sz="950" b="0" i="0" u="none" strike="noStrike" kern="1200" baseline="0">
                <a:solidFill>
                  <a:schemeClr val="tx1"/>
                </a:solidFill>
                <a:latin typeface="Times New Roman" panose="02020603050405020304" pitchFamily="18" charset="0"/>
                <a:ea typeface="+mn-ea"/>
                <a:cs typeface="+mn-cs"/>
              </a:defRPr>
            </a:pPr>
            <a:endParaRPr lang="es-ES_tradnl"/>
          </a:p>
        </c:txPr>
        <c:crossAx val="709475840"/>
        <c:crosses val="autoZero"/>
        <c:crossBetween val="between"/>
      </c:valAx>
    </c:plotArea>
    <c:legend>
      <c:legendPos val="b"/>
      <c:layout>
        <c:manualLayout>
          <c:xMode val="edge"/>
          <c:yMode val="edge"/>
          <c:x val="0"/>
          <c:y val="0.80216933512597055"/>
          <c:w val="1"/>
          <c:h val="0.19783066487402948"/>
        </c:manualLayout>
      </c:layout>
      <c:overlay val="0"/>
      <c:spPr>
        <a:noFill/>
        <a:ln>
          <a:noFill/>
        </a:ln>
        <a:effectLst/>
      </c:spPr>
      <c:txPr>
        <a:bodyPr rot="0" spcFirstLastPara="1" vertOverflow="ellipsis" vert="horz" wrap="square" anchor="ctr" anchorCtr="1"/>
        <a:lstStyle/>
        <a:p>
          <a:pPr>
            <a:defRPr sz="9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legend>
    <c:plotVisOnly val="1"/>
    <c:dispBlanksAs val="gap"/>
    <c:showDLblsOverMax val="0"/>
  </c:chart>
  <c:spPr>
    <a:solidFill>
      <a:schemeClr val="bg1"/>
    </a:solidFill>
    <a:ln w="9525" cap="flat" cmpd="sng" algn="ctr">
      <a:noFill/>
      <a:round/>
    </a:ln>
    <a:effectLst/>
  </c:spPr>
  <c:txPr>
    <a:bodyPr/>
    <a:lstStyle/>
    <a:p>
      <a:pPr>
        <a:defRPr/>
      </a:pPr>
      <a:endParaRPr lang="es-ES_tradnl"/>
    </a:p>
  </c:txPr>
  <c:printSettings>
    <c:headerFooter/>
    <c:pageMargins b="0.75" l="0.25" r="0.25" t="0.75" header="0.3" footer="0.3"/>
    <c:pageSetup paperSize="9" orientation="landscape"/>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457409308717575"/>
          <c:y val="4.6087571003560986E-2"/>
          <c:w val="0.82558175067451101"/>
          <c:h val="0.64272676146640684"/>
        </c:manualLayout>
      </c:layout>
      <c:lineChart>
        <c:grouping val="standard"/>
        <c:varyColors val="0"/>
        <c:ser>
          <c:idx val="1"/>
          <c:order val="0"/>
          <c:tx>
            <c:strRef>
              <c:f>'2LV'!$D$45</c:f>
              <c:strCache>
                <c:ptCount val="1"/>
                <c:pt idx="0">
                  <c:v>Observed (National Accounts)</c:v>
                </c:pt>
              </c:strCache>
            </c:strRef>
          </c:tx>
          <c:spPr>
            <a:ln w="25400" cap="rnd">
              <a:solidFill>
                <a:schemeClr val="tx1">
                  <a:lumMod val="65000"/>
                  <a:lumOff val="35000"/>
                </a:schemeClr>
              </a:solidFill>
              <a:prstDash val="sysDash"/>
              <a:round/>
            </a:ln>
            <a:effectLst/>
          </c:spPr>
          <c:marker>
            <c:symbol val="none"/>
          </c:marker>
          <c:cat>
            <c:numRef>
              <c:extLst>
                <c:ext xmlns:c15="http://schemas.microsoft.com/office/drawing/2012/chart" uri="{02D57815-91ED-43cb-92C2-25804820EDAC}">
                  <c15:fullRef>
                    <c15:sqref>'2LV'!$B$46:$B$53</c15:sqref>
                  </c15:fullRef>
                </c:ext>
              </c:extLst>
              <c:f>'2LV'!$B$46:$B$50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'2LV'!$D$46:$D$53</c15:sqref>
                  </c15:fullRef>
                </c:ext>
              </c:extLst>
              <c:f>'2LV'!$D$46:$D$50</c:f>
              <c:numCache>
                <c:formatCode>_-* #,##0_-;\-* #,##0_-;_-* "-"??_-;_-@_-</c:formatCode>
                <c:ptCount val="5"/>
                <c:pt idx="0">
                  <c:v>1977.5350000000003</c:v>
                </c:pt>
                <c:pt idx="1">
                  <c:v>1803.8730000000003</c:v>
                </c:pt>
                <c:pt idx="2">
                  <c:v>2007.9670000000001</c:v>
                </c:pt>
                <c:pt idx="3">
                  <c:v>2264.4889999999996</c:v>
                </c:pt>
                <c:pt idx="4">
                  <c:v>2522.1579999999999</c:v>
                </c:pt>
              </c:numCache>
            </c:numRef>
          </c:val>
          <c:smooth val="0"/>
          <c:extLst>
            <c:ext xmlns:c16="http://schemas.microsoft.com/office/drawing/2014/chart" uri="{C3380CC4-5D6E-409C-BE32-E72D297353CC}">
              <c16:uniqueId val="{00000000-EDE1-4B8E-BFD6-1F3299E00CE8}"/>
            </c:ext>
          </c:extLst>
        </c:ser>
        <c:ser>
          <c:idx val="0"/>
          <c:order val="1"/>
          <c:tx>
            <c:strRef>
              <c:f>'2LV'!$C$45</c:f>
              <c:strCache>
                <c:ptCount val="1"/>
                <c:pt idx="0">
                  <c:v>Baseline simulation (before reescaling)</c:v>
                </c:pt>
              </c:strCache>
            </c:strRef>
          </c:tx>
          <c:spPr>
            <a:ln w="25400" cap="rnd">
              <a:noFill/>
              <a:round/>
            </a:ln>
            <a:effectLst/>
          </c:spPr>
          <c:marker>
            <c:symbol val="circle"/>
            <c:size val="8"/>
            <c:spPr>
              <a:solidFill>
                <a:schemeClr val="bg1">
                  <a:lumMod val="85000"/>
                </a:schemeClr>
              </a:solidFill>
              <a:ln w="25400">
                <a:noFill/>
              </a:ln>
              <a:effectLst/>
            </c:spPr>
          </c:marker>
          <c:cat>
            <c:numRef>
              <c:extLst>
                <c:ext xmlns:c15="http://schemas.microsoft.com/office/drawing/2012/chart" uri="{02D57815-91ED-43cb-92C2-25804820EDAC}">
                  <c15:fullRef>
                    <c15:sqref>'2LV'!$B$46:$B$53</c15:sqref>
                  </c15:fullRef>
                </c:ext>
              </c:extLst>
              <c:f>'2LV'!$B$46:$B$50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'2LV'!$C$46:$C$53</c15:sqref>
                  </c15:fullRef>
                </c:ext>
              </c:extLst>
              <c:f>'2LV'!$C$46:$C$50</c:f>
              <c:numCache>
                <c:formatCode>_-* #,##0_-;\-* #,##0_-;_-* "-"??_-;_-@_-</c:formatCode>
                <c:ptCount val="5"/>
                <c:pt idx="0">
                  <c:v>2125.9473162587938</c:v>
                </c:pt>
                <c:pt idx="1">
                  <c:v>2167.0392907980049</c:v>
                </c:pt>
                <c:pt idx="2">
                  <c:v>2334.8742829848029</c:v>
                </c:pt>
                <c:pt idx="3">
                  <c:v>2505.7926651059975</c:v>
                </c:pt>
                <c:pt idx="4">
                  <c:v>2784.6544772999964</c:v>
                </c:pt>
              </c:numCache>
            </c:numRef>
          </c:val>
          <c:smooth val="0"/>
          <c:extLst>
            <c:ext xmlns:c16="http://schemas.microsoft.com/office/drawing/2014/chart" uri="{C3380CC4-5D6E-409C-BE32-E72D297353CC}">
              <c16:uniqueId val="{00000001-EDE1-4B8E-BFD6-1F3299E00CE8}"/>
            </c:ext>
          </c:extLst>
        </c:ser>
        <c:ser>
          <c:idx val="3"/>
          <c:order val="3"/>
          <c:tx>
            <c:strRef>
              <c:f>'2LV'!$F$45</c:f>
              <c:strCache>
                <c:ptCount val="1"/>
                <c:pt idx="0">
                  <c:v>Baseline simulation (after reescaling)</c:v>
                </c:pt>
              </c:strCache>
            </c:strRef>
          </c:tx>
          <c:spPr>
            <a:ln w="25400" cap="rnd">
              <a:noFill/>
              <a:round/>
            </a:ln>
            <a:effectLst/>
          </c:spPr>
          <c:marker>
            <c:symbol val="circle"/>
            <c:size val="7"/>
            <c:spPr>
              <a:solidFill>
                <a:schemeClr val="tx1"/>
              </a:solidFill>
              <a:ln w="9525">
                <a:solidFill>
                  <a:schemeClr val="tx1"/>
                </a:solidFill>
              </a:ln>
              <a:effectLst/>
            </c:spPr>
          </c:marker>
          <c:cat>
            <c:numRef>
              <c:extLst>
                <c:ext xmlns:c15="http://schemas.microsoft.com/office/drawing/2012/chart" uri="{02D57815-91ED-43cb-92C2-25804820EDAC}">
                  <c15:fullRef>
                    <c15:sqref>'2LV'!$B$46:$B$53</c15:sqref>
                  </c15:fullRef>
                </c:ext>
              </c:extLst>
              <c:f>'2LV'!$B$46:$B$50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'2LV'!$F$46:$F$53</c15:sqref>
                  </c15:fullRef>
                </c:ext>
              </c:extLst>
              <c:f>'2LV'!$F$46:$F$50</c:f>
              <c:numCache>
                <c:formatCode>General</c:formatCode>
                <c:ptCount val="5"/>
                <c:pt idx="0" formatCode="_-* #,##0_-;\-* #,##0_-;_-* &quot;-&quot;??_-;_-@_-">
                  <c:v>1977.5350000000003</c:v>
                </c:pt>
                <c:pt idx="4" formatCode="_-* #,##0_-;\-* #,##0_-;_-* &quot;-&quot;??_-;_-@_-">
                  <c:v>2522.1579999999999</c:v>
                </c:pt>
              </c:numCache>
            </c:numRef>
          </c:val>
          <c:smooth val="0"/>
          <c:extLst>
            <c:ext xmlns:c16="http://schemas.microsoft.com/office/drawing/2014/chart" uri="{C3380CC4-5D6E-409C-BE32-E72D297353CC}">
              <c16:uniqueId val="{00000002-EDE1-4B8E-BFD6-1F3299E00CE8}"/>
            </c:ext>
          </c:extLst>
        </c:ser>
        <c:ser>
          <c:idx val="4"/>
          <c:order val="4"/>
          <c:tx>
            <c:strRef>
              <c:f>'2LV'!$G$45</c:f>
              <c:strCache>
                <c:ptCount val="1"/>
                <c:pt idx="0">
                  <c:v>Unchanged legislation since 2019/2023</c:v>
                </c:pt>
              </c:strCache>
            </c:strRef>
          </c:tx>
          <c:spPr>
            <a:ln w="25400" cap="rnd">
              <a:noFill/>
              <a:round/>
            </a:ln>
            <a:effectLst/>
          </c:spPr>
          <c:marker>
            <c:symbol val="circle"/>
            <c:size val="6"/>
            <c:spPr>
              <a:noFill/>
              <a:ln w="25400">
                <a:solidFill>
                  <a:srgbClr val="C00000"/>
                </a:solidFill>
              </a:ln>
              <a:effectLst/>
            </c:spPr>
          </c:marker>
          <c:cat>
            <c:numRef>
              <c:extLst>
                <c:ext xmlns:c15="http://schemas.microsoft.com/office/drawing/2012/chart" uri="{02D57815-91ED-43cb-92C2-25804820EDAC}">
                  <c15:fullRef>
                    <c15:sqref>'2LV'!$B$46:$B$53</c15:sqref>
                  </c15:fullRef>
                </c:ext>
              </c:extLst>
              <c:f>'2LV'!$B$46:$B$50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'2LV'!$G$46:$G$53</c15:sqref>
                  </c15:fullRef>
                </c:ext>
              </c:extLst>
              <c:f>'2LV'!$G$46:$G$50</c:f>
              <c:numCache>
                <c:formatCode>General</c:formatCode>
                <c:ptCount val="5"/>
                <c:pt idx="4" formatCode="_-* #,##0_-;\-* #,##0_-;_-* &quot;-&quot;??_-;_-@_-">
                  <c:v>3027.0732195413393</c:v>
                </c:pt>
              </c:numCache>
            </c:numRef>
          </c:val>
          <c:smooth val="0"/>
          <c:extLst>
            <c:ext xmlns:c16="http://schemas.microsoft.com/office/drawing/2014/chart" uri="{C3380CC4-5D6E-409C-BE32-E72D297353CC}">
              <c16:uniqueId val="{00000003-EDE1-4B8E-BFD6-1F3299E00CE8}"/>
            </c:ext>
          </c:extLst>
        </c:ser>
        <c:ser>
          <c:idx val="5"/>
          <c:order val="5"/>
          <c:tx>
            <c:strRef>
              <c:f>'2LV'!$H$45</c:f>
              <c:strCache>
                <c:ptCount val="1"/>
                <c:pt idx="0">
                  <c:v>Indexing with tax base growth</c:v>
                </c:pt>
              </c:strCache>
            </c:strRef>
          </c:tx>
          <c:spPr>
            <a:ln w="25400" cap="rnd">
              <a:noFill/>
              <a:round/>
            </a:ln>
            <a:effectLst/>
          </c:spPr>
          <c:marker>
            <c:symbol val="square"/>
            <c:size val="5"/>
            <c:spPr>
              <a:noFill/>
              <a:ln w="25400">
                <a:solidFill>
                  <a:schemeClr val="accent6">
                    <a:lumMod val="75000"/>
                  </a:schemeClr>
                </a:solidFill>
              </a:ln>
              <a:effectLst/>
            </c:spPr>
          </c:marker>
          <c:cat>
            <c:numRef>
              <c:extLst>
                <c:ext xmlns:c15="http://schemas.microsoft.com/office/drawing/2012/chart" uri="{02D57815-91ED-43cb-92C2-25804820EDAC}">
                  <c15:fullRef>
                    <c15:sqref>'2LV'!$B$46:$B$53</c15:sqref>
                  </c15:fullRef>
                </c:ext>
              </c:extLst>
              <c:f>'2LV'!$B$46:$B$50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'2LV'!$H$46:$H$53</c15:sqref>
                  </c15:fullRef>
                </c:ext>
              </c:extLst>
              <c:f>'2LV'!$H$46:$H$50</c:f>
              <c:numCache>
                <c:formatCode>General</c:formatCode>
                <c:ptCount val="5"/>
                <c:pt idx="4" formatCode="_-* #,##0_-;\-* #,##0_-;_-* &quot;-&quot;??_-;_-@_-">
                  <c:v>2686.0928452972366</c:v>
                </c:pt>
              </c:numCache>
            </c:numRef>
          </c:val>
          <c:smooth val="0"/>
          <c:extLst>
            <c:ext xmlns:c16="http://schemas.microsoft.com/office/drawing/2014/chart" uri="{C3380CC4-5D6E-409C-BE32-E72D297353CC}">
              <c16:uniqueId val="{00000004-EDE1-4B8E-BFD6-1F3299E00CE8}"/>
            </c:ext>
          </c:extLst>
        </c:ser>
        <c:ser>
          <c:idx val="6"/>
          <c:order val="6"/>
          <c:tx>
            <c:strRef>
              <c:f>'2LV'!$I$45</c:f>
              <c:strCache>
                <c:ptCount val="1"/>
                <c:pt idx="0">
                  <c:v>Indexing with lagged HCPI</c:v>
                </c:pt>
              </c:strCache>
            </c:strRef>
          </c:tx>
          <c:spPr>
            <a:ln w="25400" cap="rnd">
              <a:noFill/>
              <a:round/>
            </a:ln>
            <a:effectLst/>
          </c:spPr>
          <c:marker>
            <c:symbol val="diamond"/>
            <c:size val="6"/>
            <c:spPr>
              <a:noFill/>
              <a:ln w="25400">
                <a:solidFill>
                  <a:schemeClr val="accent4"/>
                </a:solidFill>
              </a:ln>
              <a:effectLst/>
            </c:spPr>
          </c:marker>
          <c:cat>
            <c:numRef>
              <c:extLst>
                <c:ext xmlns:c15="http://schemas.microsoft.com/office/drawing/2012/chart" uri="{02D57815-91ED-43cb-92C2-25804820EDAC}">
                  <c15:fullRef>
                    <c15:sqref>'2LV'!$B$46:$B$53</c15:sqref>
                  </c15:fullRef>
                </c:ext>
              </c:extLst>
              <c:f>'2LV'!$B$46:$B$50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'2LV'!$I$46:$I$53</c15:sqref>
                  </c15:fullRef>
                </c:ext>
              </c:extLst>
              <c:f>'2LV'!$I$46:$I$50</c:f>
              <c:numCache>
                <c:formatCode>General</c:formatCode>
                <c:ptCount val="5"/>
                <c:pt idx="4" formatCode="_-* #,##0_-;\-* #,##0_-;_-* &quot;-&quot;??_-;_-@_-">
                  <c:v>2814.0343509323102</c:v>
                </c:pt>
              </c:numCache>
            </c:numRef>
          </c:val>
          <c:smooth val="0"/>
          <c:extLst>
            <c:ext xmlns:c16="http://schemas.microsoft.com/office/drawing/2014/chart" uri="{C3380CC4-5D6E-409C-BE32-E72D297353CC}">
              <c16:uniqueId val="{00000005-EDE1-4B8E-BFD6-1F3299E00CE8}"/>
            </c:ext>
          </c:extLst>
        </c:ser>
        <c:ser>
          <c:idx val="7"/>
          <c:order val="7"/>
          <c:tx>
            <c:strRef>
              <c:f>'2LV'!$J$45</c:f>
              <c:strCache>
                <c:ptCount val="1"/>
                <c:pt idx="0">
                  <c:v>Indexing with concurrent HCPI</c:v>
                </c:pt>
              </c:strCache>
            </c:strRef>
          </c:tx>
          <c:spPr>
            <a:ln w="25400" cap="rnd">
              <a:noFill/>
              <a:round/>
            </a:ln>
            <a:effectLst/>
          </c:spPr>
          <c:marker>
            <c:symbol val="triangle"/>
            <c:size val="6"/>
            <c:spPr>
              <a:noFill/>
              <a:ln w="25400">
                <a:solidFill>
                  <a:schemeClr val="accent5">
                    <a:lumMod val="75000"/>
                  </a:schemeClr>
                </a:solidFill>
              </a:ln>
              <a:effectLst/>
            </c:spPr>
          </c:marker>
          <c:cat>
            <c:numRef>
              <c:extLst>
                <c:ext xmlns:c15="http://schemas.microsoft.com/office/drawing/2012/chart" uri="{02D57815-91ED-43cb-92C2-25804820EDAC}">
                  <c15:fullRef>
                    <c15:sqref>'2LV'!$B$46:$B$53</c15:sqref>
                  </c15:fullRef>
                </c:ext>
              </c:extLst>
              <c:f>'2LV'!$B$46:$B$50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'2LV'!$J$46:$J$53</c15:sqref>
                  </c15:fullRef>
                </c:ext>
              </c:extLst>
              <c:f>'2LV'!$J$46:$J$50</c:f>
              <c:numCache>
                <c:formatCode>General</c:formatCode>
                <c:ptCount val="5"/>
                <c:pt idx="4" formatCode="_-* #,##0_-;\-* #,##0_-;_-* &quot;-&quot;??_-;_-@_-">
                  <c:v>2748.6624611978536</c:v>
                </c:pt>
              </c:numCache>
            </c:numRef>
          </c:val>
          <c:smooth val="0"/>
          <c:extLst>
            <c:ext xmlns:c16="http://schemas.microsoft.com/office/drawing/2014/chart" uri="{C3380CC4-5D6E-409C-BE32-E72D297353CC}">
              <c16:uniqueId val="{00000006-EDE1-4B8E-BFD6-1F3299E00CE8}"/>
            </c:ext>
          </c:extLst>
        </c:ser>
        <c:ser>
          <c:idx val="8"/>
          <c:order val="8"/>
          <c:tx>
            <c:strRef>
              <c:f>'2LV'!$K$45</c:f>
              <c:strCache>
                <c:ptCount val="1"/>
                <c:pt idx="0">
                  <c:v>Baseline w/o "indexation measures"</c:v>
                </c:pt>
              </c:strCache>
            </c:strRef>
          </c:tx>
          <c:spPr>
            <a:ln w="28575" cap="rnd">
              <a:noFill/>
              <a:round/>
            </a:ln>
            <a:effectLst/>
          </c:spPr>
          <c:marker>
            <c:symbol val="dash"/>
            <c:size val="9"/>
            <c:spPr>
              <a:solidFill>
                <a:schemeClr val="tx1">
                  <a:lumMod val="65000"/>
                  <a:lumOff val="35000"/>
                </a:schemeClr>
              </a:solidFill>
              <a:ln w="9525">
                <a:solidFill>
                  <a:schemeClr val="tx1">
                    <a:lumMod val="65000"/>
                    <a:lumOff val="35000"/>
                  </a:schemeClr>
                </a:solidFill>
              </a:ln>
              <a:effectLst/>
            </c:spPr>
          </c:marker>
          <c:cat>
            <c:strLit>
              <c:ptCount val="5"/>
              <c:pt idx="0">
                <c:v>2019</c:v>
              </c:pt>
              <c:pt idx="1">
                <c:v>2020</c:v>
              </c:pt>
              <c:pt idx="2">
                <c:v>2021</c:v>
              </c:pt>
              <c:pt idx="3">
                <c:v>2022</c:v>
              </c:pt>
              <c:pt idx="4">
                <c:v>2023</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'2LV'!$K$46:$K$53</c15:sqref>
                  </c15:fullRef>
                </c:ext>
              </c:extLst>
              <c:f>'2LV'!$K$46:$K$50</c:f>
              <c:numCache>
                <c:formatCode>General</c:formatCode>
                <c:ptCount val="5"/>
                <c:pt idx="4" formatCode="_-* #,##0_-;\-* #,##0_-;_-* &quot;-&quot;??_-;_-@_-">
                  <c:v>2522.1579999999999</c:v>
                </c:pt>
              </c:numCache>
            </c:numRef>
          </c:val>
          <c:smooth val="0"/>
          <c:extLst>
            <c:ext xmlns:c16="http://schemas.microsoft.com/office/drawing/2014/chart" uri="{C3380CC4-5D6E-409C-BE32-E72D297353CC}">
              <c16:uniqueId val="{00000007-EDE1-4B8E-BFD6-1F3299E00CE8}"/>
            </c:ext>
          </c:extLst>
        </c:ser>
        <c:dLbls>
          <c:showLegendKey val="0"/>
          <c:showVal val="0"/>
          <c:showCatName val="0"/>
          <c:showSerName val="0"/>
          <c:showPercent val="0"/>
          <c:showBubbleSize val="0"/>
        </c:dLbls>
        <c:smooth val="0"/>
        <c:axId val="709475840"/>
        <c:axId val="605168576"/>
        <c:extLst>
          <c:ext xmlns:c15="http://schemas.microsoft.com/office/drawing/2012/chart" uri="{02D57815-91ED-43cb-92C2-25804820EDAC}">
            <c15:filteredLineSeries>
              <c15:ser>
                <c:idx val="2"/>
                <c:order val="2"/>
                <c:tx>
                  <c:strRef>
                    <c:extLst>
                      <c:ext uri="{02D57815-91ED-43cb-92C2-25804820EDAC}">
                        <c15:formulaRef>
                          <c15:sqref>'2LV'!$E$45</c15:sqref>
                        </c15:formulaRef>
                      </c:ext>
                    </c:extLst>
                    <c:strCache>
                      <c:ptCount val="1"/>
                      <c:pt idx="0">
                        <c:v>Reescaling factor
</c:v>
                      </c:pt>
                    </c:strCache>
                  </c:strRef>
                </c:tx>
                <c:spPr>
                  <a:ln w="25400" cap="rnd">
                    <a:noFill/>
                    <a:round/>
                  </a:ln>
                  <a:effectLst/>
                </c:spPr>
                <c:marker>
                  <c:symbol val="circle"/>
                  <c:size val="5"/>
                  <c:spPr>
                    <a:solidFill>
                      <a:schemeClr val="accent3"/>
                    </a:solidFill>
                    <a:ln w="9525">
                      <a:solidFill>
                        <a:schemeClr val="accent3"/>
                      </a:solidFill>
                    </a:ln>
                    <a:effectLst/>
                  </c:spPr>
                </c:marker>
                <c:cat>
                  <c:numRef>
                    <c:extLst>
                      <c:ext uri="{02D57815-91ED-43cb-92C2-25804820EDAC}">
                        <c15:fullRef>
                          <c15:sqref>'2LV'!$B$46:$B$53</c15:sqref>
                        </c15:fullRef>
                        <c15:formulaRef>
                          <c15:sqref>'2LV'!$B$46:$B$50</c15:sqref>
                        </c15:formulaRef>
                      </c:ext>
                    </c:extLst>
                    <c:numCache>
                      <c:formatCode>General</c:formatCode>
                      <c:ptCount val="5"/>
                      <c:pt idx="0">
                        <c:v>2019</c:v>
                      </c:pt>
                      <c:pt idx="1">
                        <c:v>2020</c:v>
                      </c:pt>
                      <c:pt idx="2">
                        <c:v>2021</c:v>
                      </c:pt>
                      <c:pt idx="3">
                        <c:v>2022</c:v>
                      </c:pt>
                      <c:pt idx="4">
                        <c:v>2023</c:v>
                      </c:pt>
                    </c:numCache>
                  </c:numRef>
                </c:cat>
                <c:val>
                  <c:numRef>
                    <c:extLst>
                      <c:ext uri="{02D57815-91ED-43cb-92C2-25804820EDAC}">
                        <c15:fullRef>
                          <c15:sqref>'2LV'!$E$46:$E$53</c15:sqref>
                        </c15:fullRef>
                        <c15:formulaRef>
                          <c15:sqref>'2LV'!$E$46:$E$50</c15:sqref>
                        </c15:formulaRef>
                      </c:ext>
                    </c:extLst>
                    <c:numCache>
                      <c:formatCode>General</c:formatCode>
                      <c:ptCount val="5"/>
                    </c:numCache>
                  </c:numRef>
                </c:val>
                <c:smooth val="0"/>
                <c:extLst>
                  <c:ext xmlns:c16="http://schemas.microsoft.com/office/drawing/2014/chart" uri="{C3380CC4-5D6E-409C-BE32-E72D297353CC}">
                    <c16:uniqueId val="{00000008-EDE1-4B8E-BFD6-1F3299E00CE8}"/>
                  </c:ext>
                </c:extLst>
              </c15:ser>
            </c15:filteredLineSeries>
          </c:ext>
        </c:extLst>
      </c:lineChart>
      <c:catAx>
        <c:axId val="709475840"/>
        <c:scaling>
          <c:orientation val="minMax"/>
        </c:scaling>
        <c:delete val="0"/>
        <c:axPos val="b"/>
        <c:numFmt formatCode="General" sourceLinked="1"/>
        <c:majorTickMark val="out"/>
        <c:minorTickMark val="none"/>
        <c:tickLblPos val="nextTo"/>
        <c:spPr>
          <a:noFill/>
          <a:ln w="6350" cap="flat" cmpd="sng" algn="ctr">
            <a:solidFill>
              <a:schemeClr val="tx1"/>
            </a:solidFill>
            <a:round/>
          </a:ln>
          <a:effectLst/>
        </c:spPr>
        <c:txPr>
          <a:bodyPr rot="-60000000" spcFirstLastPara="1" vertOverflow="ellipsis" vert="horz" wrap="square" anchor="ctr" anchorCtr="1"/>
          <a:lstStyle/>
          <a:p>
            <a:pPr>
              <a:defRPr sz="950" b="0" i="0" u="none" strike="noStrike" kern="1200" baseline="0">
                <a:solidFill>
                  <a:schemeClr val="tx1"/>
                </a:solidFill>
                <a:latin typeface="Times New Roman" panose="02020603050405020304" pitchFamily="18" charset="0"/>
                <a:ea typeface="+mn-ea"/>
                <a:cs typeface="+mn-cs"/>
              </a:defRPr>
            </a:pPr>
            <a:endParaRPr lang="es-ES_tradnl"/>
          </a:p>
        </c:txPr>
        <c:crossAx val="605168576"/>
        <c:crosses val="autoZero"/>
        <c:auto val="1"/>
        <c:lblAlgn val="ctr"/>
        <c:lblOffset val="100"/>
        <c:noMultiLvlLbl val="0"/>
      </c:catAx>
      <c:valAx>
        <c:axId val="605168576"/>
        <c:scaling>
          <c:orientation val="minMax"/>
          <c:min val="17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s-ES_tradnl" sz="1050">
                    <a:solidFill>
                      <a:sysClr val="windowText" lastClr="000000"/>
                    </a:solidFill>
                    <a:latin typeface="Times New Roman" panose="02020603050405020304" pitchFamily="18" charset="0"/>
                    <a:cs typeface="Times New Roman" panose="02020603050405020304" pitchFamily="18" charset="0"/>
                  </a:rPr>
                  <a:t>Million euros</a:t>
                </a:r>
              </a:p>
            </c:rich>
          </c:tx>
          <c:layout>
            <c:manualLayout>
              <c:xMode val="edge"/>
              <c:yMode val="edge"/>
              <c:x val="0"/>
              <c:y val="0.27024653144012073"/>
            </c:manualLayout>
          </c:layout>
          <c:overlay val="0"/>
          <c:spPr>
            <a:noFill/>
            <a:ln>
              <a:noFill/>
            </a:ln>
            <a:effectLst/>
          </c:spPr>
          <c:txPr>
            <a:bodyPr rot="-5400000" spcFirstLastPara="1" vertOverflow="ellipsis" vert="horz" wrap="square" anchor="ctr" anchorCtr="1"/>
            <a:lstStyle/>
            <a:p>
              <a:pPr>
                <a:defRPr sz="10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title>
        <c:numFmt formatCode="#,##0" sourceLinked="0"/>
        <c:majorTickMark val="out"/>
        <c:minorTickMark val="none"/>
        <c:tickLblPos val="nextTo"/>
        <c:spPr>
          <a:noFill/>
          <a:ln w="6350">
            <a:solidFill>
              <a:schemeClr val="tx1">
                <a:lumMod val="65000"/>
                <a:lumOff val="35000"/>
              </a:schemeClr>
            </a:solidFill>
          </a:ln>
          <a:effectLst/>
        </c:spPr>
        <c:txPr>
          <a:bodyPr rot="-60000000" spcFirstLastPara="1" vertOverflow="ellipsis" vert="horz" wrap="square" anchor="ctr" anchorCtr="1"/>
          <a:lstStyle/>
          <a:p>
            <a:pPr>
              <a:defRPr sz="950" b="0" i="0" u="none" strike="noStrike" kern="1200" baseline="0">
                <a:solidFill>
                  <a:schemeClr val="tx1"/>
                </a:solidFill>
                <a:latin typeface="Times New Roman" panose="02020603050405020304" pitchFamily="18" charset="0"/>
                <a:ea typeface="+mn-ea"/>
                <a:cs typeface="+mn-cs"/>
              </a:defRPr>
            </a:pPr>
            <a:endParaRPr lang="es-ES_tradnl"/>
          </a:p>
        </c:txPr>
        <c:crossAx val="709475840"/>
        <c:crosses val="autoZero"/>
        <c:crossBetween val="between"/>
      </c:valAx>
      <c:spPr>
        <a:noFill/>
        <a:ln>
          <a:noFill/>
        </a:ln>
        <a:effectLst/>
      </c:spPr>
    </c:plotArea>
    <c:legend>
      <c:legendPos val="b"/>
      <c:layout>
        <c:manualLayout>
          <c:xMode val="edge"/>
          <c:yMode val="edge"/>
          <c:x val="0"/>
          <c:y val="0.73648087849247201"/>
          <c:w val="1"/>
          <c:h val="0.26351912150752793"/>
        </c:manualLayout>
      </c:layout>
      <c:overlay val="0"/>
      <c:spPr>
        <a:noFill/>
        <a:ln>
          <a:noFill/>
        </a:ln>
        <a:effectLst/>
      </c:spPr>
      <c:txPr>
        <a:bodyPr rot="0" spcFirstLastPara="1" vertOverflow="ellipsis" vert="horz" wrap="square" anchor="ctr" anchorCtr="1"/>
        <a:lstStyle/>
        <a:p>
          <a:pPr>
            <a:defRPr sz="9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legend>
    <c:plotVisOnly val="1"/>
    <c:dispBlanksAs val="gap"/>
    <c:showDLblsOverMax val="0"/>
  </c:chart>
  <c:spPr>
    <a:solidFill>
      <a:schemeClr val="bg1"/>
    </a:solidFill>
    <a:ln w="9525" cap="flat" cmpd="sng" algn="ctr">
      <a:noFill/>
      <a:round/>
    </a:ln>
    <a:effectLst/>
  </c:spPr>
  <c:txPr>
    <a:bodyPr/>
    <a:lstStyle/>
    <a:p>
      <a:pPr>
        <a:defRPr/>
      </a:pPr>
      <a:endParaRPr lang="es-ES_tradnl"/>
    </a:p>
  </c:txPr>
  <c:printSettings>
    <c:headerFooter/>
    <c:pageMargins b="0.75" l="0.25" r="0.25" t="0.75" header="0.3" footer="0.3"/>
    <c:pageSetup paperSize="9" orientation="landscape"/>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457409308717575"/>
          <c:y val="4.6087571003560986E-2"/>
          <c:w val="0.82558175067451101"/>
          <c:h val="0.6515011552844524"/>
        </c:manualLayout>
      </c:layout>
      <c:lineChart>
        <c:grouping val="standard"/>
        <c:varyColors val="0"/>
        <c:ser>
          <c:idx val="1"/>
          <c:order val="0"/>
          <c:tx>
            <c:strRef>
              <c:f>'2LV'!$C$64</c:f>
              <c:strCache>
                <c:ptCount val="1"/>
                <c:pt idx="0">
                  <c:v>Baseline simulation
</c:v>
                </c:pt>
              </c:strCache>
            </c:strRef>
          </c:tx>
          <c:spPr>
            <a:ln w="28575" cap="rnd">
              <a:noFill/>
              <a:round/>
            </a:ln>
            <a:effectLst/>
          </c:spPr>
          <c:marker>
            <c:symbol val="circle"/>
            <c:size val="7"/>
            <c:spPr>
              <a:solidFill>
                <a:schemeClr val="tx1"/>
              </a:solidFill>
              <a:ln w="9525">
                <a:noFill/>
              </a:ln>
              <a:effectLst/>
            </c:spPr>
          </c:marker>
          <c:cat>
            <c:numRef>
              <c:extLst>
                <c:ext xmlns:c15="http://schemas.microsoft.com/office/drawing/2012/chart" uri="{02D57815-91ED-43cb-92C2-25804820EDAC}">
                  <c15:fullRef>
                    <c15:sqref>'2LV'!$B$65:$B$72</c15:sqref>
                  </c15:fullRef>
                </c:ext>
              </c:extLst>
              <c:f>'2LV'!$B$65:$B$69</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'2LV'!$C$65:$C$72</c15:sqref>
                  </c15:fullRef>
                </c:ext>
              </c:extLst>
              <c:f>'2LV'!$C$65:$C$69</c:f>
              <c:numCache>
                <c:formatCode>0.00</c:formatCode>
                <c:ptCount val="5"/>
                <c:pt idx="0">
                  <c:v>14.012883768418954</c:v>
                </c:pt>
                <c:pt idx="1">
                  <c:v>13.594019464813179</c:v>
                </c:pt>
                <c:pt idx="2">
                  <c:v>13.311346810123315</c:v>
                </c:pt>
                <c:pt idx="3">
                  <c:v>12.999345665397758</c:v>
                </c:pt>
                <c:pt idx="4">
                  <c:v>13.148449627181154</c:v>
                </c:pt>
              </c:numCache>
            </c:numRef>
          </c:val>
          <c:smooth val="0"/>
          <c:extLst>
            <c:ext xmlns:c16="http://schemas.microsoft.com/office/drawing/2014/chart" uri="{C3380CC4-5D6E-409C-BE32-E72D297353CC}">
              <c16:uniqueId val="{00000000-04EE-4970-BD60-822B3867FDC1}"/>
            </c:ext>
          </c:extLst>
        </c:ser>
        <c:ser>
          <c:idx val="0"/>
          <c:order val="1"/>
          <c:tx>
            <c:strRef>
              <c:f>'2LV'!$D$64</c:f>
              <c:strCache>
                <c:ptCount val="1"/>
                <c:pt idx="0">
                  <c:v>Legislation unchanged since 2019/2023</c:v>
                </c:pt>
              </c:strCache>
            </c:strRef>
          </c:tx>
          <c:spPr>
            <a:ln w="28575" cap="rnd">
              <a:noFill/>
              <a:round/>
            </a:ln>
            <a:effectLst/>
          </c:spPr>
          <c:marker>
            <c:symbol val="circle"/>
            <c:size val="7"/>
            <c:spPr>
              <a:noFill/>
              <a:ln w="25400">
                <a:solidFill>
                  <a:srgbClr val="C00000"/>
                </a:solidFill>
              </a:ln>
              <a:effectLst/>
            </c:spPr>
          </c:marker>
          <c:cat>
            <c:numRef>
              <c:extLst>
                <c:ext xmlns:c15="http://schemas.microsoft.com/office/drawing/2012/chart" uri="{02D57815-91ED-43cb-92C2-25804820EDAC}">
                  <c15:fullRef>
                    <c15:sqref>'2LV'!$B$65:$B$72</c15:sqref>
                  </c15:fullRef>
                </c:ext>
              </c:extLst>
              <c:f>'2LV'!$B$65:$B$69</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'2LV'!$D$65:$D$72</c15:sqref>
                  </c15:fullRef>
                </c:ext>
              </c:extLst>
              <c:f>'2LV'!$D$65:$D$69</c:f>
              <c:numCache>
                <c:formatCode>0.00%</c:formatCode>
                <c:ptCount val="5"/>
                <c:pt idx="4" formatCode="0.00">
                  <c:v>15.780660745650502</c:v>
                </c:pt>
              </c:numCache>
            </c:numRef>
          </c:val>
          <c:smooth val="0"/>
          <c:extLst>
            <c:ext xmlns:c16="http://schemas.microsoft.com/office/drawing/2014/chart" uri="{C3380CC4-5D6E-409C-BE32-E72D297353CC}">
              <c16:uniqueId val="{00000001-04EE-4970-BD60-822B3867FDC1}"/>
            </c:ext>
          </c:extLst>
        </c:ser>
        <c:ser>
          <c:idx val="2"/>
          <c:order val="2"/>
          <c:tx>
            <c:strRef>
              <c:f>'2LV'!$E$64</c:f>
              <c:strCache>
                <c:ptCount val="1"/>
                <c:pt idx="0">
                  <c:v>Index with tax base growth</c:v>
                </c:pt>
              </c:strCache>
            </c:strRef>
          </c:tx>
          <c:spPr>
            <a:ln w="28575" cap="rnd">
              <a:noFill/>
              <a:round/>
            </a:ln>
            <a:effectLst/>
          </c:spPr>
          <c:marker>
            <c:symbol val="square"/>
            <c:size val="6"/>
            <c:spPr>
              <a:noFill/>
              <a:ln w="25400">
                <a:solidFill>
                  <a:schemeClr val="accent6">
                    <a:lumMod val="75000"/>
                  </a:schemeClr>
                </a:solidFill>
              </a:ln>
              <a:effectLst/>
            </c:spPr>
          </c:marker>
          <c:cat>
            <c:numRef>
              <c:extLst>
                <c:ext xmlns:c15="http://schemas.microsoft.com/office/drawing/2012/chart" uri="{02D57815-91ED-43cb-92C2-25804820EDAC}">
                  <c15:fullRef>
                    <c15:sqref>'2LV'!$B$65:$B$72</c15:sqref>
                  </c15:fullRef>
                </c:ext>
              </c:extLst>
              <c:f>'2LV'!$B$65:$B$69</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'2LV'!$E$65:$E$72</c15:sqref>
                  </c15:fullRef>
                </c:ext>
              </c:extLst>
              <c:f>'2LV'!$E$65:$E$69</c:f>
              <c:numCache>
                <c:formatCode>0.00%</c:formatCode>
                <c:ptCount val="5"/>
                <c:pt idx="4" formatCode="0.00">
                  <c:v>14.003070573026122</c:v>
                </c:pt>
              </c:numCache>
            </c:numRef>
          </c:val>
          <c:smooth val="0"/>
          <c:extLst xmlns:c15="http://schemas.microsoft.com/office/drawing/2012/chart">
            <c:ext xmlns:c16="http://schemas.microsoft.com/office/drawing/2014/chart" uri="{C3380CC4-5D6E-409C-BE32-E72D297353CC}">
              <c16:uniqueId val="{00000002-04EE-4970-BD60-822B3867FDC1}"/>
            </c:ext>
          </c:extLst>
        </c:ser>
        <c:ser>
          <c:idx val="3"/>
          <c:order val="3"/>
          <c:tx>
            <c:strRef>
              <c:f>'2LV'!$F$64</c:f>
              <c:strCache>
                <c:ptCount val="1"/>
                <c:pt idx="0">
                  <c:v>Index with lagged HCPI</c:v>
                </c:pt>
              </c:strCache>
            </c:strRef>
          </c:tx>
          <c:spPr>
            <a:ln w="28575" cap="rnd">
              <a:noFill/>
              <a:round/>
            </a:ln>
            <a:effectLst/>
          </c:spPr>
          <c:marker>
            <c:symbol val="diamond"/>
            <c:size val="7"/>
            <c:spPr>
              <a:noFill/>
              <a:ln w="25400">
                <a:solidFill>
                  <a:schemeClr val="accent4"/>
                </a:solidFill>
              </a:ln>
              <a:effectLst/>
            </c:spPr>
          </c:marker>
          <c:cat>
            <c:numRef>
              <c:extLst>
                <c:ext xmlns:c15="http://schemas.microsoft.com/office/drawing/2012/chart" uri="{02D57815-91ED-43cb-92C2-25804820EDAC}">
                  <c15:fullRef>
                    <c15:sqref>'2LV'!$B$65:$B$72</c15:sqref>
                  </c15:fullRef>
                </c:ext>
              </c:extLst>
              <c:f>'2LV'!$B$65:$B$69</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'2LV'!$F$65:$F$72</c15:sqref>
                  </c15:fullRef>
                </c:ext>
              </c:extLst>
              <c:f>'2LV'!$F$65:$F$69</c:f>
              <c:numCache>
                <c:formatCode>0.00%</c:formatCode>
                <c:ptCount val="5"/>
                <c:pt idx="4" formatCode="0.00">
                  <c:v>14.670051960420755</c:v>
                </c:pt>
              </c:numCache>
            </c:numRef>
          </c:val>
          <c:smooth val="0"/>
          <c:extLst>
            <c:ext xmlns:c16="http://schemas.microsoft.com/office/drawing/2014/chart" uri="{C3380CC4-5D6E-409C-BE32-E72D297353CC}">
              <c16:uniqueId val="{00000003-04EE-4970-BD60-822B3867FDC1}"/>
            </c:ext>
          </c:extLst>
        </c:ser>
        <c:ser>
          <c:idx val="4"/>
          <c:order val="4"/>
          <c:tx>
            <c:strRef>
              <c:f>'2LV'!$G$64</c:f>
              <c:strCache>
                <c:ptCount val="1"/>
                <c:pt idx="0">
                  <c:v>Index with concurrent HCPI</c:v>
                </c:pt>
              </c:strCache>
            </c:strRef>
          </c:tx>
          <c:spPr>
            <a:ln w="28575" cap="rnd">
              <a:noFill/>
              <a:round/>
            </a:ln>
            <a:effectLst/>
          </c:spPr>
          <c:marker>
            <c:symbol val="triangle"/>
            <c:size val="6"/>
            <c:spPr>
              <a:noFill/>
              <a:ln w="25400">
                <a:solidFill>
                  <a:schemeClr val="accent5">
                    <a:lumMod val="75000"/>
                  </a:schemeClr>
                </a:solidFill>
              </a:ln>
              <a:effectLst/>
            </c:spPr>
          </c:marker>
          <c:cat>
            <c:numRef>
              <c:extLst>
                <c:ext xmlns:c15="http://schemas.microsoft.com/office/drawing/2012/chart" uri="{02D57815-91ED-43cb-92C2-25804820EDAC}">
                  <c15:fullRef>
                    <c15:sqref>'2LV'!$B$65:$B$72</c15:sqref>
                  </c15:fullRef>
                </c:ext>
              </c:extLst>
              <c:f>'2LV'!$B$65:$B$69</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'2LV'!$G$65:$G$72</c15:sqref>
                  </c15:fullRef>
                </c:ext>
              </c:extLst>
              <c:f>'2LV'!$G$65:$G$69</c:f>
              <c:numCache>
                <c:formatCode>0.00%</c:formatCode>
                <c:ptCount val="5"/>
                <c:pt idx="4" formatCode="0.00">
                  <c:v>14.329256895556799</c:v>
                </c:pt>
              </c:numCache>
            </c:numRef>
          </c:val>
          <c:smooth val="0"/>
          <c:extLst>
            <c:ext xmlns:c16="http://schemas.microsoft.com/office/drawing/2014/chart" uri="{C3380CC4-5D6E-409C-BE32-E72D297353CC}">
              <c16:uniqueId val="{00000004-04EE-4970-BD60-822B3867FDC1}"/>
            </c:ext>
          </c:extLst>
        </c:ser>
        <c:dLbls>
          <c:showLegendKey val="0"/>
          <c:showVal val="0"/>
          <c:showCatName val="0"/>
          <c:showSerName val="0"/>
          <c:showPercent val="0"/>
          <c:showBubbleSize val="0"/>
        </c:dLbls>
        <c:marker val="1"/>
        <c:smooth val="0"/>
        <c:axId val="709475840"/>
        <c:axId val="605168576"/>
        <c:extLst/>
      </c:lineChart>
      <c:catAx>
        <c:axId val="709475840"/>
        <c:scaling>
          <c:orientation val="minMax"/>
        </c:scaling>
        <c:delete val="0"/>
        <c:axPos val="b"/>
        <c:numFmt formatCode="General" sourceLinked="1"/>
        <c:majorTickMark val="out"/>
        <c:minorTickMark val="none"/>
        <c:tickLblPos val="nextTo"/>
        <c:spPr>
          <a:noFill/>
          <a:ln w="635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mn-cs"/>
              </a:defRPr>
            </a:pPr>
            <a:endParaRPr lang="es-ES_tradnl"/>
          </a:p>
        </c:txPr>
        <c:crossAx val="605168576"/>
        <c:crosses val="autoZero"/>
        <c:auto val="1"/>
        <c:lblAlgn val="ctr"/>
        <c:lblOffset val="100"/>
        <c:noMultiLvlLbl val="0"/>
      </c:catAx>
      <c:valAx>
        <c:axId val="605168576"/>
        <c:scaling>
          <c:orientation val="minMax"/>
          <c:min val="12"/>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s-ES_tradnl" sz="1050">
                    <a:solidFill>
                      <a:sysClr val="windowText" lastClr="000000"/>
                    </a:solidFill>
                    <a:latin typeface="Times New Roman" panose="02020603050405020304" pitchFamily="18" charset="0"/>
                    <a:cs typeface="Times New Roman" panose="02020603050405020304" pitchFamily="18" charset="0"/>
                  </a:rPr>
                  <a:t>Rate</a:t>
                </a:r>
              </a:p>
            </c:rich>
          </c:tx>
          <c:overlay val="0"/>
          <c:spPr>
            <a:noFill/>
            <a:ln>
              <a:noFill/>
            </a:ln>
            <a:effectLst/>
          </c:spPr>
          <c:txPr>
            <a:bodyPr rot="-5400000" spcFirstLastPara="1" vertOverflow="ellipsis" vert="horz" wrap="square" anchor="ctr" anchorCtr="1"/>
            <a:lstStyle/>
            <a:p>
              <a:pPr>
                <a:defRPr sz="10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title>
        <c:numFmt formatCode="#,##0.0" sourceLinked="0"/>
        <c:majorTickMark val="out"/>
        <c:minorTickMark val="none"/>
        <c:tickLblPos val="nextTo"/>
        <c:spPr>
          <a:noFill/>
          <a:ln w="6350">
            <a:solidFill>
              <a:schemeClr val="tx1">
                <a:lumMod val="65000"/>
                <a:lumOff val="35000"/>
              </a:schemeClr>
            </a:solidFill>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mn-cs"/>
              </a:defRPr>
            </a:pPr>
            <a:endParaRPr lang="es-ES_tradnl"/>
          </a:p>
        </c:txPr>
        <c:crossAx val="709475840"/>
        <c:crosses val="autoZero"/>
        <c:crossBetween val="between"/>
      </c:valAx>
      <c:spPr>
        <a:noFill/>
        <a:ln>
          <a:noFill/>
        </a:ln>
        <a:effectLst/>
      </c:spPr>
    </c:plotArea>
    <c:legend>
      <c:legendPos val="b"/>
      <c:layout>
        <c:manualLayout>
          <c:xMode val="edge"/>
          <c:yMode val="edge"/>
          <c:x val="8.1926620958132398E-2"/>
          <c:y val="0.78900773467278962"/>
          <c:w val="0.8223310520657221"/>
          <c:h val="0.1997652991480407"/>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legend>
    <c:plotVisOnly val="1"/>
    <c:dispBlanksAs val="gap"/>
    <c:showDLblsOverMax val="0"/>
  </c:chart>
  <c:spPr>
    <a:solidFill>
      <a:schemeClr val="bg1"/>
    </a:solidFill>
    <a:ln w="9525" cap="flat" cmpd="sng" algn="ctr">
      <a:noFill/>
      <a:round/>
    </a:ln>
    <a:effectLst/>
  </c:spPr>
  <c:txPr>
    <a:bodyPr/>
    <a:lstStyle/>
    <a:p>
      <a:pPr>
        <a:defRPr/>
      </a:pPr>
      <a:endParaRPr lang="es-ES_tradnl"/>
    </a:p>
  </c:txPr>
  <c:printSettings>
    <c:headerFooter/>
    <c:pageMargins b="0.75" l="0.84" r="0.25" t="0.75" header="0.3" footer="0.3"/>
    <c:pageSetup paperSize="9" orientation="landscape"/>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457409308717575"/>
          <c:y val="4.6087571003560986E-2"/>
          <c:w val="0.82558175067451101"/>
          <c:h val="0.64272676146640684"/>
        </c:manualLayout>
      </c:layout>
      <c:lineChart>
        <c:grouping val="standard"/>
        <c:varyColors val="0"/>
        <c:ser>
          <c:idx val="1"/>
          <c:order val="0"/>
          <c:tx>
            <c:strRef>
              <c:f>'2LV'!$W$45</c:f>
              <c:strCache>
                <c:ptCount val="1"/>
                <c:pt idx="0">
                  <c:v>Observed (National Accounts)</c:v>
                </c:pt>
              </c:strCache>
            </c:strRef>
          </c:tx>
          <c:spPr>
            <a:ln w="25400" cap="rnd">
              <a:solidFill>
                <a:schemeClr val="tx1">
                  <a:lumMod val="65000"/>
                  <a:lumOff val="35000"/>
                </a:schemeClr>
              </a:solidFill>
              <a:prstDash val="sysDash"/>
              <a:round/>
            </a:ln>
            <a:effectLst/>
          </c:spPr>
          <c:marker>
            <c:symbol val="none"/>
          </c:marker>
          <c:cat>
            <c:numRef>
              <c:extLst>
                <c:ext xmlns:c15="http://schemas.microsoft.com/office/drawing/2012/chart" uri="{02D57815-91ED-43cb-92C2-25804820EDAC}">
                  <c15:fullRef>
                    <c15:sqref>'2LV'!$U$46:$U$53</c15:sqref>
                  </c15:fullRef>
                </c:ext>
              </c:extLst>
              <c:f>'2LV'!$U$46:$U$50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'2LV'!$W$46:$W$53</c15:sqref>
                  </c15:fullRef>
                </c:ext>
              </c:extLst>
              <c:f>'2LV'!$W$46:$W$50</c:f>
              <c:numCache>
                <c:formatCode>0.0%</c:formatCode>
                <c:ptCount val="5"/>
                <c:pt idx="0">
                  <c:v>6.6883178310847294E-2</c:v>
                </c:pt>
                <c:pt idx="1">
                  <c:v>6.1725018880665269E-2</c:v>
                </c:pt>
                <c:pt idx="2">
                  <c:v>6.2194468138579109E-2</c:v>
                </c:pt>
                <c:pt idx="3">
                  <c:v>6.2721876773972035E-2</c:v>
                </c:pt>
                <c:pt idx="4">
                  <c:v>6.4550747901022831E-2</c:v>
                </c:pt>
              </c:numCache>
            </c:numRef>
          </c:val>
          <c:smooth val="0"/>
          <c:extLst>
            <c:ext xmlns:c16="http://schemas.microsoft.com/office/drawing/2014/chart" uri="{C3380CC4-5D6E-409C-BE32-E72D297353CC}">
              <c16:uniqueId val="{00000000-3433-4049-BA79-257BA478B3ED}"/>
            </c:ext>
          </c:extLst>
        </c:ser>
        <c:ser>
          <c:idx val="0"/>
          <c:order val="1"/>
          <c:tx>
            <c:strRef>
              <c:f>'2LV'!$V$45</c:f>
              <c:strCache>
                <c:ptCount val="1"/>
                <c:pt idx="0">
                  <c:v>Baseline simulation (before reescaling)</c:v>
                </c:pt>
              </c:strCache>
            </c:strRef>
          </c:tx>
          <c:spPr>
            <a:ln w="25400" cap="rnd">
              <a:noFill/>
              <a:round/>
            </a:ln>
            <a:effectLst/>
          </c:spPr>
          <c:marker>
            <c:symbol val="circle"/>
            <c:size val="8"/>
            <c:spPr>
              <a:solidFill>
                <a:schemeClr val="bg1">
                  <a:lumMod val="85000"/>
                </a:schemeClr>
              </a:solidFill>
              <a:ln w="25400">
                <a:noFill/>
              </a:ln>
              <a:effectLst/>
            </c:spPr>
          </c:marker>
          <c:cat>
            <c:numRef>
              <c:extLst>
                <c:ext xmlns:c15="http://schemas.microsoft.com/office/drawing/2012/chart" uri="{02D57815-91ED-43cb-92C2-25804820EDAC}">
                  <c15:fullRef>
                    <c15:sqref>'2LV'!$U$46:$U$53</c15:sqref>
                  </c15:fullRef>
                </c:ext>
              </c:extLst>
              <c:f>'2LV'!$U$46:$U$50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'2LV'!$V$46:$V$53</c15:sqref>
                  </c15:fullRef>
                </c:ext>
              </c:extLst>
              <c:f>'2LV'!$V$46:$V$50</c:f>
              <c:numCache>
                <c:formatCode>0.0%</c:formatCode>
                <c:ptCount val="5"/>
                <c:pt idx="0">
                  <c:v>7.1902703837254028E-2</c:v>
                </c:pt>
                <c:pt idx="1">
                  <c:v>7.415186165525528E-2</c:v>
                </c:pt>
                <c:pt idx="2">
                  <c:v>7.2320045200287689E-2</c:v>
                </c:pt>
                <c:pt idx="3">
                  <c:v>6.9405512131832561E-2</c:v>
                </c:pt>
                <c:pt idx="4">
                  <c:v>7.1268940786281654E-2</c:v>
                </c:pt>
              </c:numCache>
            </c:numRef>
          </c:val>
          <c:smooth val="0"/>
          <c:extLst>
            <c:ext xmlns:c16="http://schemas.microsoft.com/office/drawing/2014/chart" uri="{C3380CC4-5D6E-409C-BE32-E72D297353CC}">
              <c16:uniqueId val="{00000001-3433-4049-BA79-257BA478B3ED}"/>
            </c:ext>
          </c:extLst>
        </c:ser>
        <c:ser>
          <c:idx val="3"/>
          <c:order val="2"/>
          <c:tx>
            <c:strRef>
              <c:f>'2LV'!$Y$45</c:f>
              <c:strCache>
                <c:ptCount val="1"/>
                <c:pt idx="0">
                  <c:v>Baseline simulation (after reescaling)</c:v>
                </c:pt>
              </c:strCache>
            </c:strRef>
          </c:tx>
          <c:spPr>
            <a:ln w="25400" cap="rnd">
              <a:noFill/>
              <a:round/>
            </a:ln>
            <a:effectLst/>
          </c:spPr>
          <c:marker>
            <c:symbol val="circle"/>
            <c:size val="7"/>
            <c:spPr>
              <a:solidFill>
                <a:schemeClr val="tx1"/>
              </a:solidFill>
              <a:ln w="9525">
                <a:solidFill>
                  <a:schemeClr val="tx1"/>
                </a:solidFill>
              </a:ln>
              <a:effectLst/>
            </c:spPr>
          </c:marker>
          <c:cat>
            <c:numRef>
              <c:extLst>
                <c:ext xmlns:c15="http://schemas.microsoft.com/office/drawing/2012/chart" uri="{02D57815-91ED-43cb-92C2-25804820EDAC}">
                  <c15:fullRef>
                    <c15:sqref>'2LV'!$U$46:$U$53</c15:sqref>
                  </c15:fullRef>
                </c:ext>
              </c:extLst>
              <c:f>'2LV'!$U$46:$U$50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'2LV'!$Y$46:$Y$53</c15:sqref>
                  </c15:fullRef>
                </c:ext>
              </c:extLst>
              <c:f>'2LV'!$Y$46:$Y$50</c:f>
              <c:numCache>
                <c:formatCode>0.0%</c:formatCode>
                <c:ptCount val="5"/>
                <c:pt idx="0">
                  <c:v>6.6883178310847294E-2</c:v>
                </c:pt>
                <c:pt idx="4">
                  <c:v>6.4550747901022831E-2</c:v>
                </c:pt>
              </c:numCache>
            </c:numRef>
          </c:val>
          <c:smooth val="0"/>
          <c:extLst>
            <c:ext xmlns:c16="http://schemas.microsoft.com/office/drawing/2014/chart" uri="{C3380CC4-5D6E-409C-BE32-E72D297353CC}">
              <c16:uniqueId val="{00000002-3433-4049-BA79-257BA478B3ED}"/>
            </c:ext>
          </c:extLst>
        </c:ser>
        <c:ser>
          <c:idx val="4"/>
          <c:order val="3"/>
          <c:tx>
            <c:strRef>
              <c:f>'2LV'!$Z$45</c:f>
              <c:strCache>
                <c:ptCount val="1"/>
                <c:pt idx="0">
                  <c:v>Unchanged legislation since 2019/2023</c:v>
                </c:pt>
              </c:strCache>
            </c:strRef>
          </c:tx>
          <c:spPr>
            <a:ln w="25400" cap="rnd">
              <a:noFill/>
              <a:round/>
            </a:ln>
            <a:effectLst/>
          </c:spPr>
          <c:marker>
            <c:symbol val="circle"/>
            <c:size val="6"/>
            <c:spPr>
              <a:noFill/>
              <a:ln w="25400">
                <a:solidFill>
                  <a:srgbClr val="C00000"/>
                </a:solidFill>
              </a:ln>
              <a:effectLst/>
            </c:spPr>
          </c:marker>
          <c:cat>
            <c:numRef>
              <c:extLst>
                <c:ext xmlns:c15="http://schemas.microsoft.com/office/drawing/2012/chart" uri="{02D57815-91ED-43cb-92C2-25804820EDAC}">
                  <c15:fullRef>
                    <c15:sqref>'2LV'!$U$46:$U$53</c15:sqref>
                  </c15:fullRef>
                </c:ext>
              </c:extLst>
              <c:f>'2LV'!$U$46:$U$50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'2LV'!$Z$46:$Z$53</c15:sqref>
                  </c15:fullRef>
                </c:ext>
              </c:extLst>
              <c:f>'2LV'!$Z$46:$Z$50</c:f>
              <c:numCache>
                <c:formatCode>0.0%</c:formatCode>
                <c:ptCount val="5"/>
                <c:pt idx="4">
                  <c:v>7.7473274978233128E-2</c:v>
                </c:pt>
              </c:numCache>
            </c:numRef>
          </c:val>
          <c:smooth val="0"/>
          <c:extLst>
            <c:ext xmlns:c16="http://schemas.microsoft.com/office/drawing/2014/chart" uri="{C3380CC4-5D6E-409C-BE32-E72D297353CC}">
              <c16:uniqueId val="{00000003-3433-4049-BA79-257BA478B3ED}"/>
            </c:ext>
          </c:extLst>
        </c:ser>
        <c:ser>
          <c:idx val="5"/>
          <c:order val="4"/>
          <c:tx>
            <c:strRef>
              <c:f>'2LV'!$AA$45</c:f>
              <c:strCache>
                <c:ptCount val="1"/>
                <c:pt idx="0">
                  <c:v>Indexing with tax base growth</c:v>
                </c:pt>
              </c:strCache>
            </c:strRef>
          </c:tx>
          <c:spPr>
            <a:ln w="25400" cap="rnd">
              <a:noFill/>
              <a:round/>
            </a:ln>
            <a:effectLst/>
          </c:spPr>
          <c:marker>
            <c:symbol val="square"/>
            <c:size val="5"/>
            <c:spPr>
              <a:noFill/>
              <a:ln w="25400">
                <a:solidFill>
                  <a:schemeClr val="accent6">
                    <a:lumMod val="75000"/>
                  </a:schemeClr>
                </a:solidFill>
              </a:ln>
              <a:effectLst/>
            </c:spPr>
          </c:marker>
          <c:cat>
            <c:numRef>
              <c:extLst>
                <c:ext xmlns:c15="http://schemas.microsoft.com/office/drawing/2012/chart" uri="{02D57815-91ED-43cb-92C2-25804820EDAC}">
                  <c15:fullRef>
                    <c15:sqref>'2LV'!$U$46:$U$53</c15:sqref>
                  </c15:fullRef>
                </c:ext>
              </c:extLst>
              <c:f>'2LV'!$U$46:$U$50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'2LV'!$AA$46:$AA$53</c15:sqref>
                  </c15:fullRef>
                </c:ext>
              </c:extLst>
              <c:f>'2LV'!$AA$46:$AA$50</c:f>
              <c:numCache>
                <c:formatCode>0.0%</c:formatCode>
                <c:ptCount val="5"/>
                <c:pt idx="4">
                  <c:v>6.8746407677680393E-2</c:v>
                </c:pt>
              </c:numCache>
            </c:numRef>
          </c:val>
          <c:smooth val="0"/>
          <c:extLst>
            <c:ext xmlns:c16="http://schemas.microsoft.com/office/drawing/2014/chart" uri="{C3380CC4-5D6E-409C-BE32-E72D297353CC}">
              <c16:uniqueId val="{00000004-3433-4049-BA79-257BA478B3ED}"/>
            </c:ext>
          </c:extLst>
        </c:ser>
        <c:ser>
          <c:idx val="6"/>
          <c:order val="5"/>
          <c:tx>
            <c:strRef>
              <c:f>'2LV'!$AB$45</c:f>
              <c:strCache>
                <c:ptCount val="1"/>
                <c:pt idx="0">
                  <c:v>Indexing with lagged HCPI</c:v>
                </c:pt>
              </c:strCache>
            </c:strRef>
          </c:tx>
          <c:spPr>
            <a:ln w="25400" cap="rnd">
              <a:noFill/>
              <a:round/>
            </a:ln>
            <a:effectLst/>
          </c:spPr>
          <c:marker>
            <c:symbol val="diamond"/>
            <c:size val="6"/>
            <c:spPr>
              <a:noFill/>
              <a:ln w="25400">
                <a:solidFill>
                  <a:schemeClr val="accent4"/>
                </a:solidFill>
              </a:ln>
              <a:effectLst/>
            </c:spPr>
          </c:marker>
          <c:cat>
            <c:numRef>
              <c:extLst>
                <c:ext xmlns:c15="http://schemas.microsoft.com/office/drawing/2012/chart" uri="{02D57815-91ED-43cb-92C2-25804820EDAC}">
                  <c15:fullRef>
                    <c15:sqref>'2LV'!$U$46:$U$53</c15:sqref>
                  </c15:fullRef>
                </c:ext>
              </c:extLst>
              <c:f>'2LV'!$U$46:$U$50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'2LV'!$AB$46:$AB$53</c15:sqref>
                  </c15:fullRef>
                </c:ext>
              </c:extLst>
              <c:f>'2LV'!$AB$46:$AB$50</c:f>
              <c:numCache>
                <c:formatCode>0.0%</c:formatCode>
                <c:ptCount val="5"/>
                <c:pt idx="4">
                  <c:v>7.2020873383764991E-2</c:v>
                </c:pt>
              </c:numCache>
            </c:numRef>
          </c:val>
          <c:smooth val="0"/>
          <c:extLst>
            <c:ext xmlns:c16="http://schemas.microsoft.com/office/drawing/2014/chart" uri="{C3380CC4-5D6E-409C-BE32-E72D297353CC}">
              <c16:uniqueId val="{00000005-3433-4049-BA79-257BA478B3ED}"/>
            </c:ext>
          </c:extLst>
        </c:ser>
        <c:ser>
          <c:idx val="7"/>
          <c:order val="6"/>
          <c:tx>
            <c:strRef>
              <c:f>'2LV'!$AC$45</c:f>
              <c:strCache>
                <c:ptCount val="1"/>
                <c:pt idx="0">
                  <c:v>Indexing with concurrent HCPI</c:v>
                </c:pt>
              </c:strCache>
            </c:strRef>
          </c:tx>
          <c:spPr>
            <a:ln w="25400" cap="rnd">
              <a:noFill/>
              <a:round/>
            </a:ln>
            <a:effectLst/>
          </c:spPr>
          <c:marker>
            <c:symbol val="triangle"/>
            <c:size val="6"/>
            <c:spPr>
              <a:noFill/>
              <a:ln w="25400">
                <a:solidFill>
                  <a:schemeClr val="accent5">
                    <a:lumMod val="75000"/>
                  </a:schemeClr>
                </a:solidFill>
              </a:ln>
              <a:effectLst/>
            </c:spPr>
          </c:marker>
          <c:cat>
            <c:numRef>
              <c:extLst>
                <c:ext xmlns:c15="http://schemas.microsoft.com/office/drawing/2012/chart" uri="{02D57815-91ED-43cb-92C2-25804820EDAC}">
                  <c15:fullRef>
                    <c15:sqref>'2LV'!$U$46:$U$53</c15:sqref>
                  </c15:fullRef>
                </c:ext>
              </c:extLst>
              <c:f>'2LV'!$U$46:$U$50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'2LV'!$AC$46:$AC$53</c15:sqref>
                  </c15:fullRef>
                </c:ext>
              </c:extLst>
              <c:f>'2LV'!$AC$46:$AC$50</c:f>
              <c:numCache>
                <c:formatCode>0.0%</c:formatCode>
                <c:ptCount val="5"/>
                <c:pt idx="4">
                  <c:v>7.0347780590188078E-2</c:v>
                </c:pt>
              </c:numCache>
            </c:numRef>
          </c:val>
          <c:smooth val="0"/>
          <c:extLst>
            <c:ext xmlns:c16="http://schemas.microsoft.com/office/drawing/2014/chart" uri="{C3380CC4-5D6E-409C-BE32-E72D297353CC}">
              <c16:uniqueId val="{00000006-3433-4049-BA79-257BA478B3ED}"/>
            </c:ext>
          </c:extLst>
        </c:ser>
        <c:dLbls>
          <c:showLegendKey val="0"/>
          <c:showVal val="0"/>
          <c:showCatName val="0"/>
          <c:showSerName val="0"/>
          <c:showPercent val="0"/>
          <c:showBubbleSize val="0"/>
        </c:dLbls>
        <c:smooth val="0"/>
        <c:axId val="709475840"/>
        <c:axId val="605168576"/>
        <c:extLst/>
      </c:lineChart>
      <c:catAx>
        <c:axId val="709475840"/>
        <c:scaling>
          <c:orientation val="minMax"/>
        </c:scaling>
        <c:delete val="0"/>
        <c:axPos val="b"/>
        <c:numFmt formatCode="General" sourceLinked="1"/>
        <c:majorTickMark val="out"/>
        <c:minorTickMark val="none"/>
        <c:tickLblPos val="nextTo"/>
        <c:spPr>
          <a:noFill/>
          <a:ln w="6350" cap="flat" cmpd="sng" algn="ctr">
            <a:solidFill>
              <a:schemeClr val="tx1"/>
            </a:solidFill>
            <a:round/>
          </a:ln>
          <a:effectLst/>
        </c:spPr>
        <c:txPr>
          <a:bodyPr rot="-60000000" spcFirstLastPara="1" vertOverflow="ellipsis" vert="horz" wrap="square" anchor="ctr" anchorCtr="1"/>
          <a:lstStyle/>
          <a:p>
            <a:pPr>
              <a:defRPr sz="950" b="0" i="0" u="none" strike="noStrike" kern="1200" baseline="0">
                <a:solidFill>
                  <a:schemeClr val="tx1"/>
                </a:solidFill>
                <a:latin typeface="Times New Roman" panose="02020603050405020304" pitchFamily="18" charset="0"/>
                <a:ea typeface="+mn-ea"/>
                <a:cs typeface="+mn-cs"/>
              </a:defRPr>
            </a:pPr>
            <a:endParaRPr lang="es-ES_tradnl"/>
          </a:p>
        </c:txPr>
        <c:crossAx val="605168576"/>
        <c:crosses val="autoZero"/>
        <c:auto val="1"/>
        <c:lblAlgn val="ctr"/>
        <c:lblOffset val="100"/>
        <c:noMultiLvlLbl val="0"/>
      </c:catAx>
      <c:valAx>
        <c:axId val="605168576"/>
        <c:scaling>
          <c:orientation val="minMax"/>
          <c:min val="6.0000000000000012E-2"/>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s-ES_tradnl" sz="1050">
                    <a:solidFill>
                      <a:sysClr val="windowText" lastClr="000000"/>
                    </a:solidFill>
                    <a:latin typeface="Times New Roman" panose="02020603050405020304" pitchFamily="18" charset="0"/>
                    <a:cs typeface="Times New Roman" panose="02020603050405020304" pitchFamily="18" charset="0"/>
                  </a:rPr>
                  <a:t>Share of GDP</a:t>
                </a:r>
              </a:p>
            </c:rich>
          </c:tx>
          <c:overlay val="0"/>
          <c:spPr>
            <a:noFill/>
            <a:ln>
              <a:noFill/>
            </a:ln>
            <a:effectLst/>
          </c:spPr>
        </c:title>
        <c:numFmt formatCode="0%" sourceLinked="0"/>
        <c:majorTickMark val="out"/>
        <c:minorTickMark val="none"/>
        <c:tickLblPos val="nextTo"/>
        <c:spPr>
          <a:noFill/>
          <a:ln w="6350">
            <a:solidFill>
              <a:schemeClr val="tx1">
                <a:lumMod val="65000"/>
                <a:lumOff val="35000"/>
              </a:schemeClr>
            </a:solidFill>
          </a:ln>
          <a:effectLst/>
        </c:spPr>
        <c:txPr>
          <a:bodyPr rot="-60000000" spcFirstLastPara="1" vertOverflow="ellipsis" vert="horz" wrap="square" anchor="ctr" anchorCtr="1"/>
          <a:lstStyle/>
          <a:p>
            <a:pPr>
              <a:defRPr sz="950" b="0" i="0" u="none" strike="noStrike" kern="1200" baseline="0">
                <a:solidFill>
                  <a:schemeClr val="tx1"/>
                </a:solidFill>
                <a:latin typeface="Times New Roman" panose="02020603050405020304" pitchFamily="18" charset="0"/>
                <a:ea typeface="+mn-ea"/>
                <a:cs typeface="+mn-cs"/>
              </a:defRPr>
            </a:pPr>
            <a:endParaRPr lang="es-ES_tradnl"/>
          </a:p>
        </c:txPr>
        <c:crossAx val="709475840"/>
        <c:crosses val="autoZero"/>
        <c:crossBetween val="between"/>
      </c:valAx>
    </c:plotArea>
    <c:legend>
      <c:legendPos val="b"/>
      <c:layout>
        <c:manualLayout>
          <c:xMode val="edge"/>
          <c:yMode val="edge"/>
          <c:x val="0"/>
          <c:y val="0.80216933512597055"/>
          <c:w val="1"/>
          <c:h val="0.19783066487402948"/>
        </c:manualLayout>
      </c:layout>
      <c:overlay val="0"/>
      <c:spPr>
        <a:noFill/>
        <a:ln>
          <a:noFill/>
        </a:ln>
        <a:effectLst/>
      </c:spPr>
      <c:txPr>
        <a:bodyPr rot="0" spcFirstLastPara="1" vertOverflow="ellipsis" vert="horz" wrap="square" anchor="ctr" anchorCtr="1"/>
        <a:lstStyle/>
        <a:p>
          <a:pPr>
            <a:defRPr sz="9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legend>
    <c:plotVisOnly val="1"/>
    <c:dispBlanksAs val="gap"/>
    <c:showDLblsOverMax val="0"/>
  </c:chart>
  <c:spPr>
    <a:solidFill>
      <a:schemeClr val="bg1"/>
    </a:solidFill>
    <a:ln w="9525" cap="flat" cmpd="sng" algn="ctr">
      <a:noFill/>
      <a:round/>
    </a:ln>
    <a:effectLst/>
  </c:spPr>
  <c:txPr>
    <a:bodyPr/>
    <a:lstStyle/>
    <a:p>
      <a:pPr>
        <a:defRPr/>
      </a:pPr>
      <a:endParaRPr lang="es-ES_tradnl"/>
    </a:p>
  </c:txPr>
  <c:printSettings>
    <c:headerFooter/>
    <c:pageMargins b="0.75" l="0.25" r="0.25" t="0.75" header="0.3" footer="0.3"/>
    <c:pageSetup paperSize="9" orientation="landscape"/>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457409308717575"/>
          <c:y val="4.6087571003560986E-2"/>
          <c:w val="0.82558175067451101"/>
          <c:h val="0.64272676146640684"/>
        </c:manualLayout>
      </c:layout>
      <c:lineChart>
        <c:grouping val="standard"/>
        <c:varyColors val="0"/>
        <c:ser>
          <c:idx val="1"/>
          <c:order val="0"/>
          <c:tx>
            <c:strRef>
              <c:f>'2MT'!$D$45</c:f>
              <c:strCache>
                <c:ptCount val="1"/>
                <c:pt idx="0">
                  <c:v>Observed (National Accounts)</c:v>
                </c:pt>
              </c:strCache>
            </c:strRef>
          </c:tx>
          <c:spPr>
            <a:ln w="25400" cap="rnd">
              <a:solidFill>
                <a:schemeClr val="tx1">
                  <a:lumMod val="65000"/>
                  <a:lumOff val="35000"/>
                </a:schemeClr>
              </a:solidFill>
              <a:prstDash val="sysDash"/>
              <a:round/>
            </a:ln>
            <a:effectLst/>
          </c:spPr>
          <c:marker>
            <c:symbol val="none"/>
          </c:marker>
          <c:cat>
            <c:numRef>
              <c:extLst>
                <c:ext xmlns:c15="http://schemas.microsoft.com/office/drawing/2012/chart" uri="{02D57815-91ED-43cb-92C2-25804820EDAC}">
                  <c15:fullRef>
                    <c15:sqref>'2MT'!$B$46:$B$53</c15:sqref>
                  </c15:fullRef>
                </c:ext>
              </c:extLst>
              <c:f>'2MT'!$B$46:$B$50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'2MT'!$D$46:$D$53</c15:sqref>
                  </c15:fullRef>
                </c:ext>
              </c:extLst>
              <c:f>'2MT'!$D$46:$D$50</c:f>
              <c:numCache>
                <c:formatCode>_-* #,##0_-;\-* #,##0_-;_-* "-"??_-;_-@_-</c:formatCode>
                <c:ptCount val="5"/>
                <c:pt idx="0">
                  <c:v>983.80825405823282</c:v>
                </c:pt>
                <c:pt idx="1">
                  <c:v>1017.8613141027589</c:v>
                </c:pt>
                <c:pt idx="2">
                  <c:v>1202.728231809916</c:v>
                </c:pt>
                <c:pt idx="3">
                  <c:v>1372.618798205918</c:v>
                </c:pt>
                <c:pt idx="4">
                  <c:v>1510.796382081202</c:v>
                </c:pt>
              </c:numCache>
            </c:numRef>
          </c:val>
          <c:smooth val="0"/>
          <c:extLst>
            <c:ext xmlns:c16="http://schemas.microsoft.com/office/drawing/2014/chart" uri="{C3380CC4-5D6E-409C-BE32-E72D297353CC}">
              <c16:uniqueId val="{00000000-88F1-4F49-A8FA-C67DDED6C114}"/>
            </c:ext>
          </c:extLst>
        </c:ser>
        <c:ser>
          <c:idx val="0"/>
          <c:order val="1"/>
          <c:tx>
            <c:strRef>
              <c:f>'2MT'!$C$45</c:f>
              <c:strCache>
                <c:ptCount val="1"/>
                <c:pt idx="0">
                  <c:v>Baseline simulation (before reescaling)</c:v>
                </c:pt>
              </c:strCache>
            </c:strRef>
          </c:tx>
          <c:spPr>
            <a:ln w="25400" cap="rnd">
              <a:noFill/>
              <a:round/>
            </a:ln>
            <a:effectLst/>
          </c:spPr>
          <c:marker>
            <c:symbol val="circle"/>
            <c:size val="8"/>
            <c:spPr>
              <a:solidFill>
                <a:schemeClr val="bg1">
                  <a:lumMod val="85000"/>
                </a:schemeClr>
              </a:solidFill>
              <a:ln w="25400">
                <a:noFill/>
              </a:ln>
              <a:effectLst/>
            </c:spPr>
          </c:marker>
          <c:cat>
            <c:numRef>
              <c:extLst>
                <c:ext xmlns:c15="http://schemas.microsoft.com/office/drawing/2012/chart" uri="{02D57815-91ED-43cb-92C2-25804820EDAC}">
                  <c15:fullRef>
                    <c15:sqref>'2MT'!$B$46:$B$53</c15:sqref>
                  </c15:fullRef>
                </c:ext>
              </c:extLst>
              <c:f>'2MT'!$B$46:$B$50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'2MT'!$C$46:$C$53</c15:sqref>
                  </c15:fullRef>
                </c:ext>
              </c:extLst>
              <c:f>'2MT'!$C$46:$C$50</c:f>
              <c:numCache>
                <c:formatCode>_-* #,##0_-;\-* #,##0_-;_-* "-"??_-;_-@_-</c:formatCode>
                <c:ptCount val="5"/>
                <c:pt idx="0">
                  <c:v>935.1605590235996</c:v>
                </c:pt>
                <c:pt idx="1">
                  <c:v>899.97203157599881</c:v>
                </c:pt>
                <c:pt idx="2">
                  <c:v>961.72159353119923</c:v>
                </c:pt>
                <c:pt idx="3">
                  <c:v>1007.2192278479994</c:v>
                </c:pt>
                <c:pt idx="4">
                  <c:v>1074.1207578251974</c:v>
                </c:pt>
              </c:numCache>
            </c:numRef>
          </c:val>
          <c:smooth val="0"/>
          <c:extLst>
            <c:ext xmlns:c16="http://schemas.microsoft.com/office/drawing/2014/chart" uri="{C3380CC4-5D6E-409C-BE32-E72D297353CC}">
              <c16:uniqueId val="{00000001-88F1-4F49-A8FA-C67DDED6C114}"/>
            </c:ext>
          </c:extLst>
        </c:ser>
        <c:ser>
          <c:idx val="3"/>
          <c:order val="3"/>
          <c:tx>
            <c:strRef>
              <c:f>'2MT'!$F$45</c:f>
              <c:strCache>
                <c:ptCount val="1"/>
                <c:pt idx="0">
                  <c:v>Baseline simulation (after reescaling)</c:v>
                </c:pt>
              </c:strCache>
            </c:strRef>
          </c:tx>
          <c:spPr>
            <a:ln w="25400" cap="rnd">
              <a:noFill/>
              <a:round/>
            </a:ln>
            <a:effectLst/>
          </c:spPr>
          <c:marker>
            <c:symbol val="circle"/>
            <c:size val="7"/>
            <c:spPr>
              <a:solidFill>
                <a:schemeClr val="tx1"/>
              </a:solidFill>
              <a:ln w="9525">
                <a:solidFill>
                  <a:schemeClr val="tx1"/>
                </a:solidFill>
              </a:ln>
              <a:effectLst/>
            </c:spPr>
          </c:marker>
          <c:cat>
            <c:numRef>
              <c:extLst>
                <c:ext xmlns:c15="http://schemas.microsoft.com/office/drawing/2012/chart" uri="{02D57815-91ED-43cb-92C2-25804820EDAC}">
                  <c15:fullRef>
                    <c15:sqref>'2MT'!$B$46:$B$53</c15:sqref>
                  </c15:fullRef>
                </c:ext>
              </c:extLst>
              <c:f>'2MT'!$B$46:$B$50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'2MT'!$F$46:$F$53</c15:sqref>
                  </c15:fullRef>
                </c:ext>
              </c:extLst>
              <c:f>'2MT'!$F$46:$F$50</c:f>
              <c:numCache>
                <c:formatCode>General</c:formatCode>
                <c:ptCount val="5"/>
                <c:pt idx="0" formatCode="_-* #,##0_-;\-* #,##0_-;_-* &quot;-&quot;??_-;_-@_-">
                  <c:v>983.80825405823282</c:v>
                </c:pt>
                <c:pt idx="4" formatCode="_-* #,##0_-;\-* #,##0_-;_-* &quot;-&quot;??_-;_-@_-">
                  <c:v>1510.796382081202</c:v>
                </c:pt>
              </c:numCache>
            </c:numRef>
          </c:val>
          <c:smooth val="0"/>
          <c:extLst>
            <c:ext xmlns:c16="http://schemas.microsoft.com/office/drawing/2014/chart" uri="{C3380CC4-5D6E-409C-BE32-E72D297353CC}">
              <c16:uniqueId val="{00000002-88F1-4F49-A8FA-C67DDED6C114}"/>
            </c:ext>
          </c:extLst>
        </c:ser>
        <c:ser>
          <c:idx val="4"/>
          <c:order val="4"/>
          <c:tx>
            <c:strRef>
              <c:f>'2MT'!$G$45</c:f>
              <c:strCache>
                <c:ptCount val="1"/>
                <c:pt idx="0">
                  <c:v>Unchanged legislation since 2019/2023</c:v>
                </c:pt>
              </c:strCache>
            </c:strRef>
          </c:tx>
          <c:spPr>
            <a:ln w="25400" cap="rnd">
              <a:noFill/>
              <a:round/>
            </a:ln>
            <a:effectLst/>
          </c:spPr>
          <c:marker>
            <c:symbol val="circle"/>
            <c:size val="6"/>
            <c:spPr>
              <a:noFill/>
              <a:ln w="25400">
                <a:solidFill>
                  <a:srgbClr val="C00000"/>
                </a:solidFill>
              </a:ln>
              <a:effectLst/>
            </c:spPr>
          </c:marker>
          <c:cat>
            <c:numRef>
              <c:extLst>
                <c:ext xmlns:c15="http://schemas.microsoft.com/office/drawing/2012/chart" uri="{02D57815-91ED-43cb-92C2-25804820EDAC}">
                  <c15:fullRef>
                    <c15:sqref>'2MT'!$B$46:$B$53</c15:sqref>
                  </c15:fullRef>
                </c:ext>
              </c:extLst>
              <c:f>'2MT'!$B$46:$B$50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'2MT'!$G$46:$G$53</c15:sqref>
                  </c15:fullRef>
                </c:ext>
              </c:extLst>
              <c:f>'2MT'!$G$46:$G$50</c:f>
              <c:numCache>
                <c:formatCode>General</c:formatCode>
                <c:ptCount val="5"/>
                <c:pt idx="4" formatCode="_-* #,##0_-;\-* #,##0_-;_-* &quot;-&quot;??_-;_-@_-">
                  <c:v>1558.3076912185402</c:v>
                </c:pt>
              </c:numCache>
            </c:numRef>
          </c:val>
          <c:smooth val="0"/>
          <c:extLst>
            <c:ext xmlns:c16="http://schemas.microsoft.com/office/drawing/2014/chart" uri="{C3380CC4-5D6E-409C-BE32-E72D297353CC}">
              <c16:uniqueId val="{00000003-88F1-4F49-A8FA-C67DDED6C114}"/>
            </c:ext>
          </c:extLst>
        </c:ser>
        <c:ser>
          <c:idx val="5"/>
          <c:order val="5"/>
          <c:tx>
            <c:strRef>
              <c:f>'2MT'!$H$45</c:f>
              <c:strCache>
                <c:ptCount val="1"/>
                <c:pt idx="0">
                  <c:v>Indexing with tax base growth</c:v>
                </c:pt>
              </c:strCache>
            </c:strRef>
          </c:tx>
          <c:spPr>
            <a:ln w="25400" cap="rnd">
              <a:noFill/>
              <a:round/>
            </a:ln>
            <a:effectLst/>
          </c:spPr>
          <c:marker>
            <c:symbol val="square"/>
            <c:size val="5"/>
            <c:spPr>
              <a:noFill/>
              <a:ln w="25400">
                <a:solidFill>
                  <a:schemeClr val="accent6">
                    <a:lumMod val="75000"/>
                  </a:schemeClr>
                </a:solidFill>
              </a:ln>
              <a:effectLst/>
            </c:spPr>
          </c:marker>
          <c:cat>
            <c:numRef>
              <c:extLst>
                <c:ext xmlns:c15="http://schemas.microsoft.com/office/drawing/2012/chart" uri="{02D57815-91ED-43cb-92C2-25804820EDAC}">
                  <c15:fullRef>
                    <c15:sqref>'2MT'!$B$46:$B$53</c15:sqref>
                  </c15:fullRef>
                </c:ext>
              </c:extLst>
              <c:f>'2MT'!$B$46:$B$50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'2MT'!$H$46:$H$53</c15:sqref>
                  </c15:fullRef>
                </c:ext>
              </c:extLst>
              <c:f>'2MT'!$H$46:$H$50</c:f>
              <c:numCache>
                <c:formatCode>General</c:formatCode>
                <c:ptCount val="5"/>
                <c:pt idx="4" formatCode="_-* #,##0_-;\-* #,##0_-;_-* &quot;-&quot;??_-;_-@_-">
                  <c:v>1442.4595161115888</c:v>
                </c:pt>
              </c:numCache>
            </c:numRef>
          </c:val>
          <c:smooth val="0"/>
          <c:extLst>
            <c:ext xmlns:c16="http://schemas.microsoft.com/office/drawing/2014/chart" uri="{C3380CC4-5D6E-409C-BE32-E72D297353CC}">
              <c16:uniqueId val="{00000004-88F1-4F49-A8FA-C67DDED6C114}"/>
            </c:ext>
          </c:extLst>
        </c:ser>
        <c:ser>
          <c:idx val="6"/>
          <c:order val="6"/>
          <c:tx>
            <c:strRef>
              <c:f>'2MT'!$I$45</c:f>
              <c:strCache>
                <c:ptCount val="1"/>
                <c:pt idx="0">
                  <c:v>Indexing with lagged HCPI</c:v>
                </c:pt>
              </c:strCache>
            </c:strRef>
          </c:tx>
          <c:spPr>
            <a:ln w="25400" cap="rnd">
              <a:noFill/>
              <a:round/>
            </a:ln>
            <a:effectLst/>
          </c:spPr>
          <c:marker>
            <c:symbol val="diamond"/>
            <c:size val="6"/>
            <c:spPr>
              <a:noFill/>
              <a:ln w="25400">
                <a:solidFill>
                  <a:schemeClr val="accent4"/>
                </a:solidFill>
              </a:ln>
              <a:effectLst/>
            </c:spPr>
          </c:marker>
          <c:cat>
            <c:numRef>
              <c:extLst>
                <c:ext xmlns:c15="http://schemas.microsoft.com/office/drawing/2012/chart" uri="{02D57815-91ED-43cb-92C2-25804820EDAC}">
                  <c15:fullRef>
                    <c15:sqref>'2MT'!$B$46:$B$53</c15:sqref>
                  </c15:fullRef>
                </c:ext>
              </c:extLst>
              <c:f>'2MT'!$B$46:$B$50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'2MT'!$I$46:$I$53</c15:sqref>
                  </c15:fullRef>
                </c:ext>
              </c:extLst>
              <c:f>'2MT'!$I$46:$I$50</c:f>
              <c:numCache>
                <c:formatCode>General</c:formatCode>
                <c:ptCount val="5"/>
                <c:pt idx="4" formatCode="_-* #,##0_-;\-* #,##0_-;_-* &quot;-&quot;??_-;_-@_-">
                  <c:v>1455.365930586255</c:v>
                </c:pt>
              </c:numCache>
            </c:numRef>
          </c:val>
          <c:smooth val="0"/>
          <c:extLst>
            <c:ext xmlns:c16="http://schemas.microsoft.com/office/drawing/2014/chart" uri="{C3380CC4-5D6E-409C-BE32-E72D297353CC}">
              <c16:uniqueId val="{00000005-88F1-4F49-A8FA-C67DDED6C114}"/>
            </c:ext>
          </c:extLst>
        </c:ser>
        <c:ser>
          <c:idx val="7"/>
          <c:order val="7"/>
          <c:tx>
            <c:strRef>
              <c:f>'2MT'!$J$45</c:f>
              <c:strCache>
                <c:ptCount val="1"/>
                <c:pt idx="0">
                  <c:v>Indexing with concurrent HCPI</c:v>
                </c:pt>
              </c:strCache>
            </c:strRef>
          </c:tx>
          <c:spPr>
            <a:ln w="25400" cap="rnd">
              <a:noFill/>
              <a:round/>
            </a:ln>
            <a:effectLst/>
          </c:spPr>
          <c:marker>
            <c:symbol val="triangle"/>
            <c:size val="6"/>
            <c:spPr>
              <a:noFill/>
              <a:ln w="25400">
                <a:solidFill>
                  <a:schemeClr val="accent5">
                    <a:lumMod val="75000"/>
                  </a:schemeClr>
                </a:solidFill>
              </a:ln>
              <a:effectLst/>
            </c:spPr>
          </c:marker>
          <c:cat>
            <c:numRef>
              <c:extLst>
                <c:ext xmlns:c15="http://schemas.microsoft.com/office/drawing/2012/chart" uri="{02D57815-91ED-43cb-92C2-25804820EDAC}">
                  <c15:fullRef>
                    <c15:sqref>'2MT'!$B$46:$B$53</c15:sqref>
                  </c15:fullRef>
                </c:ext>
              </c:extLst>
              <c:f>'2MT'!$B$46:$B$50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'2MT'!$J$46:$J$53</c15:sqref>
                  </c15:fullRef>
                </c:ext>
              </c:extLst>
              <c:f>'2MT'!$J$46:$J$50</c:f>
              <c:numCache>
                <c:formatCode>General</c:formatCode>
                <c:ptCount val="5"/>
                <c:pt idx="4" formatCode="_-* #,##0_-;\-* #,##0_-;_-* &quot;-&quot;??_-;_-@_-">
                  <c:v>1411.1398406113344</c:v>
                </c:pt>
              </c:numCache>
            </c:numRef>
          </c:val>
          <c:smooth val="0"/>
          <c:extLst>
            <c:ext xmlns:c16="http://schemas.microsoft.com/office/drawing/2014/chart" uri="{C3380CC4-5D6E-409C-BE32-E72D297353CC}">
              <c16:uniqueId val="{00000006-88F1-4F49-A8FA-C67DDED6C114}"/>
            </c:ext>
          </c:extLst>
        </c:ser>
        <c:ser>
          <c:idx val="8"/>
          <c:order val="8"/>
          <c:tx>
            <c:strRef>
              <c:f>'2MT'!$K$45</c:f>
              <c:strCache>
                <c:ptCount val="1"/>
                <c:pt idx="0">
                  <c:v>Baseline w/o "indexation measures"</c:v>
                </c:pt>
              </c:strCache>
            </c:strRef>
          </c:tx>
          <c:spPr>
            <a:ln w="28575" cap="rnd">
              <a:noFill/>
              <a:round/>
            </a:ln>
            <a:effectLst/>
          </c:spPr>
          <c:marker>
            <c:symbol val="dash"/>
            <c:size val="9"/>
            <c:spPr>
              <a:solidFill>
                <a:schemeClr val="tx1">
                  <a:lumMod val="65000"/>
                  <a:lumOff val="35000"/>
                </a:schemeClr>
              </a:solidFill>
              <a:ln w="9525">
                <a:solidFill>
                  <a:schemeClr val="tx1">
                    <a:lumMod val="65000"/>
                    <a:lumOff val="35000"/>
                  </a:schemeClr>
                </a:solidFill>
              </a:ln>
              <a:effectLst/>
            </c:spPr>
          </c:marker>
          <c:cat>
            <c:strLit>
              <c:ptCount val="5"/>
              <c:pt idx="0">
                <c:v>2019</c:v>
              </c:pt>
              <c:pt idx="1">
                <c:v>2020</c:v>
              </c:pt>
              <c:pt idx="2">
                <c:v>2021</c:v>
              </c:pt>
              <c:pt idx="3">
                <c:v>2022</c:v>
              </c:pt>
              <c:pt idx="4">
                <c:v>2023</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'2MT'!$K$46:$K$53</c15:sqref>
                  </c15:fullRef>
                </c:ext>
              </c:extLst>
              <c:f>'2MT'!$K$46:$K$50</c:f>
              <c:numCache>
                <c:formatCode>General</c:formatCode>
                <c:ptCount val="5"/>
                <c:pt idx="4" formatCode="_-* #,##0_-;\-* #,##0_-;_-* &quot;-&quot;??_-;_-@_-">
                  <c:v>1522.7794861745429</c:v>
                </c:pt>
              </c:numCache>
            </c:numRef>
          </c:val>
          <c:smooth val="0"/>
          <c:extLst>
            <c:ext xmlns:c16="http://schemas.microsoft.com/office/drawing/2014/chart" uri="{C3380CC4-5D6E-409C-BE32-E72D297353CC}">
              <c16:uniqueId val="{00000007-88F1-4F49-A8FA-C67DDED6C114}"/>
            </c:ext>
          </c:extLst>
        </c:ser>
        <c:dLbls>
          <c:showLegendKey val="0"/>
          <c:showVal val="0"/>
          <c:showCatName val="0"/>
          <c:showSerName val="0"/>
          <c:showPercent val="0"/>
          <c:showBubbleSize val="0"/>
        </c:dLbls>
        <c:smooth val="0"/>
        <c:axId val="709475840"/>
        <c:axId val="605168576"/>
        <c:extLst>
          <c:ext xmlns:c15="http://schemas.microsoft.com/office/drawing/2012/chart" uri="{02D57815-91ED-43cb-92C2-25804820EDAC}">
            <c15:filteredLineSeries>
              <c15:ser>
                <c:idx val="2"/>
                <c:order val="2"/>
                <c:tx>
                  <c:strRef>
                    <c:extLst>
                      <c:ext uri="{02D57815-91ED-43cb-92C2-25804820EDAC}">
                        <c15:formulaRef>
                          <c15:sqref>'2MT'!$E$45</c15:sqref>
                        </c15:formulaRef>
                      </c:ext>
                    </c:extLst>
                    <c:strCache>
                      <c:ptCount val="1"/>
                      <c:pt idx="0">
                        <c:v>Reescaling factor
</c:v>
                      </c:pt>
                    </c:strCache>
                  </c:strRef>
                </c:tx>
                <c:spPr>
                  <a:ln w="25400" cap="rnd">
                    <a:noFill/>
                    <a:round/>
                  </a:ln>
                  <a:effectLst/>
                </c:spPr>
                <c:marker>
                  <c:symbol val="circle"/>
                  <c:size val="5"/>
                  <c:spPr>
                    <a:solidFill>
                      <a:schemeClr val="accent3"/>
                    </a:solidFill>
                    <a:ln w="9525">
                      <a:solidFill>
                        <a:schemeClr val="accent3"/>
                      </a:solidFill>
                    </a:ln>
                    <a:effectLst/>
                  </c:spPr>
                </c:marker>
                <c:cat>
                  <c:numRef>
                    <c:extLst>
                      <c:ext uri="{02D57815-91ED-43cb-92C2-25804820EDAC}">
                        <c15:fullRef>
                          <c15:sqref>'2MT'!$B$46:$B$53</c15:sqref>
                        </c15:fullRef>
                        <c15:formulaRef>
                          <c15:sqref>'2MT'!$B$46:$B$50</c15:sqref>
                        </c15:formulaRef>
                      </c:ext>
                    </c:extLst>
                    <c:numCache>
                      <c:formatCode>General</c:formatCode>
                      <c:ptCount val="5"/>
                      <c:pt idx="0">
                        <c:v>2019</c:v>
                      </c:pt>
                      <c:pt idx="1">
                        <c:v>2020</c:v>
                      </c:pt>
                      <c:pt idx="2">
                        <c:v>2021</c:v>
                      </c:pt>
                      <c:pt idx="3">
                        <c:v>2022</c:v>
                      </c:pt>
                      <c:pt idx="4">
                        <c:v>2023</c:v>
                      </c:pt>
                    </c:numCache>
                  </c:numRef>
                </c:cat>
                <c:val>
                  <c:numRef>
                    <c:extLst>
                      <c:ext uri="{02D57815-91ED-43cb-92C2-25804820EDAC}">
                        <c15:fullRef>
                          <c15:sqref>'2MT'!$E$46:$E$53</c15:sqref>
                        </c15:fullRef>
                        <c15:formulaRef>
                          <c15:sqref>'2MT'!$E$46:$E$50</c15:sqref>
                        </c15:formulaRef>
                      </c:ext>
                    </c:extLst>
                    <c:numCache>
                      <c:formatCode>General</c:formatCode>
                      <c:ptCount val="5"/>
                    </c:numCache>
                  </c:numRef>
                </c:val>
                <c:smooth val="0"/>
                <c:extLst>
                  <c:ext xmlns:c16="http://schemas.microsoft.com/office/drawing/2014/chart" uri="{C3380CC4-5D6E-409C-BE32-E72D297353CC}">
                    <c16:uniqueId val="{00000008-88F1-4F49-A8FA-C67DDED6C114}"/>
                  </c:ext>
                </c:extLst>
              </c15:ser>
            </c15:filteredLineSeries>
          </c:ext>
        </c:extLst>
      </c:lineChart>
      <c:catAx>
        <c:axId val="709475840"/>
        <c:scaling>
          <c:orientation val="minMax"/>
        </c:scaling>
        <c:delete val="0"/>
        <c:axPos val="b"/>
        <c:numFmt formatCode="General" sourceLinked="1"/>
        <c:majorTickMark val="out"/>
        <c:minorTickMark val="none"/>
        <c:tickLblPos val="nextTo"/>
        <c:spPr>
          <a:noFill/>
          <a:ln w="6350" cap="flat" cmpd="sng" algn="ctr">
            <a:solidFill>
              <a:schemeClr val="tx1"/>
            </a:solidFill>
            <a:round/>
          </a:ln>
          <a:effectLst/>
        </c:spPr>
        <c:txPr>
          <a:bodyPr rot="-60000000" spcFirstLastPara="1" vertOverflow="ellipsis" vert="horz" wrap="square" anchor="ctr" anchorCtr="1"/>
          <a:lstStyle/>
          <a:p>
            <a:pPr>
              <a:defRPr sz="950" b="0" i="0" u="none" strike="noStrike" kern="1200" baseline="0">
                <a:solidFill>
                  <a:schemeClr val="tx1"/>
                </a:solidFill>
                <a:latin typeface="Times New Roman" panose="02020603050405020304" pitchFamily="18" charset="0"/>
                <a:ea typeface="+mn-ea"/>
                <a:cs typeface="+mn-cs"/>
              </a:defRPr>
            </a:pPr>
            <a:endParaRPr lang="es-ES_tradnl"/>
          </a:p>
        </c:txPr>
        <c:crossAx val="605168576"/>
        <c:crosses val="autoZero"/>
        <c:auto val="1"/>
        <c:lblAlgn val="ctr"/>
        <c:lblOffset val="100"/>
        <c:noMultiLvlLbl val="0"/>
      </c:catAx>
      <c:valAx>
        <c:axId val="605168576"/>
        <c:scaling>
          <c:orientation val="minMax"/>
          <c:min val="75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s-ES_tradnl" sz="1050">
                    <a:solidFill>
                      <a:sysClr val="windowText" lastClr="000000"/>
                    </a:solidFill>
                    <a:latin typeface="Times New Roman" panose="02020603050405020304" pitchFamily="18" charset="0"/>
                    <a:cs typeface="Times New Roman" panose="02020603050405020304" pitchFamily="18" charset="0"/>
                  </a:rPr>
                  <a:t>Million euros</a:t>
                </a:r>
              </a:p>
            </c:rich>
          </c:tx>
          <c:layout>
            <c:manualLayout>
              <c:xMode val="edge"/>
              <c:yMode val="edge"/>
              <c:x val="0"/>
              <c:y val="0.27024653144012073"/>
            </c:manualLayout>
          </c:layout>
          <c:overlay val="0"/>
          <c:spPr>
            <a:noFill/>
            <a:ln>
              <a:noFill/>
            </a:ln>
            <a:effectLst/>
          </c:spPr>
          <c:txPr>
            <a:bodyPr rot="-5400000" spcFirstLastPara="1" vertOverflow="ellipsis" vert="horz" wrap="square" anchor="ctr" anchorCtr="1"/>
            <a:lstStyle/>
            <a:p>
              <a:pPr>
                <a:defRPr sz="10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title>
        <c:numFmt formatCode="#,##0" sourceLinked="0"/>
        <c:majorTickMark val="out"/>
        <c:minorTickMark val="none"/>
        <c:tickLblPos val="nextTo"/>
        <c:spPr>
          <a:noFill/>
          <a:ln w="6350">
            <a:solidFill>
              <a:schemeClr val="tx1">
                <a:lumMod val="65000"/>
                <a:lumOff val="35000"/>
              </a:schemeClr>
            </a:solidFill>
          </a:ln>
          <a:effectLst/>
        </c:spPr>
        <c:txPr>
          <a:bodyPr rot="-60000000" spcFirstLastPara="1" vertOverflow="ellipsis" vert="horz" wrap="square" anchor="ctr" anchorCtr="1"/>
          <a:lstStyle/>
          <a:p>
            <a:pPr>
              <a:defRPr sz="950" b="0" i="0" u="none" strike="noStrike" kern="1200" baseline="0">
                <a:solidFill>
                  <a:schemeClr val="tx1"/>
                </a:solidFill>
                <a:latin typeface="Times New Roman" panose="02020603050405020304" pitchFamily="18" charset="0"/>
                <a:ea typeface="+mn-ea"/>
                <a:cs typeface="+mn-cs"/>
              </a:defRPr>
            </a:pPr>
            <a:endParaRPr lang="es-ES_tradnl"/>
          </a:p>
        </c:txPr>
        <c:crossAx val="709475840"/>
        <c:crosses val="autoZero"/>
        <c:crossBetween val="between"/>
      </c:valAx>
      <c:spPr>
        <a:noFill/>
        <a:ln>
          <a:noFill/>
        </a:ln>
        <a:effectLst/>
      </c:spPr>
    </c:plotArea>
    <c:legend>
      <c:legendPos val="b"/>
      <c:layout>
        <c:manualLayout>
          <c:xMode val="edge"/>
          <c:yMode val="edge"/>
          <c:x val="0"/>
          <c:y val="0.73648087849247201"/>
          <c:w val="1"/>
          <c:h val="0.26351912150752793"/>
        </c:manualLayout>
      </c:layout>
      <c:overlay val="0"/>
      <c:spPr>
        <a:noFill/>
        <a:ln>
          <a:noFill/>
        </a:ln>
        <a:effectLst/>
      </c:spPr>
      <c:txPr>
        <a:bodyPr rot="0" spcFirstLastPara="1" vertOverflow="ellipsis" vert="horz" wrap="square" anchor="ctr" anchorCtr="1"/>
        <a:lstStyle/>
        <a:p>
          <a:pPr>
            <a:defRPr sz="9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legend>
    <c:plotVisOnly val="1"/>
    <c:dispBlanksAs val="gap"/>
    <c:showDLblsOverMax val="0"/>
  </c:chart>
  <c:spPr>
    <a:solidFill>
      <a:schemeClr val="bg1"/>
    </a:solidFill>
    <a:ln w="9525" cap="flat" cmpd="sng" algn="ctr">
      <a:noFill/>
      <a:round/>
    </a:ln>
    <a:effectLst/>
  </c:spPr>
  <c:txPr>
    <a:bodyPr/>
    <a:lstStyle/>
    <a:p>
      <a:pPr>
        <a:defRPr/>
      </a:pPr>
      <a:endParaRPr lang="es-ES_tradnl"/>
    </a:p>
  </c:txPr>
  <c:printSettings>
    <c:headerFooter/>
    <c:pageMargins b="0.75" l="0.25" r="0.25" t="0.75" header="0.3" footer="0.3"/>
    <c:pageSetup paperSize="9" orientation="landscape"/>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457409308717575"/>
          <c:y val="4.6087571003560986E-2"/>
          <c:w val="0.82558175067451101"/>
          <c:h val="0.6515011552844524"/>
        </c:manualLayout>
      </c:layout>
      <c:lineChart>
        <c:grouping val="standard"/>
        <c:varyColors val="0"/>
        <c:ser>
          <c:idx val="1"/>
          <c:order val="0"/>
          <c:tx>
            <c:strRef>
              <c:f>'2MT'!$C$64</c:f>
              <c:strCache>
                <c:ptCount val="1"/>
                <c:pt idx="0">
                  <c:v>Baseline simulation
</c:v>
                </c:pt>
              </c:strCache>
            </c:strRef>
          </c:tx>
          <c:spPr>
            <a:ln w="28575" cap="rnd">
              <a:noFill/>
              <a:round/>
            </a:ln>
            <a:effectLst/>
          </c:spPr>
          <c:marker>
            <c:symbol val="circle"/>
            <c:size val="7"/>
            <c:spPr>
              <a:solidFill>
                <a:schemeClr val="tx1"/>
              </a:solidFill>
              <a:ln w="9525">
                <a:noFill/>
              </a:ln>
              <a:effectLst/>
            </c:spPr>
          </c:marker>
          <c:cat>
            <c:numRef>
              <c:extLst>
                <c:ext xmlns:c15="http://schemas.microsoft.com/office/drawing/2012/chart" uri="{02D57815-91ED-43cb-92C2-25804820EDAC}">
                  <c15:fullRef>
                    <c15:sqref>'2MT'!$B$65:$B$72</c15:sqref>
                  </c15:fullRef>
                </c:ext>
              </c:extLst>
              <c:f>'2MT'!$B$65:$B$69</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'2MT'!$C$65:$C$72</c15:sqref>
                  </c15:fullRef>
                </c:ext>
              </c:extLst>
              <c:f>'2MT'!$C$65:$C$69</c:f>
              <c:numCache>
                <c:formatCode>0.00</c:formatCode>
                <c:ptCount val="5"/>
                <c:pt idx="0">
                  <c:v>12.373339020775758</c:v>
                </c:pt>
                <c:pt idx="1">
                  <c:v>12.07451630491955</c:v>
                </c:pt>
                <c:pt idx="2">
                  <c:v>12.397052787745759</c:v>
                </c:pt>
                <c:pt idx="3">
                  <c:v>12.557362505323489</c:v>
                </c:pt>
                <c:pt idx="4">
                  <c:v>12.848019466449855</c:v>
                </c:pt>
              </c:numCache>
            </c:numRef>
          </c:val>
          <c:smooth val="0"/>
          <c:extLst>
            <c:ext xmlns:c16="http://schemas.microsoft.com/office/drawing/2014/chart" uri="{C3380CC4-5D6E-409C-BE32-E72D297353CC}">
              <c16:uniqueId val="{00000000-D151-4A58-BB3E-0DC5BCA1D480}"/>
            </c:ext>
          </c:extLst>
        </c:ser>
        <c:ser>
          <c:idx val="0"/>
          <c:order val="1"/>
          <c:tx>
            <c:strRef>
              <c:f>'2MT'!$D$64</c:f>
              <c:strCache>
                <c:ptCount val="1"/>
                <c:pt idx="0">
                  <c:v>Legislation unchanged since 2019/2023</c:v>
                </c:pt>
              </c:strCache>
            </c:strRef>
          </c:tx>
          <c:spPr>
            <a:ln w="28575" cap="rnd">
              <a:noFill/>
              <a:round/>
            </a:ln>
            <a:effectLst/>
          </c:spPr>
          <c:marker>
            <c:symbol val="circle"/>
            <c:size val="7"/>
            <c:spPr>
              <a:noFill/>
              <a:ln w="25400">
                <a:solidFill>
                  <a:srgbClr val="C00000"/>
                </a:solidFill>
              </a:ln>
              <a:effectLst/>
            </c:spPr>
          </c:marker>
          <c:cat>
            <c:numRef>
              <c:extLst>
                <c:ext xmlns:c15="http://schemas.microsoft.com/office/drawing/2012/chart" uri="{02D57815-91ED-43cb-92C2-25804820EDAC}">
                  <c15:fullRef>
                    <c15:sqref>'2MT'!$B$65:$B$72</c15:sqref>
                  </c15:fullRef>
                </c:ext>
              </c:extLst>
              <c:f>'2MT'!$B$65:$B$69</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'2MT'!$D$65:$D$72</c15:sqref>
                  </c15:fullRef>
                </c:ext>
              </c:extLst>
              <c:f>'2MT'!$D$65:$D$69</c:f>
              <c:numCache>
                <c:formatCode>0.00%</c:formatCode>
                <c:ptCount val="5"/>
                <c:pt idx="4" formatCode="0.00">
                  <c:v>13.25206215010531</c:v>
                </c:pt>
              </c:numCache>
            </c:numRef>
          </c:val>
          <c:smooth val="0"/>
          <c:extLst>
            <c:ext xmlns:c16="http://schemas.microsoft.com/office/drawing/2014/chart" uri="{C3380CC4-5D6E-409C-BE32-E72D297353CC}">
              <c16:uniqueId val="{00000001-D151-4A58-BB3E-0DC5BCA1D480}"/>
            </c:ext>
          </c:extLst>
        </c:ser>
        <c:ser>
          <c:idx val="2"/>
          <c:order val="2"/>
          <c:tx>
            <c:strRef>
              <c:f>'2MT'!$E$64</c:f>
              <c:strCache>
                <c:ptCount val="1"/>
                <c:pt idx="0">
                  <c:v>Index with tax base growth</c:v>
                </c:pt>
              </c:strCache>
            </c:strRef>
          </c:tx>
          <c:spPr>
            <a:ln w="28575" cap="rnd">
              <a:noFill/>
              <a:round/>
            </a:ln>
            <a:effectLst/>
          </c:spPr>
          <c:marker>
            <c:symbol val="square"/>
            <c:size val="6"/>
            <c:spPr>
              <a:noFill/>
              <a:ln w="25400">
                <a:solidFill>
                  <a:schemeClr val="accent6">
                    <a:lumMod val="75000"/>
                  </a:schemeClr>
                </a:solidFill>
              </a:ln>
              <a:effectLst/>
            </c:spPr>
          </c:marker>
          <c:cat>
            <c:numRef>
              <c:extLst>
                <c:ext xmlns:c15="http://schemas.microsoft.com/office/drawing/2012/chart" uri="{02D57815-91ED-43cb-92C2-25804820EDAC}">
                  <c15:fullRef>
                    <c15:sqref>'2MT'!$B$65:$B$72</c15:sqref>
                  </c15:fullRef>
                </c:ext>
              </c:extLst>
              <c:f>'2MT'!$B$65:$B$69</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'2MT'!$E$65:$E$72</c15:sqref>
                  </c15:fullRef>
                </c:ext>
              </c:extLst>
              <c:f>'2MT'!$E$65:$E$69</c:f>
              <c:numCache>
                <c:formatCode>0.00%</c:formatCode>
                <c:ptCount val="5"/>
                <c:pt idx="4" formatCode="0.00">
                  <c:v>12.266873393645337</c:v>
                </c:pt>
              </c:numCache>
            </c:numRef>
          </c:val>
          <c:smooth val="0"/>
          <c:extLst xmlns:c15="http://schemas.microsoft.com/office/drawing/2012/chart">
            <c:ext xmlns:c16="http://schemas.microsoft.com/office/drawing/2014/chart" uri="{C3380CC4-5D6E-409C-BE32-E72D297353CC}">
              <c16:uniqueId val="{00000002-D151-4A58-BB3E-0DC5BCA1D480}"/>
            </c:ext>
          </c:extLst>
        </c:ser>
        <c:ser>
          <c:idx val="3"/>
          <c:order val="3"/>
          <c:tx>
            <c:strRef>
              <c:f>'2MT'!$F$64</c:f>
              <c:strCache>
                <c:ptCount val="1"/>
                <c:pt idx="0">
                  <c:v>Index with lagged HCPI</c:v>
                </c:pt>
              </c:strCache>
            </c:strRef>
          </c:tx>
          <c:spPr>
            <a:ln w="28575" cap="rnd">
              <a:noFill/>
              <a:round/>
            </a:ln>
            <a:effectLst/>
          </c:spPr>
          <c:marker>
            <c:symbol val="diamond"/>
            <c:size val="7"/>
            <c:spPr>
              <a:noFill/>
              <a:ln w="25400">
                <a:solidFill>
                  <a:schemeClr val="accent4"/>
                </a:solidFill>
              </a:ln>
              <a:effectLst/>
            </c:spPr>
          </c:marker>
          <c:cat>
            <c:numRef>
              <c:extLst>
                <c:ext xmlns:c15="http://schemas.microsoft.com/office/drawing/2012/chart" uri="{02D57815-91ED-43cb-92C2-25804820EDAC}">
                  <c15:fullRef>
                    <c15:sqref>'2MT'!$B$65:$B$72</c15:sqref>
                  </c15:fullRef>
                </c:ext>
              </c:extLst>
              <c:f>'2MT'!$B$65:$B$69</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'2MT'!$F$65:$F$72</c15:sqref>
                  </c15:fullRef>
                </c:ext>
              </c:extLst>
              <c:f>'2MT'!$F$65:$F$69</c:f>
              <c:numCache>
                <c:formatCode>0.00%</c:formatCode>
                <c:ptCount val="5"/>
                <c:pt idx="4" formatCode="0.00">
                  <c:v>12.37663131097908</c:v>
                </c:pt>
              </c:numCache>
            </c:numRef>
          </c:val>
          <c:smooth val="0"/>
          <c:extLst>
            <c:ext xmlns:c16="http://schemas.microsoft.com/office/drawing/2014/chart" uri="{C3380CC4-5D6E-409C-BE32-E72D297353CC}">
              <c16:uniqueId val="{00000003-D151-4A58-BB3E-0DC5BCA1D480}"/>
            </c:ext>
          </c:extLst>
        </c:ser>
        <c:ser>
          <c:idx val="4"/>
          <c:order val="4"/>
          <c:tx>
            <c:strRef>
              <c:f>'2MT'!$G$64</c:f>
              <c:strCache>
                <c:ptCount val="1"/>
                <c:pt idx="0">
                  <c:v>Index with concurrent HCPI</c:v>
                </c:pt>
              </c:strCache>
            </c:strRef>
          </c:tx>
          <c:spPr>
            <a:ln w="28575" cap="rnd">
              <a:noFill/>
              <a:round/>
            </a:ln>
            <a:effectLst/>
          </c:spPr>
          <c:marker>
            <c:symbol val="triangle"/>
            <c:size val="6"/>
            <c:spPr>
              <a:noFill/>
              <a:ln w="25400">
                <a:solidFill>
                  <a:schemeClr val="accent5">
                    <a:lumMod val="75000"/>
                  </a:schemeClr>
                </a:solidFill>
              </a:ln>
              <a:effectLst/>
            </c:spPr>
          </c:marker>
          <c:cat>
            <c:numRef>
              <c:extLst>
                <c:ext xmlns:c15="http://schemas.microsoft.com/office/drawing/2012/chart" uri="{02D57815-91ED-43cb-92C2-25804820EDAC}">
                  <c15:fullRef>
                    <c15:sqref>'2MT'!$B$65:$B$72</c15:sqref>
                  </c15:fullRef>
                </c:ext>
              </c:extLst>
              <c:f>'2MT'!$B$65:$B$69</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'2MT'!$G$65:$G$72</c15:sqref>
                  </c15:fullRef>
                </c:ext>
              </c:extLst>
              <c:f>'2MT'!$G$65:$G$69</c:f>
              <c:numCache>
                <c:formatCode>0.00%</c:formatCode>
                <c:ptCount val="5"/>
                <c:pt idx="4" formatCode="0.00">
                  <c:v>12.000526581273549</c:v>
                </c:pt>
              </c:numCache>
            </c:numRef>
          </c:val>
          <c:smooth val="0"/>
          <c:extLst>
            <c:ext xmlns:c16="http://schemas.microsoft.com/office/drawing/2014/chart" uri="{C3380CC4-5D6E-409C-BE32-E72D297353CC}">
              <c16:uniqueId val="{00000004-D151-4A58-BB3E-0DC5BCA1D480}"/>
            </c:ext>
          </c:extLst>
        </c:ser>
        <c:dLbls>
          <c:showLegendKey val="0"/>
          <c:showVal val="0"/>
          <c:showCatName val="0"/>
          <c:showSerName val="0"/>
          <c:showPercent val="0"/>
          <c:showBubbleSize val="0"/>
        </c:dLbls>
        <c:marker val="1"/>
        <c:smooth val="0"/>
        <c:axId val="709475840"/>
        <c:axId val="605168576"/>
        <c:extLst/>
      </c:lineChart>
      <c:catAx>
        <c:axId val="709475840"/>
        <c:scaling>
          <c:orientation val="minMax"/>
        </c:scaling>
        <c:delete val="0"/>
        <c:axPos val="b"/>
        <c:numFmt formatCode="General" sourceLinked="1"/>
        <c:majorTickMark val="out"/>
        <c:minorTickMark val="none"/>
        <c:tickLblPos val="nextTo"/>
        <c:spPr>
          <a:noFill/>
          <a:ln w="635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mn-cs"/>
              </a:defRPr>
            </a:pPr>
            <a:endParaRPr lang="es-ES_tradnl"/>
          </a:p>
        </c:txPr>
        <c:crossAx val="605168576"/>
        <c:crosses val="autoZero"/>
        <c:auto val="1"/>
        <c:lblAlgn val="ctr"/>
        <c:lblOffset val="100"/>
        <c:noMultiLvlLbl val="0"/>
      </c:catAx>
      <c:valAx>
        <c:axId val="6051685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s-ES_tradnl" sz="1050">
                    <a:solidFill>
                      <a:sysClr val="windowText" lastClr="000000"/>
                    </a:solidFill>
                    <a:latin typeface="Times New Roman" panose="02020603050405020304" pitchFamily="18" charset="0"/>
                    <a:cs typeface="Times New Roman" panose="02020603050405020304" pitchFamily="18" charset="0"/>
                  </a:rPr>
                  <a:t>Rate</a:t>
                </a:r>
              </a:p>
            </c:rich>
          </c:tx>
          <c:overlay val="0"/>
          <c:spPr>
            <a:noFill/>
            <a:ln>
              <a:noFill/>
            </a:ln>
            <a:effectLst/>
          </c:spPr>
          <c:txPr>
            <a:bodyPr rot="-5400000" spcFirstLastPara="1" vertOverflow="ellipsis" vert="horz" wrap="square" anchor="ctr" anchorCtr="1"/>
            <a:lstStyle/>
            <a:p>
              <a:pPr>
                <a:defRPr sz="10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title>
        <c:numFmt formatCode="#,##0.0" sourceLinked="0"/>
        <c:majorTickMark val="out"/>
        <c:minorTickMark val="none"/>
        <c:tickLblPos val="nextTo"/>
        <c:spPr>
          <a:noFill/>
          <a:ln w="6350">
            <a:solidFill>
              <a:schemeClr val="tx1">
                <a:lumMod val="65000"/>
                <a:lumOff val="35000"/>
              </a:schemeClr>
            </a:solidFill>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mn-cs"/>
              </a:defRPr>
            </a:pPr>
            <a:endParaRPr lang="es-ES_tradnl"/>
          </a:p>
        </c:txPr>
        <c:crossAx val="709475840"/>
        <c:crosses val="autoZero"/>
        <c:crossBetween val="between"/>
      </c:valAx>
      <c:spPr>
        <a:noFill/>
        <a:ln>
          <a:noFill/>
        </a:ln>
        <a:effectLst/>
      </c:spPr>
    </c:plotArea>
    <c:legend>
      <c:legendPos val="b"/>
      <c:layout>
        <c:manualLayout>
          <c:xMode val="edge"/>
          <c:yMode val="edge"/>
          <c:x val="8.1926620958132398E-2"/>
          <c:y val="0.78900773467278962"/>
          <c:w val="0.8223310520657221"/>
          <c:h val="0.1997652991480407"/>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legend>
    <c:plotVisOnly val="1"/>
    <c:dispBlanksAs val="gap"/>
    <c:showDLblsOverMax val="0"/>
  </c:chart>
  <c:spPr>
    <a:solidFill>
      <a:schemeClr val="bg1"/>
    </a:solidFill>
    <a:ln w="9525" cap="flat" cmpd="sng" algn="ctr">
      <a:noFill/>
      <a:round/>
    </a:ln>
    <a:effectLst/>
  </c:spPr>
  <c:txPr>
    <a:bodyPr/>
    <a:lstStyle/>
    <a:p>
      <a:pPr>
        <a:defRPr/>
      </a:pPr>
      <a:endParaRPr lang="es-ES_tradnl"/>
    </a:p>
  </c:txPr>
  <c:printSettings>
    <c:headerFooter/>
    <c:pageMargins b="0.75" l="0.84" r="0.25" t="0.75" header="0.3" footer="0.3"/>
    <c:pageSetup paperSize="9" orientation="landscape"/>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457409308717575"/>
          <c:y val="4.6087571003560986E-2"/>
          <c:w val="0.82558175067451101"/>
          <c:h val="0.64272676146640684"/>
        </c:manualLayout>
      </c:layout>
      <c:lineChart>
        <c:grouping val="standard"/>
        <c:varyColors val="0"/>
        <c:ser>
          <c:idx val="1"/>
          <c:order val="0"/>
          <c:tx>
            <c:strRef>
              <c:f>'2MT'!$W$45</c:f>
              <c:strCache>
                <c:ptCount val="1"/>
                <c:pt idx="0">
                  <c:v>Observed (National Accounts)</c:v>
                </c:pt>
              </c:strCache>
            </c:strRef>
          </c:tx>
          <c:spPr>
            <a:ln w="25400" cap="rnd">
              <a:solidFill>
                <a:schemeClr val="tx1">
                  <a:lumMod val="65000"/>
                  <a:lumOff val="35000"/>
                </a:schemeClr>
              </a:solidFill>
              <a:prstDash val="sysDash"/>
              <a:round/>
            </a:ln>
            <a:effectLst/>
          </c:spPr>
          <c:marker>
            <c:symbol val="none"/>
          </c:marker>
          <c:cat>
            <c:numRef>
              <c:extLst>
                <c:ext xmlns:c15="http://schemas.microsoft.com/office/drawing/2012/chart" uri="{02D57815-91ED-43cb-92C2-25804820EDAC}">
                  <c15:fullRef>
                    <c15:sqref>'2MT'!$U$46:$U$53</c15:sqref>
                  </c15:fullRef>
                </c:ext>
              </c:extLst>
              <c:f>'2MT'!$U$46:$U$50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'2MT'!$W$46:$W$53</c15:sqref>
                  </c15:fullRef>
                </c:ext>
              </c:extLst>
              <c:f>'2MT'!$W$46:$W$50</c:f>
              <c:numCache>
                <c:formatCode>0.0%</c:formatCode>
                <c:ptCount val="5"/>
                <c:pt idx="0">
                  <c:v>6.7411096720287403E-2</c:v>
                </c:pt>
                <c:pt idx="1">
                  <c:v>7.0832948874979984E-2</c:v>
                </c:pt>
                <c:pt idx="2">
                  <c:v>7.2147970304612646E-2</c:v>
                </c:pt>
                <c:pt idx="3">
                  <c:v>7.5145092323432749E-2</c:v>
                </c:pt>
                <c:pt idx="4">
                  <c:v>7.3545880566166691E-2</c:v>
                </c:pt>
              </c:numCache>
            </c:numRef>
          </c:val>
          <c:smooth val="0"/>
          <c:extLst>
            <c:ext xmlns:c16="http://schemas.microsoft.com/office/drawing/2014/chart" uri="{C3380CC4-5D6E-409C-BE32-E72D297353CC}">
              <c16:uniqueId val="{00000000-540D-4C71-A048-BDCE2F547673}"/>
            </c:ext>
          </c:extLst>
        </c:ser>
        <c:ser>
          <c:idx val="0"/>
          <c:order val="1"/>
          <c:tx>
            <c:strRef>
              <c:f>'2MT'!$V$45</c:f>
              <c:strCache>
                <c:ptCount val="1"/>
                <c:pt idx="0">
                  <c:v>Baseline simulation (before reescaling)</c:v>
                </c:pt>
              </c:strCache>
            </c:strRef>
          </c:tx>
          <c:spPr>
            <a:ln w="25400" cap="rnd">
              <a:noFill/>
              <a:round/>
            </a:ln>
            <a:effectLst/>
          </c:spPr>
          <c:marker>
            <c:symbol val="circle"/>
            <c:size val="8"/>
            <c:spPr>
              <a:solidFill>
                <a:schemeClr val="bg1">
                  <a:lumMod val="85000"/>
                </a:schemeClr>
              </a:solidFill>
              <a:ln w="25400">
                <a:noFill/>
              </a:ln>
              <a:effectLst/>
            </c:spPr>
          </c:marker>
          <c:cat>
            <c:numRef>
              <c:extLst>
                <c:ext xmlns:c15="http://schemas.microsoft.com/office/drawing/2012/chart" uri="{02D57815-91ED-43cb-92C2-25804820EDAC}">
                  <c15:fullRef>
                    <c15:sqref>'2MT'!$U$46:$U$53</c15:sqref>
                  </c15:fullRef>
                </c:ext>
              </c:extLst>
              <c:f>'2MT'!$U$46:$U$50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'2MT'!$V$46:$V$53</c15:sqref>
                  </c15:fullRef>
                </c:ext>
              </c:extLst>
              <c:f>'2MT'!$V$46:$V$50</c:f>
              <c:numCache>
                <c:formatCode>0.0%</c:formatCode>
                <c:ptCount val="5"/>
                <c:pt idx="0">
                  <c:v>6.4077729205153117E-2</c:v>
                </c:pt>
                <c:pt idx="1">
                  <c:v>6.2629036017277012E-2</c:v>
                </c:pt>
                <c:pt idx="2">
                  <c:v>5.7690722755362904E-2</c:v>
                </c:pt>
                <c:pt idx="3">
                  <c:v>5.5141006348960131E-2</c:v>
                </c:pt>
                <c:pt idx="4">
                  <c:v>5.2288420799518773E-2</c:v>
                </c:pt>
              </c:numCache>
            </c:numRef>
          </c:val>
          <c:smooth val="0"/>
          <c:extLst>
            <c:ext xmlns:c16="http://schemas.microsoft.com/office/drawing/2014/chart" uri="{C3380CC4-5D6E-409C-BE32-E72D297353CC}">
              <c16:uniqueId val="{00000001-540D-4C71-A048-BDCE2F547673}"/>
            </c:ext>
          </c:extLst>
        </c:ser>
        <c:ser>
          <c:idx val="3"/>
          <c:order val="2"/>
          <c:tx>
            <c:strRef>
              <c:f>'2MT'!$Y$45</c:f>
              <c:strCache>
                <c:ptCount val="1"/>
                <c:pt idx="0">
                  <c:v>Baseline simulation (after reescaling)</c:v>
                </c:pt>
              </c:strCache>
            </c:strRef>
          </c:tx>
          <c:spPr>
            <a:ln w="25400" cap="rnd">
              <a:noFill/>
              <a:round/>
            </a:ln>
            <a:effectLst/>
          </c:spPr>
          <c:marker>
            <c:symbol val="circle"/>
            <c:size val="7"/>
            <c:spPr>
              <a:solidFill>
                <a:schemeClr val="tx1"/>
              </a:solidFill>
              <a:ln w="9525">
                <a:solidFill>
                  <a:schemeClr val="tx1"/>
                </a:solidFill>
              </a:ln>
              <a:effectLst/>
            </c:spPr>
          </c:marker>
          <c:cat>
            <c:numRef>
              <c:extLst>
                <c:ext xmlns:c15="http://schemas.microsoft.com/office/drawing/2012/chart" uri="{02D57815-91ED-43cb-92C2-25804820EDAC}">
                  <c15:fullRef>
                    <c15:sqref>'2MT'!$U$46:$U$53</c15:sqref>
                  </c15:fullRef>
                </c:ext>
              </c:extLst>
              <c:f>'2MT'!$U$46:$U$50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'2MT'!$Y$46:$Y$53</c15:sqref>
                  </c15:fullRef>
                </c:ext>
              </c:extLst>
              <c:f>'2MT'!$Y$46:$Y$50</c:f>
              <c:numCache>
                <c:formatCode>0.0%</c:formatCode>
                <c:ptCount val="5"/>
                <c:pt idx="0">
                  <c:v>6.7411096720287403E-2</c:v>
                </c:pt>
                <c:pt idx="4">
                  <c:v>7.3545880566166691E-2</c:v>
                </c:pt>
              </c:numCache>
            </c:numRef>
          </c:val>
          <c:smooth val="0"/>
          <c:extLst>
            <c:ext xmlns:c16="http://schemas.microsoft.com/office/drawing/2014/chart" uri="{C3380CC4-5D6E-409C-BE32-E72D297353CC}">
              <c16:uniqueId val="{00000002-540D-4C71-A048-BDCE2F547673}"/>
            </c:ext>
          </c:extLst>
        </c:ser>
        <c:ser>
          <c:idx val="4"/>
          <c:order val="3"/>
          <c:tx>
            <c:strRef>
              <c:f>'2MT'!$Z$45</c:f>
              <c:strCache>
                <c:ptCount val="1"/>
                <c:pt idx="0">
                  <c:v>Unchanged legislation since 2019/2023</c:v>
                </c:pt>
              </c:strCache>
            </c:strRef>
          </c:tx>
          <c:spPr>
            <a:ln w="25400" cap="rnd">
              <a:noFill/>
              <a:round/>
            </a:ln>
            <a:effectLst/>
          </c:spPr>
          <c:marker>
            <c:symbol val="circle"/>
            <c:size val="6"/>
            <c:spPr>
              <a:noFill/>
              <a:ln w="25400">
                <a:solidFill>
                  <a:srgbClr val="C00000"/>
                </a:solidFill>
              </a:ln>
              <a:effectLst/>
            </c:spPr>
          </c:marker>
          <c:cat>
            <c:numRef>
              <c:extLst>
                <c:ext xmlns:c15="http://schemas.microsoft.com/office/drawing/2012/chart" uri="{02D57815-91ED-43cb-92C2-25804820EDAC}">
                  <c15:fullRef>
                    <c15:sqref>'2MT'!$U$46:$U$53</c15:sqref>
                  </c15:fullRef>
                </c:ext>
              </c:extLst>
              <c:f>'2MT'!$U$46:$U$50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'2MT'!$Z$46:$Z$53</c15:sqref>
                  </c15:fullRef>
                </c:ext>
              </c:extLst>
              <c:f>'2MT'!$Z$46:$Z$50</c:f>
              <c:numCache>
                <c:formatCode>0.0%</c:formatCode>
                <c:ptCount val="5"/>
                <c:pt idx="4">
                  <c:v>7.5858740928291313E-2</c:v>
                </c:pt>
              </c:numCache>
            </c:numRef>
          </c:val>
          <c:smooth val="0"/>
          <c:extLst>
            <c:ext xmlns:c16="http://schemas.microsoft.com/office/drawing/2014/chart" uri="{C3380CC4-5D6E-409C-BE32-E72D297353CC}">
              <c16:uniqueId val="{00000003-540D-4C71-A048-BDCE2F547673}"/>
            </c:ext>
          </c:extLst>
        </c:ser>
        <c:ser>
          <c:idx val="5"/>
          <c:order val="4"/>
          <c:tx>
            <c:strRef>
              <c:f>'2MT'!$AA$45</c:f>
              <c:strCache>
                <c:ptCount val="1"/>
                <c:pt idx="0">
                  <c:v>Indexing with tax base growth</c:v>
                </c:pt>
              </c:strCache>
            </c:strRef>
          </c:tx>
          <c:spPr>
            <a:ln w="25400" cap="rnd">
              <a:noFill/>
              <a:round/>
            </a:ln>
            <a:effectLst/>
          </c:spPr>
          <c:marker>
            <c:symbol val="square"/>
            <c:size val="5"/>
            <c:spPr>
              <a:noFill/>
              <a:ln w="25400">
                <a:solidFill>
                  <a:schemeClr val="accent6">
                    <a:lumMod val="75000"/>
                  </a:schemeClr>
                </a:solidFill>
              </a:ln>
              <a:effectLst/>
            </c:spPr>
          </c:marker>
          <c:cat>
            <c:numRef>
              <c:extLst>
                <c:ext xmlns:c15="http://schemas.microsoft.com/office/drawing/2012/chart" uri="{02D57815-91ED-43cb-92C2-25804820EDAC}">
                  <c15:fullRef>
                    <c15:sqref>'2MT'!$U$46:$U$53</c15:sqref>
                  </c15:fullRef>
                </c:ext>
              </c:extLst>
              <c:f>'2MT'!$U$46:$U$50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'2MT'!$AA$46:$AA$53</c15:sqref>
                  </c15:fullRef>
                </c:ext>
              </c:extLst>
              <c:f>'2MT'!$AA$46:$AA$50</c:f>
              <c:numCache>
                <c:formatCode>0.0%</c:formatCode>
                <c:ptCount val="5"/>
                <c:pt idx="4">
                  <c:v>7.0219227787223781E-2</c:v>
                </c:pt>
              </c:numCache>
            </c:numRef>
          </c:val>
          <c:smooth val="0"/>
          <c:extLst>
            <c:ext xmlns:c16="http://schemas.microsoft.com/office/drawing/2014/chart" uri="{C3380CC4-5D6E-409C-BE32-E72D297353CC}">
              <c16:uniqueId val="{00000004-540D-4C71-A048-BDCE2F547673}"/>
            </c:ext>
          </c:extLst>
        </c:ser>
        <c:ser>
          <c:idx val="6"/>
          <c:order val="5"/>
          <c:tx>
            <c:strRef>
              <c:f>'2MT'!$AB$45</c:f>
              <c:strCache>
                <c:ptCount val="1"/>
                <c:pt idx="0">
                  <c:v>Indexing with lagged HCPI</c:v>
                </c:pt>
              </c:strCache>
            </c:strRef>
          </c:tx>
          <c:spPr>
            <a:ln w="25400" cap="rnd">
              <a:noFill/>
              <a:round/>
            </a:ln>
            <a:effectLst/>
          </c:spPr>
          <c:marker>
            <c:symbol val="diamond"/>
            <c:size val="6"/>
            <c:spPr>
              <a:noFill/>
              <a:ln w="25400">
                <a:solidFill>
                  <a:schemeClr val="accent4"/>
                </a:solidFill>
              </a:ln>
              <a:effectLst/>
            </c:spPr>
          </c:marker>
          <c:cat>
            <c:numRef>
              <c:extLst>
                <c:ext xmlns:c15="http://schemas.microsoft.com/office/drawing/2012/chart" uri="{02D57815-91ED-43cb-92C2-25804820EDAC}">
                  <c15:fullRef>
                    <c15:sqref>'2MT'!$U$46:$U$53</c15:sqref>
                  </c15:fullRef>
                </c:ext>
              </c:extLst>
              <c:f>'2MT'!$U$46:$U$50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'2MT'!$AB$46:$AB$53</c15:sqref>
                  </c15:fullRef>
                </c:ext>
              </c:extLst>
              <c:f>'2MT'!$AB$46:$AB$50</c:f>
              <c:numCache>
                <c:formatCode>0.0%</c:formatCode>
                <c:ptCount val="5"/>
                <c:pt idx="4">
                  <c:v>7.0847514715064897E-2</c:v>
                </c:pt>
              </c:numCache>
            </c:numRef>
          </c:val>
          <c:smooth val="0"/>
          <c:extLst>
            <c:ext xmlns:c16="http://schemas.microsoft.com/office/drawing/2014/chart" uri="{C3380CC4-5D6E-409C-BE32-E72D297353CC}">
              <c16:uniqueId val="{00000005-540D-4C71-A048-BDCE2F547673}"/>
            </c:ext>
          </c:extLst>
        </c:ser>
        <c:ser>
          <c:idx val="7"/>
          <c:order val="6"/>
          <c:tx>
            <c:strRef>
              <c:f>'2MT'!$AC$45</c:f>
              <c:strCache>
                <c:ptCount val="1"/>
                <c:pt idx="0">
                  <c:v>Indexing with concurrent HCPI</c:v>
                </c:pt>
              </c:strCache>
            </c:strRef>
          </c:tx>
          <c:spPr>
            <a:ln w="25400" cap="rnd">
              <a:noFill/>
              <a:round/>
            </a:ln>
            <a:effectLst/>
          </c:spPr>
          <c:marker>
            <c:symbol val="triangle"/>
            <c:size val="6"/>
            <c:spPr>
              <a:noFill/>
              <a:ln w="25400">
                <a:solidFill>
                  <a:schemeClr val="accent5">
                    <a:lumMod val="75000"/>
                  </a:schemeClr>
                </a:solidFill>
              </a:ln>
              <a:effectLst/>
            </c:spPr>
          </c:marker>
          <c:cat>
            <c:numRef>
              <c:extLst>
                <c:ext xmlns:c15="http://schemas.microsoft.com/office/drawing/2012/chart" uri="{02D57815-91ED-43cb-92C2-25804820EDAC}">
                  <c15:fullRef>
                    <c15:sqref>'2MT'!$U$46:$U$53</c15:sqref>
                  </c15:fullRef>
                </c:ext>
              </c:extLst>
              <c:f>'2MT'!$U$46:$U$50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'2MT'!$AC$46:$AC$53</c15:sqref>
                  </c15:fullRef>
                </c:ext>
              </c:extLst>
              <c:f>'2MT'!$AC$46:$AC$50</c:f>
              <c:numCache>
                <c:formatCode>0.0%</c:formatCode>
                <c:ptCount val="5"/>
                <c:pt idx="4">
                  <c:v>6.869457950170188E-2</c:v>
                </c:pt>
              </c:numCache>
            </c:numRef>
          </c:val>
          <c:smooth val="0"/>
          <c:extLst>
            <c:ext xmlns:c16="http://schemas.microsoft.com/office/drawing/2014/chart" uri="{C3380CC4-5D6E-409C-BE32-E72D297353CC}">
              <c16:uniqueId val="{00000006-540D-4C71-A048-BDCE2F547673}"/>
            </c:ext>
          </c:extLst>
        </c:ser>
        <c:dLbls>
          <c:showLegendKey val="0"/>
          <c:showVal val="0"/>
          <c:showCatName val="0"/>
          <c:showSerName val="0"/>
          <c:showPercent val="0"/>
          <c:showBubbleSize val="0"/>
        </c:dLbls>
        <c:smooth val="0"/>
        <c:axId val="709475840"/>
        <c:axId val="605168576"/>
        <c:extLst/>
      </c:lineChart>
      <c:catAx>
        <c:axId val="709475840"/>
        <c:scaling>
          <c:orientation val="minMax"/>
        </c:scaling>
        <c:delete val="0"/>
        <c:axPos val="b"/>
        <c:numFmt formatCode="General" sourceLinked="1"/>
        <c:majorTickMark val="out"/>
        <c:minorTickMark val="none"/>
        <c:tickLblPos val="nextTo"/>
        <c:spPr>
          <a:noFill/>
          <a:ln w="6350" cap="flat" cmpd="sng" algn="ctr">
            <a:solidFill>
              <a:schemeClr val="tx1"/>
            </a:solidFill>
            <a:round/>
          </a:ln>
          <a:effectLst/>
        </c:spPr>
        <c:txPr>
          <a:bodyPr rot="-60000000" spcFirstLastPara="1" vertOverflow="ellipsis" vert="horz" wrap="square" anchor="ctr" anchorCtr="1"/>
          <a:lstStyle/>
          <a:p>
            <a:pPr>
              <a:defRPr sz="950" b="0" i="0" u="none" strike="noStrike" kern="1200" baseline="0">
                <a:solidFill>
                  <a:schemeClr val="tx1"/>
                </a:solidFill>
                <a:latin typeface="Times New Roman" panose="02020603050405020304" pitchFamily="18" charset="0"/>
                <a:ea typeface="+mn-ea"/>
                <a:cs typeface="+mn-cs"/>
              </a:defRPr>
            </a:pPr>
            <a:endParaRPr lang="es-ES_tradnl"/>
          </a:p>
        </c:txPr>
        <c:crossAx val="605168576"/>
        <c:crosses val="autoZero"/>
        <c:auto val="1"/>
        <c:lblAlgn val="ctr"/>
        <c:lblOffset val="100"/>
        <c:noMultiLvlLbl val="0"/>
      </c:catAx>
      <c:valAx>
        <c:axId val="605168576"/>
        <c:scaling>
          <c:orientation val="minMax"/>
          <c:min val="5.000000000000001E-2"/>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s-ES_tradnl" sz="1050">
                    <a:solidFill>
                      <a:sysClr val="windowText" lastClr="000000"/>
                    </a:solidFill>
                    <a:latin typeface="Times New Roman" panose="02020603050405020304" pitchFamily="18" charset="0"/>
                    <a:cs typeface="Times New Roman" panose="02020603050405020304" pitchFamily="18" charset="0"/>
                  </a:rPr>
                  <a:t>Share of GDP</a:t>
                </a:r>
              </a:p>
            </c:rich>
          </c:tx>
          <c:overlay val="0"/>
          <c:spPr>
            <a:noFill/>
            <a:ln>
              <a:noFill/>
            </a:ln>
            <a:effectLst/>
          </c:spPr>
        </c:title>
        <c:numFmt formatCode="0.0%" sourceLinked="0"/>
        <c:majorTickMark val="out"/>
        <c:minorTickMark val="none"/>
        <c:tickLblPos val="nextTo"/>
        <c:spPr>
          <a:noFill/>
          <a:ln w="6350">
            <a:solidFill>
              <a:schemeClr val="tx1">
                <a:lumMod val="65000"/>
                <a:lumOff val="35000"/>
              </a:schemeClr>
            </a:solidFill>
          </a:ln>
          <a:effectLst/>
        </c:spPr>
        <c:txPr>
          <a:bodyPr rot="-60000000" spcFirstLastPara="1" vertOverflow="ellipsis" vert="horz" wrap="square" anchor="ctr" anchorCtr="1"/>
          <a:lstStyle/>
          <a:p>
            <a:pPr>
              <a:defRPr sz="950" b="0" i="0" u="none" strike="noStrike" kern="1200" baseline="0">
                <a:solidFill>
                  <a:schemeClr val="tx1"/>
                </a:solidFill>
                <a:latin typeface="Times New Roman" panose="02020603050405020304" pitchFamily="18" charset="0"/>
                <a:ea typeface="+mn-ea"/>
                <a:cs typeface="+mn-cs"/>
              </a:defRPr>
            </a:pPr>
            <a:endParaRPr lang="es-ES_tradnl"/>
          </a:p>
        </c:txPr>
        <c:crossAx val="709475840"/>
        <c:crosses val="autoZero"/>
        <c:crossBetween val="between"/>
      </c:valAx>
    </c:plotArea>
    <c:legend>
      <c:legendPos val="b"/>
      <c:layout>
        <c:manualLayout>
          <c:xMode val="edge"/>
          <c:yMode val="edge"/>
          <c:x val="0"/>
          <c:y val="0.80216933512597055"/>
          <c:w val="1"/>
          <c:h val="0.19783066487402948"/>
        </c:manualLayout>
      </c:layout>
      <c:overlay val="0"/>
      <c:spPr>
        <a:noFill/>
        <a:ln>
          <a:noFill/>
        </a:ln>
        <a:effectLst/>
      </c:spPr>
      <c:txPr>
        <a:bodyPr rot="0" spcFirstLastPara="1" vertOverflow="ellipsis" vert="horz" wrap="square" anchor="ctr" anchorCtr="1"/>
        <a:lstStyle/>
        <a:p>
          <a:pPr>
            <a:defRPr sz="9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legend>
    <c:plotVisOnly val="1"/>
    <c:dispBlanksAs val="gap"/>
    <c:showDLblsOverMax val="0"/>
  </c:chart>
  <c:spPr>
    <a:solidFill>
      <a:schemeClr val="bg1"/>
    </a:solidFill>
    <a:ln w="9525" cap="flat" cmpd="sng" algn="ctr">
      <a:noFill/>
      <a:round/>
    </a:ln>
    <a:effectLst/>
  </c:spPr>
  <c:txPr>
    <a:bodyPr/>
    <a:lstStyle/>
    <a:p>
      <a:pPr>
        <a:defRPr/>
      </a:pPr>
      <a:endParaRPr lang="es-ES_tradnl"/>
    </a:p>
  </c:txPr>
  <c:printSettings>
    <c:headerFooter/>
    <c:pageMargins b="0.75" l="0.25" r="0.25" t="0.75" header="0.3" footer="0.3"/>
    <c:pageSetup paperSize="9" orientation="landscape"/>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457409308717575"/>
          <c:y val="4.6087571003560986E-2"/>
          <c:w val="0.82558175067451101"/>
          <c:h val="0.64272676146640684"/>
        </c:manualLayout>
      </c:layout>
      <c:lineChart>
        <c:grouping val="standard"/>
        <c:varyColors val="0"/>
        <c:ser>
          <c:idx val="1"/>
          <c:order val="0"/>
          <c:tx>
            <c:strRef>
              <c:f>'2NL'!$D$45</c:f>
              <c:strCache>
                <c:ptCount val="1"/>
                <c:pt idx="0">
                  <c:v>Observed (National Accounts)</c:v>
                </c:pt>
              </c:strCache>
            </c:strRef>
          </c:tx>
          <c:spPr>
            <a:ln w="25400" cap="rnd">
              <a:solidFill>
                <a:schemeClr val="tx1">
                  <a:lumMod val="65000"/>
                  <a:lumOff val="35000"/>
                </a:schemeClr>
              </a:solidFill>
              <a:prstDash val="sysDash"/>
              <a:round/>
            </a:ln>
            <a:effectLst/>
          </c:spPr>
          <c:marker>
            <c:symbol val="none"/>
          </c:marker>
          <c:cat>
            <c:numRef>
              <c:extLst>
                <c:ext xmlns:c15="http://schemas.microsoft.com/office/drawing/2012/chart" uri="{02D57815-91ED-43cb-92C2-25804820EDAC}">
                  <c15:fullRef>
                    <c15:sqref>'2NL'!$B$46:$B$53</c15:sqref>
                  </c15:fullRef>
                </c:ext>
              </c:extLst>
              <c:f>'2NL'!$B$46:$B$50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'2NL'!$D$46:$D$53</c15:sqref>
                  </c15:fullRef>
                </c:ext>
              </c:extLst>
              <c:f>'2NL'!$D$46:$D$50</c:f>
              <c:numCache>
                <c:formatCode>_-* #,##0_-;\-* #,##0_-;_-* "-"??_-;_-@_-</c:formatCode>
                <c:ptCount val="5"/>
                <c:pt idx="0">
                  <c:v>70225.380092549996</c:v>
                </c:pt>
                <c:pt idx="1">
                  <c:v>74071.368566379999</c:v>
                </c:pt>
                <c:pt idx="2">
                  <c:v>76040.950331500004</c:v>
                </c:pt>
                <c:pt idx="3">
                  <c:v>81237.132586000007</c:v>
                </c:pt>
                <c:pt idx="4">
                  <c:v>95443.350599999991</c:v>
                </c:pt>
              </c:numCache>
            </c:numRef>
          </c:val>
          <c:smooth val="0"/>
          <c:extLst>
            <c:ext xmlns:c16="http://schemas.microsoft.com/office/drawing/2014/chart" uri="{C3380CC4-5D6E-409C-BE32-E72D297353CC}">
              <c16:uniqueId val="{00000000-FA7B-451B-AD4C-2FF8888CC3CD}"/>
            </c:ext>
          </c:extLst>
        </c:ser>
        <c:ser>
          <c:idx val="0"/>
          <c:order val="1"/>
          <c:tx>
            <c:strRef>
              <c:f>'2NL'!$C$45</c:f>
              <c:strCache>
                <c:ptCount val="1"/>
                <c:pt idx="0">
                  <c:v>Baseline simulation (before reescaling)</c:v>
                </c:pt>
              </c:strCache>
            </c:strRef>
          </c:tx>
          <c:spPr>
            <a:ln w="25400" cap="rnd">
              <a:noFill/>
              <a:round/>
            </a:ln>
            <a:effectLst/>
          </c:spPr>
          <c:marker>
            <c:symbol val="circle"/>
            <c:size val="8"/>
            <c:spPr>
              <a:solidFill>
                <a:schemeClr val="bg1">
                  <a:lumMod val="85000"/>
                </a:schemeClr>
              </a:solidFill>
              <a:ln w="25400">
                <a:noFill/>
              </a:ln>
              <a:effectLst/>
            </c:spPr>
          </c:marker>
          <c:cat>
            <c:numRef>
              <c:extLst>
                <c:ext xmlns:c15="http://schemas.microsoft.com/office/drawing/2012/chart" uri="{02D57815-91ED-43cb-92C2-25804820EDAC}">
                  <c15:fullRef>
                    <c15:sqref>'2NL'!$B$46:$B$53</c15:sqref>
                  </c15:fullRef>
                </c:ext>
              </c:extLst>
              <c:f>'2NL'!$B$46:$B$50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'2NL'!$C$46:$C$53</c15:sqref>
                  </c15:fullRef>
                </c:ext>
              </c:extLst>
              <c:f>'2NL'!$C$46:$C$50</c:f>
              <c:numCache>
                <c:formatCode>_-* #,##0_-;\-* #,##0_-;_-* "-"??_-;_-@_-</c:formatCode>
                <c:ptCount val="5"/>
                <c:pt idx="0">
                  <c:v>69748.979347565371</c:v>
                </c:pt>
                <c:pt idx="1">
                  <c:v>72700.735380172919</c:v>
                </c:pt>
                <c:pt idx="2">
                  <c:v>73808.108169568819</c:v>
                </c:pt>
                <c:pt idx="3">
                  <c:v>77744.423718368766</c:v>
                </c:pt>
                <c:pt idx="4">
                  <c:v>81987.148248213911</c:v>
                </c:pt>
              </c:numCache>
            </c:numRef>
          </c:val>
          <c:smooth val="0"/>
          <c:extLst>
            <c:ext xmlns:c16="http://schemas.microsoft.com/office/drawing/2014/chart" uri="{C3380CC4-5D6E-409C-BE32-E72D297353CC}">
              <c16:uniqueId val="{00000001-FA7B-451B-AD4C-2FF8888CC3CD}"/>
            </c:ext>
          </c:extLst>
        </c:ser>
        <c:ser>
          <c:idx val="3"/>
          <c:order val="3"/>
          <c:tx>
            <c:strRef>
              <c:f>'2NL'!$F$45</c:f>
              <c:strCache>
                <c:ptCount val="1"/>
                <c:pt idx="0">
                  <c:v>Baseline simulation (after reescaling)</c:v>
                </c:pt>
              </c:strCache>
            </c:strRef>
          </c:tx>
          <c:spPr>
            <a:ln w="25400" cap="rnd">
              <a:noFill/>
              <a:round/>
            </a:ln>
            <a:effectLst/>
          </c:spPr>
          <c:marker>
            <c:symbol val="circle"/>
            <c:size val="7"/>
            <c:spPr>
              <a:solidFill>
                <a:schemeClr val="tx1"/>
              </a:solidFill>
              <a:ln w="9525">
                <a:solidFill>
                  <a:schemeClr val="tx1"/>
                </a:solidFill>
              </a:ln>
              <a:effectLst/>
            </c:spPr>
          </c:marker>
          <c:cat>
            <c:numRef>
              <c:extLst>
                <c:ext xmlns:c15="http://schemas.microsoft.com/office/drawing/2012/chart" uri="{02D57815-91ED-43cb-92C2-25804820EDAC}">
                  <c15:fullRef>
                    <c15:sqref>'2NL'!$B$46:$B$53</c15:sqref>
                  </c15:fullRef>
                </c:ext>
              </c:extLst>
              <c:f>'2NL'!$B$46:$B$50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'2NL'!$F$46:$F$53</c15:sqref>
                  </c15:fullRef>
                </c:ext>
              </c:extLst>
              <c:f>'2NL'!$F$46:$F$50</c:f>
              <c:numCache>
                <c:formatCode>General</c:formatCode>
                <c:ptCount val="5"/>
                <c:pt idx="0" formatCode="_-* #,##0_-;\-* #,##0_-;_-* &quot;-&quot;??_-;_-@_-">
                  <c:v>70225.380092549996</c:v>
                </c:pt>
                <c:pt idx="4" formatCode="_-* #,##0_-;\-* #,##0_-;_-* &quot;-&quot;??_-;_-@_-">
                  <c:v>95443.350599999991</c:v>
                </c:pt>
              </c:numCache>
            </c:numRef>
          </c:val>
          <c:smooth val="0"/>
          <c:extLst>
            <c:ext xmlns:c16="http://schemas.microsoft.com/office/drawing/2014/chart" uri="{C3380CC4-5D6E-409C-BE32-E72D297353CC}">
              <c16:uniqueId val="{00000002-FA7B-451B-AD4C-2FF8888CC3CD}"/>
            </c:ext>
          </c:extLst>
        </c:ser>
        <c:ser>
          <c:idx val="4"/>
          <c:order val="4"/>
          <c:tx>
            <c:strRef>
              <c:f>'2NL'!$G$45</c:f>
              <c:strCache>
                <c:ptCount val="1"/>
                <c:pt idx="0">
                  <c:v>Unchanged legislation since 2019/2023</c:v>
                </c:pt>
              </c:strCache>
            </c:strRef>
          </c:tx>
          <c:spPr>
            <a:ln w="25400" cap="rnd">
              <a:noFill/>
              <a:round/>
            </a:ln>
            <a:effectLst/>
          </c:spPr>
          <c:marker>
            <c:symbol val="circle"/>
            <c:size val="6"/>
            <c:spPr>
              <a:noFill/>
              <a:ln w="25400">
                <a:solidFill>
                  <a:srgbClr val="C00000"/>
                </a:solidFill>
              </a:ln>
              <a:effectLst/>
            </c:spPr>
          </c:marker>
          <c:cat>
            <c:numRef>
              <c:extLst>
                <c:ext xmlns:c15="http://schemas.microsoft.com/office/drawing/2012/chart" uri="{02D57815-91ED-43cb-92C2-25804820EDAC}">
                  <c15:fullRef>
                    <c15:sqref>'2NL'!$B$46:$B$53</c15:sqref>
                  </c15:fullRef>
                </c:ext>
              </c:extLst>
              <c:f>'2NL'!$B$46:$B$50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'2NL'!$G$46:$G$53</c15:sqref>
                  </c15:fullRef>
                </c:ext>
              </c:extLst>
              <c:f>'2NL'!$G$46:$G$50</c:f>
              <c:numCache>
                <c:formatCode>General</c:formatCode>
                <c:ptCount val="5"/>
                <c:pt idx="4" formatCode="_-* #,##0_-;\-* #,##0_-;_-* &quot;-&quot;??_-;_-@_-">
                  <c:v>107595.85029974756</c:v>
                </c:pt>
              </c:numCache>
            </c:numRef>
          </c:val>
          <c:smooth val="0"/>
          <c:extLst>
            <c:ext xmlns:c16="http://schemas.microsoft.com/office/drawing/2014/chart" uri="{C3380CC4-5D6E-409C-BE32-E72D297353CC}">
              <c16:uniqueId val="{00000003-FA7B-451B-AD4C-2FF8888CC3CD}"/>
            </c:ext>
          </c:extLst>
        </c:ser>
        <c:ser>
          <c:idx val="5"/>
          <c:order val="5"/>
          <c:tx>
            <c:strRef>
              <c:f>'2NL'!$H$45</c:f>
              <c:strCache>
                <c:ptCount val="1"/>
                <c:pt idx="0">
                  <c:v>Indexing with tax base growth</c:v>
                </c:pt>
              </c:strCache>
            </c:strRef>
          </c:tx>
          <c:spPr>
            <a:ln w="25400" cap="rnd">
              <a:noFill/>
              <a:round/>
            </a:ln>
            <a:effectLst/>
          </c:spPr>
          <c:marker>
            <c:symbol val="square"/>
            <c:size val="5"/>
            <c:spPr>
              <a:noFill/>
              <a:ln w="25400">
                <a:solidFill>
                  <a:schemeClr val="accent6">
                    <a:lumMod val="75000"/>
                  </a:schemeClr>
                </a:solidFill>
              </a:ln>
              <a:effectLst/>
            </c:spPr>
          </c:marker>
          <c:cat>
            <c:numRef>
              <c:extLst>
                <c:ext xmlns:c15="http://schemas.microsoft.com/office/drawing/2012/chart" uri="{02D57815-91ED-43cb-92C2-25804820EDAC}">
                  <c15:fullRef>
                    <c15:sqref>'2NL'!$B$46:$B$53</c15:sqref>
                  </c15:fullRef>
                </c:ext>
              </c:extLst>
              <c:f>'2NL'!$B$46:$B$50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'2NL'!$H$46:$H$53</c15:sqref>
                  </c15:fullRef>
                </c:ext>
              </c:extLst>
              <c:f>'2NL'!$H$46:$H$50</c:f>
              <c:numCache>
                <c:formatCode>General</c:formatCode>
                <c:ptCount val="5"/>
                <c:pt idx="4" formatCode="_-* #,##0_-;\-* #,##0_-;_-* &quot;-&quot;??_-;_-@_-">
                  <c:v>93396.319987850467</c:v>
                </c:pt>
              </c:numCache>
            </c:numRef>
          </c:val>
          <c:smooth val="0"/>
          <c:extLst>
            <c:ext xmlns:c16="http://schemas.microsoft.com/office/drawing/2014/chart" uri="{C3380CC4-5D6E-409C-BE32-E72D297353CC}">
              <c16:uniqueId val="{00000004-FA7B-451B-AD4C-2FF8888CC3CD}"/>
            </c:ext>
          </c:extLst>
        </c:ser>
        <c:ser>
          <c:idx val="6"/>
          <c:order val="6"/>
          <c:tx>
            <c:strRef>
              <c:f>'2NL'!$I$45</c:f>
              <c:strCache>
                <c:ptCount val="1"/>
                <c:pt idx="0">
                  <c:v>Indexing with lagged HCPI</c:v>
                </c:pt>
              </c:strCache>
            </c:strRef>
          </c:tx>
          <c:spPr>
            <a:ln w="25400" cap="rnd">
              <a:noFill/>
              <a:round/>
            </a:ln>
            <a:effectLst/>
          </c:spPr>
          <c:marker>
            <c:symbol val="diamond"/>
            <c:size val="6"/>
            <c:spPr>
              <a:noFill/>
              <a:ln w="25400">
                <a:solidFill>
                  <a:schemeClr val="accent4"/>
                </a:solidFill>
              </a:ln>
              <a:effectLst/>
            </c:spPr>
          </c:marker>
          <c:cat>
            <c:numRef>
              <c:extLst>
                <c:ext xmlns:c15="http://schemas.microsoft.com/office/drawing/2012/chart" uri="{02D57815-91ED-43cb-92C2-25804820EDAC}">
                  <c15:fullRef>
                    <c15:sqref>'2NL'!$B$46:$B$53</c15:sqref>
                  </c15:fullRef>
                </c:ext>
              </c:extLst>
              <c:f>'2NL'!$B$46:$B$50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'2NL'!$I$46:$I$53</c15:sqref>
                  </c15:fullRef>
                </c:ext>
              </c:extLst>
              <c:f>'2NL'!$I$46:$I$50</c:f>
              <c:numCache>
                <c:formatCode>General</c:formatCode>
                <c:ptCount val="5"/>
                <c:pt idx="4" formatCode="_-* #,##0_-;\-* #,##0_-;_-* &quot;-&quot;??_-;_-@_-">
                  <c:v>90087.418739972331</c:v>
                </c:pt>
              </c:numCache>
            </c:numRef>
          </c:val>
          <c:smooth val="0"/>
          <c:extLst>
            <c:ext xmlns:c16="http://schemas.microsoft.com/office/drawing/2014/chart" uri="{C3380CC4-5D6E-409C-BE32-E72D297353CC}">
              <c16:uniqueId val="{00000005-FA7B-451B-AD4C-2FF8888CC3CD}"/>
            </c:ext>
          </c:extLst>
        </c:ser>
        <c:ser>
          <c:idx val="7"/>
          <c:order val="7"/>
          <c:tx>
            <c:strRef>
              <c:f>'2NL'!$J$45</c:f>
              <c:strCache>
                <c:ptCount val="1"/>
                <c:pt idx="0">
                  <c:v>Indexing with concurrent HCPI</c:v>
                </c:pt>
              </c:strCache>
            </c:strRef>
          </c:tx>
          <c:spPr>
            <a:ln w="25400" cap="rnd">
              <a:noFill/>
              <a:round/>
            </a:ln>
            <a:effectLst/>
          </c:spPr>
          <c:marker>
            <c:symbol val="triangle"/>
            <c:size val="6"/>
            <c:spPr>
              <a:noFill/>
              <a:ln w="25400">
                <a:solidFill>
                  <a:schemeClr val="accent5">
                    <a:lumMod val="75000"/>
                  </a:schemeClr>
                </a:solidFill>
              </a:ln>
              <a:effectLst/>
            </c:spPr>
          </c:marker>
          <c:cat>
            <c:numRef>
              <c:extLst>
                <c:ext xmlns:c15="http://schemas.microsoft.com/office/drawing/2012/chart" uri="{02D57815-91ED-43cb-92C2-25804820EDAC}">
                  <c15:fullRef>
                    <c15:sqref>'2NL'!$B$46:$B$53</c15:sqref>
                  </c15:fullRef>
                </c:ext>
              </c:extLst>
              <c:f>'2NL'!$B$46:$B$50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'2NL'!$J$46:$J$53</c15:sqref>
                  </c15:fullRef>
                </c:ext>
              </c:extLst>
              <c:f>'2NL'!$J$46:$J$50</c:f>
              <c:numCache>
                <c:formatCode>General</c:formatCode>
                <c:ptCount val="5"/>
                <c:pt idx="4" formatCode="_-* #,##0_-;\-* #,##0_-;_-* &quot;-&quot;??_-;_-@_-">
                  <c:v>88765.421259118215</c:v>
                </c:pt>
              </c:numCache>
            </c:numRef>
          </c:val>
          <c:smooth val="0"/>
          <c:extLst>
            <c:ext xmlns:c16="http://schemas.microsoft.com/office/drawing/2014/chart" uri="{C3380CC4-5D6E-409C-BE32-E72D297353CC}">
              <c16:uniqueId val="{00000006-FA7B-451B-AD4C-2FF8888CC3CD}"/>
            </c:ext>
          </c:extLst>
        </c:ser>
        <c:ser>
          <c:idx val="8"/>
          <c:order val="8"/>
          <c:tx>
            <c:strRef>
              <c:f>'2NL'!$K$45</c:f>
              <c:strCache>
                <c:ptCount val="1"/>
                <c:pt idx="0">
                  <c:v>Baseline w/o "indexation measures"</c:v>
                </c:pt>
              </c:strCache>
            </c:strRef>
          </c:tx>
          <c:spPr>
            <a:ln w="28575" cap="rnd">
              <a:noFill/>
              <a:round/>
            </a:ln>
            <a:effectLst/>
          </c:spPr>
          <c:marker>
            <c:symbol val="dash"/>
            <c:size val="9"/>
            <c:spPr>
              <a:solidFill>
                <a:schemeClr val="tx1">
                  <a:lumMod val="65000"/>
                  <a:lumOff val="35000"/>
                </a:schemeClr>
              </a:solidFill>
              <a:ln w="9525">
                <a:solidFill>
                  <a:schemeClr val="tx1">
                    <a:lumMod val="65000"/>
                    <a:lumOff val="35000"/>
                  </a:schemeClr>
                </a:solidFill>
              </a:ln>
              <a:effectLst/>
            </c:spPr>
          </c:marker>
          <c:cat>
            <c:strLit>
              <c:ptCount val="5"/>
              <c:pt idx="0">
                <c:v>2019</c:v>
              </c:pt>
              <c:pt idx="1">
                <c:v>2020</c:v>
              </c:pt>
              <c:pt idx="2">
                <c:v>2021</c:v>
              </c:pt>
              <c:pt idx="3">
                <c:v>2022</c:v>
              </c:pt>
              <c:pt idx="4">
                <c:v>2023</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'2NL'!$K$46:$K$53</c15:sqref>
                  </c15:fullRef>
                </c:ext>
              </c:extLst>
              <c:f>'2NL'!$K$46:$K$50</c:f>
              <c:numCache>
                <c:formatCode>General</c:formatCode>
                <c:ptCount val="5"/>
                <c:pt idx="4" formatCode="_-* #,##0_-;\-* #,##0_-;_-* &quot;-&quot;??_-;_-@_-">
                  <c:v>106834.47775936125</c:v>
                </c:pt>
              </c:numCache>
            </c:numRef>
          </c:val>
          <c:smooth val="0"/>
          <c:extLst>
            <c:ext xmlns:c16="http://schemas.microsoft.com/office/drawing/2014/chart" uri="{C3380CC4-5D6E-409C-BE32-E72D297353CC}">
              <c16:uniqueId val="{00000007-FA7B-451B-AD4C-2FF8888CC3CD}"/>
            </c:ext>
          </c:extLst>
        </c:ser>
        <c:dLbls>
          <c:showLegendKey val="0"/>
          <c:showVal val="0"/>
          <c:showCatName val="0"/>
          <c:showSerName val="0"/>
          <c:showPercent val="0"/>
          <c:showBubbleSize val="0"/>
        </c:dLbls>
        <c:smooth val="0"/>
        <c:axId val="709475840"/>
        <c:axId val="605168576"/>
        <c:extLst>
          <c:ext xmlns:c15="http://schemas.microsoft.com/office/drawing/2012/chart" uri="{02D57815-91ED-43cb-92C2-25804820EDAC}">
            <c15:filteredLineSeries>
              <c15:ser>
                <c:idx val="2"/>
                <c:order val="2"/>
                <c:tx>
                  <c:strRef>
                    <c:extLst>
                      <c:ext uri="{02D57815-91ED-43cb-92C2-25804820EDAC}">
                        <c15:formulaRef>
                          <c15:sqref>'2NL'!$E$45</c15:sqref>
                        </c15:formulaRef>
                      </c:ext>
                    </c:extLst>
                    <c:strCache>
                      <c:ptCount val="1"/>
                      <c:pt idx="0">
                        <c:v>Reescaling factor
</c:v>
                      </c:pt>
                    </c:strCache>
                  </c:strRef>
                </c:tx>
                <c:spPr>
                  <a:ln w="25400" cap="rnd">
                    <a:noFill/>
                    <a:round/>
                  </a:ln>
                  <a:effectLst/>
                </c:spPr>
                <c:marker>
                  <c:symbol val="circle"/>
                  <c:size val="5"/>
                  <c:spPr>
                    <a:solidFill>
                      <a:schemeClr val="accent3"/>
                    </a:solidFill>
                    <a:ln w="9525">
                      <a:solidFill>
                        <a:schemeClr val="accent3"/>
                      </a:solidFill>
                    </a:ln>
                    <a:effectLst/>
                  </c:spPr>
                </c:marker>
                <c:cat>
                  <c:numRef>
                    <c:extLst>
                      <c:ext uri="{02D57815-91ED-43cb-92C2-25804820EDAC}">
                        <c15:fullRef>
                          <c15:sqref>'2NL'!$B$46:$B$53</c15:sqref>
                        </c15:fullRef>
                        <c15:formulaRef>
                          <c15:sqref>'2NL'!$B$46:$B$50</c15:sqref>
                        </c15:formulaRef>
                      </c:ext>
                    </c:extLst>
                    <c:numCache>
                      <c:formatCode>General</c:formatCode>
                      <c:ptCount val="5"/>
                      <c:pt idx="0">
                        <c:v>2019</c:v>
                      </c:pt>
                      <c:pt idx="1">
                        <c:v>2020</c:v>
                      </c:pt>
                      <c:pt idx="2">
                        <c:v>2021</c:v>
                      </c:pt>
                      <c:pt idx="3">
                        <c:v>2022</c:v>
                      </c:pt>
                      <c:pt idx="4">
                        <c:v>2023</c:v>
                      </c:pt>
                    </c:numCache>
                  </c:numRef>
                </c:cat>
                <c:val>
                  <c:numRef>
                    <c:extLst>
                      <c:ext uri="{02D57815-91ED-43cb-92C2-25804820EDAC}">
                        <c15:fullRef>
                          <c15:sqref>'2NL'!$E$46:$E$53</c15:sqref>
                        </c15:fullRef>
                        <c15:formulaRef>
                          <c15:sqref>'2NL'!$E$46:$E$50</c15:sqref>
                        </c15:formulaRef>
                      </c:ext>
                    </c:extLst>
                    <c:numCache>
                      <c:formatCode>General</c:formatCode>
                      <c:ptCount val="5"/>
                    </c:numCache>
                  </c:numRef>
                </c:val>
                <c:smooth val="0"/>
                <c:extLst>
                  <c:ext xmlns:c16="http://schemas.microsoft.com/office/drawing/2014/chart" uri="{C3380CC4-5D6E-409C-BE32-E72D297353CC}">
                    <c16:uniqueId val="{00000008-FA7B-451B-AD4C-2FF8888CC3CD}"/>
                  </c:ext>
                </c:extLst>
              </c15:ser>
            </c15:filteredLineSeries>
          </c:ext>
        </c:extLst>
      </c:lineChart>
      <c:catAx>
        <c:axId val="709475840"/>
        <c:scaling>
          <c:orientation val="minMax"/>
        </c:scaling>
        <c:delete val="0"/>
        <c:axPos val="b"/>
        <c:numFmt formatCode="General" sourceLinked="1"/>
        <c:majorTickMark val="out"/>
        <c:minorTickMark val="none"/>
        <c:tickLblPos val="nextTo"/>
        <c:spPr>
          <a:noFill/>
          <a:ln w="6350" cap="flat" cmpd="sng" algn="ctr">
            <a:solidFill>
              <a:schemeClr val="tx1"/>
            </a:solidFill>
            <a:round/>
          </a:ln>
          <a:effectLst/>
        </c:spPr>
        <c:txPr>
          <a:bodyPr rot="-60000000" spcFirstLastPara="1" vertOverflow="ellipsis" vert="horz" wrap="square" anchor="ctr" anchorCtr="1"/>
          <a:lstStyle/>
          <a:p>
            <a:pPr>
              <a:defRPr sz="950" b="0" i="0" u="none" strike="noStrike" kern="1200" baseline="0">
                <a:solidFill>
                  <a:schemeClr val="tx1"/>
                </a:solidFill>
                <a:latin typeface="Times New Roman" panose="02020603050405020304" pitchFamily="18" charset="0"/>
                <a:ea typeface="+mn-ea"/>
                <a:cs typeface="+mn-cs"/>
              </a:defRPr>
            </a:pPr>
            <a:endParaRPr lang="es-ES_tradnl"/>
          </a:p>
        </c:txPr>
        <c:crossAx val="605168576"/>
        <c:crosses val="autoZero"/>
        <c:auto val="1"/>
        <c:lblAlgn val="ctr"/>
        <c:lblOffset val="100"/>
        <c:noMultiLvlLbl val="0"/>
      </c:catAx>
      <c:valAx>
        <c:axId val="605168576"/>
        <c:scaling>
          <c:orientation val="minMax"/>
          <c:min val="70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s-ES_tradnl" sz="1050">
                    <a:solidFill>
                      <a:sysClr val="windowText" lastClr="000000"/>
                    </a:solidFill>
                    <a:latin typeface="Times New Roman" panose="02020603050405020304" pitchFamily="18" charset="0"/>
                    <a:cs typeface="Times New Roman" panose="02020603050405020304" pitchFamily="18" charset="0"/>
                  </a:rPr>
                  <a:t>Million euros</a:t>
                </a:r>
              </a:p>
            </c:rich>
          </c:tx>
          <c:layout>
            <c:manualLayout>
              <c:xMode val="edge"/>
              <c:yMode val="edge"/>
              <c:x val="0"/>
              <c:y val="0.27024653144012073"/>
            </c:manualLayout>
          </c:layout>
          <c:overlay val="0"/>
          <c:spPr>
            <a:noFill/>
            <a:ln>
              <a:noFill/>
            </a:ln>
            <a:effectLst/>
          </c:spPr>
          <c:txPr>
            <a:bodyPr rot="-5400000" spcFirstLastPara="1" vertOverflow="ellipsis" vert="horz" wrap="square" anchor="ctr" anchorCtr="1"/>
            <a:lstStyle/>
            <a:p>
              <a:pPr>
                <a:defRPr sz="10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title>
        <c:numFmt formatCode="#,##0" sourceLinked="0"/>
        <c:majorTickMark val="out"/>
        <c:minorTickMark val="none"/>
        <c:tickLblPos val="nextTo"/>
        <c:spPr>
          <a:noFill/>
          <a:ln w="6350">
            <a:solidFill>
              <a:schemeClr val="tx1">
                <a:lumMod val="65000"/>
                <a:lumOff val="35000"/>
              </a:schemeClr>
            </a:solidFill>
          </a:ln>
          <a:effectLst/>
        </c:spPr>
        <c:txPr>
          <a:bodyPr rot="-60000000" spcFirstLastPara="1" vertOverflow="ellipsis" vert="horz" wrap="square" anchor="ctr" anchorCtr="1"/>
          <a:lstStyle/>
          <a:p>
            <a:pPr>
              <a:defRPr sz="950" b="0" i="0" u="none" strike="noStrike" kern="1200" baseline="0">
                <a:solidFill>
                  <a:schemeClr val="tx1"/>
                </a:solidFill>
                <a:latin typeface="Times New Roman" panose="02020603050405020304" pitchFamily="18" charset="0"/>
                <a:ea typeface="+mn-ea"/>
                <a:cs typeface="+mn-cs"/>
              </a:defRPr>
            </a:pPr>
            <a:endParaRPr lang="es-ES_tradnl"/>
          </a:p>
        </c:txPr>
        <c:crossAx val="709475840"/>
        <c:crosses val="autoZero"/>
        <c:crossBetween val="between"/>
      </c:valAx>
      <c:spPr>
        <a:noFill/>
        <a:ln>
          <a:noFill/>
        </a:ln>
        <a:effectLst/>
      </c:spPr>
    </c:plotArea>
    <c:legend>
      <c:legendPos val="b"/>
      <c:layout>
        <c:manualLayout>
          <c:xMode val="edge"/>
          <c:yMode val="edge"/>
          <c:x val="0"/>
          <c:y val="0.73648087849247201"/>
          <c:w val="1"/>
          <c:h val="0.26351912150752793"/>
        </c:manualLayout>
      </c:layout>
      <c:overlay val="0"/>
      <c:spPr>
        <a:noFill/>
        <a:ln>
          <a:noFill/>
        </a:ln>
        <a:effectLst/>
      </c:spPr>
      <c:txPr>
        <a:bodyPr rot="0" spcFirstLastPara="1" vertOverflow="ellipsis" vert="horz" wrap="square" anchor="ctr" anchorCtr="1"/>
        <a:lstStyle/>
        <a:p>
          <a:pPr>
            <a:defRPr sz="9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legend>
    <c:plotVisOnly val="1"/>
    <c:dispBlanksAs val="gap"/>
    <c:showDLblsOverMax val="0"/>
  </c:chart>
  <c:spPr>
    <a:solidFill>
      <a:schemeClr val="bg1"/>
    </a:solidFill>
    <a:ln w="9525" cap="flat" cmpd="sng" algn="ctr">
      <a:noFill/>
      <a:round/>
    </a:ln>
    <a:effectLst/>
  </c:spPr>
  <c:txPr>
    <a:bodyPr/>
    <a:lstStyle/>
    <a:p>
      <a:pPr>
        <a:defRPr/>
      </a:pPr>
      <a:endParaRPr lang="es-ES_tradnl"/>
    </a:p>
  </c:txPr>
  <c:printSettings>
    <c:headerFooter/>
    <c:pageMargins b="0.75" l="0.25" r="0.25" t="0.75" header="0.3" footer="0.3"/>
    <c:pageSetup paperSize="9" orientation="landscape"/>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457409308717575"/>
          <c:y val="4.6087571003560986E-2"/>
          <c:w val="0.82558175067451101"/>
          <c:h val="0.6515011552844524"/>
        </c:manualLayout>
      </c:layout>
      <c:lineChart>
        <c:grouping val="standard"/>
        <c:varyColors val="0"/>
        <c:ser>
          <c:idx val="1"/>
          <c:order val="0"/>
          <c:tx>
            <c:strRef>
              <c:f>'2NL'!$C$64</c:f>
              <c:strCache>
                <c:ptCount val="1"/>
                <c:pt idx="0">
                  <c:v>Baseline simulation
</c:v>
                </c:pt>
              </c:strCache>
            </c:strRef>
          </c:tx>
          <c:spPr>
            <a:ln w="28575" cap="rnd">
              <a:noFill/>
              <a:round/>
            </a:ln>
            <a:effectLst/>
          </c:spPr>
          <c:marker>
            <c:symbol val="circle"/>
            <c:size val="7"/>
            <c:spPr>
              <a:solidFill>
                <a:schemeClr val="tx1"/>
              </a:solidFill>
              <a:ln w="9525">
                <a:noFill/>
              </a:ln>
              <a:effectLst/>
            </c:spPr>
          </c:marker>
          <c:cat>
            <c:numRef>
              <c:extLst>
                <c:ext xmlns:c15="http://schemas.microsoft.com/office/drawing/2012/chart" uri="{02D57815-91ED-43cb-92C2-25804820EDAC}">
                  <c15:fullRef>
                    <c15:sqref>'2NL'!$B$65:$B$72</c15:sqref>
                  </c15:fullRef>
                </c:ext>
              </c:extLst>
              <c:f>'2NL'!$B$65:$B$69</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'2NL'!$C$65:$C$72</c15:sqref>
                  </c15:fullRef>
                </c:ext>
              </c:extLst>
              <c:f>'2NL'!$C$65:$C$69</c:f>
              <c:numCache>
                <c:formatCode>0.00</c:formatCode>
                <c:ptCount val="5"/>
                <c:pt idx="0">
                  <c:v>14.182204339904597</c:v>
                </c:pt>
                <c:pt idx="1">
                  <c:v>14.224373526003731</c:v>
                </c:pt>
                <c:pt idx="2">
                  <c:v>14.175099432424295</c:v>
                </c:pt>
                <c:pt idx="3">
                  <c:v>14.458454607927109</c:v>
                </c:pt>
                <c:pt idx="4">
                  <c:v>14.472585388708239</c:v>
                </c:pt>
              </c:numCache>
            </c:numRef>
          </c:val>
          <c:smooth val="0"/>
          <c:extLst>
            <c:ext xmlns:c16="http://schemas.microsoft.com/office/drawing/2014/chart" uri="{C3380CC4-5D6E-409C-BE32-E72D297353CC}">
              <c16:uniqueId val="{00000000-7F4A-470C-BE1A-8B50A655BDF5}"/>
            </c:ext>
          </c:extLst>
        </c:ser>
        <c:ser>
          <c:idx val="0"/>
          <c:order val="1"/>
          <c:tx>
            <c:strRef>
              <c:f>'2NL'!$D$64</c:f>
              <c:strCache>
                <c:ptCount val="1"/>
                <c:pt idx="0">
                  <c:v>Legislation unchanged since 2019/2023</c:v>
                </c:pt>
              </c:strCache>
            </c:strRef>
          </c:tx>
          <c:spPr>
            <a:ln w="28575" cap="rnd">
              <a:noFill/>
              <a:round/>
            </a:ln>
            <a:effectLst/>
          </c:spPr>
          <c:marker>
            <c:symbol val="circle"/>
            <c:size val="7"/>
            <c:spPr>
              <a:noFill/>
              <a:ln w="25400">
                <a:solidFill>
                  <a:srgbClr val="C00000"/>
                </a:solidFill>
              </a:ln>
              <a:effectLst/>
            </c:spPr>
          </c:marker>
          <c:cat>
            <c:numRef>
              <c:extLst>
                <c:ext xmlns:c15="http://schemas.microsoft.com/office/drawing/2012/chart" uri="{02D57815-91ED-43cb-92C2-25804820EDAC}">
                  <c15:fullRef>
                    <c15:sqref>'2NL'!$B$65:$B$72</c15:sqref>
                  </c15:fullRef>
                </c:ext>
              </c:extLst>
              <c:f>'2NL'!$B$65:$B$69</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'2NL'!$D$65:$D$72</c15:sqref>
                  </c15:fullRef>
                </c:ext>
              </c:extLst>
              <c:f>'2NL'!$D$65:$D$69</c:f>
              <c:numCache>
                <c:formatCode>0.00%</c:formatCode>
                <c:ptCount val="5"/>
                <c:pt idx="4" formatCode="0.00">
                  <c:v>16.315333872339622</c:v>
                </c:pt>
              </c:numCache>
            </c:numRef>
          </c:val>
          <c:smooth val="0"/>
          <c:extLst>
            <c:ext xmlns:c16="http://schemas.microsoft.com/office/drawing/2014/chart" uri="{C3380CC4-5D6E-409C-BE32-E72D297353CC}">
              <c16:uniqueId val="{00000001-7F4A-470C-BE1A-8B50A655BDF5}"/>
            </c:ext>
          </c:extLst>
        </c:ser>
        <c:ser>
          <c:idx val="2"/>
          <c:order val="2"/>
          <c:tx>
            <c:strRef>
              <c:f>'2NL'!$E$64</c:f>
              <c:strCache>
                <c:ptCount val="1"/>
                <c:pt idx="0">
                  <c:v>Index with tax base growth</c:v>
                </c:pt>
              </c:strCache>
            </c:strRef>
          </c:tx>
          <c:spPr>
            <a:ln w="28575" cap="rnd">
              <a:noFill/>
              <a:round/>
            </a:ln>
            <a:effectLst/>
          </c:spPr>
          <c:marker>
            <c:symbol val="square"/>
            <c:size val="6"/>
            <c:spPr>
              <a:noFill/>
              <a:ln w="25400">
                <a:solidFill>
                  <a:schemeClr val="accent6">
                    <a:lumMod val="75000"/>
                  </a:schemeClr>
                </a:solidFill>
              </a:ln>
              <a:effectLst/>
            </c:spPr>
          </c:marker>
          <c:cat>
            <c:numRef>
              <c:extLst>
                <c:ext xmlns:c15="http://schemas.microsoft.com/office/drawing/2012/chart" uri="{02D57815-91ED-43cb-92C2-25804820EDAC}">
                  <c15:fullRef>
                    <c15:sqref>'2NL'!$B$65:$B$72</c15:sqref>
                  </c15:fullRef>
                </c:ext>
              </c:extLst>
              <c:f>'2NL'!$B$65:$B$69</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'2NL'!$E$65:$E$72</c15:sqref>
                  </c15:fullRef>
                </c:ext>
              </c:extLst>
              <c:f>'2NL'!$E$65:$E$69</c:f>
              <c:numCache>
                <c:formatCode>0.00%</c:formatCode>
                <c:ptCount val="5"/>
                <c:pt idx="4" formatCode="0.00">
                  <c:v>14.162183195769787</c:v>
                </c:pt>
              </c:numCache>
            </c:numRef>
          </c:val>
          <c:smooth val="0"/>
          <c:extLst xmlns:c15="http://schemas.microsoft.com/office/drawing/2012/chart">
            <c:ext xmlns:c16="http://schemas.microsoft.com/office/drawing/2014/chart" uri="{C3380CC4-5D6E-409C-BE32-E72D297353CC}">
              <c16:uniqueId val="{00000002-7F4A-470C-BE1A-8B50A655BDF5}"/>
            </c:ext>
          </c:extLst>
        </c:ser>
        <c:ser>
          <c:idx val="3"/>
          <c:order val="3"/>
          <c:tx>
            <c:strRef>
              <c:f>'2NL'!$F$64</c:f>
              <c:strCache>
                <c:ptCount val="1"/>
                <c:pt idx="0">
                  <c:v>Index with lagged HCPI</c:v>
                </c:pt>
              </c:strCache>
            </c:strRef>
          </c:tx>
          <c:spPr>
            <a:ln w="28575" cap="rnd">
              <a:noFill/>
              <a:round/>
            </a:ln>
            <a:effectLst/>
          </c:spPr>
          <c:marker>
            <c:symbol val="diamond"/>
            <c:size val="7"/>
            <c:spPr>
              <a:noFill/>
              <a:ln w="25400">
                <a:solidFill>
                  <a:schemeClr val="accent4"/>
                </a:solidFill>
              </a:ln>
              <a:effectLst/>
            </c:spPr>
          </c:marker>
          <c:cat>
            <c:numRef>
              <c:extLst>
                <c:ext xmlns:c15="http://schemas.microsoft.com/office/drawing/2012/chart" uri="{02D57815-91ED-43cb-92C2-25804820EDAC}">
                  <c15:fullRef>
                    <c15:sqref>'2NL'!$B$65:$B$72</c15:sqref>
                  </c15:fullRef>
                </c:ext>
              </c:extLst>
              <c:f>'2NL'!$B$65:$B$69</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'2NL'!$F$65:$F$72</c15:sqref>
                  </c15:fullRef>
                </c:ext>
              </c:extLst>
              <c:f>'2NL'!$F$65:$F$69</c:f>
              <c:numCache>
                <c:formatCode>0.00%</c:formatCode>
                <c:ptCount val="5"/>
                <c:pt idx="4" formatCode="0.00">
                  <c:v>13.660436813736135</c:v>
                </c:pt>
              </c:numCache>
            </c:numRef>
          </c:val>
          <c:smooth val="0"/>
          <c:extLst>
            <c:ext xmlns:c16="http://schemas.microsoft.com/office/drawing/2014/chart" uri="{C3380CC4-5D6E-409C-BE32-E72D297353CC}">
              <c16:uniqueId val="{00000003-7F4A-470C-BE1A-8B50A655BDF5}"/>
            </c:ext>
          </c:extLst>
        </c:ser>
        <c:ser>
          <c:idx val="4"/>
          <c:order val="4"/>
          <c:tx>
            <c:strRef>
              <c:f>'2NL'!$G$64</c:f>
              <c:strCache>
                <c:ptCount val="1"/>
                <c:pt idx="0">
                  <c:v>Index with concurrent HCPI</c:v>
                </c:pt>
              </c:strCache>
            </c:strRef>
          </c:tx>
          <c:spPr>
            <a:ln w="28575" cap="rnd">
              <a:noFill/>
              <a:round/>
            </a:ln>
            <a:effectLst/>
          </c:spPr>
          <c:marker>
            <c:symbol val="triangle"/>
            <c:size val="6"/>
            <c:spPr>
              <a:noFill/>
              <a:ln w="25400">
                <a:solidFill>
                  <a:schemeClr val="accent5">
                    <a:lumMod val="75000"/>
                  </a:schemeClr>
                </a:solidFill>
              </a:ln>
              <a:effectLst/>
            </c:spPr>
          </c:marker>
          <c:cat>
            <c:numRef>
              <c:extLst>
                <c:ext xmlns:c15="http://schemas.microsoft.com/office/drawing/2012/chart" uri="{02D57815-91ED-43cb-92C2-25804820EDAC}">
                  <c15:fullRef>
                    <c15:sqref>'2NL'!$B$65:$B$72</c15:sqref>
                  </c15:fullRef>
                </c:ext>
              </c:extLst>
              <c:f>'2NL'!$B$65:$B$69</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'2NL'!$G$65:$G$72</c15:sqref>
                  </c15:fullRef>
                </c:ext>
              </c:extLst>
              <c:f>'2NL'!$G$65:$G$69</c:f>
              <c:numCache>
                <c:formatCode>0.00%</c:formatCode>
                <c:ptCount val="5"/>
                <c:pt idx="4" formatCode="0.00">
                  <c:v>13.459975269741278</c:v>
                </c:pt>
              </c:numCache>
            </c:numRef>
          </c:val>
          <c:smooth val="0"/>
          <c:extLst>
            <c:ext xmlns:c16="http://schemas.microsoft.com/office/drawing/2014/chart" uri="{C3380CC4-5D6E-409C-BE32-E72D297353CC}">
              <c16:uniqueId val="{00000004-7F4A-470C-BE1A-8B50A655BDF5}"/>
            </c:ext>
          </c:extLst>
        </c:ser>
        <c:dLbls>
          <c:showLegendKey val="0"/>
          <c:showVal val="0"/>
          <c:showCatName val="0"/>
          <c:showSerName val="0"/>
          <c:showPercent val="0"/>
          <c:showBubbleSize val="0"/>
        </c:dLbls>
        <c:marker val="1"/>
        <c:smooth val="0"/>
        <c:axId val="709475840"/>
        <c:axId val="605168576"/>
        <c:extLst/>
      </c:lineChart>
      <c:catAx>
        <c:axId val="709475840"/>
        <c:scaling>
          <c:orientation val="minMax"/>
        </c:scaling>
        <c:delete val="0"/>
        <c:axPos val="b"/>
        <c:numFmt formatCode="General" sourceLinked="1"/>
        <c:majorTickMark val="out"/>
        <c:minorTickMark val="none"/>
        <c:tickLblPos val="nextTo"/>
        <c:spPr>
          <a:noFill/>
          <a:ln w="635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mn-cs"/>
              </a:defRPr>
            </a:pPr>
            <a:endParaRPr lang="es-ES_tradnl"/>
          </a:p>
        </c:txPr>
        <c:crossAx val="605168576"/>
        <c:crosses val="autoZero"/>
        <c:auto val="1"/>
        <c:lblAlgn val="ctr"/>
        <c:lblOffset val="100"/>
        <c:noMultiLvlLbl val="0"/>
      </c:catAx>
      <c:valAx>
        <c:axId val="6051685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s-ES_tradnl" sz="1050">
                    <a:solidFill>
                      <a:sysClr val="windowText" lastClr="000000"/>
                    </a:solidFill>
                    <a:latin typeface="Times New Roman" panose="02020603050405020304" pitchFamily="18" charset="0"/>
                    <a:cs typeface="Times New Roman" panose="02020603050405020304" pitchFamily="18" charset="0"/>
                  </a:rPr>
                  <a:t>Rate</a:t>
                </a:r>
              </a:p>
            </c:rich>
          </c:tx>
          <c:overlay val="0"/>
          <c:spPr>
            <a:noFill/>
            <a:ln>
              <a:noFill/>
            </a:ln>
            <a:effectLst/>
          </c:spPr>
          <c:txPr>
            <a:bodyPr rot="-5400000" spcFirstLastPara="1" vertOverflow="ellipsis" vert="horz" wrap="square" anchor="ctr" anchorCtr="1"/>
            <a:lstStyle/>
            <a:p>
              <a:pPr>
                <a:defRPr sz="10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title>
        <c:numFmt formatCode="#,##0.0" sourceLinked="0"/>
        <c:majorTickMark val="out"/>
        <c:minorTickMark val="none"/>
        <c:tickLblPos val="nextTo"/>
        <c:spPr>
          <a:noFill/>
          <a:ln w="6350">
            <a:solidFill>
              <a:schemeClr val="tx1">
                <a:lumMod val="65000"/>
                <a:lumOff val="35000"/>
              </a:schemeClr>
            </a:solidFill>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mn-cs"/>
              </a:defRPr>
            </a:pPr>
            <a:endParaRPr lang="es-ES_tradnl"/>
          </a:p>
        </c:txPr>
        <c:crossAx val="709475840"/>
        <c:crosses val="autoZero"/>
        <c:crossBetween val="between"/>
      </c:valAx>
      <c:spPr>
        <a:noFill/>
        <a:ln>
          <a:noFill/>
        </a:ln>
        <a:effectLst/>
      </c:spPr>
    </c:plotArea>
    <c:legend>
      <c:legendPos val="b"/>
      <c:layout>
        <c:manualLayout>
          <c:xMode val="edge"/>
          <c:yMode val="edge"/>
          <c:x val="8.1926620958132398E-2"/>
          <c:y val="0.78900773467278962"/>
          <c:w val="0.8223310520657221"/>
          <c:h val="0.1997652991480407"/>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legend>
    <c:plotVisOnly val="1"/>
    <c:dispBlanksAs val="gap"/>
    <c:showDLblsOverMax val="0"/>
  </c:chart>
  <c:spPr>
    <a:solidFill>
      <a:schemeClr val="bg1"/>
    </a:solidFill>
    <a:ln w="9525" cap="flat" cmpd="sng" algn="ctr">
      <a:noFill/>
      <a:round/>
    </a:ln>
    <a:effectLst/>
  </c:spPr>
  <c:txPr>
    <a:bodyPr/>
    <a:lstStyle/>
    <a:p>
      <a:pPr>
        <a:defRPr/>
      </a:pPr>
      <a:endParaRPr lang="es-ES_tradnl"/>
    </a:p>
  </c:txPr>
  <c:printSettings>
    <c:headerFooter/>
    <c:pageMargins b="0.75" l="0.84" r="0.25" t="0.75" header="0.3" footer="0.3"/>
    <c:pageSetup paperSize="9" orientation="landscape"/>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457409308717575"/>
          <c:y val="4.6087571003560986E-2"/>
          <c:w val="0.82558175067451101"/>
          <c:h val="0.64272676146640684"/>
        </c:manualLayout>
      </c:layout>
      <c:lineChart>
        <c:grouping val="standard"/>
        <c:varyColors val="0"/>
        <c:ser>
          <c:idx val="1"/>
          <c:order val="0"/>
          <c:tx>
            <c:strRef>
              <c:f>'2NL'!$W$45</c:f>
              <c:strCache>
                <c:ptCount val="1"/>
                <c:pt idx="0">
                  <c:v>Observed (National Accounts)</c:v>
                </c:pt>
              </c:strCache>
            </c:strRef>
          </c:tx>
          <c:spPr>
            <a:ln w="25400" cap="rnd">
              <a:solidFill>
                <a:schemeClr val="tx1">
                  <a:lumMod val="65000"/>
                  <a:lumOff val="35000"/>
                </a:schemeClr>
              </a:solidFill>
              <a:prstDash val="sysDash"/>
              <a:round/>
            </a:ln>
            <a:effectLst/>
          </c:spPr>
          <c:marker>
            <c:symbol val="none"/>
          </c:marker>
          <c:cat>
            <c:numRef>
              <c:extLst>
                <c:ext xmlns:c15="http://schemas.microsoft.com/office/drawing/2012/chart" uri="{02D57815-91ED-43cb-92C2-25804820EDAC}">
                  <c15:fullRef>
                    <c15:sqref>'2NL'!$U$46:$U$53</c15:sqref>
                  </c15:fullRef>
                </c:ext>
              </c:extLst>
              <c:f>'2NL'!$U$46:$U$50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'2NL'!$W$46:$W$53</c15:sqref>
                  </c15:fullRef>
                </c:ext>
              </c:extLst>
              <c:f>'2NL'!$W$46:$W$50</c:f>
              <c:numCache>
                <c:formatCode>0.0%</c:formatCode>
                <c:ptCount val="5"/>
                <c:pt idx="0">
                  <c:v>8.4632650000000004E-2</c:v>
                </c:pt>
                <c:pt idx="1">
                  <c:v>9.0722260000000013E-2</c:v>
                </c:pt>
                <c:pt idx="2">
                  <c:v>8.5290729999999995E-2</c:v>
                </c:pt>
                <c:pt idx="3">
                  <c:v>8.1742300000000004E-2</c:v>
                </c:pt>
                <c:pt idx="4">
                  <c:v>8.9399999999999979E-2</c:v>
                </c:pt>
              </c:numCache>
            </c:numRef>
          </c:val>
          <c:smooth val="0"/>
          <c:extLst>
            <c:ext xmlns:c16="http://schemas.microsoft.com/office/drawing/2014/chart" uri="{C3380CC4-5D6E-409C-BE32-E72D297353CC}">
              <c16:uniqueId val="{00000000-D118-428C-8FE8-3A517D197D41}"/>
            </c:ext>
          </c:extLst>
        </c:ser>
        <c:ser>
          <c:idx val="0"/>
          <c:order val="1"/>
          <c:tx>
            <c:strRef>
              <c:f>'2NL'!$V$45</c:f>
              <c:strCache>
                <c:ptCount val="1"/>
                <c:pt idx="0">
                  <c:v>Baseline simulation (before reescaling)</c:v>
                </c:pt>
              </c:strCache>
            </c:strRef>
          </c:tx>
          <c:spPr>
            <a:ln w="25400" cap="rnd">
              <a:noFill/>
              <a:round/>
            </a:ln>
            <a:effectLst/>
          </c:spPr>
          <c:marker>
            <c:symbol val="circle"/>
            <c:size val="8"/>
            <c:spPr>
              <a:solidFill>
                <a:schemeClr val="bg1">
                  <a:lumMod val="85000"/>
                </a:schemeClr>
              </a:solidFill>
              <a:ln w="25400">
                <a:noFill/>
              </a:ln>
              <a:effectLst/>
            </c:spPr>
          </c:marker>
          <c:cat>
            <c:numRef>
              <c:extLst>
                <c:ext xmlns:c15="http://schemas.microsoft.com/office/drawing/2012/chart" uri="{02D57815-91ED-43cb-92C2-25804820EDAC}">
                  <c15:fullRef>
                    <c15:sqref>'2NL'!$U$46:$U$53</c15:sqref>
                  </c15:fullRef>
                </c:ext>
              </c:extLst>
              <c:f>'2NL'!$U$46:$U$50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'2NL'!$V$46:$V$53</c15:sqref>
                  </c15:fullRef>
                </c:ext>
              </c:extLst>
              <c:f>'2NL'!$V$46:$V$50</c:f>
              <c:numCache>
                <c:formatCode>0.0%</c:formatCode>
                <c:ptCount val="5"/>
                <c:pt idx="0">
                  <c:v>8.4058512025141238E-2</c:v>
                </c:pt>
                <c:pt idx="1">
                  <c:v>8.9043514991093184E-2</c:v>
                </c:pt>
                <c:pt idx="2">
                  <c:v>8.2786280264223897E-2</c:v>
                </c:pt>
                <c:pt idx="3">
                  <c:v>7.8227871967125606E-2</c:v>
                </c:pt>
                <c:pt idx="4">
                  <c:v>7.6795827130049676E-2</c:v>
                </c:pt>
              </c:numCache>
            </c:numRef>
          </c:val>
          <c:smooth val="0"/>
          <c:extLst>
            <c:ext xmlns:c16="http://schemas.microsoft.com/office/drawing/2014/chart" uri="{C3380CC4-5D6E-409C-BE32-E72D297353CC}">
              <c16:uniqueId val="{00000001-D118-428C-8FE8-3A517D197D41}"/>
            </c:ext>
          </c:extLst>
        </c:ser>
        <c:ser>
          <c:idx val="3"/>
          <c:order val="2"/>
          <c:tx>
            <c:strRef>
              <c:f>'2NL'!$Y$45</c:f>
              <c:strCache>
                <c:ptCount val="1"/>
                <c:pt idx="0">
                  <c:v>Baseline simulation (after reescaling)</c:v>
                </c:pt>
              </c:strCache>
            </c:strRef>
          </c:tx>
          <c:spPr>
            <a:ln w="25400" cap="rnd">
              <a:noFill/>
              <a:round/>
            </a:ln>
            <a:effectLst/>
          </c:spPr>
          <c:marker>
            <c:symbol val="circle"/>
            <c:size val="7"/>
            <c:spPr>
              <a:solidFill>
                <a:schemeClr val="tx1"/>
              </a:solidFill>
              <a:ln w="9525">
                <a:solidFill>
                  <a:schemeClr val="tx1"/>
                </a:solidFill>
              </a:ln>
              <a:effectLst/>
            </c:spPr>
          </c:marker>
          <c:cat>
            <c:numRef>
              <c:extLst>
                <c:ext xmlns:c15="http://schemas.microsoft.com/office/drawing/2012/chart" uri="{02D57815-91ED-43cb-92C2-25804820EDAC}">
                  <c15:fullRef>
                    <c15:sqref>'2NL'!$U$46:$U$53</c15:sqref>
                  </c15:fullRef>
                </c:ext>
              </c:extLst>
              <c:f>'2NL'!$U$46:$U$50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'2NL'!$Y$46:$Y$53</c15:sqref>
                  </c15:fullRef>
                </c:ext>
              </c:extLst>
              <c:f>'2NL'!$Y$46:$Y$50</c:f>
              <c:numCache>
                <c:formatCode>0.0%</c:formatCode>
                <c:ptCount val="5"/>
                <c:pt idx="0">
                  <c:v>8.4632650000000004E-2</c:v>
                </c:pt>
                <c:pt idx="4">
                  <c:v>8.9399999999999979E-2</c:v>
                </c:pt>
              </c:numCache>
            </c:numRef>
          </c:val>
          <c:smooth val="0"/>
          <c:extLst>
            <c:ext xmlns:c16="http://schemas.microsoft.com/office/drawing/2014/chart" uri="{C3380CC4-5D6E-409C-BE32-E72D297353CC}">
              <c16:uniqueId val="{00000002-D118-428C-8FE8-3A517D197D41}"/>
            </c:ext>
          </c:extLst>
        </c:ser>
        <c:ser>
          <c:idx val="4"/>
          <c:order val="3"/>
          <c:tx>
            <c:strRef>
              <c:f>'2NL'!$Z$45</c:f>
              <c:strCache>
                <c:ptCount val="1"/>
                <c:pt idx="0">
                  <c:v>Unchanged legislation since 2019/2023</c:v>
                </c:pt>
              </c:strCache>
            </c:strRef>
          </c:tx>
          <c:spPr>
            <a:ln w="25400" cap="rnd">
              <a:noFill/>
              <a:round/>
            </a:ln>
            <a:effectLst/>
          </c:spPr>
          <c:marker>
            <c:symbol val="circle"/>
            <c:size val="6"/>
            <c:spPr>
              <a:noFill/>
              <a:ln w="25400">
                <a:solidFill>
                  <a:srgbClr val="C00000"/>
                </a:solidFill>
              </a:ln>
              <a:effectLst/>
            </c:spPr>
          </c:marker>
          <c:cat>
            <c:numRef>
              <c:extLst>
                <c:ext xmlns:c15="http://schemas.microsoft.com/office/drawing/2012/chart" uri="{02D57815-91ED-43cb-92C2-25804820EDAC}">
                  <c15:fullRef>
                    <c15:sqref>'2NL'!$U$46:$U$53</c15:sqref>
                  </c15:fullRef>
                </c:ext>
              </c:extLst>
              <c:f>'2NL'!$U$46:$U$50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'2NL'!$Z$46:$Z$53</c15:sqref>
                  </c15:fullRef>
                </c:ext>
              </c:extLst>
              <c:f>'2NL'!$Z$46:$Z$50</c:f>
              <c:numCache>
                <c:formatCode>0.0%</c:formatCode>
                <c:ptCount val="5"/>
                <c:pt idx="4">
                  <c:v>0.10078301899846999</c:v>
                </c:pt>
              </c:numCache>
            </c:numRef>
          </c:val>
          <c:smooth val="0"/>
          <c:extLst>
            <c:ext xmlns:c16="http://schemas.microsoft.com/office/drawing/2014/chart" uri="{C3380CC4-5D6E-409C-BE32-E72D297353CC}">
              <c16:uniqueId val="{00000003-D118-428C-8FE8-3A517D197D41}"/>
            </c:ext>
          </c:extLst>
        </c:ser>
        <c:ser>
          <c:idx val="5"/>
          <c:order val="4"/>
          <c:tx>
            <c:strRef>
              <c:f>'2NL'!$AA$45</c:f>
              <c:strCache>
                <c:ptCount val="1"/>
                <c:pt idx="0">
                  <c:v>Indexing with tax base growth</c:v>
                </c:pt>
              </c:strCache>
            </c:strRef>
          </c:tx>
          <c:spPr>
            <a:ln w="25400" cap="rnd">
              <a:noFill/>
              <a:round/>
            </a:ln>
            <a:effectLst/>
          </c:spPr>
          <c:marker>
            <c:symbol val="square"/>
            <c:size val="5"/>
            <c:spPr>
              <a:noFill/>
              <a:ln w="25400">
                <a:solidFill>
                  <a:schemeClr val="accent6">
                    <a:lumMod val="75000"/>
                  </a:schemeClr>
                </a:solidFill>
              </a:ln>
              <a:effectLst/>
            </c:spPr>
          </c:marker>
          <c:cat>
            <c:numRef>
              <c:extLst>
                <c:ext xmlns:c15="http://schemas.microsoft.com/office/drawing/2012/chart" uri="{02D57815-91ED-43cb-92C2-25804820EDAC}">
                  <c15:fullRef>
                    <c15:sqref>'2NL'!$U$46:$U$53</c15:sqref>
                  </c15:fullRef>
                </c:ext>
              </c:extLst>
              <c:f>'2NL'!$U$46:$U$50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'2NL'!$AA$46:$AA$53</c15:sqref>
                  </c15:fullRef>
                </c:ext>
              </c:extLst>
              <c:f>'2NL'!$AA$46:$AA$50</c:f>
              <c:numCache>
                <c:formatCode>0.0%</c:formatCode>
                <c:ptCount val="5"/>
                <c:pt idx="4">
                  <c:v>8.7482584741883862E-2</c:v>
                </c:pt>
              </c:numCache>
            </c:numRef>
          </c:val>
          <c:smooth val="0"/>
          <c:extLst>
            <c:ext xmlns:c16="http://schemas.microsoft.com/office/drawing/2014/chart" uri="{C3380CC4-5D6E-409C-BE32-E72D297353CC}">
              <c16:uniqueId val="{00000004-D118-428C-8FE8-3A517D197D41}"/>
            </c:ext>
          </c:extLst>
        </c:ser>
        <c:ser>
          <c:idx val="6"/>
          <c:order val="5"/>
          <c:tx>
            <c:strRef>
              <c:f>'2NL'!$AB$45</c:f>
              <c:strCache>
                <c:ptCount val="1"/>
                <c:pt idx="0">
                  <c:v>Indexing with lagged HCPI</c:v>
                </c:pt>
              </c:strCache>
            </c:strRef>
          </c:tx>
          <c:spPr>
            <a:ln w="25400" cap="rnd">
              <a:noFill/>
              <a:round/>
            </a:ln>
            <a:effectLst/>
          </c:spPr>
          <c:marker>
            <c:symbol val="diamond"/>
            <c:size val="6"/>
            <c:spPr>
              <a:noFill/>
              <a:ln w="25400">
                <a:solidFill>
                  <a:schemeClr val="accent4"/>
                </a:solidFill>
              </a:ln>
              <a:effectLst/>
            </c:spPr>
          </c:marker>
          <c:cat>
            <c:numRef>
              <c:extLst>
                <c:ext xmlns:c15="http://schemas.microsoft.com/office/drawing/2012/chart" uri="{02D57815-91ED-43cb-92C2-25804820EDAC}">
                  <c15:fullRef>
                    <c15:sqref>'2NL'!$U$46:$U$53</c15:sqref>
                  </c15:fullRef>
                </c:ext>
              </c:extLst>
              <c:f>'2NL'!$U$46:$U$50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'2NL'!$AB$46:$AB$53</c15:sqref>
                  </c15:fullRef>
                </c:ext>
              </c:extLst>
              <c:f>'2NL'!$AB$46:$AB$50</c:f>
              <c:numCache>
                <c:formatCode>0.0%</c:formatCode>
                <c:ptCount val="5"/>
                <c:pt idx="4">
                  <c:v>8.438319887895393E-2</c:v>
                </c:pt>
              </c:numCache>
            </c:numRef>
          </c:val>
          <c:smooth val="0"/>
          <c:extLst>
            <c:ext xmlns:c16="http://schemas.microsoft.com/office/drawing/2014/chart" uri="{C3380CC4-5D6E-409C-BE32-E72D297353CC}">
              <c16:uniqueId val="{00000005-D118-428C-8FE8-3A517D197D41}"/>
            </c:ext>
          </c:extLst>
        </c:ser>
        <c:ser>
          <c:idx val="7"/>
          <c:order val="6"/>
          <c:tx>
            <c:strRef>
              <c:f>'2NL'!$AC$45</c:f>
              <c:strCache>
                <c:ptCount val="1"/>
                <c:pt idx="0">
                  <c:v>Indexing with concurrent HCPI</c:v>
                </c:pt>
              </c:strCache>
            </c:strRef>
          </c:tx>
          <c:spPr>
            <a:ln w="25400" cap="rnd">
              <a:noFill/>
              <a:round/>
            </a:ln>
            <a:effectLst/>
          </c:spPr>
          <c:marker>
            <c:symbol val="triangle"/>
            <c:size val="6"/>
            <c:spPr>
              <a:noFill/>
              <a:ln w="25400">
                <a:solidFill>
                  <a:schemeClr val="accent5">
                    <a:lumMod val="75000"/>
                  </a:schemeClr>
                </a:solidFill>
              </a:ln>
              <a:effectLst/>
            </c:spPr>
          </c:marker>
          <c:cat>
            <c:numRef>
              <c:extLst>
                <c:ext xmlns:c15="http://schemas.microsoft.com/office/drawing/2012/chart" uri="{02D57815-91ED-43cb-92C2-25804820EDAC}">
                  <c15:fullRef>
                    <c15:sqref>'2NL'!$U$46:$U$53</c15:sqref>
                  </c15:fullRef>
                </c:ext>
              </c:extLst>
              <c:f>'2NL'!$U$46:$U$50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'2NL'!$AC$46:$AC$53</c15:sqref>
                  </c15:fullRef>
                </c:ext>
              </c:extLst>
              <c:f>'2NL'!$AC$46:$AC$50</c:f>
              <c:numCache>
                <c:formatCode>0.0%</c:formatCode>
                <c:ptCount val="5"/>
                <c:pt idx="4">
                  <c:v>8.3144908583764332E-2</c:v>
                </c:pt>
              </c:numCache>
            </c:numRef>
          </c:val>
          <c:smooth val="0"/>
          <c:extLst>
            <c:ext xmlns:c16="http://schemas.microsoft.com/office/drawing/2014/chart" uri="{C3380CC4-5D6E-409C-BE32-E72D297353CC}">
              <c16:uniqueId val="{00000006-D118-428C-8FE8-3A517D197D41}"/>
            </c:ext>
          </c:extLst>
        </c:ser>
        <c:dLbls>
          <c:showLegendKey val="0"/>
          <c:showVal val="0"/>
          <c:showCatName val="0"/>
          <c:showSerName val="0"/>
          <c:showPercent val="0"/>
          <c:showBubbleSize val="0"/>
        </c:dLbls>
        <c:smooth val="0"/>
        <c:axId val="709475840"/>
        <c:axId val="605168576"/>
        <c:extLst/>
      </c:lineChart>
      <c:catAx>
        <c:axId val="709475840"/>
        <c:scaling>
          <c:orientation val="minMax"/>
        </c:scaling>
        <c:delete val="0"/>
        <c:axPos val="b"/>
        <c:numFmt formatCode="General" sourceLinked="1"/>
        <c:majorTickMark val="out"/>
        <c:minorTickMark val="none"/>
        <c:tickLblPos val="nextTo"/>
        <c:spPr>
          <a:noFill/>
          <a:ln w="6350" cap="flat" cmpd="sng" algn="ctr">
            <a:solidFill>
              <a:schemeClr val="tx1"/>
            </a:solidFill>
            <a:round/>
          </a:ln>
          <a:effectLst/>
        </c:spPr>
        <c:txPr>
          <a:bodyPr rot="-60000000" spcFirstLastPara="1" vertOverflow="ellipsis" vert="horz" wrap="square" anchor="ctr" anchorCtr="1"/>
          <a:lstStyle/>
          <a:p>
            <a:pPr>
              <a:defRPr sz="950" b="0" i="0" u="none" strike="noStrike" kern="1200" baseline="0">
                <a:solidFill>
                  <a:schemeClr val="tx1"/>
                </a:solidFill>
                <a:latin typeface="Times New Roman" panose="02020603050405020304" pitchFamily="18" charset="0"/>
                <a:ea typeface="+mn-ea"/>
                <a:cs typeface="+mn-cs"/>
              </a:defRPr>
            </a:pPr>
            <a:endParaRPr lang="es-ES_tradnl"/>
          </a:p>
        </c:txPr>
        <c:crossAx val="605168576"/>
        <c:crosses val="autoZero"/>
        <c:auto val="1"/>
        <c:lblAlgn val="ctr"/>
        <c:lblOffset val="100"/>
        <c:noMultiLvlLbl val="0"/>
      </c:catAx>
      <c:valAx>
        <c:axId val="6051685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s-ES_tradnl" sz="1050">
                    <a:solidFill>
                      <a:sysClr val="windowText" lastClr="000000"/>
                    </a:solidFill>
                    <a:latin typeface="Times New Roman" panose="02020603050405020304" pitchFamily="18" charset="0"/>
                    <a:cs typeface="Times New Roman" panose="02020603050405020304" pitchFamily="18" charset="0"/>
                  </a:rPr>
                  <a:t>Share of GDP</a:t>
                </a:r>
              </a:p>
            </c:rich>
          </c:tx>
          <c:overlay val="0"/>
          <c:spPr>
            <a:noFill/>
            <a:ln>
              <a:noFill/>
            </a:ln>
            <a:effectLst/>
          </c:spPr>
        </c:title>
        <c:numFmt formatCode="0%" sourceLinked="0"/>
        <c:majorTickMark val="out"/>
        <c:minorTickMark val="none"/>
        <c:tickLblPos val="nextTo"/>
        <c:spPr>
          <a:noFill/>
          <a:ln w="6350">
            <a:solidFill>
              <a:schemeClr val="tx1">
                <a:lumMod val="65000"/>
                <a:lumOff val="35000"/>
              </a:schemeClr>
            </a:solidFill>
          </a:ln>
          <a:effectLst/>
        </c:spPr>
        <c:txPr>
          <a:bodyPr rot="-60000000" spcFirstLastPara="1" vertOverflow="ellipsis" vert="horz" wrap="square" anchor="ctr" anchorCtr="1"/>
          <a:lstStyle/>
          <a:p>
            <a:pPr>
              <a:defRPr sz="950" b="0" i="0" u="none" strike="noStrike" kern="1200" baseline="0">
                <a:solidFill>
                  <a:schemeClr val="tx1"/>
                </a:solidFill>
                <a:latin typeface="Times New Roman" panose="02020603050405020304" pitchFamily="18" charset="0"/>
                <a:ea typeface="+mn-ea"/>
                <a:cs typeface="+mn-cs"/>
              </a:defRPr>
            </a:pPr>
            <a:endParaRPr lang="es-ES_tradnl"/>
          </a:p>
        </c:txPr>
        <c:crossAx val="709475840"/>
        <c:crosses val="autoZero"/>
        <c:crossBetween val="between"/>
      </c:valAx>
    </c:plotArea>
    <c:legend>
      <c:legendPos val="b"/>
      <c:layout>
        <c:manualLayout>
          <c:xMode val="edge"/>
          <c:yMode val="edge"/>
          <c:x val="0"/>
          <c:y val="0.80216933512597055"/>
          <c:w val="1"/>
          <c:h val="0.19783066487402948"/>
        </c:manualLayout>
      </c:layout>
      <c:overlay val="0"/>
      <c:spPr>
        <a:noFill/>
        <a:ln>
          <a:noFill/>
        </a:ln>
        <a:effectLst/>
      </c:spPr>
      <c:txPr>
        <a:bodyPr rot="0" spcFirstLastPara="1" vertOverflow="ellipsis" vert="horz" wrap="square" anchor="ctr" anchorCtr="1"/>
        <a:lstStyle/>
        <a:p>
          <a:pPr>
            <a:defRPr sz="9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legend>
    <c:plotVisOnly val="1"/>
    <c:dispBlanksAs val="gap"/>
    <c:showDLblsOverMax val="0"/>
  </c:chart>
  <c:spPr>
    <a:solidFill>
      <a:schemeClr val="bg1"/>
    </a:solidFill>
    <a:ln w="9525" cap="flat" cmpd="sng" algn="ctr">
      <a:noFill/>
      <a:round/>
    </a:ln>
    <a:effectLst/>
  </c:spPr>
  <c:txPr>
    <a:bodyPr/>
    <a:lstStyle/>
    <a:p>
      <a:pPr>
        <a:defRPr/>
      </a:pPr>
      <a:endParaRPr lang="es-ES_tradnl"/>
    </a:p>
  </c:txPr>
  <c:printSettings>
    <c:headerFooter/>
    <c:pageMargins b="0.75" l="0.25" r="0.25" t="0.75" header="0.3" footer="0.3"/>
    <c:pageSetup paperSize="9" orientation="landscape"/>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457409308717575"/>
          <c:y val="4.6087571003560986E-2"/>
          <c:w val="0.82558175067451101"/>
          <c:h val="0.64272676146640684"/>
        </c:manualLayout>
      </c:layout>
      <c:lineChart>
        <c:grouping val="standard"/>
        <c:varyColors val="0"/>
        <c:ser>
          <c:idx val="1"/>
          <c:order val="0"/>
          <c:tx>
            <c:strRef>
              <c:f>'2PT'!$D$45</c:f>
              <c:strCache>
                <c:ptCount val="1"/>
                <c:pt idx="0">
                  <c:v>Observed (National Accounts)</c:v>
                </c:pt>
              </c:strCache>
            </c:strRef>
          </c:tx>
          <c:spPr>
            <a:ln w="25400" cap="rnd">
              <a:solidFill>
                <a:schemeClr val="tx1">
                  <a:lumMod val="65000"/>
                  <a:lumOff val="35000"/>
                </a:schemeClr>
              </a:solidFill>
              <a:prstDash val="sysDash"/>
              <a:round/>
            </a:ln>
            <a:effectLst/>
          </c:spPr>
          <c:marker>
            <c:symbol val="none"/>
          </c:marker>
          <c:cat>
            <c:numRef>
              <c:extLst>
                <c:ext xmlns:c15="http://schemas.microsoft.com/office/drawing/2012/chart" uri="{02D57815-91ED-43cb-92C2-25804820EDAC}">
                  <c15:fullRef>
                    <c15:sqref>'2PT'!$B$46:$B$53</c15:sqref>
                  </c15:fullRef>
                </c:ext>
              </c:extLst>
              <c:f>'2PT'!$B$46:$B$50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'2PT'!$D$46:$D$53</c15:sqref>
                  </c15:fullRef>
                </c:ext>
              </c:extLst>
              <c:f>'2PT'!$D$46:$D$50</c:f>
              <c:numCache>
                <c:formatCode>_-* #,##0_-;\-* #,##0_-;_-* "-"??_-;_-@_-</c:formatCode>
                <c:ptCount val="5"/>
                <c:pt idx="0">
                  <c:v>13579.9</c:v>
                </c:pt>
                <c:pt idx="1">
                  <c:v>13993.5</c:v>
                </c:pt>
                <c:pt idx="2">
                  <c:v>14972.9</c:v>
                </c:pt>
                <c:pt idx="3">
                  <c:v>16911</c:v>
                </c:pt>
                <c:pt idx="4">
                  <c:v>18494.900000000001</c:v>
                </c:pt>
              </c:numCache>
            </c:numRef>
          </c:val>
          <c:smooth val="0"/>
          <c:extLst>
            <c:ext xmlns:c16="http://schemas.microsoft.com/office/drawing/2014/chart" uri="{C3380CC4-5D6E-409C-BE32-E72D297353CC}">
              <c16:uniqueId val="{00000000-9AD1-423F-AC12-6FB0FDB01BF8}"/>
            </c:ext>
          </c:extLst>
        </c:ser>
        <c:ser>
          <c:idx val="0"/>
          <c:order val="1"/>
          <c:tx>
            <c:strRef>
              <c:f>'2PT'!$C$45</c:f>
              <c:strCache>
                <c:ptCount val="1"/>
                <c:pt idx="0">
                  <c:v>Baseline simulation (before reescaling)</c:v>
                </c:pt>
              </c:strCache>
            </c:strRef>
          </c:tx>
          <c:spPr>
            <a:ln w="25400" cap="rnd">
              <a:noFill/>
              <a:round/>
            </a:ln>
            <a:effectLst/>
          </c:spPr>
          <c:marker>
            <c:symbol val="circle"/>
            <c:size val="8"/>
            <c:spPr>
              <a:solidFill>
                <a:schemeClr val="bg1">
                  <a:lumMod val="85000"/>
                </a:schemeClr>
              </a:solidFill>
              <a:ln w="25400">
                <a:noFill/>
              </a:ln>
              <a:effectLst/>
            </c:spPr>
          </c:marker>
          <c:cat>
            <c:numRef>
              <c:extLst>
                <c:ext xmlns:c15="http://schemas.microsoft.com/office/drawing/2012/chart" uri="{02D57815-91ED-43cb-92C2-25804820EDAC}">
                  <c15:fullRef>
                    <c15:sqref>'2PT'!$B$46:$B$53</c15:sqref>
                  </c15:fullRef>
                </c:ext>
              </c:extLst>
              <c:f>'2PT'!$B$46:$B$50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'2PT'!$C$46:$C$53</c15:sqref>
                  </c15:fullRef>
                </c:ext>
              </c:extLst>
              <c:f>'2PT'!$C$46:$C$50</c:f>
              <c:numCache>
                <c:formatCode>_-* #,##0_-;\-* #,##0_-;_-* "-"??_-;_-@_-</c:formatCode>
                <c:ptCount val="5"/>
                <c:pt idx="0">
                  <c:v>15106.177151080799</c:v>
                </c:pt>
                <c:pt idx="1">
                  <c:v>15384.916678039173</c:v>
                </c:pt>
                <c:pt idx="2">
                  <c:v>16522.97216561883</c:v>
                </c:pt>
                <c:pt idx="3">
                  <c:v>17891.753579564385</c:v>
                </c:pt>
                <c:pt idx="4">
                  <c:v>18462.260585145661</c:v>
                </c:pt>
              </c:numCache>
            </c:numRef>
          </c:val>
          <c:smooth val="0"/>
          <c:extLst>
            <c:ext xmlns:c16="http://schemas.microsoft.com/office/drawing/2014/chart" uri="{C3380CC4-5D6E-409C-BE32-E72D297353CC}">
              <c16:uniqueId val="{00000001-9AD1-423F-AC12-6FB0FDB01BF8}"/>
            </c:ext>
          </c:extLst>
        </c:ser>
        <c:ser>
          <c:idx val="3"/>
          <c:order val="3"/>
          <c:tx>
            <c:strRef>
              <c:f>'2PT'!$F$45</c:f>
              <c:strCache>
                <c:ptCount val="1"/>
                <c:pt idx="0">
                  <c:v>Baseline simulation (after reescaling)</c:v>
                </c:pt>
              </c:strCache>
            </c:strRef>
          </c:tx>
          <c:spPr>
            <a:ln w="25400" cap="rnd">
              <a:noFill/>
              <a:round/>
            </a:ln>
            <a:effectLst/>
          </c:spPr>
          <c:marker>
            <c:symbol val="circle"/>
            <c:size val="7"/>
            <c:spPr>
              <a:solidFill>
                <a:schemeClr val="tx1"/>
              </a:solidFill>
              <a:ln w="9525">
                <a:solidFill>
                  <a:schemeClr val="tx1"/>
                </a:solidFill>
              </a:ln>
              <a:effectLst/>
            </c:spPr>
          </c:marker>
          <c:cat>
            <c:numRef>
              <c:extLst>
                <c:ext xmlns:c15="http://schemas.microsoft.com/office/drawing/2012/chart" uri="{02D57815-91ED-43cb-92C2-25804820EDAC}">
                  <c15:fullRef>
                    <c15:sqref>'2PT'!$B$46:$B$53</c15:sqref>
                  </c15:fullRef>
                </c:ext>
              </c:extLst>
              <c:f>'2PT'!$B$46:$B$50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'2PT'!$F$46:$F$53</c15:sqref>
                  </c15:fullRef>
                </c:ext>
              </c:extLst>
              <c:f>'2PT'!$F$46:$F$50</c:f>
              <c:numCache>
                <c:formatCode>General</c:formatCode>
                <c:ptCount val="5"/>
                <c:pt idx="0" formatCode="_-* #,##0_-;\-* #,##0_-;_-* &quot;-&quot;??_-;_-@_-">
                  <c:v>13579.9</c:v>
                </c:pt>
                <c:pt idx="4" formatCode="_-* #,##0_-;\-* #,##0_-;_-* &quot;-&quot;??_-;_-@_-">
                  <c:v>18494.900000000001</c:v>
                </c:pt>
              </c:numCache>
            </c:numRef>
          </c:val>
          <c:smooth val="0"/>
          <c:extLst>
            <c:ext xmlns:c16="http://schemas.microsoft.com/office/drawing/2014/chart" uri="{C3380CC4-5D6E-409C-BE32-E72D297353CC}">
              <c16:uniqueId val="{00000002-9AD1-423F-AC12-6FB0FDB01BF8}"/>
            </c:ext>
          </c:extLst>
        </c:ser>
        <c:ser>
          <c:idx val="4"/>
          <c:order val="4"/>
          <c:tx>
            <c:strRef>
              <c:f>'2PT'!$G$45</c:f>
              <c:strCache>
                <c:ptCount val="1"/>
                <c:pt idx="0">
                  <c:v>Unchanged legislation since 2019/2023</c:v>
                </c:pt>
              </c:strCache>
            </c:strRef>
          </c:tx>
          <c:spPr>
            <a:ln w="25400" cap="rnd">
              <a:noFill/>
              <a:round/>
            </a:ln>
            <a:effectLst/>
          </c:spPr>
          <c:marker>
            <c:symbol val="circle"/>
            <c:size val="6"/>
            <c:spPr>
              <a:noFill/>
              <a:ln w="25400">
                <a:solidFill>
                  <a:srgbClr val="C00000"/>
                </a:solidFill>
              </a:ln>
              <a:effectLst/>
            </c:spPr>
          </c:marker>
          <c:cat>
            <c:numRef>
              <c:extLst>
                <c:ext xmlns:c15="http://schemas.microsoft.com/office/drawing/2012/chart" uri="{02D57815-91ED-43cb-92C2-25804820EDAC}">
                  <c15:fullRef>
                    <c15:sqref>'2PT'!$B$46:$B$53</c15:sqref>
                  </c15:fullRef>
                </c:ext>
              </c:extLst>
              <c:f>'2PT'!$B$46:$B$50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'2PT'!$G$46:$G$53</c15:sqref>
                  </c15:fullRef>
                </c:ext>
              </c:extLst>
              <c:f>'2PT'!$G$46:$G$50</c:f>
              <c:numCache>
                <c:formatCode>General</c:formatCode>
                <c:ptCount val="5"/>
                <c:pt idx="4" formatCode="_-* #,##0_-;\-* #,##0_-;_-* &quot;-&quot;??_-;_-@_-">
                  <c:v>20649.432974649841</c:v>
                </c:pt>
              </c:numCache>
            </c:numRef>
          </c:val>
          <c:smooth val="0"/>
          <c:extLst>
            <c:ext xmlns:c16="http://schemas.microsoft.com/office/drawing/2014/chart" uri="{C3380CC4-5D6E-409C-BE32-E72D297353CC}">
              <c16:uniqueId val="{00000003-9AD1-423F-AC12-6FB0FDB01BF8}"/>
            </c:ext>
          </c:extLst>
        </c:ser>
        <c:ser>
          <c:idx val="5"/>
          <c:order val="5"/>
          <c:tx>
            <c:strRef>
              <c:f>'2PT'!$H$45</c:f>
              <c:strCache>
                <c:ptCount val="1"/>
                <c:pt idx="0">
                  <c:v>Indexing with tax base growth</c:v>
                </c:pt>
              </c:strCache>
            </c:strRef>
          </c:tx>
          <c:spPr>
            <a:ln w="25400" cap="rnd">
              <a:noFill/>
              <a:round/>
            </a:ln>
            <a:effectLst/>
          </c:spPr>
          <c:marker>
            <c:symbol val="square"/>
            <c:size val="5"/>
            <c:spPr>
              <a:noFill/>
              <a:ln w="25400">
                <a:solidFill>
                  <a:schemeClr val="accent6">
                    <a:lumMod val="75000"/>
                  </a:schemeClr>
                </a:solidFill>
              </a:ln>
              <a:effectLst/>
            </c:spPr>
          </c:marker>
          <c:cat>
            <c:numRef>
              <c:extLst>
                <c:ext xmlns:c15="http://schemas.microsoft.com/office/drawing/2012/chart" uri="{02D57815-91ED-43cb-92C2-25804820EDAC}">
                  <c15:fullRef>
                    <c15:sqref>'2PT'!$B$46:$B$53</c15:sqref>
                  </c15:fullRef>
                </c:ext>
              </c:extLst>
              <c:f>'2PT'!$B$46:$B$50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'2PT'!$H$46:$H$53</c15:sqref>
                  </c15:fullRef>
                </c:ext>
              </c:extLst>
              <c:f>'2PT'!$H$46:$H$50</c:f>
              <c:numCache>
                <c:formatCode>General</c:formatCode>
                <c:ptCount val="5"/>
                <c:pt idx="4" formatCode="_-* #,##0_-;\-* #,##0_-;_-* &quot;-&quot;??_-;_-@_-">
                  <c:v>18007.797541179196</c:v>
                </c:pt>
              </c:numCache>
            </c:numRef>
          </c:val>
          <c:smooth val="0"/>
          <c:extLst>
            <c:ext xmlns:c16="http://schemas.microsoft.com/office/drawing/2014/chart" uri="{C3380CC4-5D6E-409C-BE32-E72D297353CC}">
              <c16:uniqueId val="{00000004-9AD1-423F-AC12-6FB0FDB01BF8}"/>
            </c:ext>
          </c:extLst>
        </c:ser>
        <c:ser>
          <c:idx val="6"/>
          <c:order val="6"/>
          <c:tx>
            <c:strRef>
              <c:f>'2PT'!$I$45</c:f>
              <c:strCache>
                <c:ptCount val="1"/>
                <c:pt idx="0">
                  <c:v>Indexing with lagged HCPI</c:v>
                </c:pt>
              </c:strCache>
            </c:strRef>
          </c:tx>
          <c:spPr>
            <a:ln w="25400" cap="rnd">
              <a:noFill/>
              <a:round/>
            </a:ln>
            <a:effectLst/>
          </c:spPr>
          <c:marker>
            <c:symbol val="diamond"/>
            <c:size val="6"/>
            <c:spPr>
              <a:noFill/>
              <a:ln w="25400">
                <a:solidFill>
                  <a:schemeClr val="accent4"/>
                </a:solidFill>
              </a:ln>
              <a:effectLst/>
            </c:spPr>
          </c:marker>
          <c:cat>
            <c:numRef>
              <c:extLst>
                <c:ext xmlns:c15="http://schemas.microsoft.com/office/drawing/2012/chart" uri="{02D57815-91ED-43cb-92C2-25804820EDAC}">
                  <c15:fullRef>
                    <c15:sqref>'2PT'!$B$46:$B$53</c15:sqref>
                  </c15:fullRef>
                </c:ext>
              </c:extLst>
              <c:f>'2PT'!$B$46:$B$50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'2PT'!$I$46:$I$53</c15:sqref>
                  </c15:fullRef>
                </c:ext>
              </c:extLst>
              <c:f>'2PT'!$I$46:$I$50</c:f>
              <c:numCache>
                <c:formatCode>General</c:formatCode>
                <c:ptCount val="5"/>
                <c:pt idx="4" formatCode="_-* #,##0_-;\-* #,##0_-;_-* &quot;-&quot;??_-;_-@_-">
                  <c:v>19177.185932447013</c:v>
                </c:pt>
              </c:numCache>
            </c:numRef>
          </c:val>
          <c:smooth val="0"/>
          <c:extLst>
            <c:ext xmlns:c16="http://schemas.microsoft.com/office/drawing/2014/chart" uri="{C3380CC4-5D6E-409C-BE32-E72D297353CC}">
              <c16:uniqueId val="{00000005-9AD1-423F-AC12-6FB0FDB01BF8}"/>
            </c:ext>
          </c:extLst>
        </c:ser>
        <c:ser>
          <c:idx val="7"/>
          <c:order val="7"/>
          <c:tx>
            <c:strRef>
              <c:f>'2PT'!$J$45</c:f>
              <c:strCache>
                <c:ptCount val="1"/>
                <c:pt idx="0">
                  <c:v>Indexing with concurrent HCPI</c:v>
                </c:pt>
              </c:strCache>
            </c:strRef>
          </c:tx>
          <c:spPr>
            <a:ln w="25400" cap="rnd">
              <a:noFill/>
              <a:round/>
            </a:ln>
            <a:effectLst/>
          </c:spPr>
          <c:marker>
            <c:symbol val="triangle"/>
            <c:size val="6"/>
            <c:spPr>
              <a:noFill/>
              <a:ln w="25400">
                <a:solidFill>
                  <a:schemeClr val="accent5">
                    <a:lumMod val="75000"/>
                  </a:schemeClr>
                </a:solidFill>
              </a:ln>
              <a:effectLst/>
            </c:spPr>
          </c:marker>
          <c:cat>
            <c:numRef>
              <c:extLst>
                <c:ext xmlns:c15="http://schemas.microsoft.com/office/drawing/2012/chart" uri="{02D57815-91ED-43cb-92C2-25804820EDAC}">
                  <c15:fullRef>
                    <c15:sqref>'2PT'!$B$46:$B$53</c15:sqref>
                  </c15:fullRef>
                </c:ext>
              </c:extLst>
              <c:f>'2PT'!$B$46:$B$50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'2PT'!$J$46:$J$53</c15:sqref>
                  </c15:fullRef>
                </c:ext>
              </c:extLst>
              <c:f>'2PT'!$J$46:$J$50</c:f>
              <c:numCache>
                <c:formatCode>General</c:formatCode>
                <c:ptCount val="5"/>
                <c:pt idx="4" formatCode="_-* #,##0_-;\-* #,##0_-;_-* &quot;-&quot;??_-;_-@_-">
                  <c:v>18389.099698781985</c:v>
                </c:pt>
              </c:numCache>
            </c:numRef>
          </c:val>
          <c:smooth val="0"/>
          <c:extLst>
            <c:ext xmlns:c16="http://schemas.microsoft.com/office/drawing/2014/chart" uri="{C3380CC4-5D6E-409C-BE32-E72D297353CC}">
              <c16:uniqueId val="{00000006-9AD1-423F-AC12-6FB0FDB01BF8}"/>
            </c:ext>
          </c:extLst>
        </c:ser>
        <c:ser>
          <c:idx val="8"/>
          <c:order val="8"/>
          <c:tx>
            <c:strRef>
              <c:f>'2PT'!$K$45</c:f>
              <c:strCache>
                <c:ptCount val="1"/>
                <c:pt idx="0">
                  <c:v>Baseline w/o "indexation measures"</c:v>
                </c:pt>
              </c:strCache>
            </c:strRef>
          </c:tx>
          <c:spPr>
            <a:ln w="28575" cap="rnd">
              <a:noFill/>
              <a:round/>
            </a:ln>
            <a:effectLst/>
          </c:spPr>
          <c:marker>
            <c:symbol val="dash"/>
            <c:size val="9"/>
            <c:spPr>
              <a:solidFill>
                <a:schemeClr val="tx1">
                  <a:lumMod val="65000"/>
                  <a:lumOff val="35000"/>
                </a:schemeClr>
              </a:solidFill>
              <a:ln w="9525">
                <a:solidFill>
                  <a:schemeClr val="tx1">
                    <a:lumMod val="65000"/>
                    <a:lumOff val="35000"/>
                  </a:schemeClr>
                </a:solidFill>
              </a:ln>
              <a:effectLst/>
            </c:spPr>
          </c:marker>
          <c:cat>
            <c:strLit>
              <c:ptCount val="5"/>
              <c:pt idx="0">
                <c:v>2019</c:v>
              </c:pt>
              <c:pt idx="1">
                <c:v>2020</c:v>
              </c:pt>
              <c:pt idx="2">
                <c:v>2021</c:v>
              </c:pt>
              <c:pt idx="3">
                <c:v>2022</c:v>
              </c:pt>
              <c:pt idx="4">
                <c:v>2023</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'2PT'!$K$46:$K$53</c15:sqref>
                  </c15:fullRef>
                </c:ext>
              </c:extLst>
              <c:f>'2PT'!$K$46:$K$50</c:f>
              <c:numCache>
                <c:formatCode>General</c:formatCode>
                <c:ptCount val="5"/>
                <c:pt idx="4" formatCode="_-* #,##0_-;\-* #,##0_-;_-* &quot;-&quot;??_-;_-@_-">
                  <c:v>18792.916034028825</c:v>
                </c:pt>
              </c:numCache>
            </c:numRef>
          </c:val>
          <c:smooth val="0"/>
          <c:extLst>
            <c:ext xmlns:c16="http://schemas.microsoft.com/office/drawing/2014/chart" uri="{C3380CC4-5D6E-409C-BE32-E72D297353CC}">
              <c16:uniqueId val="{00000007-9AD1-423F-AC12-6FB0FDB01BF8}"/>
            </c:ext>
          </c:extLst>
        </c:ser>
        <c:dLbls>
          <c:showLegendKey val="0"/>
          <c:showVal val="0"/>
          <c:showCatName val="0"/>
          <c:showSerName val="0"/>
          <c:showPercent val="0"/>
          <c:showBubbleSize val="0"/>
        </c:dLbls>
        <c:smooth val="0"/>
        <c:axId val="709475840"/>
        <c:axId val="605168576"/>
        <c:extLst>
          <c:ext xmlns:c15="http://schemas.microsoft.com/office/drawing/2012/chart" uri="{02D57815-91ED-43cb-92C2-25804820EDAC}">
            <c15:filteredLineSeries>
              <c15:ser>
                <c:idx val="2"/>
                <c:order val="2"/>
                <c:tx>
                  <c:strRef>
                    <c:extLst>
                      <c:ext uri="{02D57815-91ED-43cb-92C2-25804820EDAC}">
                        <c15:formulaRef>
                          <c15:sqref>'2PT'!$E$45</c15:sqref>
                        </c15:formulaRef>
                      </c:ext>
                    </c:extLst>
                    <c:strCache>
                      <c:ptCount val="1"/>
                      <c:pt idx="0">
                        <c:v>Reescaling factor
</c:v>
                      </c:pt>
                    </c:strCache>
                  </c:strRef>
                </c:tx>
                <c:spPr>
                  <a:ln w="25400" cap="rnd">
                    <a:noFill/>
                    <a:round/>
                  </a:ln>
                  <a:effectLst/>
                </c:spPr>
                <c:marker>
                  <c:symbol val="circle"/>
                  <c:size val="5"/>
                  <c:spPr>
                    <a:solidFill>
                      <a:schemeClr val="accent3"/>
                    </a:solidFill>
                    <a:ln w="9525">
                      <a:solidFill>
                        <a:schemeClr val="accent3"/>
                      </a:solidFill>
                    </a:ln>
                    <a:effectLst/>
                  </c:spPr>
                </c:marker>
                <c:cat>
                  <c:numRef>
                    <c:extLst>
                      <c:ext uri="{02D57815-91ED-43cb-92C2-25804820EDAC}">
                        <c15:fullRef>
                          <c15:sqref>'2PT'!$B$46:$B$53</c15:sqref>
                        </c15:fullRef>
                        <c15:formulaRef>
                          <c15:sqref>'2PT'!$B$46:$B$50</c15:sqref>
                        </c15:formulaRef>
                      </c:ext>
                    </c:extLst>
                    <c:numCache>
                      <c:formatCode>General</c:formatCode>
                      <c:ptCount val="5"/>
                      <c:pt idx="0">
                        <c:v>2019</c:v>
                      </c:pt>
                      <c:pt idx="1">
                        <c:v>2020</c:v>
                      </c:pt>
                      <c:pt idx="2">
                        <c:v>2021</c:v>
                      </c:pt>
                      <c:pt idx="3">
                        <c:v>2022</c:v>
                      </c:pt>
                      <c:pt idx="4">
                        <c:v>2023</c:v>
                      </c:pt>
                    </c:numCache>
                  </c:numRef>
                </c:cat>
                <c:val>
                  <c:numRef>
                    <c:extLst>
                      <c:ext uri="{02D57815-91ED-43cb-92C2-25804820EDAC}">
                        <c15:fullRef>
                          <c15:sqref>'2PT'!$E$46:$E$53</c15:sqref>
                        </c15:fullRef>
                        <c15:formulaRef>
                          <c15:sqref>'2PT'!$E$46:$E$50</c15:sqref>
                        </c15:formulaRef>
                      </c:ext>
                    </c:extLst>
                    <c:numCache>
                      <c:formatCode>General</c:formatCode>
                      <c:ptCount val="5"/>
                    </c:numCache>
                  </c:numRef>
                </c:val>
                <c:smooth val="0"/>
                <c:extLst>
                  <c:ext xmlns:c16="http://schemas.microsoft.com/office/drawing/2014/chart" uri="{C3380CC4-5D6E-409C-BE32-E72D297353CC}">
                    <c16:uniqueId val="{00000008-9AD1-423F-AC12-6FB0FDB01BF8}"/>
                  </c:ext>
                </c:extLst>
              </c15:ser>
            </c15:filteredLineSeries>
          </c:ext>
        </c:extLst>
      </c:lineChart>
      <c:catAx>
        <c:axId val="709475840"/>
        <c:scaling>
          <c:orientation val="minMax"/>
        </c:scaling>
        <c:delete val="0"/>
        <c:axPos val="b"/>
        <c:numFmt formatCode="General" sourceLinked="1"/>
        <c:majorTickMark val="out"/>
        <c:minorTickMark val="none"/>
        <c:tickLblPos val="nextTo"/>
        <c:spPr>
          <a:noFill/>
          <a:ln w="6350" cap="flat" cmpd="sng" algn="ctr">
            <a:solidFill>
              <a:schemeClr val="tx1"/>
            </a:solidFill>
            <a:round/>
          </a:ln>
          <a:effectLst/>
        </c:spPr>
        <c:txPr>
          <a:bodyPr rot="-60000000" spcFirstLastPara="1" vertOverflow="ellipsis" vert="horz" wrap="square" anchor="ctr" anchorCtr="1"/>
          <a:lstStyle/>
          <a:p>
            <a:pPr>
              <a:defRPr sz="950" b="0" i="0" u="none" strike="noStrike" kern="1200" baseline="0">
                <a:solidFill>
                  <a:schemeClr val="tx1"/>
                </a:solidFill>
                <a:latin typeface="Times New Roman" panose="02020603050405020304" pitchFamily="18" charset="0"/>
                <a:ea typeface="+mn-ea"/>
                <a:cs typeface="+mn-cs"/>
              </a:defRPr>
            </a:pPr>
            <a:endParaRPr lang="es-ES_tradnl"/>
          </a:p>
        </c:txPr>
        <c:crossAx val="605168576"/>
        <c:crosses val="autoZero"/>
        <c:auto val="1"/>
        <c:lblAlgn val="ctr"/>
        <c:lblOffset val="100"/>
        <c:noMultiLvlLbl val="0"/>
      </c:catAx>
      <c:valAx>
        <c:axId val="605168576"/>
        <c:scaling>
          <c:orientation val="minMax"/>
          <c:min val="10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s-ES_tradnl" sz="1050">
                    <a:solidFill>
                      <a:sysClr val="windowText" lastClr="000000"/>
                    </a:solidFill>
                    <a:latin typeface="Times New Roman" panose="02020603050405020304" pitchFamily="18" charset="0"/>
                    <a:cs typeface="Times New Roman" panose="02020603050405020304" pitchFamily="18" charset="0"/>
                  </a:rPr>
                  <a:t>Million euros</a:t>
                </a:r>
              </a:p>
            </c:rich>
          </c:tx>
          <c:layout>
            <c:manualLayout>
              <c:xMode val="edge"/>
              <c:yMode val="edge"/>
              <c:x val="0"/>
              <c:y val="0.27024653144012073"/>
            </c:manualLayout>
          </c:layout>
          <c:overlay val="0"/>
          <c:spPr>
            <a:noFill/>
            <a:ln>
              <a:noFill/>
            </a:ln>
            <a:effectLst/>
          </c:spPr>
          <c:txPr>
            <a:bodyPr rot="-5400000" spcFirstLastPara="1" vertOverflow="ellipsis" vert="horz" wrap="square" anchor="ctr" anchorCtr="1"/>
            <a:lstStyle/>
            <a:p>
              <a:pPr>
                <a:defRPr sz="10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title>
        <c:numFmt formatCode="#,##0" sourceLinked="0"/>
        <c:majorTickMark val="out"/>
        <c:minorTickMark val="none"/>
        <c:tickLblPos val="nextTo"/>
        <c:spPr>
          <a:noFill/>
          <a:ln w="6350">
            <a:solidFill>
              <a:schemeClr val="tx1">
                <a:lumMod val="65000"/>
                <a:lumOff val="35000"/>
              </a:schemeClr>
            </a:solidFill>
          </a:ln>
          <a:effectLst/>
        </c:spPr>
        <c:txPr>
          <a:bodyPr rot="-60000000" spcFirstLastPara="1" vertOverflow="ellipsis" vert="horz" wrap="square" anchor="ctr" anchorCtr="1"/>
          <a:lstStyle/>
          <a:p>
            <a:pPr>
              <a:defRPr sz="950" b="0" i="0" u="none" strike="noStrike" kern="1200" baseline="0">
                <a:solidFill>
                  <a:schemeClr val="tx1"/>
                </a:solidFill>
                <a:latin typeface="Times New Roman" panose="02020603050405020304" pitchFamily="18" charset="0"/>
                <a:ea typeface="+mn-ea"/>
                <a:cs typeface="+mn-cs"/>
              </a:defRPr>
            </a:pPr>
            <a:endParaRPr lang="es-ES_tradnl"/>
          </a:p>
        </c:txPr>
        <c:crossAx val="709475840"/>
        <c:crosses val="autoZero"/>
        <c:crossBetween val="between"/>
      </c:valAx>
      <c:spPr>
        <a:noFill/>
        <a:ln>
          <a:noFill/>
        </a:ln>
        <a:effectLst/>
      </c:spPr>
    </c:plotArea>
    <c:legend>
      <c:legendPos val="b"/>
      <c:layout>
        <c:manualLayout>
          <c:xMode val="edge"/>
          <c:yMode val="edge"/>
          <c:x val="0"/>
          <c:y val="0.73648087849247201"/>
          <c:w val="1"/>
          <c:h val="0.26351912150752793"/>
        </c:manualLayout>
      </c:layout>
      <c:overlay val="0"/>
      <c:spPr>
        <a:noFill/>
        <a:ln>
          <a:noFill/>
        </a:ln>
        <a:effectLst/>
      </c:spPr>
      <c:txPr>
        <a:bodyPr rot="0" spcFirstLastPara="1" vertOverflow="ellipsis" vert="horz" wrap="square" anchor="ctr" anchorCtr="1"/>
        <a:lstStyle/>
        <a:p>
          <a:pPr>
            <a:defRPr sz="9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legend>
    <c:plotVisOnly val="1"/>
    <c:dispBlanksAs val="gap"/>
    <c:showDLblsOverMax val="0"/>
  </c:chart>
  <c:spPr>
    <a:solidFill>
      <a:schemeClr val="bg1"/>
    </a:solidFill>
    <a:ln w="9525" cap="flat" cmpd="sng" algn="ctr">
      <a:noFill/>
      <a:round/>
    </a:ln>
    <a:effectLst/>
  </c:spPr>
  <c:txPr>
    <a:bodyPr/>
    <a:lstStyle/>
    <a:p>
      <a:pPr>
        <a:defRPr/>
      </a:pPr>
      <a:endParaRPr lang="es-ES_tradnl"/>
    </a:p>
  </c:txPr>
  <c:printSettings>
    <c:headerFooter/>
    <c:pageMargins b="0.75" l="0.25" r="0.25" t="0.75" header="0.3" footer="0.3"/>
    <c:pageSetup paperSize="9" orientation="landscape"/>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457409308717575"/>
          <c:y val="4.6087571003560986E-2"/>
          <c:w val="0.82558175067451101"/>
          <c:h val="0.6515011552844524"/>
        </c:manualLayout>
      </c:layout>
      <c:lineChart>
        <c:grouping val="standard"/>
        <c:varyColors val="0"/>
        <c:ser>
          <c:idx val="1"/>
          <c:order val="0"/>
          <c:tx>
            <c:strRef>
              <c:f>'2PT'!$C$64</c:f>
              <c:strCache>
                <c:ptCount val="1"/>
                <c:pt idx="0">
                  <c:v>Baseline simulation
</c:v>
                </c:pt>
              </c:strCache>
            </c:strRef>
          </c:tx>
          <c:spPr>
            <a:ln w="28575" cap="rnd">
              <a:noFill/>
              <a:round/>
            </a:ln>
            <a:effectLst/>
          </c:spPr>
          <c:marker>
            <c:symbol val="circle"/>
            <c:size val="7"/>
            <c:spPr>
              <a:solidFill>
                <a:schemeClr val="tx1"/>
              </a:solidFill>
              <a:ln w="9525">
                <a:noFill/>
              </a:ln>
              <a:effectLst/>
            </c:spPr>
          </c:marker>
          <c:cat>
            <c:numRef>
              <c:extLst>
                <c:ext xmlns:c15="http://schemas.microsoft.com/office/drawing/2012/chart" uri="{02D57815-91ED-43cb-92C2-25804820EDAC}">
                  <c15:fullRef>
                    <c15:sqref>'2PT'!$B$65:$B$72</c15:sqref>
                  </c15:fullRef>
                </c:ext>
              </c:extLst>
              <c:f>'2PT'!$B$65:$B$69</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'2PT'!$C$65:$C$72</c15:sqref>
                  </c15:fullRef>
                </c:ext>
              </c:extLst>
              <c:f>'2PT'!$C$65:$C$69</c:f>
              <c:numCache>
                <c:formatCode>0.00</c:formatCode>
                <c:ptCount val="5"/>
                <c:pt idx="0">
                  <c:v>13.392017270648287</c:v>
                </c:pt>
                <c:pt idx="1">
                  <c:v>13.487799714678001</c:v>
                </c:pt>
                <c:pt idx="2">
                  <c:v>13.967088357723116</c:v>
                </c:pt>
                <c:pt idx="3">
                  <c:v>14.462555569655585</c:v>
                </c:pt>
                <c:pt idx="4">
                  <c:v>13.931916457483526</c:v>
                </c:pt>
              </c:numCache>
            </c:numRef>
          </c:val>
          <c:smooth val="0"/>
          <c:extLst>
            <c:ext xmlns:c16="http://schemas.microsoft.com/office/drawing/2014/chart" uri="{C3380CC4-5D6E-409C-BE32-E72D297353CC}">
              <c16:uniqueId val="{00000000-1293-4C8B-BC71-13037A5963DE}"/>
            </c:ext>
          </c:extLst>
        </c:ser>
        <c:ser>
          <c:idx val="0"/>
          <c:order val="1"/>
          <c:tx>
            <c:strRef>
              <c:f>'2PT'!$D$64</c:f>
              <c:strCache>
                <c:ptCount val="1"/>
                <c:pt idx="0">
                  <c:v>Legislation unchanged since 2019/2023</c:v>
                </c:pt>
              </c:strCache>
            </c:strRef>
          </c:tx>
          <c:spPr>
            <a:ln w="28575" cap="rnd">
              <a:noFill/>
              <a:round/>
            </a:ln>
            <a:effectLst/>
          </c:spPr>
          <c:marker>
            <c:symbol val="circle"/>
            <c:size val="7"/>
            <c:spPr>
              <a:noFill/>
              <a:ln w="25400">
                <a:solidFill>
                  <a:srgbClr val="C00000"/>
                </a:solidFill>
              </a:ln>
              <a:effectLst/>
            </c:spPr>
          </c:marker>
          <c:cat>
            <c:numRef>
              <c:extLst>
                <c:ext xmlns:c15="http://schemas.microsoft.com/office/drawing/2012/chart" uri="{02D57815-91ED-43cb-92C2-25804820EDAC}">
                  <c15:fullRef>
                    <c15:sqref>'2PT'!$B$65:$B$72</c15:sqref>
                  </c15:fullRef>
                </c:ext>
              </c:extLst>
              <c:f>'2PT'!$B$65:$B$69</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'2PT'!$D$65:$D$72</c15:sqref>
                  </c15:fullRef>
                </c:ext>
              </c:extLst>
              <c:f>'2PT'!$D$65:$D$69</c:f>
              <c:numCache>
                <c:formatCode>0.00%</c:formatCode>
                <c:ptCount val="5"/>
                <c:pt idx="4" formatCode="0.00">
                  <c:v>15.554892164717144</c:v>
                </c:pt>
              </c:numCache>
            </c:numRef>
          </c:val>
          <c:smooth val="0"/>
          <c:extLst>
            <c:ext xmlns:c16="http://schemas.microsoft.com/office/drawing/2014/chart" uri="{C3380CC4-5D6E-409C-BE32-E72D297353CC}">
              <c16:uniqueId val="{00000001-1293-4C8B-BC71-13037A5963DE}"/>
            </c:ext>
          </c:extLst>
        </c:ser>
        <c:ser>
          <c:idx val="2"/>
          <c:order val="2"/>
          <c:tx>
            <c:strRef>
              <c:f>'2PT'!$E$64</c:f>
              <c:strCache>
                <c:ptCount val="1"/>
                <c:pt idx="0">
                  <c:v>Index with tax base growth</c:v>
                </c:pt>
              </c:strCache>
            </c:strRef>
          </c:tx>
          <c:spPr>
            <a:ln w="28575" cap="rnd">
              <a:noFill/>
              <a:round/>
            </a:ln>
            <a:effectLst/>
          </c:spPr>
          <c:marker>
            <c:symbol val="square"/>
            <c:size val="6"/>
            <c:spPr>
              <a:noFill/>
              <a:ln w="25400">
                <a:solidFill>
                  <a:schemeClr val="accent6">
                    <a:lumMod val="75000"/>
                  </a:schemeClr>
                </a:solidFill>
              </a:ln>
              <a:effectLst/>
            </c:spPr>
          </c:marker>
          <c:cat>
            <c:numRef>
              <c:extLst>
                <c:ext xmlns:c15="http://schemas.microsoft.com/office/drawing/2012/chart" uri="{02D57815-91ED-43cb-92C2-25804820EDAC}">
                  <c15:fullRef>
                    <c15:sqref>'2PT'!$B$65:$B$72</c15:sqref>
                  </c15:fullRef>
                </c:ext>
              </c:extLst>
              <c:f>'2PT'!$B$65:$B$69</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'2PT'!$E$65:$E$72</c15:sqref>
                  </c15:fullRef>
                </c:ext>
              </c:extLst>
              <c:f>'2PT'!$E$65:$E$69</c:f>
              <c:numCache>
                <c:formatCode>0.00%</c:formatCode>
                <c:ptCount val="5"/>
                <c:pt idx="4" formatCode="0.00">
                  <c:v>13.564989858122281</c:v>
                </c:pt>
              </c:numCache>
            </c:numRef>
          </c:val>
          <c:smooth val="0"/>
          <c:extLst xmlns:c15="http://schemas.microsoft.com/office/drawing/2012/chart">
            <c:ext xmlns:c16="http://schemas.microsoft.com/office/drawing/2014/chart" uri="{C3380CC4-5D6E-409C-BE32-E72D297353CC}">
              <c16:uniqueId val="{00000002-1293-4C8B-BC71-13037A5963DE}"/>
            </c:ext>
          </c:extLst>
        </c:ser>
        <c:ser>
          <c:idx val="3"/>
          <c:order val="3"/>
          <c:tx>
            <c:strRef>
              <c:f>'2PT'!$F$64</c:f>
              <c:strCache>
                <c:ptCount val="1"/>
                <c:pt idx="0">
                  <c:v>Index with lagged HCPI</c:v>
                </c:pt>
              </c:strCache>
            </c:strRef>
          </c:tx>
          <c:spPr>
            <a:ln w="28575" cap="rnd">
              <a:noFill/>
              <a:round/>
            </a:ln>
            <a:effectLst/>
          </c:spPr>
          <c:marker>
            <c:symbol val="diamond"/>
            <c:size val="7"/>
            <c:spPr>
              <a:noFill/>
              <a:ln w="25400">
                <a:solidFill>
                  <a:schemeClr val="accent4"/>
                </a:solidFill>
              </a:ln>
              <a:effectLst/>
            </c:spPr>
          </c:marker>
          <c:cat>
            <c:numRef>
              <c:extLst>
                <c:ext xmlns:c15="http://schemas.microsoft.com/office/drawing/2012/chart" uri="{02D57815-91ED-43cb-92C2-25804820EDAC}">
                  <c15:fullRef>
                    <c15:sqref>'2PT'!$B$65:$B$72</c15:sqref>
                  </c15:fullRef>
                </c:ext>
              </c:extLst>
              <c:f>'2PT'!$B$65:$B$69</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'2PT'!$F$65:$F$72</c15:sqref>
                  </c15:fullRef>
                </c:ext>
              </c:extLst>
              <c:f>'2PT'!$F$65:$F$69</c:f>
              <c:numCache>
                <c:formatCode>0.00%</c:formatCode>
                <c:ptCount val="5"/>
                <c:pt idx="4" formatCode="0.00">
                  <c:v>14.445871688978048</c:v>
                </c:pt>
              </c:numCache>
            </c:numRef>
          </c:val>
          <c:smooth val="0"/>
          <c:extLst>
            <c:ext xmlns:c16="http://schemas.microsoft.com/office/drawing/2014/chart" uri="{C3380CC4-5D6E-409C-BE32-E72D297353CC}">
              <c16:uniqueId val="{00000003-1293-4C8B-BC71-13037A5963DE}"/>
            </c:ext>
          </c:extLst>
        </c:ser>
        <c:ser>
          <c:idx val="4"/>
          <c:order val="4"/>
          <c:tx>
            <c:strRef>
              <c:f>'2PT'!$G$64</c:f>
              <c:strCache>
                <c:ptCount val="1"/>
                <c:pt idx="0">
                  <c:v>Index with concurrent HCPI</c:v>
                </c:pt>
              </c:strCache>
            </c:strRef>
          </c:tx>
          <c:spPr>
            <a:ln w="28575" cap="rnd">
              <a:noFill/>
              <a:round/>
            </a:ln>
            <a:effectLst/>
          </c:spPr>
          <c:marker>
            <c:symbol val="triangle"/>
            <c:size val="6"/>
            <c:spPr>
              <a:noFill/>
              <a:ln w="25400">
                <a:solidFill>
                  <a:schemeClr val="accent5">
                    <a:lumMod val="75000"/>
                  </a:schemeClr>
                </a:solidFill>
              </a:ln>
              <a:effectLst/>
            </c:spPr>
          </c:marker>
          <c:cat>
            <c:numRef>
              <c:extLst>
                <c:ext xmlns:c15="http://schemas.microsoft.com/office/drawing/2012/chart" uri="{02D57815-91ED-43cb-92C2-25804820EDAC}">
                  <c15:fullRef>
                    <c15:sqref>'2PT'!$B$65:$B$72</c15:sqref>
                  </c15:fullRef>
                </c:ext>
              </c:extLst>
              <c:f>'2PT'!$B$65:$B$69</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'2PT'!$G$65:$G$72</c15:sqref>
                  </c15:fullRef>
                </c:ext>
              </c:extLst>
              <c:f>'2PT'!$G$65:$G$69</c:f>
              <c:numCache>
                <c:formatCode>0.00%</c:formatCode>
                <c:ptCount val="5"/>
                <c:pt idx="4" formatCode="0.00">
                  <c:v>13.852218759321008</c:v>
                </c:pt>
              </c:numCache>
            </c:numRef>
          </c:val>
          <c:smooth val="0"/>
          <c:extLst>
            <c:ext xmlns:c16="http://schemas.microsoft.com/office/drawing/2014/chart" uri="{C3380CC4-5D6E-409C-BE32-E72D297353CC}">
              <c16:uniqueId val="{00000004-1293-4C8B-BC71-13037A5963DE}"/>
            </c:ext>
          </c:extLst>
        </c:ser>
        <c:dLbls>
          <c:showLegendKey val="0"/>
          <c:showVal val="0"/>
          <c:showCatName val="0"/>
          <c:showSerName val="0"/>
          <c:showPercent val="0"/>
          <c:showBubbleSize val="0"/>
        </c:dLbls>
        <c:marker val="1"/>
        <c:smooth val="0"/>
        <c:axId val="709475840"/>
        <c:axId val="605168576"/>
        <c:extLst/>
      </c:lineChart>
      <c:catAx>
        <c:axId val="709475840"/>
        <c:scaling>
          <c:orientation val="minMax"/>
        </c:scaling>
        <c:delete val="0"/>
        <c:axPos val="b"/>
        <c:numFmt formatCode="General" sourceLinked="1"/>
        <c:majorTickMark val="out"/>
        <c:minorTickMark val="none"/>
        <c:tickLblPos val="nextTo"/>
        <c:spPr>
          <a:noFill/>
          <a:ln w="635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mn-cs"/>
              </a:defRPr>
            </a:pPr>
            <a:endParaRPr lang="es-ES_tradnl"/>
          </a:p>
        </c:txPr>
        <c:crossAx val="605168576"/>
        <c:crosses val="autoZero"/>
        <c:auto val="1"/>
        <c:lblAlgn val="ctr"/>
        <c:lblOffset val="100"/>
        <c:noMultiLvlLbl val="0"/>
      </c:catAx>
      <c:valAx>
        <c:axId val="6051685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s-ES_tradnl" sz="1050">
                    <a:solidFill>
                      <a:sysClr val="windowText" lastClr="000000"/>
                    </a:solidFill>
                    <a:latin typeface="Times New Roman" panose="02020603050405020304" pitchFamily="18" charset="0"/>
                    <a:cs typeface="Times New Roman" panose="02020603050405020304" pitchFamily="18" charset="0"/>
                  </a:rPr>
                  <a:t>Rate</a:t>
                </a:r>
              </a:p>
            </c:rich>
          </c:tx>
          <c:overlay val="0"/>
          <c:spPr>
            <a:noFill/>
            <a:ln>
              <a:noFill/>
            </a:ln>
            <a:effectLst/>
          </c:spPr>
          <c:txPr>
            <a:bodyPr rot="-5400000" spcFirstLastPara="1" vertOverflow="ellipsis" vert="horz" wrap="square" anchor="ctr" anchorCtr="1"/>
            <a:lstStyle/>
            <a:p>
              <a:pPr>
                <a:defRPr sz="10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title>
        <c:numFmt formatCode="#,##0.0" sourceLinked="0"/>
        <c:majorTickMark val="out"/>
        <c:minorTickMark val="none"/>
        <c:tickLblPos val="nextTo"/>
        <c:spPr>
          <a:noFill/>
          <a:ln w="6350">
            <a:solidFill>
              <a:schemeClr val="tx1">
                <a:lumMod val="65000"/>
                <a:lumOff val="35000"/>
              </a:schemeClr>
            </a:solidFill>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mn-cs"/>
              </a:defRPr>
            </a:pPr>
            <a:endParaRPr lang="es-ES_tradnl"/>
          </a:p>
        </c:txPr>
        <c:crossAx val="709475840"/>
        <c:crosses val="autoZero"/>
        <c:crossBetween val="between"/>
      </c:valAx>
      <c:spPr>
        <a:noFill/>
        <a:ln>
          <a:noFill/>
        </a:ln>
        <a:effectLst/>
      </c:spPr>
    </c:plotArea>
    <c:legend>
      <c:legendPos val="b"/>
      <c:layout>
        <c:manualLayout>
          <c:xMode val="edge"/>
          <c:yMode val="edge"/>
          <c:x val="8.1926620958132398E-2"/>
          <c:y val="0.78900773467278962"/>
          <c:w val="0.8223310520657221"/>
          <c:h val="0.1997652991480407"/>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legend>
    <c:plotVisOnly val="1"/>
    <c:dispBlanksAs val="gap"/>
    <c:showDLblsOverMax val="0"/>
  </c:chart>
  <c:spPr>
    <a:solidFill>
      <a:schemeClr val="bg1"/>
    </a:solidFill>
    <a:ln w="9525" cap="flat" cmpd="sng" algn="ctr">
      <a:noFill/>
      <a:round/>
    </a:ln>
    <a:effectLst/>
  </c:spPr>
  <c:txPr>
    <a:bodyPr/>
    <a:lstStyle/>
    <a:p>
      <a:pPr>
        <a:defRPr/>
      </a:pPr>
      <a:endParaRPr lang="es-ES_tradnl"/>
    </a:p>
  </c:txPr>
  <c:printSettings>
    <c:headerFooter/>
    <c:pageMargins b="0.75" l="0.84" r="0.25" t="0.75" header="0.3" footer="0.3"/>
    <c:pageSetup paperSize="9" orientation="landscape"/>
  </c:printSettings>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457409308717575"/>
          <c:y val="4.6087571003560986E-2"/>
          <c:w val="0.82558175067451101"/>
          <c:h val="0.64272676146640684"/>
        </c:manualLayout>
      </c:layout>
      <c:lineChart>
        <c:grouping val="standard"/>
        <c:varyColors val="0"/>
        <c:ser>
          <c:idx val="1"/>
          <c:order val="0"/>
          <c:tx>
            <c:strRef>
              <c:f>'2PT'!$W$45</c:f>
              <c:strCache>
                <c:ptCount val="1"/>
                <c:pt idx="0">
                  <c:v>Observed (National Accounts)</c:v>
                </c:pt>
              </c:strCache>
            </c:strRef>
          </c:tx>
          <c:spPr>
            <a:ln w="25400" cap="rnd">
              <a:solidFill>
                <a:schemeClr val="tx1">
                  <a:lumMod val="65000"/>
                  <a:lumOff val="35000"/>
                </a:schemeClr>
              </a:solidFill>
              <a:prstDash val="sysDash"/>
              <a:round/>
            </a:ln>
            <a:effectLst/>
          </c:spPr>
          <c:marker>
            <c:symbol val="none"/>
          </c:marker>
          <c:cat>
            <c:numRef>
              <c:extLst>
                <c:ext xmlns:c15="http://schemas.microsoft.com/office/drawing/2012/chart" uri="{02D57815-91ED-43cb-92C2-25804820EDAC}">
                  <c15:fullRef>
                    <c15:sqref>'2PT'!$U$46:$U$53</c15:sqref>
                  </c15:fullRef>
                </c:ext>
              </c:extLst>
              <c:f>'2PT'!$U$46:$U$50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'2PT'!$W$46:$W$53</c15:sqref>
                  </c15:fullRef>
                </c:ext>
              </c:extLst>
              <c:f>'2PT'!$W$46:$W$50</c:f>
              <c:numCache>
                <c:formatCode>0.0%</c:formatCode>
                <c:ptCount val="5"/>
                <c:pt idx="0">
                  <c:v>6.3312538259377243E-2</c:v>
                </c:pt>
                <c:pt idx="1">
                  <c:v>6.9608078685706357E-2</c:v>
                </c:pt>
                <c:pt idx="2">
                  <c:v>6.916090398935397E-2</c:v>
                </c:pt>
                <c:pt idx="3">
                  <c:v>6.9319564792334393E-2</c:v>
                </c:pt>
                <c:pt idx="4">
                  <c:v>6.9169730608715618E-2</c:v>
                </c:pt>
              </c:numCache>
            </c:numRef>
          </c:val>
          <c:smooth val="0"/>
          <c:extLst>
            <c:ext xmlns:c16="http://schemas.microsoft.com/office/drawing/2014/chart" uri="{C3380CC4-5D6E-409C-BE32-E72D297353CC}">
              <c16:uniqueId val="{00000000-32B2-4C68-8B13-9DA6FB58D281}"/>
            </c:ext>
          </c:extLst>
        </c:ser>
        <c:ser>
          <c:idx val="0"/>
          <c:order val="1"/>
          <c:tx>
            <c:strRef>
              <c:f>'2PT'!$V$45</c:f>
              <c:strCache>
                <c:ptCount val="1"/>
                <c:pt idx="0">
                  <c:v>Baseline simulation (before reescaling)</c:v>
                </c:pt>
              </c:strCache>
            </c:strRef>
          </c:tx>
          <c:spPr>
            <a:ln w="25400" cap="rnd">
              <a:noFill/>
              <a:round/>
            </a:ln>
            <a:effectLst/>
          </c:spPr>
          <c:marker>
            <c:symbol val="circle"/>
            <c:size val="8"/>
            <c:spPr>
              <a:solidFill>
                <a:schemeClr val="bg1">
                  <a:lumMod val="85000"/>
                </a:schemeClr>
              </a:solidFill>
              <a:ln w="25400">
                <a:noFill/>
              </a:ln>
              <a:effectLst/>
            </c:spPr>
          </c:marker>
          <c:cat>
            <c:numRef>
              <c:extLst>
                <c:ext xmlns:c15="http://schemas.microsoft.com/office/drawing/2012/chart" uri="{02D57815-91ED-43cb-92C2-25804820EDAC}">
                  <c15:fullRef>
                    <c15:sqref>'2PT'!$U$46:$U$53</c15:sqref>
                  </c15:fullRef>
                </c:ext>
              </c:extLst>
              <c:f>'2PT'!$U$46:$U$50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'2PT'!$V$46:$V$53</c15:sqref>
                  </c15:fullRef>
                </c:ext>
              </c:extLst>
              <c:f>'2PT'!$V$46:$V$50</c:f>
              <c:numCache>
                <c:formatCode>0.0%</c:formatCode>
                <c:ptCount val="5"/>
                <c:pt idx="0">
                  <c:v>7.0428384511721995E-2</c:v>
                </c:pt>
                <c:pt idx="1">
                  <c:v>7.6529423710864811E-2</c:v>
                </c:pt>
                <c:pt idx="2">
                  <c:v>7.6320799014561763E-2</c:v>
                </c:pt>
                <c:pt idx="3">
                  <c:v>7.3339753504056179E-2</c:v>
                </c:pt>
                <c:pt idx="4">
                  <c:v>6.904766130676207E-2</c:v>
                </c:pt>
              </c:numCache>
            </c:numRef>
          </c:val>
          <c:smooth val="0"/>
          <c:extLst>
            <c:ext xmlns:c16="http://schemas.microsoft.com/office/drawing/2014/chart" uri="{C3380CC4-5D6E-409C-BE32-E72D297353CC}">
              <c16:uniqueId val="{00000001-32B2-4C68-8B13-9DA6FB58D281}"/>
            </c:ext>
          </c:extLst>
        </c:ser>
        <c:ser>
          <c:idx val="3"/>
          <c:order val="2"/>
          <c:tx>
            <c:strRef>
              <c:f>'2PT'!$Y$45</c:f>
              <c:strCache>
                <c:ptCount val="1"/>
                <c:pt idx="0">
                  <c:v>Baseline simulation (after reescaling)</c:v>
                </c:pt>
              </c:strCache>
            </c:strRef>
          </c:tx>
          <c:spPr>
            <a:ln w="25400" cap="rnd">
              <a:noFill/>
              <a:round/>
            </a:ln>
            <a:effectLst/>
          </c:spPr>
          <c:marker>
            <c:symbol val="circle"/>
            <c:size val="7"/>
            <c:spPr>
              <a:solidFill>
                <a:schemeClr val="tx1"/>
              </a:solidFill>
              <a:ln w="9525">
                <a:solidFill>
                  <a:schemeClr val="tx1"/>
                </a:solidFill>
              </a:ln>
              <a:effectLst/>
            </c:spPr>
          </c:marker>
          <c:cat>
            <c:numRef>
              <c:extLst>
                <c:ext xmlns:c15="http://schemas.microsoft.com/office/drawing/2012/chart" uri="{02D57815-91ED-43cb-92C2-25804820EDAC}">
                  <c15:fullRef>
                    <c15:sqref>'2PT'!$U$46:$U$53</c15:sqref>
                  </c15:fullRef>
                </c:ext>
              </c:extLst>
              <c:f>'2PT'!$U$46:$U$50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'2PT'!$Y$46:$Y$53</c15:sqref>
                  </c15:fullRef>
                </c:ext>
              </c:extLst>
              <c:f>'2PT'!$Y$46:$Y$50</c:f>
              <c:numCache>
                <c:formatCode>0.0%</c:formatCode>
                <c:ptCount val="5"/>
                <c:pt idx="0">
                  <c:v>6.3312538259377243E-2</c:v>
                </c:pt>
                <c:pt idx="4">
                  <c:v>6.9169730608715618E-2</c:v>
                </c:pt>
              </c:numCache>
            </c:numRef>
          </c:val>
          <c:smooth val="0"/>
          <c:extLst>
            <c:ext xmlns:c16="http://schemas.microsoft.com/office/drawing/2014/chart" uri="{C3380CC4-5D6E-409C-BE32-E72D297353CC}">
              <c16:uniqueId val="{00000002-32B2-4C68-8B13-9DA6FB58D281}"/>
            </c:ext>
          </c:extLst>
        </c:ser>
        <c:ser>
          <c:idx val="4"/>
          <c:order val="3"/>
          <c:tx>
            <c:strRef>
              <c:f>'2PT'!$Z$45</c:f>
              <c:strCache>
                <c:ptCount val="1"/>
                <c:pt idx="0">
                  <c:v>Unchanged legislation since 2019/2023</c:v>
                </c:pt>
              </c:strCache>
            </c:strRef>
          </c:tx>
          <c:spPr>
            <a:ln w="25400" cap="rnd">
              <a:noFill/>
              <a:round/>
            </a:ln>
            <a:effectLst/>
          </c:spPr>
          <c:marker>
            <c:symbol val="circle"/>
            <c:size val="6"/>
            <c:spPr>
              <a:noFill/>
              <a:ln w="25400">
                <a:solidFill>
                  <a:srgbClr val="C00000"/>
                </a:solidFill>
              </a:ln>
              <a:effectLst/>
            </c:spPr>
          </c:marker>
          <c:cat>
            <c:numRef>
              <c:extLst>
                <c:ext xmlns:c15="http://schemas.microsoft.com/office/drawing/2012/chart" uri="{02D57815-91ED-43cb-92C2-25804820EDAC}">
                  <c15:fullRef>
                    <c15:sqref>'2PT'!$U$46:$U$53</c15:sqref>
                  </c15:fullRef>
                </c:ext>
              </c:extLst>
              <c:f>'2PT'!$U$46:$U$50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'2PT'!$Z$46:$Z$53</c15:sqref>
                  </c15:fullRef>
                </c:ext>
              </c:extLst>
              <c:f>'2PT'!$Z$46:$Z$50</c:f>
              <c:numCache>
                <c:formatCode>0.0%</c:formatCode>
                <c:ptCount val="5"/>
                <c:pt idx="4">
                  <c:v>7.7227544678763263E-2</c:v>
                </c:pt>
              </c:numCache>
            </c:numRef>
          </c:val>
          <c:smooth val="0"/>
          <c:extLst>
            <c:ext xmlns:c16="http://schemas.microsoft.com/office/drawing/2014/chart" uri="{C3380CC4-5D6E-409C-BE32-E72D297353CC}">
              <c16:uniqueId val="{00000003-32B2-4C68-8B13-9DA6FB58D281}"/>
            </c:ext>
          </c:extLst>
        </c:ser>
        <c:ser>
          <c:idx val="5"/>
          <c:order val="4"/>
          <c:tx>
            <c:strRef>
              <c:f>'2PT'!$AA$45</c:f>
              <c:strCache>
                <c:ptCount val="1"/>
                <c:pt idx="0">
                  <c:v>Indexing with tax base growth</c:v>
                </c:pt>
              </c:strCache>
            </c:strRef>
          </c:tx>
          <c:spPr>
            <a:ln w="25400" cap="rnd">
              <a:noFill/>
              <a:round/>
            </a:ln>
            <a:effectLst/>
          </c:spPr>
          <c:marker>
            <c:symbol val="square"/>
            <c:size val="5"/>
            <c:spPr>
              <a:noFill/>
              <a:ln w="25400">
                <a:solidFill>
                  <a:schemeClr val="accent6">
                    <a:lumMod val="75000"/>
                  </a:schemeClr>
                </a:solidFill>
              </a:ln>
              <a:effectLst/>
            </c:spPr>
          </c:marker>
          <c:cat>
            <c:numRef>
              <c:extLst>
                <c:ext xmlns:c15="http://schemas.microsoft.com/office/drawing/2012/chart" uri="{02D57815-91ED-43cb-92C2-25804820EDAC}">
                  <c15:fullRef>
                    <c15:sqref>'2PT'!$U$46:$U$53</c15:sqref>
                  </c15:fullRef>
                </c:ext>
              </c:extLst>
              <c:f>'2PT'!$U$46:$U$50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'2PT'!$AA$46:$AA$53</c15:sqref>
                  </c15:fullRef>
                </c:ext>
              </c:extLst>
              <c:f>'2PT'!$AA$46:$AA$50</c:f>
              <c:numCache>
                <c:formatCode>0.0%</c:formatCode>
                <c:ptCount val="5"/>
                <c:pt idx="4">
                  <c:v>6.7347998895893268E-2</c:v>
                </c:pt>
              </c:numCache>
            </c:numRef>
          </c:val>
          <c:smooth val="0"/>
          <c:extLst>
            <c:ext xmlns:c16="http://schemas.microsoft.com/office/drawing/2014/chart" uri="{C3380CC4-5D6E-409C-BE32-E72D297353CC}">
              <c16:uniqueId val="{00000004-32B2-4C68-8B13-9DA6FB58D281}"/>
            </c:ext>
          </c:extLst>
        </c:ser>
        <c:ser>
          <c:idx val="6"/>
          <c:order val="5"/>
          <c:tx>
            <c:strRef>
              <c:f>'2PT'!$AB$45</c:f>
              <c:strCache>
                <c:ptCount val="1"/>
                <c:pt idx="0">
                  <c:v>Indexing with lagged HCPI</c:v>
                </c:pt>
              </c:strCache>
            </c:strRef>
          </c:tx>
          <c:spPr>
            <a:ln w="25400" cap="rnd">
              <a:noFill/>
              <a:round/>
            </a:ln>
            <a:effectLst/>
          </c:spPr>
          <c:marker>
            <c:symbol val="diamond"/>
            <c:size val="6"/>
            <c:spPr>
              <a:noFill/>
              <a:ln w="25400">
                <a:solidFill>
                  <a:schemeClr val="accent4"/>
                </a:solidFill>
              </a:ln>
              <a:effectLst/>
            </c:spPr>
          </c:marker>
          <c:cat>
            <c:numRef>
              <c:extLst>
                <c:ext xmlns:c15="http://schemas.microsoft.com/office/drawing/2012/chart" uri="{02D57815-91ED-43cb-92C2-25804820EDAC}">
                  <c15:fullRef>
                    <c15:sqref>'2PT'!$U$46:$U$53</c15:sqref>
                  </c15:fullRef>
                </c:ext>
              </c:extLst>
              <c:f>'2PT'!$U$46:$U$50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'2PT'!$AB$46:$AB$53</c15:sqref>
                  </c15:fullRef>
                </c:ext>
              </c:extLst>
              <c:f>'2PT'!$AB$46:$AB$50</c:f>
              <c:numCache>
                <c:formatCode>0.0%</c:formatCode>
                <c:ptCount val="5"/>
                <c:pt idx="4">
                  <c:v>7.1721435897496646E-2</c:v>
                </c:pt>
              </c:numCache>
            </c:numRef>
          </c:val>
          <c:smooth val="0"/>
          <c:extLst>
            <c:ext xmlns:c16="http://schemas.microsoft.com/office/drawing/2014/chart" uri="{C3380CC4-5D6E-409C-BE32-E72D297353CC}">
              <c16:uniqueId val="{00000005-32B2-4C68-8B13-9DA6FB58D281}"/>
            </c:ext>
          </c:extLst>
        </c:ser>
        <c:ser>
          <c:idx val="7"/>
          <c:order val="6"/>
          <c:tx>
            <c:strRef>
              <c:f>'2PT'!$AC$45</c:f>
              <c:strCache>
                <c:ptCount val="1"/>
                <c:pt idx="0">
                  <c:v>Indexing with concurrent HCPI</c:v>
                </c:pt>
              </c:strCache>
            </c:strRef>
          </c:tx>
          <c:spPr>
            <a:ln w="25400" cap="rnd">
              <a:noFill/>
              <a:round/>
            </a:ln>
            <a:effectLst/>
          </c:spPr>
          <c:marker>
            <c:symbol val="triangle"/>
            <c:size val="6"/>
            <c:spPr>
              <a:noFill/>
              <a:ln w="25400">
                <a:solidFill>
                  <a:schemeClr val="accent5">
                    <a:lumMod val="75000"/>
                  </a:schemeClr>
                </a:solidFill>
              </a:ln>
              <a:effectLst/>
            </c:spPr>
          </c:marker>
          <c:cat>
            <c:numRef>
              <c:extLst>
                <c:ext xmlns:c15="http://schemas.microsoft.com/office/drawing/2012/chart" uri="{02D57815-91ED-43cb-92C2-25804820EDAC}">
                  <c15:fullRef>
                    <c15:sqref>'2PT'!$U$46:$U$53</c15:sqref>
                  </c15:fullRef>
                </c:ext>
              </c:extLst>
              <c:f>'2PT'!$U$46:$U$50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'2PT'!$AC$46:$AC$53</c15:sqref>
                  </c15:fullRef>
                </c:ext>
              </c:extLst>
              <c:f>'2PT'!$AC$46:$AC$50</c:f>
              <c:numCache>
                <c:formatCode>0.0%</c:formatCode>
                <c:ptCount val="5"/>
                <c:pt idx="4">
                  <c:v>6.8774044320410677E-2</c:v>
                </c:pt>
              </c:numCache>
            </c:numRef>
          </c:val>
          <c:smooth val="0"/>
          <c:extLst>
            <c:ext xmlns:c16="http://schemas.microsoft.com/office/drawing/2014/chart" uri="{C3380CC4-5D6E-409C-BE32-E72D297353CC}">
              <c16:uniqueId val="{00000006-32B2-4C68-8B13-9DA6FB58D281}"/>
            </c:ext>
          </c:extLst>
        </c:ser>
        <c:dLbls>
          <c:showLegendKey val="0"/>
          <c:showVal val="0"/>
          <c:showCatName val="0"/>
          <c:showSerName val="0"/>
          <c:showPercent val="0"/>
          <c:showBubbleSize val="0"/>
        </c:dLbls>
        <c:smooth val="0"/>
        <c:axId val="709475840"/>
        <c:axId val="605168576"/>
        <c:extLst/>
      </c:lineChart>
      <c:catAx>
        <c:axId val="709475840"/>
        <c:scaling>
          <c:orientation val="minMax"/>
        </c:scaling>
        <c:delete val="0"/>
        <c:axPos val="b"/>
        <c:numFmt formatCode="General" sourceLinked="1"/>
        <c:majorTickMark val="out"/>
        <c:minorTickMark val="none"/>
        <c:tickLblPos val="nextTo"/>
        <c:spPr>
          <a:noFill/>
          <a:ln w="6350" cap="flat" cmpd="sng" algn="ctr">
            <a:solidFill>
              <a:schemeClr val="tx1"/>
            </a:solidFill>
            <a:round/>
          </a:ln>
          <a:effectLst/>
        </c:spPr>
        <c:txPr>
          <a:bodyPr rot="-60000000" spcFirstLastPara="1" vertOverflow="ellipsis" vert="horz" wrap="square" anchor="ctr" anchorCtr="1"/>
          <a:lstStyle/>
          <a:p>
            <a:pPr>
              <a:defRPr sz="950" b="0" i="0" u="none" strike="noStrike" kern="1200" baseline="0">
                <a:solidFill>
                  <a:schemeClr val="tx1"/>
                </a:solidFill>
                <a:latin typeface="Times New Roman" panose="02020603050405020304" pitchFamily="18" charset="0"/>
                <a:ea typeface="+mn-ea"/>
                <a:cs typeface="+mn-cs"/>
              </a:defRPr>
            </a:pPr>
            <a:endParaRPr lang="es-ES_tradnl"/>
          </a:p>
        </c:txPr>
        <c:crossAx val="605168576"/>
        <c:crosses val="autoZero"/>
        <c:auto val="1"/>
        <c:lblAlgn val="ctr"/>
        <c:lblOffset val="100"/>
        <c:noMultiLvlLbl val="0"/>
      </c:catAx>
      <c:valAx>
        <c:axId val="6051685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s-ES_tradnl" sz="1050">
                    <a:solidFill>
                      <a:sysClr val="windowText" lastClr="000000"/>
                    </a:solidFill>
                    <a:latin typeface="Times New Roman" panose="02020603050405020304" pitchFamily="18" charset="0"/>
                    <a:cs typeface="Times New Roman" panose="02020603050405020304" pitchFamily="18" charset="0"/>
                  </a:rPr>
                  <a:t>Share of GDP</a:t>
                </a:r>
              </a:p>
            </c:rich>
          </c:tx>
          <c:overlay val="0"/>
          <c:spPr>
            <a:noFill/>
            <a:ln>
              <a:noFill/>
            </a:ln>
            <a:effectLst/>
          </c:spPr>
        </c:title>
        <c:numFmt formatCode="0%" sourceLinked="0"/>
        <c:majorTickMark val="out"/>
        <c:minorTickMark val="none"/>
        <c:tickLblPos val="nextTo"/>
        <c:spPr>
          <a:noFill/>
          <a:ln w="6350">
            <a:solidFill>
              <a:schemeClr val="tx1">
                <a:lumMod val="65000"/>
                <a:lumOff val="35000"/>
              </a:schemeClr>
            </a:solidFill>
          </a:ln>
          <a:effectLst/>
        </c:spPr>
        <c:txPr>
          <a:bodyPr rot="-60000000" spcFirstLastPara="1" vertOverflow="ellipsis" vert="horz" wrap="square" anchor="ctr" anchorCtr="1"/>
          <a:lstStyle/>
          <a:p>
            <a:pPr>
              <a:defRPr sz="950" b="0" i="0" u="none" strike="noStrike" kern="1200" baseline="0">
                <a:solidFill>
                  <a:schemeClr val="tx1"/>
                </a:solidFill>
                <a:latin typeface="Times New Roman" panose="02020603050405020304" pitchFamily="18" charset="0"/>
                <a:ea typeface="+mn-ea"/>
                <a:cs typeface="+mn-cs"/>
              </a:defRPr>
            </a:pPr>
            <a:endParaRPr lang="es-ES_tradnl"/>
          </a:p>
        </c:txPr>
        <c:crossAx val="709475840"/>
        <c:crosses val="autoZero"/>
        <c:crossBetween val="between"/>
      </c:valAx>
    </c:plotArea>
    <c:legend>
      <c:legendPos val="b"/>
      <c:layout>
        <c:manualLayout>
          <c:xMode val="edge"/>
          <c:yMode val="edge"/>
          <c:x val="0"/>
          <c:y val="0.80216933512597055"/>
          <c:w val="1"/>
          <c:h val="0.19783066487402948"/>
        </c:manualLayout>
      </c:layout>
      <c:overlay val="0"/>
      <c:spPr>
        <a:noFill/>
        <a:ln>
          <a:noFill/>
        </a:ln>
        <a:effectLst/>
      </c:spPr>
      <c:txPr>
        <a:bodyPr rot="0" spcFirstLastPara="1" vertOverflow="ellipsis" vert="horz" wrap="square" anchor="ctr" anchorCtr="1"/>
        <a:lstStyle/>
        <a:p>
          <a:pPr>
            <a:defRPr sz="9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legend>
    <c:plotVisOnly val="1"/>
    <c:dispBlanksAs val="gap"/>
    <c:showDLblsOverMax val="0"/>
  </c:chart>
  <c:spPr>
    <a:solidFill>
      <a:schemeClr val="bg1"/>
    </a:solidFill>
    <a:ln w="9525" cap="flat" cmpd="sng" algn="ctr">
      <a:noFill/>
      <a:round/>
    </a:ln>
    <a:effectLst/>
  </c:spPr>
  <c:txPr>
    <a:bodyPr/>
    <a:lstStyle/>
    <a:p>
      <a:pPr>
        <a:defRPr/>
      </a:pPr>
      <a:endParaRPr lang="es-ES_tradnl"/>
    </a:p>
  </c:txPr>
  <c:printSettings>
    <c:headerFooter/>
    <c:pageMargins b="0.75" l="0.25" r="0.25" t="0.75" header="0.3" footer="0.3"/>
    <c:pageSetup paperSize="9" orientation="landscape"/>
  </c:printSettings>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457409308717575"/>
          <c:y val="4.6087571003560986E-2"/>
          <c:w val="0.82558175067451101"/>
          <c:h val="0.64272676146640684"/>
        </c:manualLayout>
      </c:layout>
      <c:lineChart>
        <c:grouping val="standard"/>
        <c:varyColors val="0"/>
        <c:ser>
          <c:idx val="1"/>
          <c:order val="0"/>
          <c:tx>
            <c:strRef>
              <c:f>'2SI'!$D$45</c:f>
              <c:strCache>
                <c:ptCount val="1"/>
                <c:pt idx="0">
                  <c:v>Observed (National Accounts)</c:v>
                </c:pt>
              </c:strCache>
            </c:strRef>
          </c:tx>
          <c:spPr>
            <a:ln w="25400" cap="rnd">
              <a:solidFill>
                <a:schemeClr val="tx1">
                  <a:lumMod val="65000"/>
                  <a:lumOff val="35000"/>
                </a:schemeClr>
              </a:solidFill>
              <a:prstDash val="sysDash"/>
              <a:round/>
            </a:ln>
            <a:effectLst/>
          </c:spPr>
          <c:marker>
            <c:symbol val="none"/>
          </c:marker>
          <c:cat>
            <c:numRef>
              <c:extLst>
                <c:ext xmlns:c15="http://schemas.microsoft.com/office/drawing/2012/chart" uri="{02D57815-91ED-43cb-92C2-25804820EDAC}">
                  <c15:fullRef>
                    <c15:sqref>'2SI'!$B$46:$B$53</c15:sqref>
                  </c15:fullRef>
                </c:ext>
              </c:extLst>
              <c:f>'2SI'!$B$46:$B$50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'2SI'!$D$46:$D$53</c15:sqref>
                  </c15:fullRef>
                </c:ext>
              </c:extLst>
              <c:f>'2SI'!$D$46:$D$50</c:f>
              <c:numCache>
                <c:formatCode>_-* #,##0_-;\-* #,##0_-;_-* "-"??_-;_-@_-</c:formatCode>
                <c:ptCount val="5"/>
                <c:pt idx="0">
                  <c:v>2543.6</c:v>
                </c:pt>
                <c:pt idx="1">
                  <c:v>2460.8000000000002</c:v>
                </c:pt>
                <c:pt idx="2">
                  <c:v>2824.3</c:v>
                </c:pt>
                <c:pt idx="3">
                  <c:v>2946.8</c:v>
                </c:pt>
                <c:pt idx="4">
                  <c:v>3242</c:v>
                </c:pt>
              </c:numCache>
            </c:numRef>
          </c:val>
          <c:smooth val="0"/>
          <c:extLst>
            <c:ext xmlns:c16="http://schemas.microsoft.com/office/drawing/2014/chart" uri="{C3380CC4-5D6E-409C-BE32-E72D297353CC}">
              <c16:uniqueId val="{00000000-5C31-4C34-A897-94E74137C67D}"/>
            </c:ext>
          </c:extLst>
        </c:ser>
        <c:ser>
          <c:idx val="0"/>
          <c:order val="1"/>
          <c:tx>
            <c:strRef>
              <c:f>'2SI'!$C$45</c:f>
              <c:strCache>
                <c:ptCount val="1"/>
                <c:pt idx="0">
                  <c:v>Baseline simulation (before reescaling)</c:v>
                </c:pt>
              </c:strCache>
            </c:strRef>
          </c:tx>
          <c:spPr>
            <a:ln w="25400" cap="rnd">
              <a:noFill/>
              <a:round/>
            </a:ln>
            <a:effectLst/>
          </c:spPr>
          <c:marker>
            <c:symbol val="circle"/>
            <c:size val="8"/>
            <c:spPr>
              <a:solidFill>
                <a:schemeClr val="bg1">
                  <a:lumMod val="85000"/>
                </a:schemeClr>
              </a:solidFill>
              <a:ln w="25400">
                <a:noFill/>
              </a:ln>
              <a:effectLst/>
            </c:spPr>
          </c:marker>
          <c:cat>
            <c:numRef>
              <c:extLst>
                <c:ext xmlns:c15="http://schemas.microsoft.com/office/drawing/2012/chart" uri="{02D57815-91ED-43cb-92C2-25804820EDAC}">
                  <c15:fullRef>
                    <c15:sqref>'2SI'!$B$46:$B$53</c15:sqref>
                  </c15:fullRef>
                </c:ext>
              </c:extLst>
              <c:f>'2SI'!$B$46:$B$50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'2SI'!$C$46:$C$53</c15:sqref>
                  </c15:fullRef>
                </c:ext>
              </c:extLst>
              <c:f>'2SI'!$C$46:$C$50</c:f>
              <c:numCache>
                <c:formatCode>_-* #,##0_-;\-* #,##0_-;_-* "-"??_-;_-@_-</c:formatCode>
                <c:ptCount val="5"/>
                <c:pt idx="0">
                  <c:v>2578.9207562448046</c:v>
                </c:pt>
                <c:pt idx="1">
                  <c:v>2515.0246368275994</c:v>
                </c:pt>
                <c:pt idx="2">
                  <c:v>2928.6781804080019</c:v>
                </c:pt>
                <c:pt idx="3">
                  <c:v>2889.2796893795949</c:v>
                </c:pt>
                <c:pt idx="4">
                  <c:v>3178.1458301807993</c:v>
                </c:pt>
              </c:numCache>
            </c:numRef>
          </c:val>
          <c:smooth val="0"/>
          <c:extLst>
            <c:ext xmlns:c16="http://schemas.microsoft.com/office/drawing/2014/chart" uri="{C3380CC4-5D6E-409C-BE32-E72D297353CC}">
              <c16:uniqueId val="{00000001-5C31-4C34-A897-94E74137C67D}"/>
            </c:ext>
          </c:extLst>
        </c:ser>
        <c:ser>
          <c:idx val="3"/>
          <c:order val="3"/>
          <c:tx>
            <c:strRef>
              <c:f>'2SI'!$F$45</c:f>
              <c:strCache>
                <c:ptCount val="1"/>
                <c:pt idx="0">
                  <c:v>Baseline simulation (after reescaling)</c:v>
                </c:pt>
              </c:strCache>
            </c:strRef>
          </c:tx>
          <c:spPr>
            <a:ln w="25400" cap="rnd">
              <a:noFill/>
              <a:round/>
            </a:ln>
            <a:effectLst/>
          </c:spPr>
          <c:marker>
            <c:symbol val="circle"/>
            <c:size val="7"/>
            <c:spPr>
              <a:solidFill>
                <a:schemeClr val="tx1"/>
              </a:solidFill>
              <a:ln w="9525">
                <a:solidFill>
                  <a:schemeClr val="tx1"/>
                </a:solidFill>
              </a:ln>
              <a:effectLst/>
            </c:spPr>
          </c:marker>
          <c:cat>
            <c:numRef>
              <c:extLst>
                <c:ext xmlns:c15="http://schemas.microsoft.com/office/drawing/2012/chart" uri="{02D57815-91ED-43cb-92C2-25804820EDAC}">
                  <c15:fullRef>
                    <c15:sqref>'2SI'!$B$46:$B$53</c15:sqref>
                  </c15:fullRef>
                </c:ext>
              </c:extLst>
              <c:f>'2SI'!$B$46:$B$50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'2SI'!$F$46:$F$53</c15:sqref>
                  </c15:fullRef>
                </c:ext>
              </c:extLst>
              <c:f>'2SI'!$F$46:$F$50</c:f>
              <c:numCache>
                <c:formatCode>General</c:formatCode>
                <c:ptCount val="5"/>
                <c:pt idx="0" formatCode="_-* #,##0_-;\-* #,##0_-;_-* &quot;-&quot;??_-;_-@_-">
                  <c:v>2543.6</c:v>
                </c:pt>
                <c:pt idx="4" formatCode="_-* #,##0_-;\-* #,##0_-;_-* &quot;-&quot;??_-;_-@_-">
                  <c:v>3241.9999999999995</c:v>
                </c:pt>
              </c:numCache>
            </c:numRef>
          </c:val>
          <c:smooth val="0"/>
          <c:extLst>
            <c:ext xmlns:c16="http://schemas.microsoft.com/office/drawing/2014/chart" uri="{C3380CC4-5D6E-409C-BE32-E72D297353CC}">
              <c16:uniqueId val="{00000002-5C31-4C34-A897-94E74137C67D}"/>
            </c:ext>
          </c:extLst>
        </c:ser>
        <c:ser>
          <c:idx val="4"/>
          <c:order val="4"/>
          <c:tx>
            <c:strRef>
              <c:f>'2SI'!$G$45</c:f>
              <c:strCache>
                <c:ptCount val="1"/>
                <c:pt idx="0">
                  <c:v>Unchanged legislation since 2019/2023</c:v>
                </c:pt>
              </c:strCache>
            </c:strRef>
          </c:tx>
          <c:spPr>
            <a:ln w="25400" cap="rnd">
              <a:noFill/>
              <a:round/>
            </a:ln>
            <a:effectLst/>
          </c:spPr>
          <c:marker>
            <c:symbol val="circle"/>
            <c:size val="6"/>
            <c:spPr>
              <a:noFill/>
              <a:ln w="25400">
                <a:solidFill>
                  <a:srgbClr val="C00000"/>
                </a:solidFill>
              </a:ln>
              <a:effectLst/>
            </c:spPr>
          </c:marker>
          <c:cat>
            <c:numRef>
              <c:extLst>
                <c:ext xmlns:c15="http://schemas.microsoft.com/office/drawing/2012/chart" uri="{02D57815-91ED-43cb-92C2-25804820EDAC}">
                  <c15:fullRef>
                    <c15:sqref>'2SI'!$B$46:$B$53</c15:sqref>
                  </c15:fullRef>
                </c:ext>
              </c:extLst>
              <c:f>'2SI'!$B$46:$B$50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'2SI'!$G$46:$G$53</c15:sqref>
                  </c15:fullRef>
                </c:ext>
              </c:extLst>
              <c:f>'2SI'!$G$46:$G$50</c:f>
              <c:numCache>
                <c:formatCode>General</c:formatCode>
                <c:ptCount val="5"/>
                <c:pt idx="4" formatCode="_-* #,##0_-;\-* #,##0_-;_-* &quot;-&quot;??_-;_-@_-">
                  <c:v>3974.2399680863346</c:v>
                </c:pt>
              </c:numCache>
            </c:numRef>
          </c:val>
          <c:smooth val="0"/>
          <c:extLst>
            <c:ext xmlns:c16="http://schemas.microsoft.com/office/drawing/2014/chart" uri="{C3380CC4-5D6E-409C-BE32-E72D297353CC}">
              <c16:uniqueId val="{00000003-5C31-4C34-A897-94E74137C67D}"/>
            </c:ext>
          </c:extLst>
        </c:ser>
        <c:ser>
          <c:idx val="5"/>
          <c:order val="5"/>
          <c:tx>
            <c:strRef>
              <c:f>'2SI'!$H$45</c:f>
              <c:strCache>
                <c:ptCount val="1"/>
                <c:pt idx="0">
                  <c:v>Indexing with tax base growth</c:v>
                </c:pt>
              </c:strCache>
            </c:strRef>
          </c:tx>
          <c:spPr>
            <a:ln w="25400" cap="rnd">
              <a:noFill/>
              <a:round/>
            </a:ln>
            <a:effectLst/>
          </c:spPr>
          <c:marker>
            <c:symbol val="square"/>
            <c:size val="5"/>
            <c:spPr>
              <a:noFill/>
              <a:ln w="25400">
                <a:solidFill>
                  <a:schemeClr val="accent6">
                    <a:lumMod val="75000"/>
                  </a:schemeClr>
                </a:solidFill>
              </a:ln>
              <a:effectLst/>
            </c:spPr>
          </c:marker>
          <c:cat>
            <c:numRef>
              <c:extLst>
                <c:ext xmlns:c15="http://schemas.microsoft.com/office/drawing/2012/chart" uri="{02D57815-91ED-43cb-92C2-25804820EDAC}">
                  <c15:fullRef>
                    <c15:sqref>'2SI'!$B$46:$B$53</c15:sqref>
                  </c15:fullRef>
                </c:ext>
              </c:extLst>
              <c:f>'2SI'!$B$46:$B$50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'2SI'!$H$46:$H$53</c15:sqref>
                  </c15:fullRef>
                </c:ext>
              </c:extLst>
              <c:f>'2SI'!$H$46:$H$50</c:f>
              <c:numCache>
                <c:formatCode>General</c:formatCode>
                <c:ptCount val="5"/>
                <c:pt idx="4" formatCode="_-* #,##0_-;\-* #,##0_-;_-* &quot;-&quot;??_-;_-@_-">
                  <c:v>3333.1448229454377</c:v>
                </c:pt>
              </c:numCache>
            </c:numRef>
          </c:val>
          <c:smooth val="0"/>
          <c:extLst>
            <c:ext xmlns:c16="http://schemas.microsoft.com/office/drawing/2014/chart" uri="{C3380CC4-5D6E-409C-BE32-E72D297353CC}">
              <c16:uniqueId val="{00000004-5C31-4C34-A897-94E74137C67D}"/>
            </c:ext>
          </c:extLst>
        </c:ser>
        <c:ser>
          <c:idx val="6"/>
          <c:order val="6"/>
          <c:tx>
            <c:strRef>
              <c:f>'2SI'!$I$45</c:f>
              <c:strCache>
                <c:ptCount val="1"/>
                <c:pt idx="0">
                  <c:v>Indexing with lagged HCPI</c:v>
                </c:pt>
              </c:strCache>
            </c:strRef>
          </c:tx>
          <c:spPr>
            <a:ln w="25400" cap="rnd">
              <a:noFill/>
              <a:round/>
            </a:ln>
            <a:effectLst/>
          </c:spPr>
          <c:marker>
            <c:symbol val="diamond"/>
            <c:size val="6"/>
            <c:spPr>
              <a:noFill/>
              <a:ln w="25400">
                <a:solidFill>
                  <a:schemeClr val="accent4"/>
                </a:solidFill>
              </a:ln>
              <a:effectLst/>
            </c:spPr>
          </c:marker>
          <c:cat>
            <c:numRef>
              <c:extLst>
                <c:ext xmlns:c15="http://schemas.microsoft.com/office/drawing/2012/chart" uri="{02D57815-91ED-43cb-92C2-25804820EDAC}">
                  <c15:fullRef>
                    <c15:sqref>'2SI'!$B$46:$B$53</c15:sqref>
                  </c15:fullRef>
                </c:ext>
              </c:extLst>
              <c:f>'2SI'!$B$46:$B$50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'2SI'!$I$46:$I$53</c15:sqref>
                  </c15:fullRef>
                </c:ext>
              </c:extLst>
              <c:f>'2SI'!$I$46:$I$50</c:f>
              <c:numCache>
                <c:formatCode>General</c:formatCode>
                <c:ptCount val="5"/>
                <c:pt idx="4" formatCode="_-* #,##0_-;\-* #,##0_-;_-* &quot;-&quot;??_-;_-@_-">
                  <c:v>3632.1016416911862</c:v>
                </c:pt>
              </c:numCache>
            </c:numRef>
          </c:val>
          <c:smooth val="0"/>
          <c:extLst>
            <c:ext xmlns:c16="http://schemas.microsoft.com/office/drawing/2014/chart" uri="{C3380CC4-5D6E-409C-BE32-E72D297353CC}">
              <c16:uniqueId val="{00000005-5C31-4C34-A897-94E74137C67D}"/>
            </c:ext>
          </c:extLst>
        </c:ser>
        <c:ser>
          <c:idx val="7"/>
          <c:order val="7"/>
          <c:tx>
            <c:strRef>
              <c:f>'2SI'!$J$45</c:f>
              <c:strCache>
                <c:ptCount val="1"/>
                <c:pt idx="0">
                  <c:v>Indexing with concurrent HCPI</c:v>
                </c:pt>
              </c:strCache>
            </c:strRef>
          </c:tx>
          <c:spPr>
            <a:ln w="25400" cap="rnd">
              <a:noFill/>
              <a:round/>
            </a:ln>
            <a:effectLst/>
          </c:spPr>
          <c:marker>
            <c:symbol val="triangle"/>
            <c:size val="6"/>
            <c:spPr>
              <a:noFill/>
              <a:ln w="25400">
                <a:solidFill>
                  <a:schemeClr val="accent5">
                    <a:lumMod val="75000"/>
                  </a:schemeClr>
                </a:solidFill>
              </a:ln>
              <a:effectLst/>
            </c:spPr>
          </c:marker>
          <c:cat>
            <c:numRef>
              <c:extLst>
                <c:ext xmlns:c15="http://schemas.microsoft.com/office/drawing/2012/chart" uri="{02D57815-91ED-43cb-92C2-25804820EDAC}">
                  <c15:fullRef>
                    <c15:sqref>'2SI'!$B$46:$B$53</c15:sqref>
                  </c15:fullRef>
                </c:ext>
              </c:extLst>
              <c:f>'2SI'!$B$46:$B$50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'2SI'!$J$46:$J$53</c15:sqref>
                  </c15:fullRef>
                </c:ext>
              </c:extLst>
              <c:f>'2SI'!$J$46:$J$50</c:f>
              <c:numCache>
                <c:formatCode>General</c:formatCode>
                <c:ptCount val="5"/>
                <c:pt idx="4" formatCode="_-* #,##0_-;\-* #,##0_-;_-* &quot;-&quot;??_-;_-@_-">
                  <c:v>3484.4783384933362</c:v>
                </c:pt>
              </c:numCache>
            </c:numRef>
          </c:val>
          <c:smooth val="0"/>
          <c:extLst>
            <c:ext xmlns:c16="http://schemas.microsoft.com/office/drawing/2014/chart" uri="{C3380CC4-5D6E-409C-BE32-E72D297353CC}">
              <c16:uniqueId val="{00000006-5C31-4C34-A897-94E74137C67D}"/>
            </c:ext>
          </c:extLst>
        </c:ser>
        <c:ser>
          <c:idx val="8"/>
          <c:order val="8"/>
          <c:tx>
            <c:strRef>
              <c:f>'2SI'!$K$45</c:f>
              <c:strCache>
                <c:ptCount val="1"/>
                <c:pt idx="0">
                  <c:v>Baseline w/o "indexation measures"</c:v>
                </c:pt>
              </c:strCache>
            </c:strRef>
          </c:tx>
          <c:spPr>
            <a:ln w="28575" cap="rnd">
              <a:noFill/>
              <a:round/>
            </a:ln>
            <a:effectLst/>
          </c:spPr>
          <c:marker>
            <c:symbol val="dash"/>
            <c:size val="9"/>
            <c:spPr>
              <a:solidFill>
                <a:schemeClr val="tx1">
                  <a:lumMod val="65000"/>
                  <a:lumOff val="35000"/>
                </a:schemeClr>
              </a:solidFill>
              <a:ln w="9525">
                <a:solidFill>
                  <a:schemeClr val="tx1">
                    <a:lumMod val="65000"/>
                    <a:lumOff val="35000"/>
                  </a:schemeClr>
                </a:solidFill>
              </a:ln>
              <a:effectLst/>
            </c:spPr>
          </c:marker>
          <c:cat>
            <c:strLit>
              <c:ptCount val="5"/>
              <c:pt idx="0">
                <c:v>2019</c:v>
              </c:pt>
              <c:pt idx="1">
                <c:v>2020</c:v>
              </c:pt>
              <c:pt idx="2">
                <c:v>2021</c:v>
              </c:pt>
              <c:pt idx="3">
                <c:v>2022</c:v>
              </c:pt>
              <c:pt idx="4">
                <c:v>2023</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'2SI'!$K$46:$K$53</c15:sqref>
                  </c15:fullRef>
                </c:ext>
              </c:extLst>
              <c:f>'2SI'!$K$46:$K$50</c:f>
              <c:numCache>
                <c:formatCode>General</c:formatCode>
                <c:ptCount val="5"/>
                <c:pt idx="4" formatCode="_-* #,##0_-;\-* #,##0_-;_-* &quot;-&quot;??_-;_-@_-">
                  <c:v>3279.5901454202763</c:v>
                </c:pt>
              </c:numCache>
            </c:numRef>
          </c:val>
          <c:smooth val="0"/>
          <c:extLst>
            <c:ext xmlns:c16="http://schemas.microsoft.com/office/drawing/2014/chart" uri="{C3380CC4-5D6E-409C-BE32-E72D297353CC}">
              <c16:uniqueId val="{00000007-5C31-4C34-A897-94E74137C67D}"/>
            </c:ext>
          </c:extLst>
        </c:ser>
        <c:dLbls>
          <c:showLegendKey val="0"/>
          <c:showVal val="0"/>
          <c:showCatName val="0"/>
          <c:showSerName val="0"/>
          <c:showPercent val="0"/>
          <c:showBubbleSize val="0"/>
        </c:dLbls>
        <c:smooth val="0"/>
        <c:axId val="709475840"/>
        <c:axId val="605168576"/>
        <c:extLst>
          <c:ext xmlns:c15="http://schemas.microsoft.com/office/drawing/2012/chart" uri="{02D57815-91ED-43cb-92C2-25804820EDAC}">
            <c15:filteredLineSeries>
              <c15:ser>
                <c:idx val="2"/>
                <c:order val="2"/>
                <c:tx>
                  <c:strRef>
                    <c:extLst>
                      <c:ext uri="{02D57815-91ED-43cb-92C2-25804820EDAC}">
                        <c15:formulaRef>
                          <c15:sqref>'2SI'!$E$45</c15:sqref>
                        </c15:formulaRef>
                      </c:ext>
                    </c:extLst>
                    <c:strCache>
                      <c:ptCount val="1"/>
                      <c:pt idx="0">
                        <c:v>Reescaling factor
</c:v>
                      </c:pt>
                    </c:strCache>
                  </c:strRef>
                </c:tx>
                <c:spPr>
                  <a:ln w="25400" cap="rnd">
                    <a:noFill/>
                    <a:round/>
                  </a:ln>
                  <a:effectLst/>
                </c:spPr>
                <c:marker>
                  <c:symbol val="circle"/>
                  <c:size val="5"/>
                  <c:spPr>
                    <a:solidFill>
                      <a:schemeClr val="accent3"/>
                    </a:solidFill>
                    <a:ln w="9525">
                      <a:solidFill>
                        <a:schemeClr val="accent3"/>
                      </a:solidFill>
                    </a:ln>
                    <a:effectLst/>
                  </c:spPr>
                </c:marker>
                <c:cat>
                  <c:numRef>
                    <c:extLst>
                      <c:ext uri="{02D57815-91ED-43cb-92C2-25804820EDAC}">
                        <c15:fullRef>
                          <c15:sqref>'2SI'!$B$46:$B$53</c15:sqref>
                        </c15:fullRef>
                        <c15:formulaRef>
                          <c15:sqref>'2SI'!$B$46:$B$50</c15:sqref>
                        </c15:formulaRef>
                      </c:ext>
                    </c:extLst>
                    <c:numCache>
                      <c:formatCode>General</c:formatCode>
                      <c:ptCount val="5"/>
                      <c:pt idx="0">
                        <c:v>2019</c:v>
                      </c:pt>
                      <c:pt idx="1">
                        <c:v>2020</c:v>
                      </c:pt>
                      <c:pt idx="2">
                        <c:v>2021</c:v>
                      </c:pt>
                      <c:pt idx="3">
                        <c:v>2022</c:v>
                      </c:pt>
                      <c:pt idx="4">
                        <c:v>2023</c:v>
                      </c:pt>
                    </c:numCache>
                  </c:numRef>
                </c:cat>
                <c:val>
                  <c:numRef>
                    <c:extLst>
                      <c:ext uri="{02D57815-91ED-43cb-92C2-25804820EDAC}">
                        <c15:fullRef>
                          <c15:sqref>'2SI'!$E$46:$E$53</c15:sqref>
                        </c15:fullRef>
                        <c15:formulaRef>
                          <c15:sqref>'2SI'!$E$46:$E$50</c15:sqref>
                        </c15:formulaRef>
                      </c:ext>
                    </c:extLst>
                    <c:numCache>
                      <c:formatCode>General</c:formatCode>
                      <c:ptCount val="5"/>
                    </c:numCache>
                  </c:numRef>
                </c:val>
                <c:smooth val="0"/>
                <c:extLst>
                  <c:ext xmlns:c16="http://schemas.microsoft.com/office/drawing/2014/chart" uri="{C3380CC4-5D6E-409C-BE32-E72D297353CC}">
                    <c16:uniqueId val="{00000008-5C31-4C34-A897-94E74137C67D}"/>
                  </c:ext>
                </c:extLst>
              </c15:ser>
            </c15:filteredLineSeries>
          </c:ext>
        </c:extLst>
      </c:lineChart>
      <c:catAx>
        <c:axId val="709475840"/>
        <c:scaling>
          <c:orientation val="minMax"/>
        </c:scaling>
        <c:delete val="0"/>
        <c:axPos val="b"/>
        <c:numFmt formatCode="General" sourceLinked="1"/>
        <c:majorTickMark val="out"/>
        <c:minorTickMark val="none"/>
        <c:tickLblPos val="nextTo"/>
        <c:spPr>
          <a:noFill/>
          <a:ln w="6350" cap="flat" cmpd="sng" algn="ctr">
            <a:solidFill>
              <a:schemeClr val="tx1"/>
            </a:solidFill>
            <a:round/>
          </a:ln>
          <a:effectLst/>
        </c:spPr>
        <c:txPr>
          <a:bodyPr rot="-60000000" spcFirstLastPara="1" vertOverflow="ellipsis" vert="horz" wrap="square" anchor="ctr" anchorCtr="1"/>
          <a:lstStyle/>
          <a:p>
            <a:pPr>
              <a:defRPr sz="950" b="0" i="0" u="none" strike="noStrike" kern="1200" baseline="0">
                <a:solidFill>
                  <a:schemeClr val="tx1"/>
                </a:solidFill>
                <a:latin typeface="Times New Roman" panose="02020603050405020304" pitchFamily="18" charset="0"/>
                <a:ea typeface="+mn-ea"/>
                <a:cs typeface="+mn-cs"/>
              </a:defRPr>
            </a:pPr>
            <a:endParaRPr lang="es-ES_tradnl"/>
          </a:p>
        </c:txPr>
        <c:crossAx val="605168576"/>
        <c:crosses val="autoZero"/>
        <c:auto val="1"/>
        <c:lblAlgn val="ctr"/>
        <c:lblOffset val="100"/>
        <c:noMultiLvlLbl val="0"/>
      </c:catAx>
      <c:valAx>
        <c:axId val="6051685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s-ES_tradnl" sz="1050">
                    <a:solidFill>
                      <a:sysClr val="windowText" lastClr="000000"/>
                    </a:solidFill>
                    <a:latin typeface="Times New Roman" panose="02020603050405020304" pitchFamily="18" charset="0"/>
                    <a:cs typeface="Times New Roman" panose="02020603050405020304" pitchFamily="18" charset="0"/>
                  </a:rPr>
                  <a:t>Million euros</a:t>
                </a:r>
              </a:p>
            </c:rich>
          </c:tx>
          <c:layout>
            <c:manualLayout>
              <c:xMode val="edge"/>
              <c:yMode val="edge"/>
              <c:x val="0"/>
              <c:y val="0.27024653144012073"/>
            </c:manualLayout>
          </c:layout>
          <c:overlay val="0"/>
          <c:spPr>
            <a:noFill/>
            <a:ln>
              <a:noFill/>
            </a:ln>
            <a:effectLst/>
          </c:spPr>
          <c:txPr>
            <a:bodyPr rot="-5400000" spcFirstLastPara="1" vertOverflow="ellipsis" vert="horz" wrap="square" anchor="ctr" anchorCtr="1"/>
            <a:lstStyle/>
            <a:p>
              <a:pPr>
                <a:defRPr sz="10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title>
        <c:numFmt formatCode="#,##0" sourceLinked="0"/>
        <c:majorTickMark val="out"/>
        <c:minorTickMark val="none"/>
        <c:tickLblPos val="nextTo"/>
        <c:spPr>
          <a:noFill/>
          <a:ln w="6350">
            <a:solidFill>
              <a:schemeClr val="tx1">
                <a:lumMod val="65000"/>
                <a:lumOff val="35000"/>
              </a:schemeClr>
            </a:solidFill>
          </a:ln>
          <a:effectLst/>
        </c:spPr>
        <c:txPr>
          <a:bodyPr rot="-60000000" spcFirstLastPara="1" vertOverflow="ellipsis" vert="horz" wrap="square" anchor="ctr" anchorCtr="1"/>
          <a:lstStyle/>
          <a:p>
            <a:pPr>
              <a:defRPr sz="950" b="0" i="0" u="none" strike="noStrike" kern="1200" baseline="0">
                <a:solidFill>
                  <a:schemeClr val="tx1"/>
                </a:solidFill>
                <a:latin typeface="Times New Roman" panose="02020603050405020304" pitchFamily="18" charset="0"/>
                <a:ea typeface="+mn-ea"/>
                <a:cs typeface="+mn-cs"/>
              </a:defRPr>
            </a:pPr>
            <a:endParaRPr lang="es-ES_tradnl"/>
          </a:p>
        </c:txPr>
        <c:crossAx val="709475840"/>
        <c:crosses val="autoZero"/>
        <c:crossBetween val="between"/>
      </c:valAx>
      <c:spPr>
        <a:noFill/>
        <a:ln>
          <a:noFill/>
        </a:ln>
        <a:effectLst/>
      </c:spPr>
    </c:plotArea>
    <c:legend>
      <c:legendPos val="b"/>
      <c:layout>
        <c:manualLayout>
          <c:xMode val="edge"/>
          <c:yMode val="edge"/>
          <c:x val="0"/>
          <c:y val="0.73648087849247201"/>
          <c:w val="1"/>
          <c:h val="0.26351912150752793"/>
        </c:manualLayout>
      </c:layout>
      <c:overlay val="0"/>
      <c:spPr>
        <a:noFill/>
        <a:ln>
          <a:noFill/>
        </a:ln>
        <a:effectLst/>
      </c:spPr>
      <c:txPr>
        <a:bodyPr rot="0" spcFirstLastPara="1" vertOverflow="ellipsis" vert="horz" wrap="square" anchor="ctr" anchorCtr="1"/>
        <a:lstStyle/>
        <a:p>
          <a:pPr>
            <a:defRPr sz="9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legend>
    <c:plotVisOnly val="1"/>
    <c:dispBlanksAs val="gap"/>
    <c:showDLblsOverMax val="0"/>
  </c:chart>
  <c:spPr>
    <a:solidFill>
      <a:schemeClr val="bg1"/>
    </a:solidFill>
    <a:ln w="9525" cap="flat" cmpd="sng" algn="ctr">
      <a:noFill/>
      <a:round/>
    </a:ln>
    <a:effectLst/>
  </c:spPr>
  <c:txPr>
    <a:bodyPr/>
    <a:lstStyle/>
    <a:p>
      <a:pPr>
        <a:defRPr/>
      </a:pPr>
      <a:endParaRPr lang="es-ES_tradnl"/>
    </a:p>
  </c:txPr>
  <c:printSettings>
    <c:headerFooter/>
    <c:pageMargins b="0.75" l="0.25" r="0.25" t="0.75" header="0.3" footer="0.3"/>
    <c:pageSetup paperSize="9" orientation="landscape"/>
  </c:printSettings>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457409308717575"/>
          <c:y val="4.6087571003560986E-2"/>
          <c:w val="0.82558175067451101"/>
          <c:h val="0.6515011552844524"/>
        </c:manualLayout>
      </c:layout>
      <c:lineChart>
        <c:grouping val="standard"/>
        <c:varyColors val="0"/>
        <c:ser>
          <c:idx val="1"/>
          <c:order val="0"/>
          <c:tx>
            <c:strRef>
              <c:f>'2SI'!$C$64</c:f>
              <c:strCache>
                <c:ptCount val="1"/>
                <c:pt idx="0">
                  <c:v>Baseline simulation
</c:v>
                </c:pt>
              </c:strCache>
            </c:strRef>
          </c:tx>
          <c:spPr>
            <a:ln w="28575" cap="rnd">
              <a:noFill/>
              <a:round/>
            </a:ln>
            <a:effectLst/>
          </c:spPr>
          <c:marker>
            <c:symbol val="circle"/>
            <c:size val="7"/>
            <c:spPr>
              <a:solidFill>
                <a:schemeClr val="tx1"/>
              </a:solidFill>
              <a:ln w="9525">
                <a:noFill/>
              </a:ln>
              <a:effectLst/>
            </c:spPr>
          </c:marker>
          <c:cat>
            <c:numRef>
              <c:extLst>
                <c:ext xmlns:c15="http://schemas.microsoft.com/office/drawing/2012/chart" uri="{02D57815-91ED-43cb-92C2-25804820EDAC}">
                  <c15:fullRef>
                    <c15:sqref>'2SI'!$B$65:$B$72</c15:sqref>
                  </c15:fullRef>
                </c:ext>
              </c:extLst>
              <c:f>'2SI'!$B$65:$B$69</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'2SI'!$C$65:$C$72</c15:sqref>
                  </c15:fullRef>
                </c:ext>
              </c:extLst>
              <c:f>'2SI'!$C$65:$C$69</c:f>
              <c:numCache>
                <c:formatCode>0.00</c:formatCode>
                <c:ptCount val="5"/>
                <c:pt idx="0">
                  <c:v>10.016682216654242</c:v>
                </c:pt>
                <c:pt idx="1">
                  <c:v>9.5311784897821479</c:v>
                </c:pt>
                <c:pt idx="2">
                  <c:v>10.269571169255046</c:v>
                </c:pt>
                <c:pt idx="3">
                  <c:v>9.6306415446578573</c:v>
                </c:pt>
                <c:pt idx="4">
                  <c:v>9.8157417281948369</c:v>
                </c:pt>
              </c:numCache>
            </c:numRef>
          </c:val>
          <c:smooth val="0"/>
          <c:extLst>
            <c:ext xmlns:c16="http://schemas.microsoft.com/office/drawing/2014/chart" uri="{C3380CC4-5D6E-409C-BE32-E72D297353CC}">
              <c16:uniqueId val="{00000000-A145-4672-9C10-CFF70791E14F}"/>
            </c:ext>
          </c:extLst>
        </c:ser>
        <c:ser>
          <c:idx val="0"/>
          <c:order val="1"/>
          <c:tx>
            <c:strRef>
              <c:f>'2SI'!$D$64</c:f>
              <c:strCache>
                <c:ptCount val="1"/>
                <c:pt idx="0">
                  <c:v>Legislation unchanged since 2019/2023</c:v>
                </c:pt>
              </c:strCache>
            </c:strRef>
          </c:tx>
          <c:spPr>
            <a:ln w="28575" cap="rnd">
              <a:noFill/>
              <a:round/>
            </a:ln>
            <a:effectLst/>
          </c:spPr>
          <c:marker>
            <c:symbol val="circle"/>
            <c:size val="7"/>
            <c:spPr>
              <a:noFill/>
              <a:ln w="25400">
                <a:solidFill>
                  <a:srgbClr val="C00000"/>
                </a:solidFill>
              </a:ln>
              <a:effectLst/>
            </c:spPr>
          </c:marker>
          <c:cat>
            <c:numRef>
              <c:extLst>
                <c:ext xmlns:c15="http://schemas.microsoft.com/office/drawing/2012/chart" uri="{02D57815-91ED-43cb-92C2-25804820EDAC}">
                  <c15:fullRef>
                    <c15:sqref>'2SI'!$B$65:$B$72</c15:sqref>
                  </c15:fullRef>
                </c:ext>
              </c:extLst>
              <c:f>'2SI'!$B$65:$B$69</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'2SI'!$D$65:$D$72</c15:sqref>
                  </c15:fullRef>
                </c:ext>
              </c:extLst>
              <c:f>'2SI'!$D$65:$D$69</c:f>
              <c:numCache>
                <c:formatCode>0.00%</c:formatCode>
                <c:ptCount val="5"/>
                <c:pt idx="4" formatCode="0.00">
                  <c:v>12.032730750340763</c:v>
                </c:pt>
              </c:numCache>
            </c:numRef>
          </c:val>
          <c:smooth val="0"/>
          <c:extLst>
            <c:ext xmlns:c16="http://schemas.microsoft.com/office/drawing/2014/chart" uri="{C3380CC4-5D6E-409C-BE32-E72D297353CC}">
              <c16:uniqueId val="{00000001-A145-4672-9C10-CFF70791E14F}"/>
            </c:ext>
          </c:extLst>
        </c:ser>
        <c:ser>
          <c:idx val="2"/>
          <c:order val="2"/>
          <c:tx>
            <c:strRef>
              <c:f>'2SI'!$E$64</c:f>
              <c:strCache>
                <c:ptCount val="1"/>
                <c:pt idx="0">
                  <c:v>Index with tax base growth</c:v>
                </c:pt>
              </c:strCache>
            </c:strRef>
          </c:tx>
          <c:spPr>
            <a:ln w="28575" cap="rnd">
              <a:noFill/>
              <a:round/>
            </a:ln>
            <a:effectLst/>
          </c:spPr>
          <c:marker>
            <c:symbol val="square"/>
            <c:size val="6"/>
            <c:spPr>
              <a:noFill/>
              <a:ln w="25400">
                <a:solidFill>
                  <a:schemeClr val="accent6">
                    <a:lumMod val="75000"/>
                  </a:schemeClr>
                </a:solidFill>
              </a:ln>
              <a:effectLst/>
            </c:spPr>
          </c:marker>
          <c:cat>
            <c:numRef>
              <c:extLst>
                <c:ext xmlns:c15="http://schemas.microsoft.com/office/drawing/2012/chart" uri="{02D57815-91ED-43cb-92C2-25804820EDAC}">
                  <c15:fullRef>
                    <c15:sqref>'2SI'!$B$65:$B$72</c15:sqref>
                  </c15:fullRef>
                </c:ext>
              </c:extLst>
              <c:f>'2SI'!$B$65:$B$69</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'2SI'!$E$65:$E$72</c15:sqref>
                  </c15:fullRef>
                </c:ext>
              </c:extLst>
              <c:f>'2SI'!$E$65:$E$69</c:f>
              <c:numCache>
                <c:formatCode>0.00%</c:formatCode>
                <c:ptCount val="5"/>
                <c:pt idx="4" formatCode="0.00">
                  <c:v>10.091699174800164</c:v>
                </c:pt>
              </c:numCache>
            </c:numRef>
          </c:val>
          <c:smooth val="0"/>
          <c:extLst xmlns:c15="http://schemas.microsoft.com/office/drawing/2012/chart">
            <c:ext xmlns:c16="http://schemas.microsoft.com/office/drawing/2014/chart" uri="{C3380CC4-5D6E-409C-BE32-E72D297353CC}">
              <c16:uniqueId val="{00000002-A145-4672-9C10-CFF70791E14F}"/>
            </c:ext>
          </c:extLst>
        </c:ser>
        <c:ser>
          <c:idx val="3"/>
          <c:order val="3"/>
          <c:tx>
            <c:strRef>
              <c:f>'2SI'!$F$64</c:f>
              <c:strCache>
                <c:ptCount val="1"/>
                <c:pt idx="0">
                  <c:v>Index with lagged HCPI</c:v>
                </c:pt>
              </c:strCache>
            </c:strRef>
          </c:tx>
          <c:spPr>
            <a:ln w="28575" cap="rnd">
              <a:noFill/>
              <a:round/>
            </a:ln>
            <a:effectLst/>
          </c:spPr>
          <c:marker>
            <c:symbol val="diamond"/>
            <c:size val="7"/>
            <c:spPr>
              <a:noFill/>
              <a:ln w="25400">
                <a:solidFill>
                  <a:schemeClr val="accent4"/>
                </a:solidFill>
              </a:ln>
              <a:effectLst/>
            </c:spPr>
          </c:marker>
          <c:cat>
            <c:numRef>
              <c:extLst>
                <c:ext xmlns:c15="http://schemas.microsoft.com/office/drawing/2012/chart" uri="{02D57815-91ED-43cb-92C2-25804820EDAC}">
                  <c15:fullRef>
                    <c15:sqref>'2SI'!$B$65:$B$72</c15:sqref>
                  </c15:fullRef>
                </c:ext>
              </c:extLst>
              <c:f>'2SI'!$B$65:$B$69</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'2SI'!$F$65:$F$72</c15:sqref>
                  </c15:fullRef>
                </c:ext>
              </c:extLst>
              <c:f>'2SI'!$F$65:$F$69</c:f>
              <c:numCache>
                <c:formatCode>0.00%</c:formatCode>
                <c:ptCount val="5"/>
                <c:pt idx="4" formatCode="0.00">
                  <c:v>10.996845047931259</c:v>
                </c:pt>
              </c:numCache>
            </c:numRef>
          </c:val>
          <c:smooth val="0"/>
          <c:extLst>
            <c:ext xmlns:c16="http://schemas.microsoft.com/office/drawing/2014/chart" uri="{C3380CC4-5D6E-409C-BE32-E72D297353CC}">
              <c16:uniqueId val="{00000003-A145-4672-9C10-CFF70791E14F}"/>
            </c:ext>
          </c:extLst>
        </c:ser>
        <c:ser>
          <c:idx val="4"/>
          <c:order val="4"/>
          <c:tx>
            <c:strRef>
              <c:f>'2SI'!$G$64</c:f>
              <c:strCache>
                <c:ptCount val="1"/>
                <c:pt idx="0">
                  <c:v>Index with concurrent HCPI</c:v>
                </c:pt>
              </c:strCache>
            </c:strRef>
          </c:tx>
          <c:spPr>
            <a:ln w="28575" cap="rnd">
              <a:noFill/>
              <a:round/>
            </a:ln>
            <a:effectLst/>
          </c:spPr>
          <c:marker>
            <c:symbol val="triangle"/>
            <c:size val="6"/>
            <c:spPr>
              <a:noFill/>
              <a:ln w="25400">
                <a:solidFill>
                  <a:schemeClr val="accent5">
                    <a:lumMod val="75000"/>
                  </a:schemeClr>
                </a:solidFill>
              </a:ln>
              <a:effectLst/>
            </c:spPr>
          </c:marker>
          <c:cat>
            <c:numRef>
              <c:extLst>
                <c:ext xmlns:c15="http://schemas.microsoft.com/office/drawing/2012/chart" uri="{02D57815-91ED-43cb-92C2-25804820EDAC}">
                  <c15:fullRef>
                    <c15:sqref>'2SI'!$B$65:$B$72</c15:sqref>
                  </c15:fullRef>
                </c:ext>
              </c:extLst>
              <c:f>'2SI'!$B$65:$B$69</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'2SI'!$G$65:$G$72</c15:sqref>
                  </c15:fullRef>
                </c:ext>
              </c:extLst>
              <c:f>'2SI'!$G$65:$G$69</c:f>
              <c:numCache>
                <c:formatCode>0.00%</c:formatCode>
                <c:ptCount val="5"/>
                <c:pt idx="4" formatCode="0.00">
                  <c:v>10.549888781042583</c:v>
                </c:pt>
              </c:numCache>
            </c:numRef>
          </c:val>
          <c:smooth val="0"/>
          <c:extLst>
            <c:ext xmlns:c16="http://schemas.microsoft.com/office/drawing/2014/chart" uri="{C3380CC4-5D6E-409C-BE32-E72D297353CC}">
              <c16:uniqueId val="{00000004-A145-4672-9C10-CFF70791E14F}"/>
            </c:ext>
          </c:extLst>
        </c:ser>
        <c:dLbls>
          <c:showLegendKey val="0"/>
          <c:showVal val="0"/>
          <c:showCatName val="0"/>
          <c:showSerName val="0"/>
          <c:showPercent val="0"/>
          <c:showBubbleSize val="0"/>
        </c:dLbls>
        <c:marker val="1"/>
        <c:smooth val="0"/>
        <c:axId val="709475840"/>
        <c:axId val="605168576"/>
        <c:extLst/>
      </c:lineChart>
      <c:catAx>
        <c:axId val="709475840"/>
        <c:scaling>
          <c:orientation val="minMax"/>
        </c:scaling>
        <c:delete val="0"/>
        <c:axPos val="b"/>
        <c:numFmt formatCode="General" sourceLinked="1"/>
        <c:majorTickMark val="out"/>
        <c:minorTickMark val="none"/>
        <c:tickLblPos val="nextTo"/>
        <c:spPr>
          <a:noFill/>
          <a:ln w="635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mn-cs"/>
              </a:defRPr>
            </a:pPr>
            <a:endParaRPr lang="es-ES_tradnl"/>
          </a:p>
        </c:txPr>
        <c:crossAx val="605168576"/>
        <c:crosses val="autoZero"/>
        <c:auto val="1"/>
        <c:lblAlgn val="ctr"/>
        <c:lblOffset val="100"/>
        <c:noMultiLvlLbl val="0"/>
      </c:catAx>
      <c:valAx>
        <c:axId val="6051685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s-ES_tradnl" sz="1050">
                    <a:solidFill>
                      <a:sysClr val="windowText" lastClr="000000"/>
                    </a:solidFill>
                    <a:latin typeface="Times New Roman" panose="02020603050405020304" pitchFamily="18" charset="0"/>
                    <a:cs typeface="Times New Roman" panose="02020603050405020304" pitchFamily="18" charset="0"/>
                  </a:rPr>
                  <a:t>Rate</a:t>
                </a:r>
              </a:p>
            </c:rich>
          </c:tx>
          <c:overlay val="0"/>
          <c:spPr>
            <a:noFill/>
            <a:ln>
              <a:noFill/>
            </a:ln>
            <a:effectLst/>
          </c:spPr>
          <c:txPr>
            <a:bodyPr rot="-5400000" spcFirstLastPara="1" vertOverflow="ellipsis" vert="horz" wrap="square" anchor="ctr" anchorCtr="1"/>
            <a:lstStyle/>
            <a:p>
              <a:pPr>
                <a:defRPr sz="10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title>
        <c:numFmt formatCode="#,##0.0" sourceLinked="0"/>
        <c:majorTickMark val="out"/>
        <c:minorTickMark val="none"/>
        <c:tickLblPos val="nextTo"/>
        <c:spPr>
          <a:noFill/>
          <a:ln w="6350">
            <a:solidFill>
              <a:schemeClr val="tx1">
                <a:lumMod val="65000"/>
                <a:lumOff val="35000"/>
              </a:schemeClr>
            </a:solidFill>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mn-cs"/>
              </a:defRPr>
            </a:pPr>
            <a:endParaRPr lang="es-ES_tradnl"/>
          </a:p>
        </c:txPr>
        <c:crossAx val="709475840"/>
        <c:crosses val="autoZero"/>
        <c:crossBetween val="between"/>
      </c:valAx>
      <c:spPr>
        <a:noFill/>
        <a:ln>
          <a:noFill/>
        </a:ln>
        <a:effectLst/>
      </c:spPr>
    </c:plotArea>
    <c:legend>
      <c:legendPos val="b"/>
      <c:layout>
        <c:manualLayout>
          <c:xMode val="edge"/>
          <c:yMode val="edge"/>
          <c:x val="8.1926620958132398E-2"/>
          <c:y val="0.78900773467278962"/>
          <c:w val="0.8223310520657221"/>
          <c:h val="0.1997652991480407"/>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legend>
    <c:plotVisOnly val="1"/>
    <c:dispBlanksAs val="gap"/>
    <c:showDLblsOverMax val="0"/>
  </c:chart>
  <c:spPr>
    <a:solidFill>
      <a:schemeClr val="bg1"/>
    </a:solidFill>
    <a:ln w="9525" cap="flat" cmpd="sng" algn="ctr">
      <a:noFill/>
      <a:round/>
    </a:ln>
    <a:effectLst/>
  </c:spPr>
  <c:txPr>
    <a:bodyPr/>
    <a:lstStyle/>
    <a:p>
      <a:pPr>
        <a:defRPr/>
      </a:pPr>
      <a:endParaRPr lang="es-ES_tradnl"/>
    </a:p>
  </c:txPr>
  <c:printSettings>
    <c:headerFooter/>
    <c:pageMargins b="0.75" l="0.84" r="0.25" t="0.75" header="0.3" footer="0.3"/>
    <c:pageSetup paperSize="9" orientation="landscape"/>
  </c:printSettings>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457409308717575"/>
          <c:y val="4.6087571003560986E-2"/>
          <c:w val="0.82558175067451101"/>
          <c:h val="0.64272676146640684"/>
        </c:manualLayout>
      </c:layout>
      <c:lineChart>
        <c:grouping val="standard"/>
        <c:varyColors val="0"/>
        <c:ser>
          <c:idx val="1"/>
          <c:order val="0"/>
          <c:tx>
            <c:strRef>
              <c:f>'2SI'!$W$45</c:f>
              <c:strCache>
                <c:ptCount val="1"/>
                <c:pt idx="0">
                  <c:v>Observed (National Accounts)</c:v>
                </c:pt>
              </c:strCache>
            </c:strRef>
          </c:tx>
          <c:spPr>
            <a:ln w="25400" cap="rnd">
              <a:solidFill>
                <a:schemeClr val="tx1">
                  <a:lumMod val="65000"/>
                  <a:lumOff val="35000"/>
                </a:schemeClr>
              </a:solidFill>
              <a:prstDash val="sysDash"/>
              <a:round/>
            </a:ln>
            <a:effectLst/>
          </c:spPr>
          <c:marker>
            <c:symbol val="none"/>
          </c:marker>
          <c:cat>
            <c:numRef>
              <c:extLst>
                <c:ext xmlns:c15="http://schemas.microsoft.com/office/drawing/2012/chart" uri="{02D57815-91ED-43cb-92C2-25804820EDAC}">
                  <c15:fullRef>
                    <c15:sqref>'2SI'!$U$46:$U$53</c15:sqref>
                  </c15:fullRef>
                </c:ext>
              </c:extLst>
              <c:f>'2SI'!$U$46:$U$50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'2SI'!$W$46:$W$53</c15:sqref>
                  </c15:fullRef>
                </c:ext>
              </c:extLst>
              <c:f>'2SI'!$W$46:$W$50</c:f>
              <c:numCache>
                <c:formatCode>0.0%</c:formatCode>
                <c:ptCount val="5"/>
                <c:pt idx="0">
                  <c:v>5.2819453240995504E-2</c:v>
                </c:pt>
                <c:pt idx="1">
                  <c:v>5.2650159289839044E-2</c:v>
                </c:pt>
                <c:pt idx="2">
                  <c:v>5.428986632732697E-2</c:v>
                </c:pt>
                <c:pt idx="3">
                  <c:v>5.1781095366621684E-2</c:v>
                </c:pt>
                <c:pt idx="4">
                  <c:v>5.0694904864959534E-2</c:v>
                </c:pt>
              </c:numCache>
            </c:numRef>
          </c:val>
          <c:smooth val="0"/>
          <c:extLst>
            <c:ext xmlns:c16="http://schemas.microsoft.com/office/drawing/2014/chart" uri="{C3380CC4-5D6E-409C-BE32-E72D297353CC}">
              <c16:uniqueId val="{00000000-42D1-46DA-A23F-AA2735DA6EE3}"/>
            </c:ext>
          </c:extLst>
        </c:ser>
        <c:ser>
          <c:idx val="0"/>
          <c:order val="1"/>
          <c:tx>
            <c:strRef>
              <c:f>'2SI'!$V$45</c:f>
              <c:strCache>
                <c:ptCount val="1"/>
                <c:pt idx="0">
                  <c:v>Baseline simulation (before reescaling)</c:v>
                </c:pt>
              </c:strCache>
            </c:strRef>
          </c:tx>
          <c:spPr>
            <a:ln w="25400" cap="rnd">
              <a:noFill/>
              <a:round/>
            </a:ln>
            <a:effectLst/>
          </c:spPr>
          <c:marker>
            <c:symbol val="circle"/>
            <c:size val="8"/>
            <c:spPr>
              <a:solidFill>
                <a:schemeClr val="bg1">
                  <a:lumMod val="85000"/>
                </a:schemeClr>
              </a:solidFill>
              <a:ln w="25400">
                <a:noFill/>
              </a:ln>
              <a:effectLst/>
            </c:spPr>
          </c:marker>
          <c:cat>
            <c:numRef>
              <c:extLst>
                <c:ext xmlns:c15="http://schemas.microsoft.com/office/drawing/2012/chart" uri="{02D57815-91ED-43cb-92C2-25804820EDAC}">
                  <c15:fullRef>
                    <c15:sqref>'2SI'!$U$46:$U$53</c15:sqref>
                  </c15:fullRef>
                </c:ext>
              </c:extLst>
              <c:f>'2SI'!$U$46:$U$50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'2SI'!$V$46:$V$53</c15:sqref>
                  </c15:fullRef>
                </c:ext>
              </c:extLst>
              <c:f>'2SI'!$V$46:$V$50</c:f>
              <c:numCache>
                <c:formatCode>0.0%</c:formatCode>
                <c:ptCount val="5"/>
                <c:pt idx="0">
                  <c:v>5.3552910951684705E-2</c:v>
                </c:pt>
                <c:pt idx="1">
                  <c:v>5.3810324994653241E-2</c:v>
                </c:pt>
                <c:pt idx="2">
                  <c:v>5.6296267014874342E-2</c:v>
                </c:pt>
                <c:pt idx="3">
                  <c:v>5.0770349917404596E-2</c:v>
                </c:pt>
                <c:pt idx="4">
                  <c:v>4.9696422118440303E-2</c:v>
                </c:pt>
              </c:numCache>
            </c:numRef>
          </c:val>
          <c:smooth val="0"/>
          <c:extLst>
            <c:ext xmlns:c16="http://schemas.microsoft.com/office/drawing/2014/chart" uri="{C3380CC4-5D6E-409C-BE32-E72D297353CC}">
              <c16:uniqueId val="{00000001-42D1-46DA-A23F-AA2735DA6EE3}"/>
            </c:ext>
          </c:extLst>
        </c:ser>
        <c:ser>
          <c:idx val="3"/>
          <c:order val="2"/>
          <c:tx>
            <c:strRef>
              <c:f>'2SI'!$Y$45</c:f>
              <c:strCache>
                <c:ptCount val="1"/>
                <c:pt idx="0">
                  <c:v>Baseline simulation (after reescaling)</c:v>
                </c:pt>
              </c:strCache>
            </c:strRef>
          </c:tx>
          <c:spPr>
            <a:ln w="25400" cap="rnd">
              <a:noFill/>
              <a:round/>
            </a:ln>
            <a:effectLst/>
          </c:spPr>
          <c:marker>
            <c:symbol val="circle"/>
            <c:size val="7"/>
            <c:spPr>
              <a:solidFill>
                <a:schemeClr val="tx1"/>
              </a:solidFill>
              <a:ln w="9525">
                <a:solidFill>
                  <a:schemeClr val="tx1"/>
                </a:solidFill>
              </a:ln>
              <a:effectLst/>
            </c:spPr>
          </c:marker>
          <c:cat>
            <c:numRef>
              <c:extLst>
                <c:ext xmlns:c15="http://schemas.microsoft.com/office/drawing/2012/chart" uri="{02D57815-91ED-43cb-92C2-25804820EDAC}">
                  <c15:fullRef>
                    <c15:sqref>'2SI'!$U$46:$U$53</c15:sqref>
                  </c15:fullRef>
                </c:ext>
              </c:extLst>
              <c:f>'2SI'!$U$46:$U$50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'2SI'!$Y$46:$Y$53</c15:sqref>
                  </c15:fullRef>
                </c:ext>
              </c:extLst>
              <c:f>'2SI'!$Y$46:$Y$50</c:f>
              <c:numCache>
                <c:formatCode>0.0%</c:formatCode>
                <c:ptCount val="5"/>
                <c:pt idx="0">
                  <c:v>5.2819453240995504E-2</c:v>
                </c:pt>
                <c:pt idx="4">
                  <c:v>5.0694904864959527E-2</c:v>
                </c:pt>
              </c:numCache>
            </c:numRef>
          </c:val>
          <c:smooth val="0"/>
          <c:extLst>
            <c:ext xmlns:c16="http://schemas.microsoft.com/office/drawing/2014/chart" uri="{C3380CC4-5D6E-409C-BE32-E72D297353CC}">
              <c16:uniqueId val="{00000002-42D1-46DA-A23F-AA2735DA6EE3}"/>
            </c:ext>
          </c:extLst>
        </c:ser>
        <c:ser>
          <c:idx val="4"/>
          <c:order val="3"/>
          <c:tx>
            <c:strRef>
              <c:f>'2SI'!$Z$45</c:f>
              <c:strCache>
                <c:ptCount val="1"/>
                <c:pt idx="0">
                  <c:v>Unchanged legislation since 2019/2023</c:v>
                </c:pt>
              </c:strCache>
            </c:strRef>
          </c:tx>
          <c:spPr>
            <a:ln w="25400" cap="rnd">
              <a:noFill/>
              <a:round/>
            </a:ln>
            <a:effectLst/>
          </c:spPr>
          <c:marker>
            <c:symbol val="circle"/>
            <c:size val="6"/>
            <c:spPr>
              <a:noFill/>
              <a:ln w="25400">
                <a:solidFill>
                  <a:srgbClr val="C00000"/>
                </a:solidFill>
              </a:ln>
              <a:effectLst/>
            </c:spPr>
          </c:marker>
          <c:cat>
            <c:numRef>
              <c:extLst>
                <c:ext xmlns:c15="http://schemas.microsoft.com/office/drawing/2012/chart" uri="{02D57815-91ED-43cb-92C2-25804820EDAC}">
                  <c15:fullRef>
                    <c15:sqref>'2SI'!$U$46:$U$53</c15:sqref>
                  </c15:fullRef>
                </c:ext>
              </c:extLst>
              <c:f>'2SI'!$U$46:$U$50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'2SI'!$Z$46:$Z$53</c15:sqref>
                  </c15:fullRef>
                </c:ext>
              </c:extLst>
              <c:f>'2SI'!$Z$46:$Z$50</c:f>
              <c:numCache>
                <c:formatCode>0.0%</c:formatCode>
                <c:ptCount val="5"/>
                <c:pt idx="4">
                  <c:v>6.2144884976143289E-2</c:v>
                </c:pt>
              </c:numCache>
            </c:numRef>
          </c:val>
          <c:smooth val="0"/>
          <c:extLst>
            <c:ext xmlns:c16="http://schemas.microsoft.com/office/drawing/2014/chart" uri="{C3380CC4-5D6E-409C-BE32-E72D297353CC}">
              <c16:uniqueId val="{00000003-42D1-46DA-A23F-AA2735DA6EE3}"/>
            </c:ext>
          </c:extLst>
        </c:ser>
        <c:ser>
          <c:idx val="5"/>
          <c:order val="4"/>
          <c:tx>
            <c:strRef>
              <c:f>'2SI'!$AA$45</c:f>
              <c:strCache>
                <c:ptCount val="1"/>
                <c:pt idx="0">
                  <c:v>Indexing with tax base growth</c:v>
                </c:pt>
              </c:strCache>
            </c:strRef>
          </c:tx>
          <c:spPr>
            <a:ln w="25400" cap="rnd">
              <a:noFill/>
              <a:round/>
            </a:ln>
            <a:effectLst/>
          </c:spPr>
          <c:marker>
            <c:symbol val="square"/>
            <c:size val="5"/>
            <c:spPr>
              <a:noFill/>
              <a:ln w="25400">
                <a:solidFill>
                  <a:schemeClr val="accent6">
                    <a:lumMod val="75000"/>
                  </a:schemeClr>
                </a:solidFill>
              </a:ln>
              <a:effectLst/>
            </c:spPr>
          </c:marker>
          <c:cat>
            <c:numRef>
              <c:extLst>
                <c:ext xmlns:c15="http://schemas.microsoft.com/office/drawing/2012/chart" uri="{02D57815-91ED-43cb-92C2-25804820EDAC}">
                  <c15:fullRef>
                    <c15:sqref>'2SI'!$U$46:$U$53</c15:sqref>
                  </c15:fullRef>
                </c:ext>
              </c:extLst>
              <c:f>'2SI'!$U$46:$U$50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'2SI'!$AA$46:$AA$53</c15:sqref>
                  </c15:fullRef>
                </c:ext>
              </c:extLst>
              <c:f>'2SI'!$AA$46:$AA$50</c:f>
              <c:numCache>
                <c:formatCode>0.0%</c:formatCode>
                <c:ptCount val="5"/>
                <c:pt idx="4">
                  <c:v>5.2120129457233606E-2</c:v>
                </c:pt>
              </c:numCache>
            </c:numRef>
          </c:val>
          <c:smooth val="0"/>
          <c:extLst>
            <c:ext xmlns:c16="http://schemas.microsoft.com/office/drawing/2014/chart" uri="{C3380CC4-5D6E-409C-BE32-E72D297353CC}">
              <c16:uniqueId val="{00000004-42D1-46DA-A23F-AA2735DA6EE3}"/>
            </c:ext>
          </c:extLst>
        </c:ser>
        <c:ser>
          <c:idx val="6"/>
          <c:order val="5"/>
          <c:tx>
            <c:strRef>
              <c:f>'2SI'!$AB$45</c:f>
              <c:strCache>
                <c:ptCount val="1"/>
                <c:pt idx="0">
                  <c:v>Indexing with lagged HCPI</c:v>
                </c:pt>
              </c:strCache>
            </c:strRef>
          </c:tx>
          <c:spPr>
            <a:ln w="25400" cap="rnd">
              <a:noFill/>
              <a:round/>
            </a:ln>
            <a:effectLst/>
          </c:spPr>
          <c:marker>
            <c:symbol val="diamond"/>
            <c:size val="6"/>
            <c:spPr>
              <a:noFill/>
              <a:ln w="25400">
                <a:solidFill>
                  <a:schemeClr val="accent4"/>
                </a:solidFill>
              </a:ln>
              <a:effectLst/>
            </c:spPr>
          </c:marker>
          <c:cat>
            <c:numRef>
              <c:extLst>
                <c:ext xmlns:c15="http://schemas.microsoft.com/office/drawing/2012/chart" uri="{02D57815-91ED-43cb-92C2-25804820EDAC}">
                  <c15:fullRef>
                    <c15:sqref>'2SI'!$U$46:$U$53</c15:sqref>
                  </c15:fullRef>
                </c:ext>
              </c:extLst>
              <c:f>'2SI'!$U$46:$U$50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'2SI'!$AB$46:$AB$53</c15:sqref>
                  </c15:fullRef>
                </c:ext>
              </c:extLst>
              <c:f>'2SI'!$AB$46:$AB$50</c:f>
              <c:numCache>
                <c:formatCode>0.0%</c:formatCode>
                <c:ptCount val="5"/>
                <c:pt idx="4">
                  <c:v>5.679489425829673E-2</c:v>
                </c:pt>
              </c:numCache>
            </c:numRef>
          </c:val>
          <c:smooth val="0"/>
          <c:extLst>
            <c:ext xmlns:c16="http://schemas.microsoft.com/office/drawing/2014/chart" uri="{C3380CC4-5D6E-409C-BE32-E72D297353CC}">
              <c16:uniqueId val="{00000005-42D1-46DA-A23F-AA2735DA6EE3}"/>
            </c:ext>
          </c:extLst>
        </c:ser>
        <c:ser>
          <c:idx val="7"/>
          <c:order val="6"/>
          <c:tx>
            <c:strRef>
              <c:f>'2SI'!$AC$45</c:f>
              <c:strCache>
                <c:ptCount val="1"/>
                <c:pt idx="0">
                  <c:v>Indexing with concurrent HCPI</c:v>
                </c:pt>
              </c:strCache>
            </c:strRef>
          </c:tx>
          <c:spPr>
            <a:ln w="25400" cap="rnd">
              <a:noFill/>
              <a:round/>
            </a:ln>
            <a:effectLst/>
          </c:spPr>
          <c:marker>
            <c:symbol val="triangle"/>
            <c:size val="6"/>
            <c:spPr>
              <a:noFill/>
              <a:ln w="25400">
                <a:solidFill>
                  <a:schemeClr val="accent5">
                    <a:lumMod val="75000"/>
                  </a:schemeClr>
                </a:solidFill>
              </a:ln>
              <a:effectLst/>
            </c:spPr>
          </c:marker>
          <c:cat>
            <c:numRef>
              <c:extLst>
                <c:ext xmlns:c15="http://schemas.microsoft.com/office/drawing/2012/chart" uri="{02D57815-91ED-43cb-92C2-25804820EDAC}">
                  <c15:fullRef>
                    <c15:sqref>'2SI'!$U$46:$U$53</c15:sqref>
                  </c15:fullRef>
                </c:ext>
              </c:extLst>
              <c:f>'2SI'!$U$46:$U$50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'2SI'!$AC$46:$AC$53</c15:sqref>
                  </c15:fullRef>
                </c:ext>
              </c:extLst>
              <c:f>'2SI'!$AC$46:$AC$50</c:f>
              <c:numCache>
                <c:formatCode>0.0%</c:formatCode>
                <c:ptCount val="5"/>
                <c:pt idx="4">
                  <c:v>5.4486520010466361E-2</c:v>
                </c:pt>
              </c:numCache>
            </c:numRef>
          </c:val>
          <c:smooth val="0"/>
          <c:extLst>
            <c:ext xmlns:c16="http://schemas.microsoft.com/office/drawing/2014/chart" uri="{C3380CC4-5D6E-409C-BE32-E72D297353CC}">
              <c16:uniqueId val="{00000006-42D1-46DA-A23F-AA2735DA6EE3}"/>
            </c:ext>
          </c:extLst>
        </c:ser>
        <c:dLbls>
          <c:showLegendKey val="0"/>
          <c:showVal val="0"/>
          <c:showCatName val="0"/>
          <c:showSerName val="0"/>
          <c:showPercent val="0"/>
          <c:showBubbleSize val="0"/>
        </c:dLbls>
        <c:smooth val="0"/>
        <c:axId val="709475840"/>
        <c:axId val="605168576"/>
        <c:extLst/>
      </c:lineChart>
      <c:catAx>
        <c:axId val="709475840"/>
        <c:scaling>
          <c:orientation val="minMax"/>
        </c:scaling>
        <c:delete val="0"/>
        <c:axPos val="b"/>
        <c:numFmt formatCode="General" sourceLinked="1"/>
        <c:majorTickMark val="out"/>
        <c:minorTickMark val="none"/>
        <c:tickLblPos val="nextTo"/>
        <c:spPr>
          <a:noFill/>
          <a:ln w="6350" cap="flat" cmpd="sng" algn="ctr">
            <a:solidFill>
              <a:schemeClr val="tx1"/>
            </a:solidFill>
            <a:round/>
          </a:ln>
          <a:effectLst/>
        </c:spPr>
        <c:txPr>
          <a:bodyPr rot="-60000000" spcFirstLastPara="1" vertOverflow="ellipsis" vert="horz" wrap="square" anchor="ctr" anchorCtr="1"/>
          <a:lstStyle/>
          <a:p>
            <a:pPr>
              <a:defRPr sz="950" b="0" i="0" u="none" strike="noStrike" kern="1200" baseline="0">
                <a:solidFill>
                  <a:schemeClr val="tx1"/>
                </a:solidFill>
                <a:latin typeface="Times New Roman" panose="02020603050405020304" pitchFamily="18" charset="0"/>
                <a:ea typeface="+mn-ea"/>
                <a:cs typeface="+mn-cs"/>
              </a:defRPr>
            </a:pPr>
            <a:endParaRPr lang="es-ES_tradnl"/>
          </a:p>
        </c:txPr>
        <c:crossAx val="605168576"/>
        <c:crosses val="autoZero"/>
        <c:auto val="1"/>
        <c:lblAlgn val="ctr"/>
        <c:lblOffset val="100"/>
        <c:noMultiLvlLbl val="0"/>
      </c:catAx>
      <c:valAx>
        <c:axId val="6051685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s-ES_tradnl" sz="1050">
                    <a:solidFill>
                      <a:sysClr val="windowText" lastClr="000000"/>
                    </a:solidFill>
                    <a:latin typeface="Times New Roman" panose="02020603050405020304" pitchFamily="18" charset="0"/>
                    <a:cs typeface="Times New Roman" panose="02020603050405020304" pitchFamily="18" charset="0"/>
                  </a:rPr>
                  <a:t>Share of GDP</a:t>
                </a:r>
              </a:p>
            </c:rich>
          </c:tx>
          <c:overlay val="0"/>
          <c:spPr>
            <a:noFill/>
            <a:ln>
              <a:noFill/>
            </a:ln>
            <a:effectLst/>
          </c:spPr>
        </c:title>
        <c:numFmt formatCode="0%" sourceLinked="0"/>
        <c:majorTickMark val="out"/>
        <c:minorTickMark val="none"/>
        <c:tickLblPos val="nextTo"/>
        <c:spPr>
          <a:noFill/>
          <a:ln w="6350">
            <a:solidFill>
              <a:schemeClr val="tx1">
                <a:lumMod val="65000"/>
                <a:lumOff val="35000"/>
              </a:schemeClr>
            </a:solidFill>
          </a:ln>
          <a:effectLst/>
        </c:spPr>
        <c:txPr>
          <a:bodyPr rot="-60000000" spcFirstLastPara="1" vertOverflow="ellipsis" vert="horz" wrap="square" anchor="ctr" anchorCtr="1"/>
          <a:lstStyle/>
          <a:p>
            <a:pPr>
              <a:defRPr sz="950" b="0" i="0" u="none" strike="noStrike" kern="1200" baseline="0">
                <a:solidFill>
                  <a:schemeClr val="tx1"/>
                </a:solidFill>
                <a:latin typeface="Times New Roman" panose="02020603050405020304" pitchFamily="18" charset="0"/>
                <a:ea typeface="+mn-ea"/>
                <a:cs typeface="+mn-cs"/>
              </a:defRPr>
            </a:pPr>
            <a:endParaRPr lang="es-ES_tradnl"/>
          </a:p>
        </c:txPr>
        <c:crossAx val="709475840"/>
        <c:crosses val="autoZero"/>
        <c:crossBetween val="between"/>
      </c:valAx>
    </c:plotArea>
    <c:legend>
      <c:legendPos val="b"/>
      <c:layout>
        <c:manualLayout>
          <c:xMode val="edge"/>
          <c:yMode val="edge"/>
          <c:x val="0"/>
          <c:y val="0.80216933512597055"/>
          <c:w val="1"/>
          <c:h val="0.19783066487402948"/>
        </c:manualLayout>
      </c:layout>
      <c:overlay val="0"/>
      <c:spPr>
        <a:noFill/>
        <a:ln>
          <a:noFill/>
        </a:ln>
        <a:effectLst/>
      </c:spPr>
      <c:txPr>
        <a:bodyPr rot="0" spcFirstLastPara="1" vertOverflow="ellipsis" vert="horz" wrap="square" anchor="ctr" anchorCtr="1"/>
        <a:lstStyle/>
        <a:p>
          <a:pPr>
            <a:defRPr sz="9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legend>
    <c:plotVisOnly val="1"/>
    <c:dispBlanksAs val="gap"/>
    <c:showDLblsOverMax val="0"/>
  </c:chart>
  <c:spPr>
    <a:solidFill>
      <a:schemeClr val="bg1"/>
    </a:solidFill>
    <a:ln w="9525" cap="flat" cmpd="sng" algn="ctr">
      <a:noFill/>
      <a:round/>
    </a:ln>
    <a:effectLst/>
  </c:spPr>
  <c:txPr>
    <a:bodyPr/>
    <a:lstStyle/>
    <a:p>
      <a:pPr>
        <a:defRPr/>
      </a:pPr>
      <a:endParaRPr lang="es-ES_tradnl"/>
    </a:p>
  </c:txPr>
  <c:printSettings>
    <c:headerFooter/>
    <c:pageMargins b="0.75" l="0.25" r="0.25" t="0.75" header="0.3" footer="0.3"/>
    <c:pageSetup paperSize="9" orientation="landscape"/>
  </c:printSettings>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457409308717575"/>
          <c:y val="4.6087571003560986E-2"/>
          <c:w val="0.82558175067451101"/>
          <c:h val="0.64272676146640684"/>
        </c:manualLayout>
      </c:layout>
      <c:lineChart>
        <c:grouping val="standard"/>
        <c:varyColors val="0"/>
        <c:ser>
          <c:idx val="1"/>
          <c:order val="0"/>
          <c:tx>
            <c:strRef>
              <c:f>'2SK'!$D$45</c:f>
              <c:strCache>
                <c:ptCount val="1"/>
                <c:pt idx="0">
                  <c:v>Observed (National Accounts)</c:v>
                </c:pt>
              </c:strCache>
            </c:strRef>
          </c:tx>
          <c:spPr>
            <a:ln w="25400" cap="rnd">
              <a:solidFill>
                <a:schemeClr val="tx1">
                  <a:lumMod val="65000"/>
                  <a:lumOff val="35000"/>
                </a:schemeClr>
              </a:solidFill>
              <a:prstDash val="sysDash"/>
              <a:round/>
            </a:ln>
            <a:effectLst/>
          </c:spPr>
          <c:marker>
            <c:symbol val="none"/>
          </c:marker>
          <c:cat>
            <c:numRef>
              <c:extLst>
                <c:ext xmlns:c15="http://schemas.microsoft.com/office/drawing/2012/chart" uri="{02D57815-91ED-43cb-92C2-25804820EDAC}">
                  <c15:fullRef>
                    <c15:sqref>'2SK'!$B$46:$B$53</c15:sqref>
                  </c15:fullRef>
                </c:ext>
              </c:extLst>
              <c:f>'2SK'!$B$46:$B$50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'2SK'!$D$46:$D$53</c15:sqref>
                  </c15:fullRef>
                </c:ext>
              </c:extLst>
              <c:f>'2SK'!$D$46:$D$50</c:f>
              <c:numCache>
                <c:formatCode>_-* #,##0_-;\-* #,##0_-;_-* "-"??_-;_-@_-</c:formatCode>
                <c:ptCount val="5"/>
                <c:pt idx="0">
                  <c:v>3533.7</c:v>
                </c:pt>
                <c:pt idx="1">
                  <c:v>3500</c:v>
                </c:pt>
                <c:pt idx="2">
                  <c:v>3759.6999999999994</c:v>
                </c:pt>
                <c:pt idx="3">
                  <c:v>4125.8999999999996</c:v>
                </c:pt>
                <c:pt idx="4">
                  <c:v>4662.3999999999996</c:v>
                </c:pt>
              </c:numCache>
            </c:numRef>
          </c:val>
          <c:smooth val="0"/>
          <c:extLst>
            <c:ext xmlns:c16="http://schemas.microsoft.com/office/drawing/2014/chart" uri="{C3380CC4-5D6E-409C-BE32-E72D297353CC}">
              <c16:uniqueId val="{00000000-4F35-456F-A42A-A4F06F0BEEA1}"/>
            </c:ext>
          </c:extLst>
        </c:ser>
        <c:ser>
          <c:idx val="0"/>
          <c:order val="1"/>
          <c:tx>
            <c:strRef>
              <c:f>'2SK'!$C$45</c:f>
              <c:strCache>
                <c:ptCount val="1"/>
                <c:pt idx="0">
                  <c:v>Baseline simulation (before reescaling)</c:v>
                </c:pt>
              </c:strCache>
            </c:strRef>
          </c:tx>
          <c:spPr>
            <a:ln w="25400" cap="rnd">
              <a:noFill/>
              <a:round/>
            </a:ln>
            <a:effectLst/>
          </c:spPr>
          <c:marker>
            <c:symbol val="circle"/>
            <c:size val="8"/>
            <c:spPr>
              <a:solidFill>
                <a:schemeClr val="bg1">
                  <a:lumMod val="85000"/>
                </a:schemeClr>
              </a:solidFill>
              <a:ln w="25400">
                <a:noFill/>
              </a:ln>
              <a:effectLst/>
            </c:spPr>
          </c:marker>
          <c:cat>
            <c:numRef>
              <c:extLst>
                <c:ext xmlns:c15="http://schemas.microsoft.com/office/drawing/2012/chart" uri="{02D57815-91ED-43cb-92C2-25804820EDAC}">
                  <c15:fullRef>
                    <c15:sqref>'2SK'!$B$46:$B$53</c15:sqref>
                  </c15:fullRef>
                </c:ext>
              </c:extLst>
              <c:f>'2SK'!$B$46:$B$50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'2SK'!$C$46:$C$53</c15:sqref>
                  </c15:fullRef>
                </c:ext>
              </c:extLst>
              <c:f>'2SK'!$C$46:$C$50</c:f>
              <c:numCache>
                <c:formatCode>_-* #,##0_-;\-* #,##0_-;_-* "-"??_-;_-@_-</c:formatCode>
                <c:ptCount val="5"/>
                <c:pt idx="0">
                  <c:v>2385.4312858175963</c:v>
                </c:pt>
                <c:pt idx="1">
                  <c:v>2306.3373833724022</c:v>
                </c:pt>
                <c:pt idx="2">
                  <c:v>2666.0657816615972</c:v>
                </c:pt>
                <c:pt idx="3">
                  <c:v>2866.1821239359983</c:v>
                </c:pt>
                <c:pt idx="4">
                  <c:v>2880.6825308244047</c:v>
                </c:pt>
              </c:numCache>
            </c:numRef>
          </c:val>
          <c:smooth val="0"/>
          <c:extLst>
            <c:ext xmlns:c16="http://schemas.microsoft.com/office/drawing/2014/chart" uri="{C3380CC4-5D6E-409C-BE32-E72D297353CC}">
              <c16:uniqueId val="{00000001-4F35-456F-A42A-A4F06F0BEEA1}"/>
            </c:ext>
          </c:extLst>
        </c:ser>
        <c:ser>
          <c:idx val="3"/>
          <c:order val="3"/>
          <c:tx>
            <c:strRef>
              <c:f>'2SK'!$F$45</c:f>
              <c:strCache>
                <c:ptCount val="1"/>
                <c:pt idx="0">
                  <c:v>Baseline simulation (after reescaling)</c:v>
                </c:pt>
              </c:strCache>
            </c:strRef>
          </c:tx>
          <c:spPr>
            <a:ln w="25400" cap="rnd">
              <a:noFill/>
              <a:round/>
            </a:ln>
            <a:effectLst/>
          </c:spPr>
          <c:marker>
            <c:symbol val="circle"/>
            <c:size val="7"/>
            <c:spPr>
              <a:solidFill>
                <a:schemeClr val="tx1"/>
              </a:solidFill>
              <a:ln w="9525">
                <a:solidFill>
                  <a:schemeClr val="tx1"/>
                </a:solidFill>
              </a:ln>
              <a:effectLst/>
            </c:spPr>
          </c:marker>
          <c:cat>
            <c:numRef>
              <c:extLst>
                <c:ext xmlns:c15="http://schemas.microsoft.com/office/drawing/2012/chart" uri="{02D57815-91ED-43cb-92C2-25804820EDAC}">
                  <c15:fullRef>
                    <c15:sqref>'2SK'!$B$46:$B$53</c15:sqref>
                  </c15:fullRef>
                </c:ext>
              </c:extLst>
              <c:f>'2SK'!$B$46:$B$50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'2SK'!$F$46:$F$53</c15:sqref>
                  </c15:fullRef>
                </c:ext>
              </c:extLst>
              <c:f>'2SK'!$F$46:$F$50</c:f>
              <c:numCache>
                <c:formatCode>General</c:formatCode>
                <c:ptCount val="5"/>
                <c:pt idx="0" formatCode="_-* #,##0_-;\-* #,##0_-;_-* &quot;-&quot;??_-;_-@_-">
                  <c:v>3533.7</c:v>
                </c:pt>
                <c:pt idx="4" formatCode="_-* #,##0_-;\-* #,##0_-;_-* &quot;-&quot;??_-;_-@_-">
                  <c:v>4662.3999999999996</c:v>
                </c:pt>
              </c:numCache>
            </c:numRef>
          </c:val>
          <c:smooth val="0"/>
          <c:extLst>
            <c:ext xmlns:c16="http://schemas.microsoft.com/office/drawing/2014/chart" uri="{C3380CC4-5D6E-409C-BE32-E72D297353CC}">
              <c16:uniqueId val="{00000002-4F35-456F-A42A-A4F06F0BEEA1}"/>
            </c:ext>
          </c:extLst>
        </c:ser>
        <c:ser>
          <c:idx val="4"/>
          <c:order val="4"/>
          <c:tx>
            <c:strRef>
              <c:f>'2SK'!$G$45</c:f>
              <c:strCache>
                <c:ptCount val="1"/>
                <c:pt idx="0">
                  <c:v>Unchanged legislation since 2019/2023</c:v>
                </c:pt>
              </c:strCache>
            </c:strRef>
          </c:tx>
          <c:spPr>
            <a:ln w="25400" cap="rnd">
              <a:noFill/>
              <a:round/>
            </a:ln>
            <a:effectLst/>
          </c:spPr>
          <c:marker>
            <c:symbol val="circle"/>
            <c:size val="6"/>
            <c:spPr>
              <a:noFill/>
              <a:ln w="25400">
                <a:solidFill>
                  <a:srgbClr val="C00000"/>
                </a:solidFill>
              </a:ln>
              <a:effectLst/>
            </c:spPr>
          </c:marker>
          <c:cat>
            <c:numRef>
              <c:extLst>
                <c:ext xmlns:c15="http://schemas.microsoft.com/office/drawing/2012/chart" uri="{02D57815-91ED-43cb-92C2-25804820EDAC}">
                  <c15:fullRef>
                    <c15:sqref>'2SK'!$B$46:$B$53</c15:sqref>
                  </c15:fullRef>
                </c:ext>
              </c:extLst>
              <c:f>'2SK'!$B$46:$B$50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'2SK'!$G$46:$G$53</c15:sqref>
                  </c15:fullRef>
                </c:ext>
              </c:extLst>
              <c:f>'2SK'!$G$46:$G$50</c:f>
              <c:numCache>
                <c:formatCode>General</c:formatCode>
                <c:ptCount val="5"/>
                <c:pt idx="4" formatCode="_-* #,##0_-;\-* #,##0_-;_-* &quot;-&quot;??_-;_-@_-">
                  <c:v>6163.7634889781648</c:v>
                </c:pt>
              </c:numCache>
            </c:numRef>
          </c:val>
          <c:smooth val="0"/>
          <c:extLst>
            <c:ext xmlns:c16="http://schemas.microsoft.com/office/drawing/2014/chart" uri="{C3380CC4-5D6E-409C-BE32-E72D297353CC}">
              <c16:uniqueId val="{00000003-4F35-456F-A42A-A4F06F0BEEA1}"/>
            </c:ext>
          </c:extLst>
        </c:ser>
        <c:ser>
          <c:idx val="5"/>
          <c:order val="5"/>
          <c:tx>
            <c:strRef>
              <c:f>'2SK'!$H$45</c:f>
              <c:strCache>
                <c:ptCount val="1"/>
                <c:pt idx="0">
                  <c:v>Indexing with tax base growth</c:v>
                </c:pt>
              </c:strCache>
            </c:strRef>
          </c:tx>
          <c:spPr>
            <a:ln w="25400" cap="rnd">
              <a:noFill/>
              <a:round/>
            </a:ln>
            <a:effectLst/>
          </c:spPr>
          <c:marker>
            <c:symbol val="square"/>
            <c:size val="5"/>
            <c:spPr>
              <a:noFill/>
              <a:ln w="25400">
                <a:solidFill>
                  <a:schemeClr val="accent6">
                    <a:lumMod val="75000"/>
                  </a:schemeClr>
                </a:solidFill>
              </a:ln>
              <a:effectLst/>
            </c:spPr>
          </c:marker>
          <c:cat>
            <c:numRef>
              <c:extLst>
                <c:ext xmlns:c15="http://schemas.microsoft.com/office/drawing/2012/chart" uri="{02D57815-91ED-43cb-92C2-25804820EDAC}">
                  <c15:fullRef>
                    <c15:sqref>'2SK'!$B$46:$B$53</c15:sqref>
                  </c15:fullRef>
                </c:ext>
              </c:extLst>
              <c:f>'2SK'!$B$46:$B$50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'2SK'!$H$46:$H$53</c15:sqref>
                  </c15:fullRef>
                </c:ext>
              </c:extLst>
              <c:f>'2SK'!$H$46:$H$50</c:f>
              <c:numCache>
                <c:formatCode>General</c:formatCode>
                <c:ptCount val="5"/>
                <c:pt idx="4" formatCode="_-* #,##0_-;\-* #,##0_-;_-* &quot;-&quot;??_-;_-@_-">
                  <c:v>5219.2392399403307</c:v>
                </c:pt>
              </c:numCache>
            </c:numRef>
          </c:val>
          <c:smooth val="0"/>
          <c:extLst>
            <c:ext xmlns:c16="http://schemas.microsoft.com/office/drawing/2014/chart" uri="{C3380CC4-5D6E-409C-BE32-E72D297353CC}">
              <c16:uniqueId val="{00000004-4F35-456F-A42A-A4F06F0BEEA1}"/>
            </c:ext>
          </c:extLst>
        </c:ser>
        <c:ser>
          <c:idx val="6"/>
          <c:order val="6"/>
          <c:tx>
            <c:strRef>
              <c:f>'2SK'!$I$45</c:f>
              <c:strCache>
                <c:ptCount val="1"/>
                <c:pt idx="0">
                  <c:v>Indexing with lagged HCPI</c:v>
                </c:pt>
              </c:strCache>
            </c:strRef>
          </c:tx>
          <c:spPr>
            <a:ln w="25400" cap="rnd">
              <a:noFill/>
              <a:round/>
            </a:ln>
            <a:effectLst/>
          </c:spPr>
          <c:marker>
            <c:symbol val="diamond"/>
            <c:size val="6"/>
            <c:spPr>
              <a:noFill/>
              <a:ln w="25400">
                <a:solidFill>
                  <a:schemeClr val="accent4"/>
                </a:solidFill>
              </a:ln>
              <a:effectLst/>
            </c:spPr>
          </c:marker>
          <c:cat>
            <c:numRef>
              <c:extLst>
                <c:ext xmlns:c15="http://schemas.microsoft.com/office/drawing/2012/chart" uri="{02D57815-91ED-43cb-92C2-25804820EDAC}">
                  <c15:fullRef>
                    <c15:sqref>'2SK'!$B$46:$B$53</c15:sqref>
                  </c15:fullRef>
                </c:ext>
              </c:extLst>
              <c:f>'2SK'!$B$46:$B$50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'2SK'!$I$46:$I$53</c15:sqref>
                  </c15:fullRef>
                </c:ext>
              </c:extLst>
              <c:f>'2SK'!$I$46:$I$50</c:f>
              <c:numCache>
                <c:formatCode>General</c:formatCode>
                <c:ptCount val="5"/>
                <c:pt idx="4" formatCode="_-* #,##0_-;\-* #,##0_-;_-* &quot;-&quot;??_-;_-@_-">
                  <c:v>5528.9145830334892</c:v>
                </c:pt>
              </c:numCache>
            </c:numRef>
          </c:val>
          <c:smooth val="0"/>
          <c:extLst>
            <c:ext xmlns:c16="http://schemas.microsoft.com/office/drawing/2014/chart" uri="{C3380CC4-5D6E-409C-BE32-E72D297353CC}">
              <c16:uniqueId val="{00000005-4F35-456F-A42A-A4F06F0BEEA1}"/>
            </c:ext>
          </c:extLst>
        </c:ser>
        <c:ser>
          <c:idx val="7"/>
          <c:order val="7"/>
          <c:tx>
            <c:strRef>
              <c:f>'2SK'!$J$45</c:f>
              <c:strCache>
                <c:ptCount val="1"/>
                <c:pt idx="0">
                  <c:v>Indexing with concurrent HCPI</c:v>
                </c:pt>
              </c:strCache>
            </c:strRef>
          </c:tx>
          <c:spPr>
            <a:ln w="25400" cap="rnd">
              <a:noFill/>
              <a:round/>
            </a:ln>
            <a:effectLst/>
          </c:spPr>
          <c:marker>
            <c:symbol val="triangle"/>
            <c:size val="6"/>
            <c:spPr>
              <a:noFill/>
              <a:ln w="25400">
                <a:solidFill>
                  <a:schemeClr val="accent5">
                    <a:lumMod val="75000"/>
                  </a:schemeClr>
                </a:solidFill>
              </a:ln>
              <a:effectLst/>
            </c:spPr>
          </c:marker>
          <c:cat>
            <c:numRef>
              <c:extLst>
                <c:ext xmlns:c15="http://schemas.microsoft.com/office/drawing/2012/chart" uri="{02D57815-91ED-43cb-92C2-25804820EDAC}">
                  <c15:fullRef>
                    <c15:sqref>'2SK'!$B$46:$B$53</c15:sqref>
                  </c15:fullRef>
                </c:ext>
              </c:extLst>
              <c:f>'2SK'!$B$46:$B$50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'2SK'!$J$46:$J$53</c15:sqref>
                  </c15:fullRef>
                </c:ext>
              </c:extLst>
              <c:f>'2SK'!$J$46:$J$50</c:f>
              <c:numCache>
                <c:formatCode>General</c:formatCode>
                <c:ptCount val="5"/>
                <c:pt idx="4" formatCode="_-* #,##0_-;\-* #,##0_-;_-* &quot;-&quot;??_-;_-@_-">
                  <c:v>5249.5992661529044</c:v>
                </c:pt>
              </c:numCache>
            </c:numRef>
          </c:val>
          <c:smooth val="0"/>
          <c:extLst>
            <c:ext xmlns:c16="http://schemas.microsoft.com/office/drawing/2014/chart" uri="{C3380CC4-5D6E-409C-BE32-E72D297353CC}">
              <c16:uniqueId val="{00000006-4F35-456F-A42A-A4F06F0BEEA1}"/>
            </c:ext>
          </c:extLst>
        </c:ser>
        <c:ser>
          <c:idx val="8"/>
          <c:order val="8"/>
          <c:tx>
            <c:strRef>
              <c:f>'2SK'!$K$45</c:f>
              <c:strCache>
                <c:ptCount val="1"/>
                <c:pt idx="0">
                  <c:v>Baseline w/o "indexation measures"</c:v>
                </c:pt>
              </c:strCache>
            </c:strRef>
          </c:tx>
          <c:spPr>
            <a:ln w="28575" cap="rnd">
              <a:noFill/>
              <a:round/>
            </a:ln>
            <a:effectLst/>
          </c:spPr>
          <c:marker>
            <c:symbol val="dash"/>
            <c:size val="9"/>
            <c:spPr>
              <a:solidFill>
                <a:schemeClr val="tx1">
                  <a:lumMod val="65000"/>
                  <a:lumOff val="35000"/>
                </a:schemeClr>
              </a:solidFill>
              <a:ln w="9525">
                <a:solidFill>
                  <a:schemeClr val="tx1">
                    <a:lumMod val="65000"/>
                    <a:lumOff val="35000"/>
                  </a:schemeClr>
                </a:solidFill>
              </a:ln>
              <a:effectLst/>
            </c:spPr>
          </c:marker>
          <c:cat>
            <c:strLit>
              <c:ptCount val="5"/>
              <c:pt idx="0">
                <c:v>2019</c:v>
              </c:pt>
              <c:pt idx="1">
                <c:v>2020</c:v>
              </c:pt>
              <c:pt idx="2">
                <c:v>2021</c:v>
              </c:pt>
              <c:pt idx="3">
                <c:v>2022</c:v>
              </c:pt>
              <c:pt idx="4">
                <c:v>2023</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'2SK'!$K$46:$K$53</c15:sqref>
                  </c15:fullRef>
                </c:ext>
              </c:extLst>
              <c:f>'2SK'!$K$46:$K$50</c:f>
              <c:numCache>
                <c:formatCode>General</c:formatCode>
                <c:ptCount val="5"/>
                <c:pt idx="4" formatCode="_-* #,##0_-;\-* #,##0_-;_-* &quot;-&quot;??_-;_-@_-">
                  <c:v>5097.7128977373404</c:v>
                </c:pt>
              </c:numCache>
            </c:numRef>
          </c:val>
          <c:smooth val="0"/>
          <c:extLst>
            <c:ext xmlns:c16="http://schemas.microsoft.com/office/drawing/2014/chart" uri="{C3380CC4-5D6E-409C-BE32-E72D297353CC}">
              <c16:uniqueId val="{00000007-4F35-456F-A42A-A4F06F0BEEA1}"/>
            </c:ext>
          </c:extLst>
        </c:ser>
        <c:dLbls>
          <c:showLegendKey val="0"/>
          <c:showVal val="0"/>
          <c:showCatName val="0"/>
          <c:showSerName val="0"/>
          <c:showPercent val="0"/>
          <c:showBubbleSize val="0"/>
        </c:dLbls>
        <c:smooth val="0"/>
        <c:axId val="709475840"/>
        <c:axId val="605168576"/>
        <c:extLst>
          <c:ext xmlns:c15="http://schemas.microsoft.com/office/drawing/2012/chart" uri="{02D57815-91ED-43cb-92C2-25804820EDAC}">
            <c15:filteredLineSeries>
              <c15:ser>
                <c:idx val="2"/>
                <c:order val="2"/>
                <c:tx>
                  <c:strRef>
                    <c:extLst>
                      <c:ext uri="{02D57815-91ED-43cb-92C2-25804820EDAC}">
                        <c15:formulaRef>
                          <c15:sqref>'2SK'!$E$45</c15:sqref>
                        </c15:formulaRef>
                      </c:ext>
                    </c:extLst>
                    <c:strCache>
                      <c:ptCount val="1"/>
                      <c:pt idx="0">
                        <c:v>Reescaling factor
</c:v>
                      </c:pt>
                    </c:strCache>
                  </c:strRef>
                </c:tx>
                <c:spPr>
                  <a:ln w="25400" cap="rnd">
                    <a:noFill/>
                    <a:round/>
                  </a:ln>
                  <a:effectLst/>
                </c:spPr>
                <c:marker>
                  <c:symbol val="circle"/>
                  <c:size val="5"/>
                  <c:spPr>
                    <a:solidFill>
                      <a:schemeClr val="accent3"/>
                    </a:solidFill>
                    <a:ln w="9525">
                      <a:solidFill>
                        <a:schemeClr val="accent3"/>
                      </a:solidFill>
                    </a:ln>
                    <a:effectLst/>
                  </c:spPr>
                </c:marker>
                <c:cat>
                  <c:numRef>
                    <c:extLst>
                      <c:ext uri="{02D57815-91ED-43cb-92C2-25804820EDAC}">
                        <c15:fullRef>
                          <c15:sqref>'2SK'!$B$46:$B$53</c15:sqref>
                        </c15:fullRef>
                        <c15:formulaRef>
                          <c15:sqref>'2SK'!$B$46:$B$50</c15:sqref>
                        </c15:formulaRef>
                      </c:ext>
                    </c:extLst>
                    <c:numCache>
                      <c:formatCode>General</c:formatCode>
                      <c:ptCount val="5"/>
                      <c:pt idx="0">
                        <c:v>2019</c:v>
                      </c:pt>
                      <c:pt idx="1">
                        <c:v>2020</c:v>
                      </c:pt>
                      <c:pt idx="2">
                        <c:v>2021</c:v>
                      </c:pt>
                      <c:pt idx="3">
                        <c:v>2022</c:v>
                      </c:pt>
                      <c:pt idx="4">
                        <c:v>2023</c:v>
                      </c:pt>
                    </c:numCache>
                  </c:numRef>
                </c:cat>
                <c:val>
                  <c:numRef>
                    <c:extLst>
                      <c:ext uri="{02D57815-91ED-43cb-92C2-25804820EDAC}">
                        <c15:fullRef>
                          <c15:sqref>'2SK'!$E$46:$E$53</c15:sqref>
                        </c15:fullRef>
                        <c15:formulaRef>
                          <c15:sqref>'2SK'!$E$46:$E$50</c15:sqref>
                        </c15:formulaRef>
                      </c:ext>
                    </c:extLst>
                    <c:numCache>
                      <c:formatCode>General</c:formatCode>
                      <c:ptCount val="5"/>
                    </c:numCache>
                  </c:numRef>
                </c:val>
                <c:smooth val="0"/>
                <c:extLst>
                  <c:ext xmlns:c16="http://schemas.microsoft.com/office/drawing/2014/chart" uri="{C3380CC4-5D6E-409C-BE32-E72D297353CC}">
                    <c16:uniqueId val="{00000008-4F35-456F-A42A-A4F06F0BEEA1}"/>
                  </c:ext>
                </c:extLst>
              </c15:ser>
            </c15:filteredLineSeries>
          </c:ext>
        </c:extLst>
      </c:lineChart>
      <c:catAx>
        <c:axId val="709475840"/>
        <c:scaling>
          <c:orientation val="minMax"/>
        </c:scaling>
        <c:delete val="0"/>
        <c:axPos val="b"/>
        <c:numFmt formatCode="General" sourceLinked="1"/>
        <c:majorTickMark val="out"/>
        <c:minorTickMark val="none"/>
        <c:tickLblPos val="nextTo"/>
        <c:spPr>
          <a:noFill/>
          <a:ln w="6350" cap="flat" cmpd="sng" algn="ctr">
            <a:solidFill>
              <a:schemeClr val="tx1"/>
            </a:solidFill>
            <a:round/>
          </a:ln>
          <a:effectLst/>
        </c:spPr>
        <c:txPr>
          <a:bodyPr rot="-60000000" spcFirstLastPara="1" vertOverflow="ellipsis" vert="horz" wrap="square" anchor="ctr" anchorCtr="1"/>
          <a:lstStyle/>
          <a:p>
            <a:pPr>
              <a:defRPr sz="950" b="0" i="0" u="none" strike="noStrike" kern="1200" baseline="0">
                <a:solidFill>
                  <a:schemeClr val="tx1"/>
                </a:solidFill>
                <a:latin typeface="Times New Roman" panose="02020603050405020304" pitchFamily="18" charset="0"/>
                <a:ea typeface="+mn-ea"/>
                <a:cs typeface="+mn-cs"/>
              </a:defRPr>
            </a:pPr>
            <a:endParaRPr lang="es-ES_tradnl"/>
          </a:p>
        </c:txPr>
        <c:crossAx val="605168576"/>
        <c:crosses val="autoZero"/>
        <c:auto val="1"/>
        <c:lblAlgn val="ctr"/>
        <c:lblOffset val="100"/>
        <c:noMultiLvlLbl val="0"/>
      </c:catAx>
      <c:valAx>
        <c:axId val="605168576"/>
        <c:scaling>
          <c:orientation val="minMax"/>
          <c:min val="2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s-ES_tradnl" sz="1050">
                    <a:solidFill>
                      <a:sysClr val="windowText" lastClr="000000"/>
                    </a:solidFill>
                    <a:latin typeface="Times New Roman" panose="02020603050405020304" pitchFamily="18" charset="0"/>
                    <a:cs typeface="Times New Roman" panose="02020603050405020304" pitchFamily="18" charset="0"/>
                  </a:rPr>
                  <a:t>Million euros</a:t>
                </a:r>
              </a:p>
            </c:rich>
          </c:tx>
          <c:layout>
            <c:manualLayout>
              <c:xMode val="edge"/>
              <c:yMode val="edge"/>
              <c:x val="0"/>
              <c:y val="0.27024653144012073"/>
            </c:manualLayout>
          </c:layout>
          <c:overlay val="0"/>
          <c:spPr>
            <a:noFill/>
            <a:ln>
              <a:noFill/>
            </a:ln>
            <a:effectLst/>
          </c:spPr>
          <c:txPr>
            <a:bodyPr rot="-5400000" spcFirstLastPara="1" vertOverflow="ellipsis" vert="horz" wrap="square" anchor="ctr" anchorCtr="1"/>
            <a:lstStyle/>
            <a:p>
              <a:pPr>
                <a:defRPr sz="10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title>
        <c:numFmt formatCode="#,##0" sourceLinked="0"/>
        <c:majorTickMark val="out"/>
        <c:minorTickMark val="none"/>
        <c:tickLblPos val="nextTo"/>
        <c:spPr>
          <a:noFill/>
          <a:ln w="6350">
            <a:solidFill>
              <a:schemeClr val="tx1">
                <a:lumMod val="65000"/>
                <a:lumOff val="35000"/>
              </a:schemeClr>
            </a:solidFill>
          </a:ln>
          <a:effectLst/>
        </c:spPr>
        <c:txPr>
          <a:bodyPr rot="-60000000" spcFirstLastPara="1" vertOverflow="ellipsis" vert="horz" wrap="square" anchor="ctr" anchorCtr="1"/>
          <a:lstStyle/>
          <a:p>
            <a:pPr>
              <a:defRPr sz="950" b="0" i="0" u="none" strike="noStrike" kern="1200" baseline="0">
                <a:solidFill>
                  <a:schemeClr val="tx1"/>
                </a:solidFill>
                <a:latin typeface="Times New Roman" panose="02020603050405020304" pitchFamily="18" charset="0"/>
                <a:ea typeface="+mn-ea"/>
                <a:cs typeface="+mn-cs"/>
              </a:defRPr>
            </a:pPr>
            <a:endParaRPr lang="es-ES_tradnl"/>
          </a:p>
        </c:txPr>
        <c:crossAx val="709475840"/>
        <c:crosses val="autoZero"/>
        <c:crossBetween val="between"/>
      </c:valAx>
      <c:spPr>
        <a:noFill/>
        <a:ln>
          <a:noFill/>
        </a:ln>
        <a:effectLst/>
      </c:spPr>
    </c:plotArea>
    <c:legend>
      <c:legendPos val="b"/>
      <c:layout>
        <c:manualLayout>
          <c:xMode val="edge"/>
          <c:yMode val="edge"/>
          <c:x val="0"/>
          <c:y val="0.73648087849247201"/>
          <c:w val="1"/>
          <c:h val="0.26351912150752793"/>
        </c:manualLayout>
      </c:layout>
      <c:overlay val="0"/>
      <c:spPr>
        <a:noFill/>
        <a:ln>
          <a:noFill/>
        </a:ln>
        <a:effectLst/>
      </c:spPr>
      <c:txPr>
        <a:bodyPr rot="0" spcFirstLastPara="1" vertOverflow="ellipsis" vert="horz" wrap="square" anchor="ctr" anchorCtr="1"/>
        <a:lstStyle/>
        <a:p>
          <a:pPr>
            <a:defRPr sz="9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legend>
    <c:plotVisOnly val="1"/>
    <c:dispBlanksAs val="gap"/>
    <c:showDLblsOverMax val="0"/>
  </c:chart>
  <c:spPr>
    <a:solidFill>
      <a:schemeClr val="bg1"/>
    </a:solidFill>
    <a:ln w="9525" cap="flat" cmpd="sng" algn="ctr">
      <a:noFill/>
      <a:round/>
    </a:ln>
    <a:effectLst/>
  </c:spPr>
  <c:txPr>
    <a:bodyPr/>
    <a:lstStyle/>
    <a:p>
      <a:pPr>
        <a:defRPr/>
      </a:pPr>
      <a:endParaRPr lang="es-ES_tradnl"/>
    </a:p>
  </c:txPr>
  <c:printSettings>
    <c:headerFooter/>
    <c:pageMargins b="0.75" l="0.25" r="0.25" t="0.75" header="0.3" footer="0.3"/>
    <c:pageSetup paperSize="9" orientation="landscape"/>
  </c:printSettings>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457409308717575"/>
          <c:y val="4.6087571003560986E-2"/>
          <c:w val="0.82558175067451101"/>
          <c:h val="0.6515011552844524"/>
        </c:manualLayout>
      </c:layout>
      <c:lineChart>
        <c:grouping val="standard"/>
        <c:varyColors val="0"/>
        <c:ser>
          <c:idx val="1"/>
          <c:order val="0"/>
          <c:tx>
            <c:strRef>
              <c:f>'2SK'!$C$64</c:f>
              <c:strCache>
                <c:ptCount val="1"/>
                <c:pt idx="0">
                  <c:v>Baseline simulation
</c:v>
                </c:pt>
              </c:strCache>
            </c:strRef>
          </c:tx>
          <c:spPr>
            <a:ln w="28575" cap="rnd">
              <a:noFill/>
              <a:round/>
            </a:ln>
            <a:effectLst/>
          </c:spPr>
          <c:marker>
            <c:symbol val="circle"/>
            <c:size val="7"/>
            <c:spPr>
              <a:solidFill>
                <a:schemeClr val="tx1"/>
              </a:solidFill>
              <a:ln w="9525">
                <a:noFill/>
              </a:ln>
              <a:effectLst/>
            </c:spPr>
          </c:marker>
          <c:cat>
            <c:numRef>
              <c:extLst>
                <c:ext xmlns:c15="http://schemas.microsoft.com/office/drawing/2012/chart" uri="{02D57815-91ED-43cb-92C2-25804820EDAC}">
                  <c15:fullRef>
                    <c15:sqref>'2SK'!$B$65:$B$72</c15:sqref>
                  </c15:fullRef>
                </c:ext>
              </c:extLst>
              <c:f>'2SK'!$B$65:$B$69</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'2SK'!$C$65:$C$72</c15:sqref>
                  </c15:fullRef>
                </c:ext>
              </c:extLst>
              <c:f>'2SK'!$C$65:$C$69</c:f>
              <c:numCache>
                <c:formatCode>0.00</c:formatCode>
                <c:ptCount val="5"/>
                <c:pt idx="0">
                  <c:v>7.9935903035793343</c:v>
                </c:pt>
                <c:pt idx="1">
                  <c:v>7.4816447574049132</c:v>
                </c:pt>
                <c:pt idx="2">
                  <c:v>8.0530916042920211</c:v>
                </c:pt>
                <c:pt idx="3">
                  <c:v>8.0532735179687709</c:v>
                </c:pt>
                <c:pt idx="4">
                  <c:v>7.3353862232176814</c:v>
                </c:pt>
              </c:numCache>
            </c:numRef>
          </c:val>
          <c:smooth val="0"/>
          <c:extLst>
            <c:ext xmlns:c16="http://schemas.microsoft.com/office/drawing/2014/chart" uri="{C3380CC4-5D6E-409C-BE32-E72D297353CC}">
              <c16:uniqueId val="{00000000-93DF-4163-91E9-FD4CD3534986}"/>
            </c:ext>
          </c:extLst>
        </c:ser>
        <c:ser>
          <c:idx val="0"/>
          <c:order val="1"/>
          <c:tx>
            <c:strRef>
              <c:f>'2SK'!$D$64</c:f>
              <c:strCache>
                <c:ptCount val="1"/>
                <c:pt idx="0">
                  <c:v>Legislation unchanged since 2019/2023</c:v>
                </c:pt>
              </c:strCache>
            </c:strRef>
          </c:tx>
          <c:spPr>
            <a:ln w="28575" cap="rnd">
              <a:noFill/>
              <a:round/>
            </a:ln>
            <a:effectLst/>
          </c:spPr>
          <c:marker>
            <c:symbol val="circle"/>
            <c:size val="7"/>
            <c:spPr>
              <a:noFill/>
              <a:ln w="25400">
                <a:solidFill>
                  <a:srgbClr val="C00000"/>
                </a:solidFill>
              </a:ln>
              <a:effectLst/>
            </c:spPr>
          </c:marker>
          <c:cat>
            <c:numRef>
              <c:extLst>
                <c:ext xmlns:c15="http://schemas.microsoft.com/office/drawing/2012/chart" uri="{02D57815-91ED-43cb-92C2-25804820EDAC}">
                  <c15:fullRef>
                    <c15:sqref>'2SK'!$B$65:$B$72</c15:sqref>
                  </c15:fullRef>
                </c:ext>
              </c:extLst>
              <c:f>'2SK'!$B$65:$B$69</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'2SK'!$D$65:$D$72</c15:sqref>
                  </c15:fullRef>
                </c:ext>
              </c:extLst>
              <c:f>'2SK'!$D$65:$D$69</c:f>
              <c:numCache>
                <c:formatCode>0.00%</c:formatCode>
                <c:ptCount val="5"/>
                <c:pt idx="4" formatCode="0.00">
                  <c:v>9.6974918025528858</c:v>
                </c:pt>
              </c:numCache>
            </c:numRef>
          </c:val>
          <c:smooth val="0"/>
          <c:extLst>
            <c:ext xmlns:c16="http://schemas.microsoft.com/office/drawing/2014/chart" uri="{C3380CC4-5D6E-409C-BE32-E72D297353CC}">
              <c16:uniqueId val="{00000001-93DF-4163-91E9-FD4CD3534986}"/>
            </c:ext>
          </c:extLst>
        </c:ser>
        <c:ser>
          <c:idx val="2"/>
          <c:order val="2"/>
          <c:tx>
            <c:strRef>
              <c:f>'2SK'!$E$64</c:f>
              <c:strCache>
                <c:ptCount val="1"/>
                <c:pt idx="0">
                  <c:v>Index with tax base growth</c:v>
                </c:pt>
              </c:strCache>
            </c:strRef>
          </c:tx>
          <c:spPr>
            <a:ln w="28575" cap="rnd">
              <a:noFill/>
              <a:round/>
            </a:ln>
            <a:effectLst/>
          </c:spPr>
          <c:marker>
            <c:symbol val="square"/>
            <c:size val="6"/>
            <c:spPr>
              <a:noFill/>
              <a:ln w="25400">
                <a:solidFill>
                  <a:schemeClr val="accent6">
                    <a:lumMod val="75000"/>
                  </a:schemeClr>
                </a:solidFill>
              </a:ln>
              <a:effectLst/>
            </c:spPr>
          </c:marker>
          <c:cat>
            <c:numRef>
              <c:extLst>
                <c:ext xmlns:c15="http://schemas.microsoft.com/office/drawing/2012/chart" uri="{02D57815-91ED-43cb-92C2-25804820EDAC}">
                  <c15:fullRef>
                    <c15:sqref>'2SK'!$B$65:$B$72</c15:sqref>
                  </c15:fullRef>
                </c:ext>
              </c:extLst>
              <c:f>'2SK'!$B$65:$B$69</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'2SK'!$E$65:$E$72</c15:sqref>
                  </c15:fullRef>
                </c:ext>
              </c:extLst>
              <c:f>'2SK'!$E$65:$E$69</c:f>
              <c:numCache>
                <c:formatCode>0.00%</c:formatCode>
                <c:ptCount val="5"/>
                <c:pt idx="4" formatCode="0.00">
                  <c:v>8.2114652574501168</c:v>
                </c:pt>
              </c:numCache>
            </c:numRef>
          </c:val>
          <c:smooth val="0"/>
          <c:extLst xmlns:c15="http://schemas.microsoft.com/office/drawing/2012/chart">
            <c:ext xmlns:c16="http://schemas.microsoft.com/office/drawing/2014/chart" uri="{C3380CC4-5D6E-409C-BE32-E72D297353CC}">
              <c16:uniqueId val="{00000002-93DF-4163-91E9-FD4CD3534986}"/>
            </c:ext>
          </c:extLst>
        </c:ser>
        <c:ser>
          <c:idx val="3"/>
          <c:order val="3"/>
          <c:tx>
            <c:strRef>
              <c:f>'2SK'!$F$64</c:f>
              <c:strCache>
                <c:ptCount val="1"/>
                <c:pt idx="0">
                  <c:v>Index with lagged HCPI</c:v>
                </c:pt>
              </c:strCache>
            </c:strRef>
          </c:tx>
          <c:spPr>
            <a:ln w="28575" cap="rnd">
              <a:noFill/>
              <a:round/>
            </a:ln>
            <a:effectLst/>
          </c:spPr>
          <c:marker>
            <c:symbol val="diamond"/>
            <c:size val="7"/>
            <c:spPr>
              <a:noFill/>
              <a:ln w="25400">
                <a:solidFill>
                  <a:schemeClr val="accent4"/>
                </a:solidFill>
              </a:ln>
              <a:effectLst/>
            </c:spPr>
          </c:marker>
          <c:cat>
            <c:numRef>
              <c:extLst>
                <c:ext xmlns:c15="http://schemas.microsoft.com/office/drawing/2012/chart" uri="{02D57815-91ED-43cb-92C2-25804820EDAC}">
                  <c15:fullRef>
                    <c15:sqref>'2SK'!$B$65:$B$72</c15:sqref>
                  </c15:fullRef>
                </c:ext>
              </c:extLst>
              <c:f>'2SK'!$B$65:$B$69</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'2SK'!$F$65:$F$72</c15:sqref>
                  </c15:fullRef>
                </c:ext>
              </c:extLst>
              <c:f>'2SK'!$F$65:$F$69</c:f>
              <c:numCache>
                <c:formatCode>0.00%</c:formatCode>
                <c:ptCount val="5"/>
                <c:pt idx="4" formatCode="0.00">
                  <c:v>8.6986796203095373</c:v>
                </c:pt>
              </c:numCache>
            </c:numRef>
          </c:val>
          <c:smooth val="0"/>
          <c:extLst>
            <c:ext xmlns:c16="http://schemas.microsoft.com/office/drawing/2014/chart" uri="{C3380CC4-5D6E-409C-BE32-E72D297353CC}">
              <c16:uniqueId val="{00000003-93DF-4163-91E9-FD4CD3534986}"/>
            </c:ext>
          </c:extLst>
        </c:ser>
        <c:ser>
          <c:idx val="4"/>
          <c:order val="4"/>
          <c:tx>
            <c:strRef>
              <c:f>'2SK'!$G$64</c:f>
              <c:strCache>
                <c:ptCount val="1"/>
                <c:pt idx="0">
                  <c:v>Index with concurrent HCPI</c:v>
                </c:pt>
              </c:strCache>
            </c:strRef>
          </c:tx>
          <c:spPr>
            <a:ln w="28575" cap="rnd">
              <a:noFill/>
              <a:round/>
            </a:ln>
            <a:effectLst/>
          </c:spPr>
          <c:marker>
            <c:symbol val="triangle"/>
            <c:size val="6"/>
            <c:spPr>
              <a:noFill/>
              <a:ln w="25400">
                <a:solidFill>
                  <a:schemeClr val="accent5">
                    <a:lumMod val="75000"/>
                  </a:schemeClr>
                </a:solidFill>
              </a:ln>
              <a:effectLst/>
            </c:spPr>
          </c:marker>
          <c:cat>
            <c:numRef>
              <c:extLst>
                <c:ext xmlns:c15="http://schemas.microsoft.com/office/drawing/2012/chart" uri="{02D57815-91ED-43cb-92C2-25804820EDAC}">
                  <c15:fullRef>
                    <c15:sqref>'2SK'!$B$65:$B$72</c15:sqref>
                  </c15:fullRef>
                </c:ext>
              </c:extLst>
              <c:f>'2SK'!$B$65:$B$69</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'2SK'!$G$65:$G$72</c15:sqref>
                  </c15:fullRef>
                </c:ext>
              </c:extLst>
              <c:f>'2SK'!$G$65:$G$69</c:f>
              <c:numCache>
                <c:formatCode>0.00%</c:formatCode>
                <c:ptCount val="5"/>
                <c:pt idx="4" formatCode="0.00">
                  <c:v>8.2592308970383641</c:v>
                </c:pt>
              </c:numCache>
            </c:numRef>
          </c:val>
          <c:smooth val="0"/>
          <c:extLst>
            <c:ext xmlns:c16="http://schemas.microsoft.com/office/drawing/2014/chart" uri="{C3380CC4-5D6E-409C-BE32-E72D297353CC}">
              <c16:uniqueId val="{00000004-93DF-4163-91E9-FD4CD3534986}"/>
            </c:ext>
          </c:extLst>
        </c:ser>
        <c:dLbls>
          <c:showLegendKey val="0"/>
          <c:showVal val="0"/>
          <c:showCatName val="0"/>
          <c:showSerName val="0"/>
          <c:showPercent val="0"/>
          <c:showBubbleSize val="0"/>
        </c:dLbls>
        <c:marker val="1"/>
        <c:smooth val="0"/>
        <c:axId val="709475840"/>
        <c:axId val="605168576"/>
        <c:extLst/>
      </c:lineChart>
      <c:catAx>
        <c:axId val="709475840"/>
        <c:scaling>
          <c:orientation val="minMax"/>
        </c:scaling>
        <c:delete val="0"/>
        <c:axPos val="b"/>
        <c:numFmt formatCode="General" sourceLinked="1"/>
        <c:majorTickMark val="out"/>
        <c:minorTickMark val="none"/>
        <c:tickLblPos val="nextTo"/>
        <c:spPr>
          <a:noFill/>
          <a:ln w="635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mn-cs"/>
              </a:defRPr>
            </a:pPr>
            <a:endParaRPr lang="es-ES_tradnl"/>
          </a:p>
        </c:txPr>
        <c:crossAx val="605168576"/>
        <c:crosses val="autoZero"/>
        <c:auto val="1"/>
        <c:lblAlgn val="ctr"/>
        <c:lblOffset val="100"/>
        <c:noMultiLvlLbl val="0"/>
      </c:catAx>
      <c:valAx>
        <c:axId val="605168576"/>
        <c:scaling>
          <c:orientation val="minMax"/>
          <c:min val="6"/>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s-ES_tradnl" sz="1050">
                    <a:solidFill>
                      <a:sysClr val="windowText" lastClr="000000"/>
                    </a:solidFill>
                    <a:latin typeface="Times New Roman" panose="02020603050405020304" pitchFamily="18" charset="0"/>
                    <a:cs typeface="Times New Roman" panose="02020603050405020304" pitchFamily="18" charset="0"/>
                  </a:rPr>
                  <a:t>Rate</a:t>
                </a:r>
              </a:p>
            </c:rich>
          </c:tx>
          <c:overlay val="0"/>
          <c:spPr>
            <a:noFill/>
            <a:ln>
              <a:noFill/>
            </a:ln>
            <a:effectLst/>
          </c:spPr>
          <c:txPr>
            <a:bodyPr rot="-5400000" spcFirstLastPara="1" vertOverflow="ellipsis" vert="horz" wrap="square" anchor="ctr" anchorCtr="1"/>
            <a:lstStyle/>
            <a:p>
              <a:pPr>
                <a:defRPr sz="10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title>
        <c:numFmt formatCode="#,##0.0" sourceLinked="0"/>
        <c:majorTickMark val="out"/>
        <c:minorTickMark val="none"/>
        <c:tickLblPos val="nextTo"/>
        <c:spPr>
          <a:noFill/>
          <a:ln w="6350">
            <a:solidFill>
              <a:schemeClr val="tx1">
                <a:lumMod val="65000"/>
                <a:lumOff val="35000"/>
              </a:schemeClr>
            </a:solidFill>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mn-cs"/>
              </a:defRPr>
            </a:pPr>
            <a:endParaRPr lang="es-ES_tradnl"/>
          </a:p>
        </c:txPr>
        <c:crossAx val="709475840"/>
        <c:crosses val="autoZero"/>
        <c:crossBetween val="between"/>
      </c:valAx>
      <c:spPr>
        <a:noFill/>
        <a:ln>
          <a:noFill/>
        </a:ln>
        <a:effectLst/>
      </c:spPr>
    </c:plotArea>
    <c:legend>
      <c:legendPos val="b"/>
      <c:layout>
        <c:manualLayout>
          <c:xMode val="edge"/>
          <c:yMode val="edge"/>
          <c:x val="8.1926620958132398E-2"/>
          <c:y val="0.78900773467278962"/>
          <c:w val="0.8223310520657221"/>
          <c:h val="0.1997652991480407"/>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legend>
    <c:plotVisOnly val="1"/>
    <c:dispBlanksAs val="gap"/>
    <c:showDLblsOverMax val="0"/>
  </c:chart>
  <c:spPr>
    <a:solidFill>
      <a:schemeClr val="bg1"/>
    </a:solidFill>
    <a:ln w="9525" cap="flat" cmpd="sng" algn="ctr">
      <a:noFill/>
      <a:round/>
    </a:ln>
    <a:effectLst/>
  </c:spPr>
  <c:txPr>
    <a:bodyPr/>
    <a:lstStyle/>
    <a:p>
      <a:pPr>
        <a:defRPr/>
      </a:pPr>
      <a:endParaRPr lang="es-ES_tradnl"/>
    </a:p>
  </c:txPr>
  <c:printSettings>
    <c:headerFooter/>
    <c:pageMargins b="0.75" l="0.84" r="0.25" t="0.75" header="0.3" footer="0.3"/>
    <c:pageSetup paperSize="9" orientation="landscape"/>
  </c:printSettings>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457409308717575"/>
          <c:y val="4.6087571003560986E-2"/>
          <c:w val="0.82558175067451101"/>
          <c:h val="0.64272676146640684"/>
        </c:manualLayout>
      </c:layout>
      <c:lineChart>
        <c:grouping val="standard"/>
        <c:varyColors val="0"/>
        <c:ser>
          <c:idx val="1"/>
          <c:order val="0"/>
          <c:tx>
            <c:strRef>
              <c:f>'2SK'!$W$45</c:f>
              <c:strCache>
                <c:ptCount val="1"/>
                <c:pt idx="0">
                  <c:v>Observed (National Accounts)</c:v>
                </c:pt>
              </c:strCache>
            </c:strRef>
          </c:tx>
          <c:spPr>
            <a:ln w="25400" cap="rnd">
              <a:solidFill>
                <a:schemeClr val="tx1">
                  <a:lumMod val="65000"/>
                  <a:lumOff val="35000"/>
                </a:schemeClr>
              </a:solidFill>
              <a:prstDash val="sysDash"/>
              <a:round/>
            </a:ln>
            <a:effectLst/>
          </c:spPr>
          <c:marker>
            <c:symbol val="none"/>
          </c:marker>
          <c:cat>
            <c:numRef>
              <c:extLst>
                <c:ext xmlns:c15="http://schemas.microsoft.com/office/drawing/2012/chart" uri="{02D57815-91ED-43cb-92C2-25804820EDAC}">
                  <c15:fullRef>
                    <c15:sqref>'2SK'!$U$46:$U$53</c15:sqref>
                  </c15:fullRef>
                </c:ext>
              </c:extLst>
              <c:f>'2SK'!$U$46:$U$50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'2SK'!$W$46:$W$53</c15:sqref>
                  </c15:fullRef>
                </c:ext>
              </c:extLst>
              <c:f>'2SK'!$W$46:$W$50</c:f>
              <c:numCache>
                <c:formatCode>0.0%</c:formatCode>
                <c:ptCount val="5"/>
                <c:pt idx="0">
                  <c:v>3.7374870810946169E-2</c:v>
                </c:pt>
                <c:pt idx="1">
                  <c:v>3.7107489040859726E-2</c:v>
                </c:pt>
                <c:pt idx="2">
                  <c:v>3.6874260077568444E-2</c:v>
                </c:pt>
                <c:pt idx="3">
                  <c:v>3.7478006231110264E-2</c:v>
                </c:pt>
                <c:pt idx="4">
                  <c:v>3.793070466054578E-2</c:v>
                </c:pt>
              </c:numCache>
            </c:numRef>
          </c:val>
          <c:smooth val="0"/>
          <c:extLst>
            <c:ext xmlns:c16="http://schemas.microsoft.com/office/drawing/2014/chart" uri="{C3380CC4-5D6E-409C-BE32-E72D297353CC}">
              <c16:uniqueId val="{00000000-8DD5-4812-8D48-59FC9ABE2E3C}"/>
            </c:ext>
          </c:extLst>
        </c:ser>
        <c:ser>
          <c:idx val="0"/>
          <c:order val="1"/>
          <c:tx>
            <c:strRef>
              <c:f>'2SK'!$V$45</c:f>
              <c:strCache>
                <c:ptCount val="1"/>
                <c:pt idx="0">
                  <c:v>Baseline simulation (before reescaling)</c:v>
                </c:pt>
              </c:strCache>
            </c:strRef>
          </c:tx>
          <c:spPr>
            <a:ln w="25400" cap="rnd">
              <a:noFill/>
              <a:round/>
            </a:ln>
            <a:effectLst/>
          </c:spPr>
          <c:marker>
            <c:symbol val="circle"/>
            <c:size val="8"/>
            <c:spPr>
              <a:solidFill>
                <a:schemeClr val="bg1">
                  <a:lumMod val="85000"/>
                </a:schemeClr>
              </a:solidFill>
              <a:ln w="25400">
                <a:noFill/>
              </a:ln>
              <a:effectLst/>
            </c:spPr>
          </c:marker>
          <c:cat>
            <c:numRef>
              <c:extLst>
                <c:ext xmlns:c15="http://schemas.microsoft.com/office/drawing/2012/chart" uri="{02D57815-91ED-43cb-92C2-25804820EDAC}">
                  <c15:fullRef>
                    <c15:sqref>'2SK'!$U$46:$U$53</c15:sqref>
                  </c15:fullRef>
                </c:ext>
              </c:extLst>
              <c:f>'2SK'!$U$46:$U$50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'2SK'!$V$46:$V$53</c15:sqref>
                  </c15:fullRef>
                </c:ext>
              </c:extLst>
              <c:f>'2SK'!$V$46:$V$50</c:f>
              <c:numCache>
                <c:formatCode>0.0%</c:formatCode>
                <c:ptCount val="5"/>
                <c:pt idx="0">
                  <c:v>2.5229981644118594E-2</c:v>
                </c:pt>
                <c:pt idx="1">
                  <c:v>2.4452111193719001E-2</c:v>
                </c:pt>
                <c:pt idx="2">
                  <c:v>2.614815092079037E-2</c:v>
                </c:pt>
                <c:pt idx="3">
                  <c:v>2.6035238735880706E-2</c:v>
                </c:pt>
                <c:pt idx="4">
                  <c:v>2.3435637932715782E-2</c:v>
                </c:pt>
              </c:numCache>
            </c:numRef>
          </c:val>
          <c:smooth val="0"/>
          <c:extLst>
            <c:ext xmlns:c16="http://schemas.microsoft.com/office/drawing/2014/chart" uri="{C3380CC4-5D6E-409C-BE32-E72D297353CC}">
              <c16:uniqueId val="{00000001-8DD5-4812-8D48-59FC9ABE2E3C}"/>
            </c:ext>
          </c:extLst>
        </c:ser>
        <c:ser>
          <c:idx val="3"/>
          <c:order val="2"/>
          <c:tx>
            <c:strRef>
              <c:f>'2SK'!$Y$45</c:f>
              <c:strCache>
                <c:ptCount val="1"/>
                <c:pt idx="0">
                  <c:v>Baseline simulation (after reescaling)</c:v>
                </c:pt>
              </c:strCache>
            </c:strRef>
          </c:tx>
          <c:spPr>
            <a:ln w="25400" cap="rnd">
              <a:noFill/>
              <a:round/>
            </a:ln>
            <a:effectLst/>
          </c:spPr>
          <c:marker>
            <c:symbol val="circle"/>
            <c:size val="7"/>
            <c:spPr>
              <a:solidFill>
                <a:schemeClr val="tx1"/>
              </a:solidFill>
              <a:ln w="9525">
                <a:solidFill>
                  <a:schemeClr val="tx1"/>
                </a:solidFill>
              </a:ln>
              <a:effectLst/>
            </c:spPr>
          </c:marker>
          <c:cat>
            <c:numRef>
              <c:extLst>
                <c:ext xmlns:c15="http://schemas.microsoft.com/office/drawing/2012/chart" uri="{02D57815-91ED-43cb-92C2-25804820EDAC}">
                  <c15:fullRef>
                    <c15:sqref>'2SK'!$U$46:$U$53</c15:sqref>
                  </c15:fullRef>
                </c:ext>
              </c:extLst>
              <c:f>'2SK'!$U$46:$U$50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'2SK'!$Y$46:$Y$53</c15:sqref>
                  </c15:fullRef>
                </c:ext>
              </c:extLst>
              <c:f>'2SK'!$Y$46:$Y$50</c:f>
              <c:numCache>
                <c:formatCode>0.0%</c:formatCode>
                <c:ptCount val="5"/>
                <c:pt idx="0">
                  <c:v>3.7374870810946169E-2</c:v>
                </c:pt>
                <c:pt idx="4">
                  <c:v>3.793070466054578E-2</c:v>
                </c:pt>
              </c:numCache>
            </c:numRef>
          </c:val>
          <c:smooth val="0"/>
          <c:extLst>
            <c:ext xmlns:c16="http://schemas.microsoft.com/office/drawing/2014/chart" uri="{C3380CC4-5D6E-409C-BE32-E72D297353CC}">
              <c16:uniqueId val="{00000002-8DD5-4812-8D48-59FC9ABE2E3C}"/>
            </c:ext>
          </c:extLst>
        </c:ser>
        <c:ser>
          <c:idx val="4"/>
          <c:order val="3"/>
          <c:tx>
            <c:strRef>
              <c:f>'2SK'!$Z$45</c:f>
              <c:strCache>
                <c:ptCount val="1"/>
                <c:pt idx="0">
                  <c:v>Unchanged legislation since 2019/2023</c:v>
                </c:pt>
              </c:strCache>
            </c:strRef>
          </c:tx>
          <c:spPr>
            <a:ln w="25400" cap="rnd">
              <a:noFill/>
              <a:round/>
            </a:ln>
            <a:effectLst/>
          </c:spPr>
          <c:marker>
            <c:symbol val="circle"/>
            <c:size val="6"/>
            <c:spPr>
              <a:noFill/>
              <a:ln w="25400">
                <a:solidFill>
                  <a:srgbClr val="C00000"/>
                </a:solidFill>
              </a:ln>
              <a:effectLst/>
            </c:spPr>
          </c:marker>
          <c:cat>
            <c:numRef>
              <c:extLst>
                <c:ext xmlns:c15="http://schemas.microsoft.com/office/drawing/2012/chart" uri="{02D57815-91ED-43cb-92C2-25804820EDAC}">
                  <c15:fullRef>
                    <c15:sqref>'2SK'!$U$46:$U$53</c15:sqref>
                  </c15:fullRef>
                </c:ext>
              </c:extLst>
              <c:f>'2SK'!$U$46:$U$50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'2SK'!$Z$46:$Z$53</c15:sqref>
                  </c15:fullRef>
                </c:ext>
              </c:extLst>
              <c:f>'2SK'!$Z$46:$Z$50</c:f>
              <c:numCache>
                <c:formatCode>0.0%</c:formatCode>
                <c:ptCount val="5"/>
                <c:pt idx="4">
                  <c:v>5.0144966647624828E-2</c:v>
                </c:pt>
              </c:numCache>
            </c:numRef>
          </c:val>
          <c:smooth val="0"/>
          <c:extLst>
            <c:ext xmlns:c16="http://schemas.microsoft.com/office/drawing/2014/chart" uri="{C3380CC4-5D6E-409C-BE32-E72D297353CC}">
              <c16:uniqueId val="{00000003-8DD5-4812-8D48-59FC9ABE2E3C}"/>
            </c:ext>
          </c:extLst>
        </c:ser>
        <c:ser>
          <c:idx val="5"/>
          <c:order val="4"/>
          <c:tx>
            <c:strRef>
              <c:f>'2SK'!$AA$45</c:f>
              <c:strCache>
                <c:ptCount val="1"/>
                <c:pt idx="0">
                  <c:v>Indexing with tax base growth</c:v>
                </c:pt>
              </c:strCache>
            </c:strRef>
          </c:tx>
          <c:spPr>
            <a:ln w="25400" cap="rnd">
              <a:noFill/>
              <a:round/>
            </a:ln>
            <a:effectLst/>
          </c:spPr>
          <c:marker>
            <c:symbol val="square"/>
            <c:size val="5"/>
            <c:spPr>
              <a:noFill/>
              <a:ln w="25400">
                <a:solidFill>
                  <a:schemeClr val="accent6">
                    <a:lumMod val="75000"/>
                  </a:schemeClr>
                </a:solidFill>
              </a:ln>
              <a:effectLst/>
            </c:spPr>
          </c:marker>
          <c:cat>
            <c:numRef>
              <c:extLst>
                <c:ext xmlns:c15="http://schemas.microsoft.com/office/drawing/2012/chart" uri="{02D57815-91ED-43cb-92C2-25804820EDAC}">
                  <c15:fullRef>
                    <c15:sqref>'2SK'!$U$46:$U$53</c15:sqref>
                  </c15:fullRef>
                </c:ext>
              </c:extLst>
              <c:f>'2SK'!$U$46:$U$50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'2SK'!$AA$46:$AA$53</c15:sqref>
                  </c15:fullRef>
                </c:ext>
              </c:extLst>
              <c:f>'2SK'!$AA$46:$AA$50</c:f>
              <c:numCache>
                <c:formatCode>0.0%</c:formatCode>
                <c:ptCount val="5"/>
                <c:pt idx="4">
                  <c:v>4.2460840374680016E-2</c:v>
                </c:pt>
              </c:numCache>
            </c:numRef>
          </c:val>
          <c:smooth val="0"/>
          <c:extLst>
            <c:ext xmlns:c16="http://schemas.microsoft.com/office/drawing/2014/chart" uri="{C3380CC4-5D6E-409C-BE32-E72D297353CC}">
              <c16:uniqueId val="{00000004-8DD5-4812-8D48-59FC9ABE2E3C}"/>
            </c:ext>
          </c:extLst>
        </c:ser>
        <c:ser>
          <c:idx val="6"/>
          <c:order val="5"/>
          <c:tx>
            <c:strRef>
              <c:f>'2SK'!$AB$45</c:f>
              <c:strCache>
                <c:ptCount val="1"/>
                <c:pt idx="0">
                  <c:v>Indexing with lagged HCPI</c:v>
                </c:pt>
              </c:strCache>
            </c:strRef>
          </c:tx>
          <c:spPr>
            <a:ln w="25400" cap="rnd">
              <a:noFill/>
              <a:round/>
            </a:ln>
            <a:effectLst/>
          </c:spPr>
          <c:marker>
            <c:symbol val="diamond"/>
            <c:size val="6"/>
            <c:spPr>
              <a:noFill/>
              <a:ln w="25400">
                <a:solidFill>
                  <a:schemeClr val="accent4"/>
                </a:solidFill>
              </a:ln>
              <a:effectLst/>
            </c:spPr>
          </c:marker>
          <c:cat>
            <c:numRef>
              <c:extLst>
                <c:ext xmlns:c15="http://schemas.microsoft.com/office/drawing/2012/chart" uri="{02D57815-91ED-43cb-92C2-25804820EDAC}">
                  <c15:fullRef>
                    <c15:sqref>'2SK'!$U$46:$U$53</c15:sqref>
                  </c15:fullRef>
                </c:ext>
              </c:extLst>
              <c:f>'2SK'!$U$46:$U$50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'2SK'!$AB$46:$AB$53</c15:sqref>
                  </c15:fullRef>
                </c:ext>
              </c:extLst>
              <c:f>'2SK'!$AB$46:$AB$50</c:f>
              <c:numCache>
                <c:formatCode>0.0%</c:formatCode>
                <c:ptCount val="5"/>
                <c:pt idx="4">
                  <c:v>4.4980187487651833E-2</c:v>
                </c:pt>
              </c:numCache>
            </c:numRef>
          </c:val>
          <c:smooth val="0"/>
          <c:extLst>
            <c:ext xmlns:c16="http://schemas.microsoft.com/office/drawing/2014/chart" uri="{C3380CC4-5D6E-409C-BE32-E72D297353CC}">
              <c16:uniqueId val="{00000005-8DD5-4812-8D48-59FC9ABE2E3C}"/>
            </c:ext>
          </c:extLst>
        </c:ser>
        <c:ser>
          <c:idx val="7"/>
          <c:order val="6"/>
          <c:tx>
            <c:strRef>
              <c:f>'2SK'!$AC$45</c:f>
              <c:strCache>
                <c:ptCount val="1"/>
                <c:pt idx="0">
                  <c:v>Indexing with concurrent HCPI</c:v>
                </c:pt>
              </c:strCache>
            </c:strRef>
          </c:tx>
          <c:spPr>
            <a:ln w="25400" cap="rnd">
              <a:noFill/>
              <a:round/>
            </a:ln>
            <a:effectLst/>
          </c:spPr>
          <c:marker>
            <c:symbol val="triangle"/>
            <c:size val="6"/>
            <c:spPr>
              <a:noFill/>
              <a:ln w="25400">
                <a:solidFill>
                  <a:schemeClr val="accent5">
                    <a:lumMod val="75000"/>
                  </a:schemeClr>
                </a:solidFill>
              </a:ln>
              <a:effectLst/>
            </c:spPr>
          </c:marker>
          <c:cat>
            <c:numRef>
              <c:extLst>
                <c:ext xmlns:c15="http://schemas.microsoft.com/office/drawing/2012/chart" uri="{02D57815-91ED-43cb-92C2-25804820EDAC}">
                  <c15:fullRef>
                    <c15:sqref>'2SK'!$U$46:$U$53</c15:sqref>
                  </c15:fullRef>
                </c:ext>
              </c:extLst>
              <c:f>'2SK'!$U$46:$U$50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'2SK'!$AC$46:$AC$53</c15:sqref>
                  </c15:fullRef>
                </c:ext>
              </c:extLst>
              <c:f>'2SK'!$AC$46:$AC$50</c:f>
              <c:numCache>
                <c:formatCode>0.0%</c:formatCode>
                <c:ptCount val="5"/>
                <c:pt idx="4">
                  <c:v>4.2707832736501306E-2</c:v>
                </c:pt>
              </c:numCache>
            </c:numRef>
          </c:val>
          <c:smooth val="0"/>
          <c:extLst>
            <c:ext xmlns:c16="http://schemas.microsoft.com/office/drawing/2014/chart" uri="{C3380CC4-5D6E-409C-BE32-E72D297353CC}">
              <c16:uniqueId val="{00000006-8DD5-4812-8D48-59FC9ABE2E3C}"/>
            </c:ext>
          </c:extLst>
        </c:ser>
        <c:dLbls>
          <c:showLegendKey val="0"/>
          <c:showVal val="0"/>
          <c:showCatName val="0"/>
          <c:showSerName val="0"/>
          <c:showPercent val="0"/>
          <c:showBubbleSize val="0"/>
        </c:dLbls>
        <c:smooth val="0"/>
        <c:axId val="709475840"/>
        <c:axId val="605168576"/>
        <c:extLst/>
      </c:lineChart>
      <c:catAx>
        <c:axId val="709475840"/>
        <c:scaling>
          <c:orientation val="minMax"/>
        </c:scaling>
        <c:delete val="0"/>
        <c:axPos val="b"/>
        <c:numFmt formatCode="General" sourceLinked="1"/>
        <c:majorTickMark val="out"/>
        <c:minorTickMark val="none"/>
        <c:tickLblPos val="nextTo"/>
        <c:spPr>
          <a:noFill/>
          <a:ln w="6350" cap="flat" cmpd="sng" algn="ctr">
            <a:solidFill>
              <a:schemeClr val="tx1"/>
            </a:solidFill>
            <a:round/>
          </a:ln>
          <a:effectLst/>
        </c:spPr>
        <c:txPr>
          <a:bodyPr rot="-60000000" spcFirstLastPara="1" vertOverflow="ellipsis" vert="horz" wrap="square" anchor="ctr" anchorCtr="1"/>
          <a:lstStyle/>
          <a:p>
            <a:pPr>
              <a:defRPr sz="950" b="0" i="0" u="none" strike="noStrike" kern="1200" baseline="0">
                <a:solidFill>
                  <a:schemeClr val="tx1"/>
                </a:solidFill>
                <a:latin typeface="Times New Roman" panose="02020603050405020304" pitchFamily="18" charset="0"/>
                <a:ea typeface="+mn-ea"/>
                <a:cs typeface="+mn-cs"/>
              </a:defRPr>
            </a:pPr>
            <a:endParaRPr lang="es-ES_tradnl"/>
          </a:p>
        </c:txPr>
        <c:crossAx val="605168576"/>
        <c:crosses val="autoZero"/>
        <c:auto val="1"/>
        <c:lblAlgn val="ctr"/>
        <c:lblOffset val="100"/>
        <c:noMultiLvlLbl val="0"/>
      </c:catAx>
      <c:valAx>
        <c:axId val="605168576"/>
        <c:scaling>
          <c:orientation val="minMax"/>
          <c:min val="2.0000000000000004E-2"/>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s-ES_tradnl" sz="1050">
                    <a:solidFill>
                      <a:sysClr val="windowText" lastClr="000000"/>
                    </a:solidFill>
                    <a:latin typeface="Times New Roman" panose="02020603050405020304" pitchFamily="18" charset="0"/>
                    <a:cs typeface="Times New Roman" panose="02020603050405020304" pitchFamily="18" charset="0"/>
                  </a:rPr>
                  <a:t>Share of GDP</a:t>
                </a:r>
              </a:p>
            </c:rich>
          </c:tx>
          <c:overlay val="0"/>
          <c:spPr>
            <a:noFill/>
            <a:ln>
              <a:noFill/>
            </a:ln>
            <a:effectLst/>
          </c:spPr>
        </c:title>
        <c:numFmt formatCode="0%" sourceLinked="0"/>
        <c:majorTickMark val="out"/>
        <c:minorTickMark val="none"/>
        <c:tickLblPos val="nextTo"/>
        <c:spPr>
          <a:noFill/>
          <a:ln w="6350">
            <a:solidFill>
              <a:schemeClr val="tx1">
                <a:lumMod val="65000"/>
                <a:lumOff val="35000"/>
              </a:schemeClr>
            </a:solidFill>
          </a:ln>
          <a:effectLst/>
        </c:spPr>
        <c:txPr>
          <a:bodyPr rot="-60000000" spcFirstLastPara="1" vertOverflow="ellipsis" vert="horz" wrap="square" anchor="ctr" anchorCtr="1"/>
          <a:lstStyle/>
          <a:p>
            <a:pPr>
              <a:defRPr sz="950" b="0" i="0" u="none" strike="noStrike" kern="1200" baseline="0">
                <a:solidFill>
                  <a:schemeClr val="tx1"/>
                </a:solidFill>
                <a:latin typeface="Times New Roman" panose="02020603050405020304" pitchFamily="18" charset="0"/>
                <a:ea typeface="+mn-ea"/>
                <a:cs typeface="+mn-cs"/>
              </a:defRPr>
            </a:pPr>
            <a:endParaRPr lang="es-ES_tradnl"/>
          </a:p>
        </c:txPr>
        <c:crossAx val="709475840"/>
        <c:crosses val="autoZero"/>
        <c:crossBetween val="between"/>
      </c:valAx>
    </c:plotArea>
    <c:legend>
      <c:legendPos val="b"/>
      <c:layout>
        <c:manualLayout>
          <c:xMode val="edge"/>
          <c:yMode val="edge"/>
          <c:x val="0"/>
          <c:y val="0.80216933512597055"/>
          <c:w val="1"/>
          <c:h val="0.19783066487402948"/>
        </c:manualLayout>
      </c:layout>
      <c:overlay val="0"/>
      <c:spPr>
        <a:noFill/>
        <a:ln>
          <a:noFill/>
        </a:ln>
        <a:effectLst/>
      </c:spPr>
      <c:txPr>
        <a:bodyPr rot="0" spcFirstLastPara="1" vertOverflow="ellipsis" vert="horz" wrap="square" anchor="ctr" anchorCtr="1"/>
        <a:lstStyle/>
        <a:p>
          <a:pPr>
            <a:defRPr sz="9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legend>
    <c:plotVisOnly val="1"/>
    <c:dispBlanksAs val="gap"/>
    <c:showDLblsOverMax val="0"/>
  </c:chart>
  <c:spPr>
    <a:solidFill>
      <a:schemeClr val="bg1"/>
    </a:solidFill>
    <a:ln w="9525" cap="flat" cmpd="sng" algn="ctr">
      <a:noFill/>
      <a:round/>
    </a:ln>
    <a:effectLst/>
  </c:spPr>
  <c:txPr>
    <a:bodyPr/>
    <a:lstStyle/>
    <a:p>
      <a:pPr>
        <a:defRPr/>
      </a:pPr>
      <a:endParaRPr lang="es-ES_tradnl"/>
    </a:p>
  </c:txPr>
  <c:printSettings>
    <c:headerFooter/>
    <c:pageMargins b="0.75" l="0.25" r="0.25" t="0.75" header="0.3" footer="0.3"/>
    <c:pageSetup paperSize="9" orientation="landscape"/>
  </c:printSettings>
</c:chartSpace>
</file>

<file path=xl/charts/chart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466272940665432E-2"/>
          <c:y val="4.8144708917560494E-2"/>
          <c:w val="0.81980039428289797"/>
          <c:h val="0.63444511400075343"/>
        </c:manualLayout>
      </c:layout>
      <c:barChart>
        <c:barDir val="col"/>
        <c:grouping val="stacked"/>
        <c:varyColors val="0"/>
        <c:ser>
          <c:idx val="7"/>
          <c:order val="1"/>
          <c:tx>
            <c:v>Proportional effect</c:v>
          </c:tx>
          <c:spPr>
            <a:solidFill>
              <a:schemeClr val="bg2"/>
            </a:solidFill>
            <a:ln w="28575" cap="rnd">
              <a:noFill/>
              <a:round/>
            </a:ln>
            <a:effectLst/>
          </c:spPr>
          <c:invertIfNegative val="0"/>
          <c:dPt>
            <c:idx val="7"/>
            <c:invertIfNegative val="0"/>
            <c:bubble3D val="0"/>
            <c:extLst>
              <c:ext xmlns:c16="http://schemas.microsoft.com/office/drawing/2014/chart" uri="{C3380CC4-5D6E-409C-BE32-E72D297353CC}">
                <c16:uniqueId val="{00000000-FB5D-4CDA-A232-629EA58D9178}"/>
              </c:ext>
            </c:extLst>
          </c:dPt>
          <c:cat>
            <c:strRef>
              <c:f>'1CC'!$B$12:$B$22</c:f>
              <c:strCache>
                <c:ptCount val="11"/>
                <c:pt idx="0">
                  <c:v>1</c:v>
                </c:pt>
                <c:pt idx="1">
                  <c:v>2</c:v>
                </c:pt>
                <c:pt idx="2">
                  <c:v>3</c:v>
                </c:pt>
                <c:pt idx="3">
                  <c:v>4</c:v>
                </c:pt>
                <c:pt idx="4">
                  <c:v>5</c:v>
                </c:pt>
                <c:pt idx="5">
                  <c:v>6</c:v>
                </c:pt>
                <c:pt idx="6">
                  <c:v>7</c:v>
                </c:pt>
                <c:pt idx="7">
                  <c:v>8</c:v>
                </c:pt>
                <c:pt idx="8">
                  <c:v>9</c:v>
                </c:pt>
                <c:pt idx="9">
                  <c:v>10</c:v>
                </c:pt>
                <c:pt idx="10">
                  <c:v>Total</c:v>
                </c:pt>
              </c:strCache>
            </c:strRef>
          </c:cat>
          <c:val>
            <c:numRef>
              <c:f>'1CC'!$AH$12:$AH$22</c:f>
              <c:numCache>
                <c:formatCode>0.0</c:formatCode>
                <c:ptCount val="11"/>
                <c:pt idx="0">
                  <c:v>0.55434578760135611</c:v>
                </c:pt>
                <c:pt idx="1">
                  <c:v>1</c:v>
                </c:pt>
                <c:pt idx="2">
                  <c:v>1</c:v>
                </c:pt>
                <c:pt idx="3">
                  <c:v>1</c:v>
                </c:pt>
                <c:pt idx="4">
                  <c:v>1</c:v>
                </c:pt>
                <c:pt idx="5">
                  <c:v>1</c:v>
                </c:pt>
                <c:pt idx="6">
                  <c:v>1</c:v>
                </c:pt>
                <c:pt idx="7">
                  <c:v>1</c:v>
                </c:pt>
                <c:pt idx="8">
                  <c:v>1</c:v>
                </c:pt>
                <c:pt idx="9">
                  <c:v>1</c:v>
                </c:pt>
                <c:pt idx="10">
                  <c:v>1</c:v>
                </c:pt>
              </c:numCache>
            </c:numRef>
          </c:val>
          <c:extLst>
            <c:ext xmlns:c16="http://schemas.microsoft.com/office/drawing/2014/chart" uri="{C3380CC4-5D6E-409C-BE32-E72D297353CC}">
              <c16:uniqueId val="{00000001-FB5D-4CDA-A232-629EA58D9178}"/>
            </c:ext>
          </c:extLst>
        </c:ser>
        <c:ser>
          <c:idx val="0"/>
          <c:order val="2"/>
          <c:tx>
            <c:v>Bracket progressivity</c:v>
          </c:tx>
          <c:spPr>
            <a:solidFill>
              <a:schemeClr val="accent2">
                <a:lumMod val="75000"/>
              </a:schemeClr>
            </a:solidFill>
            <a:ln>
              <a:noFill/>
            </a:ln>
            <a:effectLst/>
          </c:spPr>
          <c:invertIfNegative val="0"/>
          <c:cat>
            <c:strRef>
              <c:f>'1CC'!$B$12:$B$22</c:f>
              <c:strCache>
                <c:ptCount val="11"/>
                <c:pt idx="0">
                  <c:v>1</c:v>
                </c:pt>
                <c:pt idx="1">
                  <c:v>2</c:v>
                </c:pt>
                <c:pt idx="2">
                  <c:v>3</c:v>
                </c:pt>
                <c:pt idx="3">
                  <c:v>4</c:v>
                </c:pt>
                <c:pt idx="4">
                  <c:v>5</c:v>
                </c:pt>
                <c:pt idx="5">
                  <c:v>6</c:v>
                </c:pt>
                <c:pt idx="6">
                  <c:v>7</c:v>
                </c:pt>
                <c:pt idx="7">
                  <c:v>8</c:v>
                </c:pt>
                <c:pt idx="8">
                  <c:v>9</c:v>
                </c:pt>
                <c:pt idx="9">
                  <c:v>10</c:v>
                </c:pt>
                <c:pt idx="10">
                  <c:v>Total</c:v>
                </c:pt>
              </c:strCache>
            </c:strRef>
          </c:cat>
          <c:val>
            <c:numRef>
              <c:f>'1CC'!$AJ$12:$AJ$22</c:f>
              <c:numCache>
                <c:formatCode>0.00</c:formatCode>
                <c:ptCount val="11"/>
                <c:pt idx="0">
                  <c:v>0</c:v>
                </c:pt>
                <c:pt idx="1">
                  <c:v>26.402203231485711</c:v>
                </c:pt>
                <c:pt idx="2">
                  <c:v>2.7475579096006402</c:v>
                </c:pt>
                <c:pt idx="3">
                  <c:v>1.8990166884609747</c:v>
                </c:pt>
                <c:pt idx="4">
                  <c:v>1.4278102267963835</c:v>
                </c:pt>
                <c:pt idx="5">
                  <c:v>1.1689977637247337</c:v>
                </c:pt>
                <c:pt idx="6">
                  <c:v>0.99641345677760818</c:v>
                </c:pt>
                <c:pt idx="7">
                  <c:v>0.87658177692541694</c:v>
                </c:pt>
                <c:pt idx="8">
                  <c:v>0.67780111275528654</c:v>
                </c:pt>
                <c:pt idx="9">
                  <c:v>0.37070161200349006</c:v>
                </c:pt>
                <c:pt idx="10">
                  <c:v>0.74750879241278745</c:v>
                </c:pt>
              </c:numCache>
            </c:numRef>
          </c:val>
          <c:extLst>
            <c:ext xmlns:c16="http://schemas.microsoft.com/office/drawing/2014/chart" uri="{C3380CC4-5D6E-409C-BE32-E72D297353CC}">
              <c16:uniqueId val="{00000002-FB5D-4CDA-A232-629EA58D9178}"/>
            </c:ext>
          </c:extLst>
        </c:ser>
        <c:ser>
          <c:idx val="1"/>
          <c:order val="3"/>
          <c:tx>
            <c:v>Deduction/credit 1</c:v>
          </c:tx>
          <c:spPr>
            <a:solidFill>
              <a:schemeClr val="accent5">
                <a:lumMod val="75000"/>
              </a:schemeClr>
            </a:solidFill>
            <a:ln>
              <a:noFill/>
            </a:ln>
            <a:effectLst/>
          </c:spPr>
          <c:invertIfNegative val="0"/>
          <c:cat>
            <c:strRef>
              <c:f>'1CC'!$B$12:$B$22</c:f>
              <c:strCache>
                <c:ptCount val="11"/>
                <c:pt idx="0">
                  <c:v>1</c:v>
                </c:pt>
                <c:pt idx="1">
                  <c:v>2</c:v>
                </c:pt>
                <c:pt idx="2">
                  <c:v>3</c:v>
                </c:pt>
                <c:pt idx="3">
                  <c:v>4</c:v>
                </c:pt>
                <c:pt idx="4">
                  <c:v>5</c:v>
                </c:pt>
                <c:pt idx="5">
                  <c:v>6</c:v>
                </c:pt>
                <c:pt idx="6">
                  <c:v>7</c:v>
                </c:pt>
                <c:pt idx="7">
                  <c:v>8</c:v>
                </c:pt>
                <c:pt idx="8">
                  <c:v>9</c:v>
                </c:pt>
                <c:pt idx="9">
                  <c:v>10</c:v>
                </c:pt>
                <c:pt idx="10">
                  <c:v>Total</c:v>
                </c:pt>
              </c:strCache>
            </c:strRef>
          </c:cat>
          <c:val>
            <c:numRef>
              <c:f>'1CC'!$AK$12:$AK$22</c:f>
              <c:numCache>
                <c:formatCode>0.00</c:formatCode>
                <c:ptCount val="11"/>
                <c:pt idx="0">
                  <c:v>0</c:v>
                </c:pt>
                <c:pt idx="1">
                  <c:v>3.3027455847468943</c:v>
                </c:pt>
                <c:pt idx="2">
                  <c:v>0.4970753137236672</c:v>
                </c:pt>
                <c:pt idx="3">
                  <c:v>0.25917270998163877</c:v>
                </c:pt>
                <c:pt idx="4">
                  <c:v>0.15708272895505315</c:v>
                </c:pt>
                <c:pt idx="5">
                  <c:v>0.10325339600582284</c:v>
                </c:pt>
                <c:pt idx="6">
                  <c:v>6.2728783945926958E-2</c:v>
                </c:pt>
                <c:pt idx="7">
                  <c:v>4.6446320492375293E-2</c:v>
                </c:pt>
                <c:pt idx="8">
                  <c:v>2.3154205286815666E-2</c:v>
                </c:pt>
                <c:pt idx="9">
                  <c:v>7.4645984291441536E-3</c:v>
                </c:pt>
                <c:pt idx="10">
                  <c:v>5.1271133027993798E-2</c:v>
                </c:pt>
              </c:numCache>
            </c:numRef>
          </c:val>
          <c:extLst>
            <c:ext xmlns:c16="http://schemas.microsoft.com/office/drawing/2014/chart" uri="{C3380CC4-5D6E-409C-BE32-E72D297353CC}">
              <c16:uniqueId val="{00000003-FB5D-4CDA-A232-629EA58D9178}"/>
            </c:ext>
          </c:extLst>
        </c:ser>
        <c:ser>
          <c:idx val="2"/>
          <c:order val="4"/>
          <c:tx>
            <c:v>Deduction/credit 2</c:v>
          </c:tx>
          <c:spPr>
            <a:solidFill>
              <a:schemeClr val="accent5">
                <a:lumMod val="60000"/>
                <a:lumOff val="40000"/>
              </a:schemeClr>
            </a:solidFill>
            <a:ln>
              <a:noFill/>
            </a:ln>
            <a:effectLst/>
          </c:spPr>
          <c:invertIfNegative val="0"/>
          <c:cat>
            <c:strRef>
              <c:f>'1CC'!$B$12:$B$22</c:f>
              <c:strCache>
                <c:ptCount val="11"/>
                <c:pt idx="0">
                  <c:v>1</c:v>
                </c:pt>
                <c:pt idx="1">
                  <c:v>2</c:v>
                </c:pt>
                <c:pt idx="2">
                  <c:v>3</c:v>
                </c:pt>
                <c:pt idx="3">
                  <c:v>4</c:v>
                </c:pt>
                <c:pt idx="4">
                  <c:v>5</c:v>
                </c:pt>
                <c:pt idx="5">
                  <c:v>6</c:v>
                </c:pt>
                <c:pt idx="6">
                  <c:v>7</c:v>
                </c:pt>
                <c:pt idx="7">
                  <c:v>8</c:v>
                </c:pt>
                <c:pt idx="8">
                  <c:v>9</c:v>
                </c:pt>
                <c:pt idx="9">
                  <c:v>10</c:v>
                </c:pt>
                <c:pt idx="10">
                  <c:v>Total</c:v>
                </c:pt>
              </c:strCache>
            </c:strRef>
          </c:cat>
          <c:val>
            <c:numRef>
              <c:f>'1CC'!$AL$12:$AL$22</c:f>
              <c:numCache>
                <c:formatCode>0.00</c:formatCode>
                <c:ptCount val="11"/>
                <c:pt idx="0">
                  <c:v>0</c:v>
                </c:pt>
                <c:pt idx="1">
                  <c:v>1.2334693484093808</c:v>
                </c:pt>
                <c:pt idx="2">
                  <c:v>0.16029971066140369</c:v>
                </c:pt>
                <c:pt idx="3">
                  <c:v>0.10077100854584442</c:v>
                </c:pt>
                <c:pt idx="4">
                  <c:v>7.7878923594677296E-2</c:v>
                </c:pt>
                <c:pt idx="5">
                  <c:v>6.5894871897089091E-2</c:v>
                </c:pt>
                <c:pt idx="6">
                  <c:v>5.2977961421142972E-2</c:v>
                </c:pt>
                <c:pt idx="7">
                  <c:v>5.0420902243749399E-2</c:v>
                </c:pt>
                <c:pt idx="8">
                  <c:v>3.3044062280038755E-2</c:v>
                </c:pt>
                <c:pt idx="9">
                  <c:v>1.4378953827245189E-2</c:v>
                </c:pt>
                <c:pt idx="10">
                  <c:v>3.7711883040369099E-2</c:v>
                </c:pt>
              </c:numCache>
            </c:numRef>
          </c:val>
          <c:extLst>
            <c:ext xmlns:c16="http://schemas.microsoft.com/office/drawing/2014/chart" uri="{C3380CC4-5D6E-409C-BE32-E72D297353CC}">
              <c16:uniqueId val="{00000004-FB5D-4CDA-A232-629EA58D9178}"/>
            </c:ext>
          </c:extLst>
        </c:ser>
        <c:ser>
          <c:idx val="3"/>
          <c:order val="5"/>
          <c:tx>
            <c:v>Deduction/credit 3</c:v>
          </c:tx>
          <c:spPr>
            <a:solidFill>
              <a:schemeClr val="accent5">
                <a:lumMod val="20000"/>
                <a:lumOff val="80000"/>
              </a:schemeClr>
            </a:solidFill>
            <a:ln>
              <a:noFill/>
            </a:ln>
            <a:effectLst/>
          </c:spPr>
          <c:invertIfNegative val="0"/>
          <c:cat>
            <c:strRef>
              <c:f>'1CC'!$B$12:$B$22</c:f>
              <c:strCache>
                <c:ptCount val="11"/>
                <c:pt idx="0">
                  <c:v>1</c:v>
                </c:pt>
                <c:pt idx="1">
                  <c:v>2</c:v>
                </c:pt>
                <c:pt idx="2">
                  <c:v>3</c:v>
                </c:pt>
                <c:pt idx="3">
                  <c:v>4</c:v>
                </c:pt>
                <c:pt idx="4">
                  <c:v>5</c:v>
                </c:pt>
                <c:pt idx="5">
                  <c:v>6</c:v>
                </c:pt>
                <c:pt idx="6">
                  <c:v>7</c:v>
                </c:pt>
                <c:pt idx="7">
                  <c:v>8</c:v>
                </c:pt>
                <c:pt idx="8">
                  <c:v>9</c:v>
                </c:pt>
                <c:pt idx="9">
                  <c:v>10</c:v>
                </c:pt>
                <c:pt idx="10">
                  <c:v>Total</c:v>
                </c:pt>
              </c:strCache>
            </c:strRef>
          </c:cat>
          <c:val>
            <c:numRef>
              <c:f>'1CC'!$AM$12:$AM$22</c:f>
              <c:numCache>
                <c:formatCode>0.00</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5-FB5D-4CDA-A232-629EA58D9178}"/>
            </c:ext>
          </c:extLst>
        </c:ser>
        <c:ser>
          <c:idx val="4"/>
          <c:order val="6"/>
          <c:tx>
            <c:v>to be deleted</c:v>
          </c:tx>
          <c:spPr>
            <a:solidFill>
              <a:schemeClr val="accent5">
                <a:lumMod val="40000"/>
                <a:lumOff val="60000"/>
              </a:schemeClr>
            </a:solidFill>
            <a:ln>
              <a:noFill/>
            </a:ln>
            <a:effectLst/>
          </c:spPr>
          <c:invertIfNegative val="0"/>
          <c:cat>
            <c:strRef>
              <c:f>'1CC'!$B$12:$B$22</c:f>
              <c:strCache>
                <c:ptCount val="11"/>
                <c:pt idx="0">
                  <c:v>1</c:v>
                </c:pt>
                <c:pt idx="1">
                  <c:v>2</c:v>
                </c:pt>
                <c:pt idx="2">
                  <c:v>3</c:v>
                </c:pt>
                <c:pt idx="3">
                  <c:v>4</c:v>
                </c:pt>
                <c:pt idx="4">
                  <c:v>5</c:v>
                </c:pt>
                <c:pt idx="5">
                  <c:v>6</c:v>
                </c:pt>
                <c:pt idx="6">
                  <c:v>7</c:v>
                </c:pt>
                <c:pt idx="7">
                  <c:v>8</c:v>
                </c:pt>
                <c:pt idx="8">
                  <c:v>9</c:v>
                </c:pt>
                <c:pt idx="9">
                  <c:v>10</c:v>
                </c:pt>
                <c:pt idx="10">
                  <c:v>Total</c:v>
                </c:pt>
              </c:strCache>
              <c:extLst xmlns:c15="http://schemas.microsoft.com/office/drawing/2012/chart"/>
            </c:strRef>
          </c:cat>
          <c:val>
            <c:numRef>
              <c:f>'1CC'!$AN$12:$AN$22</c:f>
              <c:numCache>
                <c:formatCode>0.00</c:formatCode>
                <c:ptCount val="11"/>
                <c:pt idx="0">
                  <c:v>0</c:v>
                </c:pt>
                <c:pt idx="1">
                  <c:v>0</c:v>
                </c:pt>
                <c:pt idx="2">
                  <c:v>0</c:v>
                </c:pt>
                <c:pt idx="3">
                  <c:v>0</c:v>
                </c:pt>
                <c:pt idx="4">
                  <c:v>0</c:v>
                </c:pt>
                <c:pt idx="5">
                  <c:v>0</c:v>
                </c:pt>
                <c:pt idx="6">
                  <c:v>0</c:v>
                </c:pt>
                <c:pt idx="7">
                  <c:v>0</c:v>
                </c:pt>
                <c:pt idx="8">
                  <c:v>0</c:v>
                </c:pt>
                <c:pt idx="9">
                  <c:v>0</c:v>
                </c:pt>
                <c:pt idx="10">
                  <c:v>0</c:v>
                </c:pt>
              </c:numCache>
              <c:extLst xmlns:c15="http://schemas.microsoft.com/office/drawing/2012/chart"/>
            </c:numRef>
          </c:val>
          <c:extLst xmlns:c15="http://schemas.microsoft.com/office/drawing/2012/chart">
            <c:ext xmlns:c16="http://schemas.microsoft.com/office/drawing/2014/chart" uri="{C3380CC4-5D6E-409C-BE32-E72D297353CC}">
              <c16:uniqueId val="{00000006-FB5D-4CDA-A232-629EA58D9178}"/>
            </c:ext>
          </c:extLst>
        </c:ser>
        <c:ser>
          <c:idx val="5"/>
          <c:order val="7"/>
          <c:tx>
            <c:v>Other deduct./credits</c:v>
          </c:tx>
          <c:spPr>
            <a:solidFill>
              <a:schemeClr val="accent5">
                <a:lumMod val="20000"/>
                <a:lumOff val="80000"/>
              </a:schemeClr>
            </a:solidFill>
          </c:spPr>
          <c:invertIfNegative val="0"/>
          <c:cat>
            <c:strRef>
              <c:f>'1CC'!$B$12:$B$22</c:f>
              <c:strCache>
                <c:ptCount val="11"/>
                <c:pt idx="0">
                  <c:v>1</c:v>
                </c:pt>
                <c:pt idx="1">
                  <c:v>2</c:v>
                </c:pt>
                <c:pt idx="2">
                  <c:v>3</c:v>
                </c:pt>
                <c:pt idx="3">
                  <c:v>4</c:v>
                </c:pt>
                <c:pt idx="4">
                  <c:v>5</c:v>
                </c:pt>
                <c:pt idx="5">
                  <c:v>6</c:v>
                </c:pt>
                <c:pt idx="6">
                  <c:v>7</c:v>
                </c:pt>
                <c:pt idx="7">
                  <c:v>8</c:v>
                </c:pt>
                <c:pt idx="8">
                  <c:v>9</c:v>
                </c:pt>
                <c:pt idx="9">
                  <c:v>10</c:v>
                </c:pt>
                <c:pt idx="10">
                  <c:v>Total</c:v>
                </c:pt>
              </c:strCache>
            </c:strRef>
          </c:cat>
          <c:val>
            <c:numRef>
              <c:f>'1CC'!$AO$12:$AO$22</c:f>
              <c:numCache>
                <c:formatCode>0.00</c:formatCode>
                <c:ptCount val="11"/>
                <c:pt idx="0">
                  <c:v>0</c:v>
                </c:pt>
                <c:pt idx="1">
                  <c:v>7.320504230797221</c:v>
                </c:pt>
                <c:pt idx="2">
                  <c:v>0.42759144002721294</c:v>
                </c:pt>
                <c:pt idx="3">
                  <c:v>0.22284095307562901</c:v>
                </c:pt>
                <c:pt idx="4">
                  <c:v>0.13587489520420704</c:v>
                </c:pt>
                <c:pt idx="5">
                  <c:v>6.2321591186099701E-2</c:v>
                </c:pt>
                <c:pt idx="6">
                  <c:v>4.6636678991811786E-2</c:v>
                </c:pt>
                <c:pt idx="7">
                  <c:v>3.0744592661801073E-2</c:v>
                </c:pt>
                <c:pt idx="8">
                  <c:v>2.1336167446813992E-2</c:v>
                </c:pt>
                <c:pt idx="9">
                  <c:v>1.2436104833583039E-2</c:v>
                </c:pt>
                <c:pt idx="10">
                  <c:v>5.013383400764404E-2</c:v>
                </c:pt>
              </c:numCache>
            </c:numRef>
          </c:val>
          <c:extLst>
            <c:ext xmlns:c16="http://schemas.microsoft.com/office/drawing/2014/chart" uri="{C3380CC4-5D6E-409C-BE32-E72D297353CC}">
              <c16:uniqueId val="{00000007-FB5D-4CDA-A232-629EA58D9178}"/>
            </c:ext>
          </c:extLst>
        </c:ser>
        <c:ser>
          <c:idx val="8"/>
          <c:order val="8"/>
          <c:tx>
            <c:strRef>
              <c:f>'1CC'!$AI$11</c:f>
              <c:strCache>
                <c:ptCount val="1"/>
                <c:pt idx="0">
                  <c:v>Residual</c:v>
                </c:pt>
              </c:strCache>
            </c:strRef>
          </c:tx>
          <c:spPr>
            <a:solidFill>
              <a:schemeClr val="accent4">
                <a:lumMod val="40000"/>
                <a:lumOff val="60000"/>
              </a:schemeClr>
            </a:solidFill>
            <a:ln w="19050">
              <a:noFill/>
            </a:ln>
          </c:spPr>
          <c:invertIfNegative val="0"/>
          <c:val>
            <c:numRef>
              <c:f>'1CC'!$AI$12:$AI$22</c:f>
              <c:numCache>
                <c:formatCode>0.00</c:formatCode>
                <c:ptCount val="11"/>
                <c:pt idx="0">
                  <c:v>0</c:v>
                </c:pt>
                <c:pt idx="1">
                  <c:v>0</c:v>
                </c:pt>
                <c:pt idx="2">
                  <c:v>8.8817841970012523E-16</c:v>
                </c:pt>
                <c:pt idx="3">
                  <c:v>0</c:v>
                </c:pt>
                <c:pt idx="4">
                  <c:v>0</c:v>
                </c:pt>
                <c:pt idx="5">
                  <c:v>0</c:v>
                </c:pt>
                <c:pt idx="6">
                  <c:v>4.4408920985006262E-16</c:v>
                </c:pt>
                <c:pt idx="7">
                  <c:v>0</c:v>
                </c:pt>
                <c:pt idx="8">
                  <c:v>1.262676256907902E-5</c:v>
                </c:pt>
                <c:pt idx="9">
                  <c:v>2.9127634462167151E-6</c:v>
                </c:pt>
                <c:pt idx="10">
                  <c:v>0</c:v>
                </c:pt>
              </c:numCache>
            </c:numRef>
          </c:val>
          <c:extLst>
            <c:ext xmlns:c16="http://schemas.microsoft.com/office/drawing/2014/chart" uri="{C3380CC4-5D6E-409C-BE32-E72D297353CC}">
              <c16:uniqueId val="{00000008-FB5D-4CDA-A232-629EA58D9178}"/>
            </c:ext>
          </c:extLst>
        </c:ser>
        <c:dLbls>
          <c:showLegendKey val="0"/>
          <c:showVal val="0"/>
          <c:showCatName val="0"/>
          <c:showSerName val="0"/>
          <c:showPercent val="0"/>
          <c:showBubbleSize val="0"/>
        </c:dLbls>
        <c:gapWidth val="75"/>
        <c:overlap val="100"/>
        <c:axId val="844305855"/>
        <c:axId val="892036479"/>
        <c:extLst/>
      </c:barChart>
      <c:lineChart>
        <c:grouping val="standard"/>
        <c:varyColors val="0"/>
        <c:ser>
          <c:idx val="6"/>
          <c:order val="0"/>
          <c:tx>
            <c:v>Elasticity</c:v>
          </c:tx>
          <c:spPr>
            <a:ln>
              <a:noFill/>
            </a:ln>
            <a:effectLst/>
          </c:spPr>
          <c:marker>
            <c:symbol val="circle"/>
            <c:size val="7"/>
            <c:spPr>
              <a:noFill/>
              <a:ln w="22225">
                <a:solidFill>
                  <a:schemeClr val="bg2">
                    <a:lumMod val="25000"/>
                  </a:schemeClr>
                </a:solidFill>
              </a:ln>
            </c:spPr>
          </c:marker>
          <c:val>
            <c:numRef>
              <c:f>'1CC'!$W$12:$W$22</c:f>
              <c:numCache>
                <c:formatCode>_(* #,##0.00_);_(* \(#,##0.00\);_(* "-"??_);_(@_)</c:formatCode>
                <c:ptCount val="11"/>
                <c:pt idx="0">
                  <c:v>0.55434578760135611</c:v>
                </c:pt>
                <c:pt idx="1">
                  <c:v>39.258922395439207</c:v>
                </c:pt>
                <c:pt idx="2">
                  <c:v>4.832524374012924</c:v>
                </c:pt>
                <c:pt idx="3">
                  <c:v>3.4818013600640869</c:v>
                </c:pt>
                <c:pt idx="4">
                  <c:v>2.798646774550321</c:v>
                </c:pt>
                <c:pt idx="5">
                  <c:v>2.4004676228137454</c:v>
                </c:pt>
                <c:pt idx="6">
                  <c:v>2.1587568811364899</c:v>
                </c:pt>
                <c:pt idx="7">
                  <c:v>2.0041935923233427</c:v>
                </c:pt>
                <c:pt idx="8">
                  <c:v>1.755348174531524</c:v>
                </c:pt>
                <c:pt idx="9">
                  <c:v>1.4049841818569087</c:v>
                </c:pt>
                <c:pt idx="10">
                  <c:v>1.8866256424887944</c:v>
                </c:pt>
              </c:numCache>
            </c:numRef>
          </c:val>
          <c:smooth val="0"/>
          <c:extLst>
            <c:ext xmlns:c16="http://schemas.microsoft.com/office/drawing/2014/chart" uri="{C3380CC4-5D6E-409C-BE32-E72D297353CC}">
              <c16:uniqueId val="{00000009-FB5D-4CDA-A232-629EA58D9178}"/>
            </c:ext>
          </c:extLst>
        </c:ser>
        <c:dLbls>
          <c:showLegendKey val="0"/>
          <c:showVal val="0"/>
          <c:showCatName val="0"/>
          <c:showSerName val="0"/>
          <c:showPercent val="0"/>
          <c:showBubbleSize val="0"/>
        </c:dLbls>
        <c:marker val="1"/>
        <c:smooth val="0"/>
        <c:axId val="844305855"/>
        <c:axId val="892036479"/>
      </c:lineChart>
      <c:lineChart>
        <c:grouping val="standard"/>
        <c:varyColors val="0"/>
        <c:ser>
          <c:idx val="9"/>
          <c:order val="9"/>
          <c:tx>
            <c:v>Zero taxpayers (r.axis)</c:v>
          </c:tx>
          <c:spPr>
            <a:ln w="28575">
              <a:solidFill>
                <a:schemeClr val="bg1">
                  <a:lumMod val="50000"/>
                </a:schemeClr>
              </a:solidFill>
              <a:prstDash val="sysDash"/>
            </a:ln>
          </c:spPr>
          <c:marker>
            <c:symbol val="none"/>
          </c:marker>
          <c:val>
            <c:numRef>
              <c:f>'1CC'!$DD$12:$DD$21</c:f>
              <c:numCache>
                <c:formatCode>0</c:formatCode>
                <c:ptCount val="10"/>
                <c:pt idx="0">
                  <c:v>17.164667748349537</c:v>
                </c:pt>
                <c:pt idx="1">
                  <c:v>14.776200704358677</c:v>
                </c:pt>
                <c:pt idx="2">
                  <c:v>0</c:v>
                </c:pt>
                <c:pt idx="3">
                  <c:v>0</c:v>
                </c:pt>
                <c:pt idx="4">
                  <c:v>0</c:v>
                </c:pt>
                <c:pt idx="5">
                  <c:v>0</c:v>
                </c:pt>
                <c:pt idx="6">
                  <c:v>0</c:v>
                </c:pt>
                <c:pt idx="7">
                  <c:v>0</c:v>
                </c:pt>
                <c:pt idx="8">
                  <c:v>0</c:v>
                </c:pt>
                <c:pt idx="9">
                  <c:v>0</c:v>
                </c:pt>
              </c:numCache>
            </c:numRef>
          </c:val>
          <c:smooth val="0"/>
          <c:extLst>
            <c:ext xmlns:c16="http://schemas.microsoft.com/office/drawing/2014/chart" uri="{C3380CC4-5D6E-409C-BE32-E72D297353CC}">
              <c16:uniqueId val="{0000000A-FB5D-4CDA-A232-629EA58D9178}"/>
            </c:ext>
          </c:extLst>
        </c:ser>
        <c:dLbls>
          <c:showLegendKey val="0"/>
          <c:showVal val="0"/>
          <c:showCatName val="0"/>
          <c:showSerName val="0"/>
          <c:showPercent val="0"/>
          <c:showBubbleSize val="0"/>
        </c:dLbls>
        <c:marker val="1"/>
        <c:smooth val="0"/>
        <c:axId val="1979241087"/>
        <c:axId val="1482758495"/>
        <c:extLst>
          <c:ext xmlns:c15="http://schemas.microsoft.com/office/drawing/2012/chart" uri="{02D57815-91ED-43cb-92C2-25804820EDAC}">
            <c15:filteredLineSeries>
              <c15:ser>
                <c:idx val="10"/>
                <c:order val="10"/>
                <c:tx>
                  <c:v>Tax liability (r.axis)</c:v>
                </c:tx>
                <c:spPr>
                  <a:ln w="25400">
                    <a:solidFill>
                      <a:schemeClr val="tx1">
                        <a:alpha val="40000"/>
                      </a:schemeClr>
                    </a:solidFill>
                  </a:ln>
                </c:spPr>
                <c:marker>
                  <c:symbol val="none"/>
                </c:marker>
                <c:val>
                  <c:numRef>
                    <c:extLst>
                      <c:ext uri="{02D57815-91ED-43cb-92C2-25804820EDAC}">
                        <c15:formulaRef>
                          <c15:sqref>'1CC'!$O$12:$O$21</c15:sqref>
                        </c15:formulaRef>
                      </c:ext>
                    </c:extLst>
                    <c:numCache>
                      <c:formatCode>_-* #,##0.0_-;\-* #,##0.0_-;_-* "-"??_-;_-@_-</c:formatCode>
                      <c:ptCount val="10"/>
                      <c:pt idx="0">
                        <c:v>-0.4473443827354564</c:v>
                      </c:pt>
                      <c:pt idx="1">
                        <c:v>7.527859081961448E-2</c:v>
                      </c:pt>
                      <c:pt idx="2">
                        <c:v>1.5191305733049829</c:v>
                      </c:pt>
                      <c:pt idx="3">
                        <c:v>2.9993580491866521</c:v>
                      </c:pt>
                      <c:pt idx="4">
                        <c:v>4.5792744575711879</c:v>
                      </c:pt>
                      <c:pt idx="5">
                        <c:v>6.5491713875720681</c:v>
                      </c:pt>
                      <c:pt idx="6">
                        <c:v>8.8340670519722444</c:v>
                      </c:pt>
                      <c:pt idx="7">
                        <c:v>11.683975192779934</c:v>
                      </c:pt>
                      <c:pt idx="8">
                        <c:v>18.382497957185571</c:v>
                      </c:pt>
                      <c:pt idx="9">
                        <c:v>45.824591122343641</c:v>
                      </c:pt>
                    </c:numCache>
                  </c:numRef>
                </c:val>
                <c:smooth val="0"/>
                <c:extLst>
                  <c:ext xmlns:c16="http://schemas.microsoft.com/office/drawing/2014/chart" uri="{C3380CC4-5D6E-409C-BE32-E72D297353CC}">
                    <c16:uniqueId val="{0000000B-FB5D-4CDA-A232-629EA58D9178}"/>
                  </c:ext>
                </c:extLst>
              </c15:ser>
            </c15:filteredLineSeries>
          </c:ext>
        </c:extLst>
      </c:lineChart>
      <c:catAx>
        <c:axId val="844305855"/>
        <c:scaling>
          <c:orientation val="minMax"/>
        </c:scaling>
        <c:delete val="0"/>
        <c:axPos val="b"/>
        <c:title>
          <c:tx>
            <c:rich>
              <a:bodyPr rot="0" spcFirstLastPara="1" vertOverflow="ellipsis" vert="horz" wrap="square" anchor="ctr" anchorCtr="1"/>
              <a:lstStyle/>
              <a:p>
                <a:pPr>
                  <a:defRPr sz="10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s-ES_tradnl"/>
                  <a:t>Decile of tax base</a:t>
                </a:r>
              </a:p>
            </c:rich>
          </c:tx>
          <c:layout>
            <c:manualLayout>
              <c:xMode val="edge"/>
              <c:yMode val="edge"/>
              <c:x val="0.37866930867348747"/>
              <c:y val="0.74161680678735642"/>
            </c:manualLayout>
          </c:layout>
          <c:overlay val="0"/>
          <c:spPr>
            <a:noFill/>
            <a:ln>
              <a:noFill/>
            </a:ln>
            <a:effectLst/>
          </c:spPr>
        </c:title>
        <c:numFmt formatCode="General" sourceLinked="1"/>
        <c:majorTickMark val="none"/>
        <c:minorTickMark val="none"/>
        <c:tickLblPos val="nextTo"/>
        <c:spPr>
          <a:noFill/>
          <a:ln w="6350" cap="flat" cmpd="sng" algn="ctr">
            <a:solidFill>
              <a:schemeClr val="tx1"/>
            </a:solidFill>
            <a:round/>
          </a:ln>
          <a:effectLst/>
        </c:spPr>
        <c:txPr>
          <a:bodyPr rot="-60000000" spcFirstLastPara="1" vertOverflow="ellipsis" vert="horz" wrap="square" anchor="ctr" anchorCtr="1"/>
          <a:lstStyle/>
          <a:p>
            <a:pPr>
              <a:defRPr sz="9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crossAx val="892036479"/>
        <c:crosses val="autoZero"/>
        <c:auto val="1"/>
        <c:lblAlgn val="ctr"/>
        <c:lblOffset val="100"/>
        <c:noMultiLvlLbl val="0"/>
      </c:catAx>
      <c:valAx>
        <c:axId val="892036479"/>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50" b="0"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s-ES_tradnl" sz="1050">
                    <a:solidFill>
                      <a:schemeClr val="tx1"/>
                    </a:solidFill>
                  </a:rPr>
                  <a:t>Percentage</a:t>
                </a:r>
              </a:p>
            </c:rich>
          </c:tx>
          <c:layout>
            <c:manualLayout>
              <c:xMode val="edge"/>
              <c:yMode val="edge"/>
              <c:x val="0"/>
              <c:y val="0.25867242893161324"/>
            </c:manualLayout>
          </c:layout>
          <c:overlay val="0"/>
          <c:spPr>
            <a:noFill/>
            <a:ln>
              <a:noFill/>
            </a:ln>
            <a:effectLst/>
          </c:sp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crossAx val="844305855"/>
        <c:crosses val="autoZero"/>
        <c:crossBetween val="between"/>
      </c:valAx>
      <c:valAx>
        <c:axId val="1482758495"/>
        <c:scaling>
          <c:orientation val="minMax"/>
          <c:max val="100"/>
        </c:scaling>
        <c:delete val="0"/>
        <c:axPos val="r"/>
        <c:title>
          <c:tx>
            <c:rich>
              <a:bodyPr/>
              <a:lstStyle/>
              <a:p>
                <a:pPr>
                  <a:defRPr sz="1050" b="0"/>
                </a:pPr>
                <a:r>
                  <a:rPr lang="es-ES_tradnl" sz="1050" b="0"/>
                  <a:t>Share (%)</a:t>
                </a:r>
              </a:p>
            </c:rich>
          </c:tx>
          <c:layout>
            <c:manualLayout>
              <c:xMode val="edge"/>
              <c:yMode val="edge"/>
              <c:x val="0.95617942147164869"/>
              <c:y val="0.25959733486247738"/>
            </c:manualLayout>
          </c:layout>
          <c:overlay val="0"/>
        </c:title>
        <c:numFmt formatCode="0" sourceLinked="1"/>
        <c:majorTickMark val="out"/>
        <c:minorTickMark val="none"/>
        <c:tickLblPos val="nextTo"/>
        <c:spPr>
          <a:ln>
            <a:solidFill>
              <a:schemeClr val="tx1"/>
            </a:solidFill>
          </a:ln>
        </c:spPr>
        <c:crossAx val="1979241087"/>
        <c:crosses val="max"/>
        <c:crossBetween val="between"/>
        <c:majorUnit val="10"/>
      </c:valAx>
      <c:catAx>
        <c:axId val="1979241087"/>
        <c:scaling>
          <c:orientation val="minMax"/>
        </c:scaling>
        <c:delete val="1"/>
        <c:axPos val="b"/>
        <c:majorTickMark val="out"/>
        <c:minorTickMark val="none"/>
        <c:tickLblPos val="nextTo"/>
        <c:crossAx val="1482758495"/>
        <c:crosses val="autoZero"/>
        <c:auto val="1"/>
        <c:lblAlgn val="ctr"/>
        <c:lblOffset val="100"/>
        <c:noMultiLvlLbl val="0"/>
      </c:catAx>
    </c:plotArea>
    <c:legend>
      <c:legendPos val="b"/>
      <c:legendEntry>
        <c:idx val="4"/>
        <c:delete val="1"/>
      </c:legendEntry>
      <c:legendEntry>
        <c:idx val="5"/>
        <c:delete val="1"/>
      </c:legendEntry>
      <c:layout>
        <c:manualLayout>
          <c:xMode val="edge"/>
          <c:yMode val="edge"/>
          <c:x val="0"/>
          <c:y val="0.81572800181711091"/>
          <c:w val="1"/>
          <c:h val="0.17662064518611426"/>
        </c:manualLayout>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legend>
    <c:plotVisOnly val="1"/>
    <c:dispBlanksAs val="gap"/>
    <c:showDLblsOverMax val="0"/>
    <c:extLst/>
  </c:chart>
  <c:spPr>
    <a:solidFill>
      <a:schemeClr val="bg1"/>
    </a:solidFill>
    <a:ln w="9525" cap="flat" cmpd="sng" algn="ctr">
      <a:noFill/>
      <a:round/>
    </a:ln>
    <a:effectLst/>
  </c:spPr>
  <c:txPr>
    <a:bodyPr/>
    <a:lstStyle/>
    <a:p>
      <a:pPr>
        <a:defRPr>
          <a:solidFill>
            <a:sysClr val="windowText" lastClr="000000"/>
          </a:solidFill>
          <a:latin typeface="Times New Roman" panose="02020603050405020304" pitchFamily="18" charset="0"/>
          <a:cs typeface="Times New Roman" panose="02020603050405020304" pitchFamily="18" charset="0"/>
        </a:defRPr>
      </a:pPr>
      <a:endParaRPr lang="es-ES_tradnl"/>
    </a:p>
  </c:txPr>
  <c:printSettings>
    <c:headerFooter/>
    <c:pageMargins b="0.75" l="0.25" r="0.25" t="0.75" header="0.3" footer="0.3"/>
    <c:pageSetup paperSize="9" orientation="landscape"/>
  </c:printSettings>
</c:chartSpace>
</file>

<file path=xl/charts/chart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457409308717575"/>
          <c:y val="4.6087571003560986E-2"/>
          <c:w val="0.82558175067451101"/>
          <c:h val="0.64272676146640684"/>
        </c:manualLayout>
      </c:layout>
      <c:lineChart>
        <c:grouping val="standard"/>
        <c:varyColors val="0"/>
        <c:ser>
          <c:idx val="1"/>
          <c:order val="0"/>
          <c:tx>
            <c:strRef>
              <c:f>'2CC'!$D$45</c:f>
              <c:strCache>
                <c:ptCount val="1"/>
                <c:pt idx="0">
                  <c:v>Observed (National Accounts)</c:v>
                </c:pt>
              </c:strCache>
            </c:strRef>
          </c:tx>
          <c:spPr>
            <a:ln w="25400" cap="rnd">
              <a:solidFill>
                <a:schemeClr val="tx1">
                  <a:lumMod val="65000"/>
                  <a:lumOff val="35000"/>
                </a:schemeClr>
              </a:solidFill>
              <a:prstDash val="sysDash"/>
              <a:round/>
            </a:ln>
            <a:effectLst/>
          </c:spPr>
          <c:marker>
            <c:symbol val="none"/>
          </c:marker>
          <c:cat>
            <c:numRef>
              <c:extLst>
                <c:ext xmlns:c15="http://schemas.microsoft.com/office/drawing/2012/chart" uri="{02D57815-91ED-43cb-92C2-25804820EDAC}">
                  <c15:fullRef>
                    <c15:sqref>'2CC'!$B$46:$B$53</c15:sqref>
                  </c15:fullRef>
                </c:ext>
              </c:extLst>
              <c:f>'2CC'!$B$46:$B$50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'2CC'!$D$46:$D$53</c15:sqref>
                  </c15:fullRef>
                </c:ext>
              </c:extLst>
              <c:f>'2CC'!$D$46:$D$50</c:f>
              <c:numCache>
                <c:formatCode>_-* #,##0_-;\-* #,##0_-;_-* "-"??_-;_-@_-</c:formatCode>
                <c:ptCount val="5"/>
                <c:pt idx="0">
                  <c:v>339185</c:v>
                </c:pt>
                <c:pt idx="1">
                  <c:v>327953</c:v>
                </c:pt>
                <c:pt idx="2">
                  <c:v>348321</c:v>
                </c:pt>
                <c:pt idx="3">
                  <c:v>376777</c:v>
                </c:pt>
                <c:pt idx="4">
                  <c:v>374828</c:v>
                </c:pt>
              </c:numCache>
            </c:numRef>
          </c:val>
          <c:smooth val="0"/>
          <c:extLst>
            <c:ext xmlns:c16="http://schemas.microsoft.com/office/drawing/2014/chart" uri="{C3380CC4-5D6E-409C-BE32-E72D297353CC}">
              <c16:uniqueId val="{00000000-C631-4E00-8326-0F6342F8C36E}"/>
            </c:ext>
          </c:extLst>
        </c:ser>
        <c:ser>
          <c:idx val="0"/>
          <c:order val="1"/>
          <c:tx>
            <c:strRef>
              <c:f>'2CC'!$C$45</c:f>
              <c:strCache>
                <c:ptCount val="1"/>
                <c:pt idx="0">
                  <c:v>Baseline simulation (before reescaling)</c:v>
                </c:pt>
              </c:strCache>
            </c:strRef>
          </c:tx>
          <c:spPr>
            <a:ln w="25400" cap="rnd">
              <a:noFill/>
              <a:round/>
            </a:ln>
            <a:effectLst/>
          </c:spPr>
          <c:marker>
            <c:symbol val="circle"/>
            <c:size val="8"/>
            <c:spPr>
              <a:solidFill>
                <a:schemeClr val="bg1">
                  <a:lumMod val="85000"/>
                </a:schemeClr>
              </a:solidFill>
              <a:ln w="25400">
                <a:noFill/>
              </a:ln>
              <a:effectLst/>
            </c:spPr>
          </c:marker>
          <c:cat>
            <c:numRef>
              <c:extLst>
                <c:ext xmlns:c15="http://schemas.microsoft.com/office/drawing/2012/chart" uri="{02D57815-91ED-43cb-92C2-25804820EDAC}">
                  <c15:fullRef>
                    <c15:sqref>'2CC'!$B$46:$B$53</c15:sqref>
                  </c15:fullRef>
                </c:ext>
              </c:extLst>
              <c:f>'2CC'!$B$46:$B$50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'2CC'!$C$46:$C$53</c15:sqref>
                  </c15:fullRef>
                </c:ext>
              </c:extLst>
              <c:f>'2CC'!$C$46:$C$50</c:f>
              <c:numCache>
                <c:formatCode>_-* #,##0_-;\-* #,##0_-;_-* "-"??_-;_-@_-</c:formatCode>
                <c:ptCount val="5"/>
                <c:pt idx="0">
                  <c:v>402013.56128081831</c:v>
                </c:pt>
                <c:pt idx="1">
                  <c:v>400379.82603715261</c:v>
                </c:pt>
                <c:pt idx="2">
                  <c:v>400467.11392231908</c:v>
                </c:pt>
                <c:pt idx="3">
                  <c:v>426442.98669986631</c:v>
                </c:pt>
                <c:pt idx="4">
                  <c:v>429507.45188720006</c:v>
                </c:pt>
              </c:numCache>
            </c:numRef>
          </c:val>
          <c:smooth val="0"/>
          <c:extLst>
            <c:ext xmlns:c16="http://schemas.microsoft.com/office/drawing/2014/chart" uri="{C3380CC4-5D6E-409C-BE32-E72D297353CC}">
              <c16:uniqueId val="{00000001-C631-4E00-8326-0F6342F8C36E}"/>
            </c:ext>
          </c:extLst>
        </c:ser>
        <c:ser>
          <c:idx val="3"/>
          <c:order val="3"/>
          <c:tx>
            <c:strRef>
              <c:f>'2CC'!$F$45</c:f>
              <c:strCache>
                <c:ptCount val="1"/>
                <c:pt idx="0">
                  <c:v>Baseline simulation (after reescaling)</c:v>
                </c:pt>
              </c:strCache>
            </c:strRef>
          </c:tx>
          <c:spPr>
            <a:ln w="25400" cap="rnd">
              <a:noFill/>
              <a:round/>
            </a:ln>
            <a:effectLst/>
          </c:spPr>
          <c:marker>
            <c:symbol val="circle"/>
            <c:size val="7"/>
            <c:spPr>
              <a:solidFill>
                <a:schemeClr val="tx1"/>
              </a:solidFill>
              <a:ln w="9525">
                <a:solidFill>
                  <a:schemeClr val="tx1"/>
                </a:solidFill>
              </a:ln>
              <a:effectLst/>
            </c:spPr>
          </c:marker>
          <c:cat>
            <c:numRef>
              <c:extLst>
                <c:ext xmlns:c15="http://schemas.microsoft.com/office/drawing/2012/chart" uri="{02D57815-91ED-43cb-92C2-25804820EDAC}">
                  <c15:fullRef>
                    <c15:sqref>'2CC'!$B$46:$B$53</c15:sqref>
                  </c15:fullRef>
                </c:ext>
              </c:extLst>
              <c:f>'2CC'!$B$46:$B$50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'2CC'!$F$46:$F$53</c15:sqref>
                  </c15:fullRef>
                </c:ext>
              </c:extLst>
              <c:f>'2CC'!$F$46:$F$50</c:f>
              <c:numCache>
                <c:formatCode>General</c:formatCode>
                <c:ptCount val="5"/>
                <c:pt idx="0" formatCode="_-* #,##0_-;\-* #,##0_-;_-* &quot;-&quot;??_-;_-@_-">
                  <c:v>339185</c:v>
                </c:pt>
                <c:pt idx="4" formatCode="_-* #,##0_-;\-* #,##0_-;_-* &quot;-&quot;??_-;_-@_-">
                  <c:v>374828</c:v>
                </c:pt>
              </c:numCache>
            </c:numRef>
          </c:val>
          <c:smooth val="0"/>
          <c:extLst>
            <c:ext xmlns:c16="http://schemas.microsoft.com/office/drawing/2014/chart" uri="{C3380CC4-5D6E-409C-BE32-E72D297353CC}">
              <c16:uniqueId val="{00000002-C631-4E00-8326-0F6342F8C36E}"/>
            </c:ext>
          </c:extLst>
        </c:ser>
        <c:ser>
          <c:idx val="4"/>
          <c:order val="4"/>
          <c:tx>
            <c:strRef>
              <c:f>'2CC'!$G$45</c:f>
              <c:strCache>
                <c:ptCount val="1"/>
                <c:pt idx="0">
                  <c:v>Unchanged legislation since 2019</c:v>
                </c:pt>
              </c:strCache>
            </c:strRef>
          </c:tx>
          <c:spPr>
            <a:ln w="25400" cap="rnd">
              <a:noFill/>
              <a:round/>
            </a:ln>
            <a:effectLst/>
          </c:spPr>
          <c:marker>
            <c:symbol val="circle"/>
            <c:size val="6"/>
            <c:spPr>
              <a:noFill/>
              <a:ln w="25400">
                <a:solidFill>
                  <a:srgbClr val="C00000"/>
                </a:solidFill>
              </a:ln>
              <a:effectLst/>
            </c:spPr>
          </c:marker>
          <c:cat>
            <c:numRef>
              <c:extLst>
                <c:ext xmlns:c15="http://schemas.microsoft.com/office/drawing/2012/chart" uri="{02D57815-91ED-43cb-92C2-25804820EDAC}">
                  <c15:fullRef>
                    <c15:sqref>'2CC'!$B$46:$B$53</c15:sqref>
                  </c15:fullRef>
                </c:ext>
              </c:extLst>
              <c:f>'2CC'!$B$46:$B$50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'2CC'!$G$46:$G$53</c15:sqref>
                  </c15:fullRef>
                </c:ext>
              </c:extLst>
              <c:f>'2CC'!$G$46:$G$50</c:f>
              <c:numCache>
                <c:formatCode>General</c:formatCode>
                <c:ptCount val="5"/>
                <c:pt idx="4" formatCode="_-* #,##0_-;\-* #,##0_-;_-* &quot;-&quot;??_-;_-@_-">
                  <c:v>424413.32126204914</c:v>
                </c:pt>
              </c:numCache>
            </c:numRef>
          </c:val>
          <c:smooth val="0"/>
          <c:extLst>
            <c:ext xmlns:c16="http://schemas.microsoft.com/office/drawing/2014/chart" uri="{C3380CC4-5D6E-409C-BE32-E72D297353CC}">
              <c16:uniqueId val="{00000003-C631-4E00-8326-0F6342F8C36E}"/>
            </c:ext>
          </c:extLst>
        </c:ser>
        <c:ser>
          <c:idx val="5"/>
          <c:order val="5"/>
          <c:tx>
            <c:strRef>
              <c:f>'2CC'!$H$45</c:f>
              <c:strCache>
                <c:ptCount val="1"/>
                <c:pt idx="0">
                  <c:v>Indexing with nominal tax base growth</c:v>
                </c:pt>
              </c:strCache>
            </c:strRef>
          </c:tx>
          <c:spPr>
            <a:ln w="25400" cap="rnd">
              <a:noFill/>
              <a:round/>
            </a:ln>
            <a:effectLst/>
          </c:spPr>
          <c:marker>
            <c:symbol val="square"/>
            <c:size val="5"/>
            <c:spPr>
              <a:noFill/>
              <a:ln w="25400">
                <a:solidFill>
                  <a:schemeClr val="accent6">
                    <a:lumMod val="75000"/>
                  </a:schemeClr>
                </a:solidFill>
              </a:ln>
              <a:effectLst/>
            </c:spPr>
          </c:marker>
          <c:cat>
            <c:numRef>
              <c:extLst>
                <c:ext xmlns:c15="http://schemas.microsoft.com/office/drawing/2012/chart" uri="{02D57815-91ED-43cb-92C2-25804820EDAC}">
                  <c15:fullRef>
                    <c15:sqref>'2CC'!$B$46:$B$53</c15:sqref>
                  </c15:fullRef>
                </c:ext>
              </c:extLst>
              <c:f>'2CC'!$B$46:$B$50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'2CC'!$H$46:$H$53</c15:sqref>
                  </c15:fullRef>
                </c:ext>
              </c:extLst>
              <c:f>'2CC'!$H$46:$H$50</c:f>
              <c:numCache>
                <c:formatCode>General</c:formatCode>
                <c:ptCount val="5"/>
                <c:pt idx="4" formatCode="_-* #,##0_-;\-* #,##0_-;_-* &quot;-&quot;??_-;_-@_-">
                  <c:v>393500.42957394669</c:v>
                </c:pt>
              </c:numCache>
            </c:numRef>
          </c:val>
          <c:smooth val="0"/>
          <c:extLst>
            <c:ext xmlns:c16="http://schemas.microsoft.com/office/drawing/2014/chart" uri="{C3380CC4-5D6E-409C-BE32-E72D297353CC}">
              <c16:uniqueId val="{00000004-C631-4E00-8326-0F6342F8C36E}"/>
            </c:ext>
          </c:extLst>
        </c:ser>
        <c:ser>
          <c:idx val="6"/>
          <c:order val="6"/>
          <c:tx>
            <c:strRef>
              <c:f>'2CC'!$I$45</c:f>
              <c:strCache>
                <c:ptCount val="1"/>
                <c:pt idx="0">
                  <c:v>Indexing with lagged HICP</c:v>
                </c:pt>
              </c:strCache>
            </c:strRef>
          </c:tx>
          <c:spPr>
            <a:ln w="25400" cap="rnd">
              <a:noFill/>
              <a:round/>
            </a:ln>
            <a:effectLst/>
          </c:spPr>
          <c:marker>
            <c:symbol val="diamond"/>
            <c:size val="6"/>
            <c:spPr>
              <a:noFill/>
              <a:ln w="25400">
                <a:solidFill>
                  <a:schemeClr val="accent4"/>
                </a:solidFill>
              </a:ln>
              <a:effectLst/>
            </c:spPr>
          </c:marker>
          <c:cat>
            <c:numRef>
              <c:extLst>
                <c:ext xmlns:c15="http://schemas.microsoft.com/office/drawing/2012/chart" uri="{02D57815-91ED-43cb-92C2-25804820EDAC}">
                  <c15:fullRef>
                    <c15:sqref>'2CC'!$B$46:$B$53</c15:sqref>
                  </c15:fullRef>
                </c:ext>
              </c:extLst>
              <c:f>'2CC'!$B$46:$B$50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'2CC'!$I$46:$I$53</c15:sqref>
                  </c15:fullRef>
                </c:ext>
              </c:extLst>
              <c:f>'2CC'!$I$46:$I$50</c:f>
              <c:numCache>
                <c:formatCode>General</c:formatCode>
                <c:ptCount val="5"/>
                <c:pt idx="4" formatCode="_-* #,##0_-;\-* #,##0_-;_-* &quot;-&quot;??_-;_-@_-">
                  <c:v>393438.82148744533</c:v>
                </c:pt>
              </c:numCache>
            </c:numRef>
          </c:val>
          <c:smooth val="0"/>
          <c:extLst>
            <c:ext xmlns:c16="http://schemas.microsoft.com/office/drawing/2014/chart" uri="{C3380CC4-5D6E-409C-BE32-E72D297353CC}">
              <c16:uniqueId val="{00000005-C631-4E00-8326-0F6342F8C36E}"/>
            </c:ext>
          </c:extLst>
        </c:ser>
        <c:ser>
          <c:idx val="7"/>
          <c:order val="7"/>
          <c:tx>
            <c:strRef>
              <c:f>'2CC'!$J$45</c:f>
              <c:strCache>
                <c:ptCount val="1"/>
                <c:pt idx="0">
                  <c:v>Indexing with concurrent HICP</c:v>
                </c:pt>
              </c:strCache>
            </c:strRef>
          </c:tx>
          <c:spPr>
            <a:ln w="25400" cap="rnd">
              <a:noFill/>
              <a:round/>
            </a:ln>
            <a:effectLst/>
          </c:spPr>
          <c:marker>
            <c:symbol val="triangle"/>
            <c:size val="6"/>
            <c:spPr>
              <a:noFill/>
              <a:ln w="25400">
                <a:solidFill>
                  <a:schemeClr val="accent5">
                    <a:lumMod val="75000"/>
                  </a:schemeClr>
                </a:solidFill>
              </a:ln>
              <a:effectLst/>
            </c:spPr>
          </c:marker>
          <c:cat>
            <c:numRef>
              <c:extLst>
                <c:ext xmlns:c15="http://schemas.microsoft.com/office/drawing/2012/chart" uri="{02D57815-91ED-43cb-92C2-25804820EDAC}">
                  <c15:fullRef>
                    <c15:sqref>'2CC'!$B$46:$B$53</c15:sqref>
                  </c15:fullRef>
                </c:ext>
              </c:extLst>
              <c:f>'2CC'!$B$46:$B$50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'2CC'!$J$46:$J$53</c15:sqref>
                  </c15:fullRef>
                </c:ext>
              </c:extLst>
              <c:f>'2CC'!$J$46:$J$50</c:f>
              <c:numCache>
                <c:formatCode>General</c:formatCode>
                <c:ptCount val="5"/>
                <c:pt idx="4" formatCode="_-* #,##0_-;\-* #,##0_-;_-* &quot;-&quot;??_-;_-@_-">
                  <c:v>382836.9741681572</c:v>
                </c:pt>
              </c:numCache>
            </c:numRef>
          </c:val>
          <c:smooth val="0"/>
          <c:extLst>
            <c:ext xmlns:c16="http://schemas.microsoft.com/office/drawing/2014/chart" uri="{C3380CC4-5D6E-409C-BE32-E72D297353CC}">
              <c16:uniqueId val="{00000006-C631-4E00-8326-0F6342F8C36E}"/>
            </c:ext>
          </c:extLst>
        </c:ser>
        <c:ser>
          <c:idx val="8"/>
          <c:order val="8"/>
          <c:tx>
            <c:strRef>
              <c:f>'2CC'!$K$45</c:f>
              <c:strCache>
                <c:ptCount val="1"/>
                <c:pt idx="0">
                  <c:v>Baseline without indexation measures</c:v>
                </c:pt>
              </c:strCache>
            </c:strRef>
          </c:tx>
          <c:spPr>
            <a:ln w="28575" cap="rnd">
              <a:noFill/>
              <a:round/>
            </a:ln>
            <a:effectLst/>
          </c:spPr>
          <c:marker>
            <c:symbol val="dash"/>
            <c:size val="10"/>
            <c:spPr>
              <a:solidFill>
                <a:schemeClr val="tx1">
                  <a:lumMod val="50000"/>
                  <a:lumOff val="50000"/>
                </a:schemeClr>
              </a:solidFill>
              <a:ln w="9525">
                <a:noFill/>
              </a:ln>
              <a:effectLst/>
            </c:spPr>
          </c:marker>
          <c:cat>
            <c:strLit>
              <c:ptCount val="5"/>
              <c:pt idx="0">
                <c:v>2019</c:v>
              </c:pt>
              <c:pt idx="1">
                <c:v>2020</c:v>
              </c:pt>
              <c:pt idx="2">
                <c:v>2021</c:v>
              </c:pt>
              <c:pt idx="3">
                <c:v>2022</c:v>
              </c:pt>
              <c:pt idx="4">
                <c:v>2023</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'2CC'!$K$46:$K$53</c15:sqref>
                  </c15:fullRef>
                </c:ext>
              </c:extLst>
              <c:f>'2CC'!$K$46:$K$50</c:f>
              <c:numCache>
                <c:formatCode>General</c:formatCode>
                <c:ptCount val="5"/>
                <c:pt idx="4" formatCode="_-* #,##0_-;\-* #,##0_-;_-* &quot;-&quot;??_-;_-@_-">
                  <c:v>0</c:v>
                </c:pt>
              </c:numCache>
            </c:numRef>
          </c:val>
          <c:smooth val="0"/>
          <c:extLst>
            <c:ext xmlns:c16="http://schemas.microsoft.com/office/drawing/2014/chart" uri="{C3380CC4-5D6E-409C-BE32-E72D297353CC}">
              <c16:uniqueId val="{00000007-C631-4E00-8326-0F6342F8C36E}"/>
            </c:ext>
          </c:extLst>
        </c:ser>
        <c:dLbls>
          <c:showLegendKey val="0"/>
          <c:showVal val="0"/>
          <c:showCatName val="0"/>
          <c:showSerName val="0"/>
          <c:showPercent val="0"/>
          <c:showBubbleSize val="0"/>
        </c:dLbls>
        <c:smooth val="0"/>
        <c:axId val="709475840"/>
        <c:axId val="605168576"/>
        <c:extLst>
          <c:ext xmlns:c15="http://schemas.microsoft.com/office/drawing/2012/chart" uri="{02D57815-91ED-43cb-92C2-25804820EDAC}">
            <c15:filteredLineSeries>
              <c15:ser>
                <c:idx val="2"/>
                <c:order val="2"/>
                <c:tx>
                  <c:strRef>
                    <c:extLst>
                      <c:ext uri="{02D57815-91ED-43cb-92C2-25804820EDAC}">
                        <c15:formulaRef>
                          <c15:sqref>'2CC'!$E$45</c15:sqref>
                        </c15:formulaRef>
                      </c:ext>
                    </c:extLst>
                    <c:strCache>
                      <c:ptCount val="1"/>
                      <c:pt idx="0">
                        <c:v>Reescaling factor
</c:v>
                      </c:pt>
                    </c:strCache>
                  </c:strRef>
                </c:tx>
                <c:spPr>
                  <a:ln w="25400" cap="rnd">
                    <a:noFill/>
                    <a:round/>
                  </a:ln>
                  <a:effectLst/>
                </c:spPr>
                <c:marker>
                  <c:symbol val="circle"/>
                  <c:size val="5"/>
                  <c:spPr>
                    <a:solidFill>
                      <a:schemeClr val="accent3"/>
                    </a:solidFill>
                    <a:ln w="9525">
                      <a:solidFill>
                        <a:schemeClr val="accent3"/>
                      </a:solidFill>
                    </a:ln>
                    <a:effectLst/>
                  </c:spPr>
                </c:marker>
                <c:cat>
                  <c:numRef>
                    <c:extLst>
                      <c:ext uri="{02D57815-91ED-43cb-92C2-25804820EDAC}">
                        <c15:fullRef>
                          <c15:sqref>'2CC'!$B$46:$B$53</c15:sqref>
                        </c15:fullRef>
                        <c15:formulaRef>
                          <c15:sqref>'2CC'!$B$46:$B$50</c15:sqref>
                        </c15:formulaRef>
                      </c:ext>
                    </c:extLst>
                    <c:numCache>
                      <c:formatCode>General</c:formatCode>
                      <c:ptCount val="5"/>
                      <c:pt idx="0">
                        <c:v>2019</c:v>
                      </c:pt>
                      <c:pt idx="1">
                        <c:v>2020</c:v>
                      </c:pt>
                      <c:pt idx="2">
                        <c:v>2021</c:v>
                      </c:pt>
                      <c:pt idx="3">
                        <c:v>2022</c:v>
                      </c:pt>
                      <c:pt idx="4">
                        <c:v>2023</c:v>
                      </c:pt>
                    </c:numCache>
                  </c:numRef>
                </c:cat>
                <c:val>
                  <c:numRef>
                    <c:extLst>
                      <c:ext uri="{02D57815-91ED-43cb-92C2-25804820EDAC}">
                        <c15:fullRef>
                          <c15:sqref>'2CC'!$E$46:$E$53</c15:sqref>
                        </c15:fullRef>
                        <c15:formulaRef>
                          <c15:sqref>'2CC'!$E$46:$E$50</c15:sqref>
                        </c15:formulaRef>
                      </c:ext>
                    </c:extLst>
                    <c:numCache>
                      <c:formatCode>General</c:formatCode>
                      <c:ptCount val="5"/>
                    </c:numCache>
                  </c:numRef>
                </c:val>
                <c:smooth val="0"/>
                <c:extLst>
                  <c:ext xmlns:c16="http://schemas.microsoft.com/office/drawing/2014/chart" uri="{C3380CC4-5D6E-409C-BE32-E72D297353CC}">
                    <c16:uniqueId val="{00000008-C631-4E00-8326-0F6342F8C36E}"/>
                  </c:ext>
                </c:extLst>
              </c15:ser>
            </c15:filteredLineSeries>
          </c:ext>
        </c:extLst>
      </c:lineChart>
      <c:catAx>
        <c:axId val="709475840"/>
        <c:scaling>
          <c:orientation val="minMax"/>
        </c:scaling>
        <c:delete val="0"/>
        <c:axPos val="b"/>
        <c:numFmt formatCode="General" sourceLinked="1"/>
        <c:majorTickMark val="out"/>
        <c:minorTickMark val="none"/>
        <c:tickLblPos val="nextTo"/>
        <c:spPr>
          <a:noFill/>
          <a:ln w="6350" cap="flat" cmpd="sng" algn="ctr">
            <a:solidFill>
              <a:schemeClr val="tx1"/>
            </a:solidFill>
            <a:round/>
          </a:ln>
          <a:effectLst/>
        </c:spPr>
        <c:txPr>
          <a:bodyPr rot="-60000000" spcFirstLastPara="1" vertOverflow="ellipsis" vert="horz" wrap="square" anchor="ctr" anchorCtr="1"/>
          <a:lstStyle/>
          <a:p>
            <a:pPr>
              <a:defRPr sz="950" b="0" i="0" u="none" strike="noStrike" kern="1200" baseline="0">
                <a:solidFill>
                  <a:schemeClr val="tx1"/>
                </a:solidFill>
                <a:latin typeface="Times New Roman" panose="02020603050405020304" pitchFamily="18" charset="0"/>
                <a:ea typeface="+mn-ea"/>
                <a:cs typeface="+mn-cs"/>
              </a:defRPr>
            </a:pPr>
            <a:endParaRPr lang="es-ES_tradnl"/>
          </a:p>
        </c:txPr>
        <c:crossAx val="605168576"/>
        <c:crosses val="autoZero"/>
        <c:auto val="1"/>
        <c:lblAlgn val="ctr"/>
        <c:lblOffset val="100"/>
        <c:noMultiLvlLbl val="0"/>
      </c:catAx>
      <c:valAx>
        <c:axId val="605168576"/>
        <c:scaling>
          <c:orientation val="minMax"/>
          <c:max val="450000"/>
          <c:min val="325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s-ES_tradnl" sz="1050">
                    <a:solidFill>
                      <a:sysClr val="windowText" lastClr="000000"/>
                    </a:solidFill>
                    <a:latin typeface="Times New Roman" panose="02020603050405020304" pitchFamily="18" charset="0"/>
                    <a:cs typeface="Times New Roman" panose="02020603050405020304" pitchFamily="18" charset="0"/>
                  </a:rPr>
                  <a:t>Million euros</a:t>
                </a:r>
              </a:p>
            </c:rich>
          </c:tx>
          <c:layout>
            <c:manualLayout>
              <c:xMode val="edge"/>
              <c:yMode val="edge"/>
              <c:x val="0"/>
              <c:y val="0.27024653144012073"/>
            </c:manualLayout>
          </c:layout>
          <c:overlay val="0"/>
          <c:spPr>
            <a:noFill/>
            <a:ln>
              <a:noFill/>
            </a:ln>
            <a:effectLst/>
          </c:spPr>
          <c:txPr>
            <a:bodyPr rot="-5400000" spcFirstLastPara="1" vertOverflow="ellipsis" vert="horz" wrap="square" anchor="ctr" anchorCtr="1"/>
            <a:lstStyle/>
            <a:p>
              <a:pPr>
                <a:defRPr sz="10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title>
        <c:numFmt formatCode="#,##0" sourceLinked="0"/>
        <c:majorTickMark val="out"/>
        <c:minorTickMark val="none"/>
        <c:tickLblPos val="nextTo"/>
        <c:spPr>
          <a:noFill/>
          <a:ln w="6350">
            <a:solidFill>
              <a:schemeClr val="tx1">
                <a:lumMod val="65000"/>
                <a:lumOff val="35000"/>
              </a:schemeClr>
            </a:solidFill>
          </a:ln>
          <a:effectLst/>
        </c:spPr>
        <c:txPr>
          <a:bodyPr rot="-60000000" spcFirstLastPara="1" vertOverflow="ellipsis" vert="horz" wrap="square" anchor="ctr" anchorCtr="1"/>
          <a:lstStyle/>
          <a:p>
            <a:pPr>
              <a:defRPr sz="950" b="0" i="0" u="none" strike="noStrike" kern="1200" baseline="0">
                <a:solidFill>
                  <a:schemeClr val="tx1"/>
                </a:solidFill>
                <a:latin typeface="Times New Roman" panose="02020603050405020304" pitchFamily="18" charset="0"/>
                <a:ea typeface="+mn-ea"/>
                <a:cs typeface="+mn-cs"/>
              </a:defRPr>
            </a:pPr>
            <a:endParaRPr lang="es-ES_tradnl"/>
          </a:p>
        </c:txPr>
        <c:crossAx val="709475840"/>
        <c:crosses val="autoZero"/>
        <c:crossBetween val="between"/>
        <c:majorUnit val="25000"/>
      </c:valAx>
      <c:spPr>
        <a:noFill/>
        <a:ln>
          <a:noFill/>
        </a:ln>
        <a:effectLst/>
      </c:spPr>
    </c:plotArea>
    <c:legend>
      <c:legendPos val="b"/>
      <c:layout>
        <c:manualLayout>
          <c:xMode val="edge"/>
          <c:yMode val="edge"/>
          <c:x val="0"/>
          <c:y val="0.74940947440252659"/>
          <c:w val="1"/>
          <c:h val="0.25059052559747347"/>
        </c:manualLayout>
      </c:layout>
      <c:overlay val="0"/>
      <c:spPr>
        <a:noFill/>
        <a:ln>
          <a:noFill/>
        </a:ln>
        <a:effectLst/>
      </c:spPr>
      <c:txPr>
        <a:bodyPr rot="0" spcFirstLastPara="1" vertOverflow="ellipsis" vert="horz" wrap="square" anchor="ctr" anchorCtr="1"/>
        <a:lstStyle/>
        <a:p>
          <a:pPr>
            <a:defRPr sz="9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legend>
    <c:plotVisOnly val="1"/>
    <c:dispBlanksAs val="gap"/>
    <c:showDLblsOverMax val="0"/>
  </c:chart>
  <c:spPr>
    <a:solidFill>
      <a:schemeClr val="bg1"/>
    </a:solidFill>
    <a:ln w="9525" cap="flat" cmpd="sng" algn="ctr">
      <a:noFill/>
      <a:round/>
    </a:ln>
    <a:effectLst/>
  </c:spPr>
  <c:txPr>
    <a:bodyPr/>
    <a:lstStyle/>
    <a:p>
      <a:pPr>
        <a:defRPr/>
      </a:pPr>
      <a:endParaRPr lang="es-ES_tradnl"/>
    </a:p>
  </c:txPr>
  <c:printSettings>
    <c:headerFooter/>
    <c:pageMargins b="0.75" l="0.25" r="0.25" t="0.75" header="0.3" footer="0.3"/>
    <c:pageSetup paperSize="9" orientation="landscape"/>
  </c:printSettings>
</c:chartSpace>
</file>

<file path=xl/charts/chart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457409308717575"/>
          <c:y val="4.6087571003560986E-2"/>
          <c:w val="0.82558175067451101"/>
          <c:h val="0.6515011552844524"/>
        </c:manualLayout>
      </c:layout>
      <c:lineChart>
        <c:grouping val="standard"/>
        <c:varyColors val="0"/>
        <c:ser>
          <c:idx val="1"/>
          <c:order val="0"/>
          <c:tx>
            <c:strRef>
              <c:f>'2CC'!$C$64</c:f>
              <c:strCache>
                <c:ptCount val="1"/>
                <c:pt idx="0">
                  <c:v>Baseline simulation
</c:v>
                </c:pt>
              </c:strCache>
            </c:strRef>
          </c:tx>
          <c:spPr>
            <a:ln w="28575" cap="rnd">
              <a:noFill/>
              <a:round/>
            </a:ln>
            <a:effectLst/>
          </c:spPr>
          <c:marker>
            <c:symbol val="circle"/>
            <c:size val="7"/>
            <c:spPr>
              <a:solidFill>
                <a:schemeClr val="tx1"/>
              </a:solidFill>
              <a:ln w="9525">
                <a:noFill/>
              </a:ln>
              <a:effectLst/>
            </c:spPr>
          </c:marker>
          <c:cat>
            <c:numRef>
              <c:extLst>
                <c:ext xmlns:c15="http://schemas.microsoft.com/office/drawing/2012/chart" uri="{02D57815-91ED-43cb-92C2-25804820EDAC}">
                  <c15:fullRef>
                    <c15:sqref>'2CC'!$B$65:$B$72</c15:sqref>
                  </c15:fullRef>
                </c:ext>
              </c:extLst>
              <c:f>'2CC'!$B$65:$B$69</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'2CC'!$C$65:$C$72</c15:sqref>
                  </c15:fullRef>
                </c:ext>
              </c:extLst>
              <c:f>'2CC'!$C$65:$C$69</c:f>
              <c:numCache>
                <c:formatCode>0.00</c:formatCode>
                <c:ptCount val="5"/>
                <c:pt idx="0">
                  <c:v>18.858577831124361</c:v>
                </c:pt>
                <c:pt idx="1">
                  <c:v>18.585401775970734</c:v>
                </c:pt>
                <c:pt idx="2">
                  <c:v>18.090479889231265</c:v>
                </c:pt>
                <c:pt idx="3">
                  <c:v>18.443725494452853</c:v>
                </c:pt>
                <c:pt idx="4">
                  <c:v>17.90065301033205</c:v>
                </c:pt>
              </c:numCache>
            </c:numRef>
          </c:val>
          <c:smooth val="0"/>
          <c:extLst>
            <c:ext xmlns:c16="http://schemas.microsoft.com/office/drawing/2014/chart" uri="{C3380CC4-5D6E-409C-BE32-E72D297353CC}">
              <c16:uniqueId val="{00000000-0DFF-4F42-9228-B7FE4CD8BA7F}"/>
            </c:ext>
          </c:extLst>
        </c:ser>
        <c:ser>
          <c:idx val="0"/>
          <c:order val="1"/>
          <c:tx>
            <c:strRef>
              <c:f>'2CC'!$D$64</c:f>
              <c:strCache>
                <c:ptCount val="1"/>
                <c:pt idx="0">
                  <c:v>Legislation unchanged since 2019</c:v>
                </c:pt>
              </c:strCache>
            </c:strRef>
          </c:tx>
          <c:spPr>
            <a:ln w="28575" cap="rnd">
              <a:noFill/>
              <a:round/>
            </a:ln>
            <a:effectLst/>
          </c:spPr>
          <c:marker>
            <c:symbol val="circle"/>
            <c:size val="7"/>
            <c:spPr>
              <a:noFill/>
              <a:ln w="25400">
                <a:solidFill>
                  <a:srgbClr val="C00000"/>
                </a:solidFill>
              </a:ln>
              <a:effectLst/>
            </c:spPr>
          </c:marker>
          <c:cat>
            <c:numRef>
              <c:extLst>
                <c:ext xmlns:c15="http://schemas.microsoft.com/office/drawing/2012/chart" uri="{02D57815-91ED-43cb-92C2-25804820EDAC}">
                  <c15:fullRef>
                    <c15:sqref>'2CC'!$B$65:$B$72</c15:sqref>
                  </c15:fullRef>
                </c:ext>
              </c:extLst>
              <c:f>'2CC'!$B$65:$B$69</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'2CC'!$D$65:$D$72</c15:sqref>
                  </c15:fullRef>
                </c:ext>
              </c:extLst>
              <c:f>'2CC'!$D$65:$D$69</c:f>
              <c:numCache>
                <c:formatCode>0.00%</c:formatCode>
                <c:ptCount val="5"/>
                <c:pt idx="4" formatCode="0.00">
                  <c:v>20.268698167891738</c:v>
                </c:pt>
              </c:numCache>
            </c:numRef>
          </c:val>
          <c:smooth val="0"/>
          <c:extLst>
            <c:ext xmlns:c16="http://schemas.microsoft.com/office/drawing/2014/chart" uri="{C3380CC4-5D6E-409C-BE32-E72D297353CC}">
              <c16:uniqueId val="{00000001-0DFF-4F42-9228-B7FE4CD8BA7F}"/>
            </c:ext>
          </c:extLst>
        </c:ser>
        <c:ser>
          <c:idx val="2"/>
          <c:order val="2"/>
          <c:tx>
            <c:strRef>
              <c:f>'2CC'!$E$64</c:f>
              <c:strCache>
                <c:ptCount val="1"/>
                <c:pt idx="0">
                  <c:v>Index with tax base growth</c:v>
                </c:pt>
              </c:strCache>
            </c:strRef>
          </c:tx>
          <c:spPr>
            <a:ln w="28575" cap="rnd">
              <a:noFill/>
              <a:round/>
            </a:ln>
            <a:effectLst/>
          </c:spPr>
          <c:marker>
            <c:symbol val="square"/>
            <c:size val="6"/>
            <c:spPr>
              <a:noFill/>
              <a:ln w="25400">
                <a:solidFill>
                  <a:schemeClr val="accent6">
                    <a:lumMod val="75000"/>
                  </a:schemeClr>
                </a:solidFill>
              </a:ln>
              <a:effectLst/>
            </c:spPr>
          </c:marker>
          <c:cat>
            <c:numRef>
              <c:extLst>
                <c:ext xmlns:c15="http://schemas.microsoft.com/office/drawing/2012/chart" uri="{02D57815-91ED-43cb-92C2-25804820EDAC}">
                  <c15:fullRef>
                    <c15:sqref>'2CC'!$B$65:$B$72</c15:sqref>
                  </c15:fullRef>
                </c:ext>
              </c:extLst>
              <c:f>'2CC'!$B$65:$B$69</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'2CC'!$E$65:$E$72</c15:sqref>
                  </c15:fullRef>
                </c:ext>
              </c:extLst>
              <c:f>'2CC'!$E$65:$E$69</c:f>
              <c:numCache>
                <c:formatCode>0.00%</c:formatCode>
                <c:ptCount val="5"/>
                <c:pt idx="4" formatCode="0.00">
                  <c:v>18.792391841644235</c:v>
                </c:pt>
              </c:numCache>
            </c:numRef>
          </c:val>
          <c:smooth val="0"/>
          <c:extLst xmlns:c15="http://schemas.microsoft.com/office/drawing/2012/chart">
            <c:ext xmlns:c16="http://schemas.microsoft.com/office/drawing/2014/chart" uri="{C3380CC4-5D6E-409C-BE32-E72D297353CC}">
              <c16:uniqueId val="{00000002-0DFF-4F42-9228-B7FE4CD8BA7F}"/>
            </c:ext>
          </c:extLst>
        </c:ser>
        <c:ser>
          <c:idx val="3"/>
          <c:order val="3"/>
          <c:tx>
            <c:strRef>
              <c:f>'2CC'!$F$64</c:f>
              <c:strCache>
                <c:ptCount val="1"/>
                <c:pt idx="0">
                  <c:v>Index with lagged HICP</c:v>
                </c:pt>
              </c:strCache>
            </c:strRef>
          </c:tx>
          <c:spPr>
            <a:ln w="28575" cap="rnd">
              <a:noFill/>
              <a:round/>
            </a:ln>
            <a:effectLst/>
          </c:spPr>
          <c:marker>
            <c:symbol val="diamond"/>
            <c:size val="7"/>
            <c:spPr>
              <a:noFill/>
              <a:ln w="25400">
                <a:solidFill>
                  <a:schemeClr val="accent4"/>
                </a:solidFill>
              </a:ln>
              <a:effectLst/>
            </c:spPr>
          </c:marker>
          <c:cat>
            <c:numRef>
              <c:extLst>
                <c:ext xmlns:c15="http://schemas.microsoft.com/office/drawing/2012/chart" uri="{02D57815-91ED-43cb-92C2-25804820EDAC}">
                  <c15:fullRef>
                    <c15:sqref>'2CC'!$B$65:$B$72</c15:sqref>
                  </c15:fullRef>
                </c:ext>
              </c:extLst>
              <c:f>'2CC'!$B$65:$B$69</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'2CC'!$F$65:$F$72</c15:sqref>
                  </c15:fullRef>
                </c:ext>
              </c:extLst>
              <c:f>'2CC'!$F$65:$F$69</c:f>
              <c:numCache>
                <c:formatCode>0.00%</c:formatCode>
                <c:ptCount val="5"/>
                <c:pt idx="4" formatCode="0.00">
                  <c:v>18.789449625536868</c:v>
                </c:pt>
              </c:numCache>
            </c:numRef>
          </c:val>
          <c:smooth val="0"/>
          <c:extLst>
            <c:ext xmlns:c16="http://schemas.microsoft.com/office/drawing/2014/chart" uri="{C3380CC4-5D6E-409C-BE32-E72D297353CC}">
              <c16:uniqueId val="{00000003-0DFF-4F42-9228-B7FE4CD8BA7F}"/>
            </c:ext>
          </c:extLst>
        </c:ser>
        <c:ser>
          <c:idx val="4"/>
          <c:order val="4"/>
          <c:tx>
            <c:strRef>
              <c:f>'2CC'!$G$64</c:f>
              <c:strCache>
                <c:ptCount val="1"/>
                <c:pt idx="0">
                  <c:v>Index with concurrent HICP</c:v>
                </c:pt>
              </c:strCache>
            </c:strRef>
          </c:tx>
          <c:spPr>
            <a:ln w="28575" cap="rnd">
              <a:noFill/>
              <a:round/>
            </a:ln>
            <a:effectLst/>
          </c:spPr>
          <c:marker>
            <c:symbol val="triangle"/>
            <c:size val="6"/>
            <c:spPr>
              <a:noFill/>
              <a:ln w="25400">
                <a:solidFill>
                  <a:schemeClr val="accent5">
                    <a:lumMod val="75000"/>
                  </a:schemeClr>
                </a:solidFill>
              </a:ln>
              <a:effectLst/>
            </c:spPr>
          </c:marker>
          <c:cat>
            <c:numRef>
              <c:extLst>
                <c:ext xmlns:c15="http://schemas.microsoft.com/office/drawing/2012/chart" uri="{02D57815-91ED-43cb-92C2-25804820EDAC}">
                  <c15:fullRef>
                    <c15:sqref>'2CC'!$B$65:$B$72</c15:sqref>
                  </c15:fullRef>
                </c:ext>
              </c:extLst>
              <c:f>'2CC'!$B$65:$B$69</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'2CC'!$G$65:$G$72</c15:sqref>
                  </c15:fullRef>
                </c:ext>
              </c:extLst>
              <c:f>'2CC'!$G$65:$G$69</c:f>
              <c:numCache>
                <c:formatCode>0.00%</c:formatCode>
                <c:ptCount val="5"/>
                <c:pt idx="4" formatCode="0.00">
                  <c:v>18.283137423323868</c:v>
                </c:pt>
              </c:numCache>
            </c:numRef>
          </c:val>
          <c:smooth val="0"/>
          <c:extLst>
            <c:ext xmlns:c16="http://schemas.microsoft.com/office/drawing/2014/chart" uri="{C3380CC4-5D6E-409C-BE32-E72D297353CC}">
              <c16:uniqueId val="{00000004-0DFF-4F42-9228-B7FE4CD8BA7F}"/>
            </c:ext>
          </c:extLst>
        </c:ser>
        <c:dLbls>
          <c:showLegendKey val="0"/>
          <c:showVal val="0"/>
          <c:showCatName val="0"/>
          <c:showSerName val="0"/>
          <c:showPercent val="0"/>
          <c:showBubbleSize val="0"/>
        </c:dLbls>
        <c:marker val="1"/>
        <c:smooth val="0"/>
        <c:axId val="709475840"/>
        <c:axId val="605168576"/>
        <c:extLst/>
      </c:lineChart>
      <c:catAx>
        <c:axId val="709475840"/>
        <c:scaling>
          <c:orientation val="minMax"/>
        </c:scaling>
        <c:delete val="0"/>
        <c:axPos val="b"/>
        <c:numFmt formatCode="General" sourceLinked="1"/>
        <c:majorTickMark val="out"/>
        <c:minorTickMark val="none"/>
        <c:tickLblPos val="nextTo"/>
        <c:spPr>
          <a:noFill/>
          <a:ln w="635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mn-cs"/>
              </a:defRPr>
            </a:pPr>
            <a:endParaRPr lang="es-ES_tradnl"/>
          </a:p>
        </c:txPr>
        <c:crossAx val="605168576"/>
        <c:crosses val="autoZero"/>
        <c:auto val="1"/>
        <c:lblAlgn val="ctr"/>
        <c:lblOffset val="100"/>
        <c:noMultiLvlLbl val="0"/>
      </c:catAx>
      <c:valAx>
        <c:axId val="605168576"/>
        <c:scaling>
          <c:orientation val="minMax"/>
          <c:min val="12"/>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s-ES_tradnl" sz="1050">
                    <a:solidFill>
                      <a:sysClr val="windowText" lastClr="000000"/>
                    </a:solidFill>
                    <a:latin typeface="Times New Roman" panose="02020603050405020304" pitchFamily="18" charset="0"/>
                    <a:cs typeface="Times New Roman" panose="02020603050405020304" pitchFamily="18" charset="0"/>
                  </a:rPr>
                  <a:t>Rate</a:t>
                </a:r>
              </a:p>
            </c:rich>
          </c:tx>
          <c:overlay val="0"/>
          <c:spPr>
            <a:noFill/>
            <a:ln>
              <a:noFill/>
            </a:ln>
            <a:effectLst/>
          </c:spPr>
          <c:txPr>
            <a:bodyPr rot="-5400000" spcFirstLastPara="1" vertOverflow="ellipsis" vert="horz" wrap="square" anchor="ctr" anchorCtr="1"/>
            <a:lstStyle/>
            <a:p>
              <a:pPr>
                <a:defRPr sz="10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title>
        <c:numFmt formatCode="#,##0.0" sourceLinked="0"/>
        <c:majorTickMark val="out"/>
        <c:minorTickMark val="none"/>
        <c:tickLblPos val="nextTo"/>
        <c:spPr>
          <a:noFill/>
          <a:ln w="6350">
            <a:solidFill>
              <a:schemeClr val="tx1">
                <a:lumMod val="65000"/>
                <a:lumOff val="35000"/>
              </a:schemeClr>
            </a:solidFill>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mn-cs"/>
              </a:defRPr>
            </a:pPr>
            <a:endParaRPr lang="es-ES_tradnl"/>
          </a:p>
        </c:txPr>
        <c:crossAx val="709475840"/>
        <c:crosses val="autoZero"/>
        <c:crossBetween val="between"/>
        <c:majorUnit val="0.5"/>
      </c:valAx>
      <c:spPr>
        <a:noFill/>
        <a:ln>
          <a:noFill/>
        </a:ln>
        <a:effectLst/>
      </c:spPr>
    </c:plotArea>
    <c:legend>
      <c:legendPos val="b"/>
      <c:layout>
        <c:manualLayout>
          <c:xMode val="edge"/>
          <c:yMode val="edge"/>
          <c:x val="8.1926620958132398E-2"/>
          <c:y val="0.78900773467278962"/>
          <c:w val="0.8223310520657221"/>
          <c:h val="0.1997652991480407"/>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legend>
    <c:plotVisOnly val="1"/>
    <c:dispBlanksAs val="gap"/>
    <c:showDLblsOverMax val="0"/>
  </c:chart>
  <c:spPr>
    <a:solidFill>
      <a:schemeClr val="bg1"/>
    </a:solidFill>
    <a:ln w="9525" cap="flat" cmpd="sng" algn="ctr">
      <a:noFill/>
      <a:round/>
    </a:ln>
    <a:effectLst/>
  </c:spPr>
  <c:txPr>
    <a:bodyPr/>
    <a:lstStyle/>
    <a:p>
      <a:pPr>
        <a:defRPr/>
      </a:pPr>
      <a:endParaRPr lang="es-ES_tradnl"/>
    </a:p>
  </c:txPr>
  <c:printSettings>
    <c:headerFooter/>
    <c:pageMargins b="0.75" l="0.84" r="0.25" t="0.75" header="0.3" footer="0.3"/>
    <c:pageSetup paperSize="9" orientation="landscape"/>
  </c:printSettings>
</c:chartSpace>
</file>

<file path=xl/charts/chart6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457409308717575"/>
          <c:y val="4.6087571003560986E-2"/>
          <c:w val="0.82558175067451101"/>
          <c:h val="0.64272676146640684"/>
        </c:manualLayout>
      </c:layout>
      <c:lineChart>
        <c:grouping val="standard"/>
        <c:varyColors val="0"/>
        <c:ser>
          <c:idx val="1"/>
          <c:order val="0"/>
          <c:tx>
            <c:strRef>
              <c:f>'2CC'!$W$45</c:f>
              <c:strCache>
                <c:ptCount val="1"/>
                <c:pt idx="0">
                  <c:v>Observed (National Accounts)</c:v>
                </c:pt>
              </c:strCache>
            </c:strRef>
          </c:tx>
          <c:spPr>
            <a:ln w="25400" cap="rnd">
              <a:solidFill>
                <a:schemeClr val="tx1">
                  <a:lumMod val="65000"/>
                  <a:lumOff val="35000"/>
                </a:schemeClr>
              </a:solidFill>
              <a:prstDash val="sysDash"/>
              <a:round/>
            </a:ln>
            <a:effectLst/>
          </c:spPr>
          <c:marker>
            <c:symbol val="none"/>
          </c:marker>
          <c:cat>
            <c:numRef>
              <c:extLst>
                <c:ext xmlns:c15="http://schemas.microsoft.com/office/drawing/2012/chart" uri="{02D57815-91ED-43cb-92C2-25804820EDAC}">
                  <c15:fullRef>
                    <c15:sqref>'2CC'!$U$46:$U$53</c15:sqref>
                  </c15:fullRef>
                </c:ext>
              </c:extLst>
              <c:f>'2CC'!$U$46:$U$50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'2CC'!$W$46:$W$53</c15:sqref>
                  </c15:fullRef>
                </c:ext>
              </c:extLst>
              <c:f>'2CC'!$W$46:$W$50</c:f>
              <c:numCache>
                <c:formatCode>0.0%</c:formatCode>
                <c:ptCount val="5"/>
                <c:pt idx="0">
                  <c:v>9.595375231973928E-2</c:v>
                </c:pt>
                <c:pt idx="1">
                  <c:v>9.5069311982189347E-2</c:v>
                </c:pt>
                <c:pt idx="2">
                  <c:v>9.4743584861524399E-2</c:v>
                </c:pt>
                <c:pt idx="3">
                  <c:v>9.5293701076166262E-2</c:v>
                </c:pt>
                <c:pt idx="4">
                  <c:v>8.9552866409432455E-2</c:v>
                </c:pt>
              </c:numCache>
            </c:numRef>
          </c:val>
          <c:smooth val="0"/>
          <c:extLst>
            <c:ext xmlns:c16="http://schemas.microsoft.com/office/drawing/2014/chart" uri="{C3380CC4-5D6E-409C-BE32-E72D297353CC}">
              <c16:uniqueId val="{00000000-E482-4788-AC90-2ECBB6472216}"/>
            </c:ext>
          </c:extLst>
        </c:ser>
        <c:ser>
          <c:idx val="0"/>
          <c:order val="1"/>
          <c:tx>
            <c:strRef>
              <c:f>'2CC'!$V$45</c:f>
              <c:strCache>
                <c:ptCount val="1"/>
                <c:pt idx="0">
                  <c:v>Baseline simulation (before reescaling)</c:v>
                </c:pt>
              </c:strCache>
            </c:strRef>
          </c:tx>
          <c:spPr>
            <a:ln w="25400" cap="rnd">
              <a:noFill/>
              <a:round/>
            </a:ln>
            <a:effectLst/>
          </c:spPr>
          <c:marker>
            <c:symbol val="circle"/>
            <c:size val="8"/>
            <c:spPr>
              <a:solidFill>
                <a:schemeClr val="bg1">
                  <a:lumMod val="85000"/>
                </a:schemeClr>
              </a:solidFill>
              <a:ln w="25400">
                <a:noFill/>
              </a:ln>
              <a:effectLst/>
            </c:spPr>
          </c:marker>
          <c:cat>
            <c:numRef>
              <c:extLst>
                <c:ext xmlns:c15="http://schemas.microsoft.com/office/drawing/2012/chart" uri="{02D57815-91ED-43cb-92C2-25804820EDAC}">
                  <c15:fullRef>
                    <c15:sqref>'2CC'!$U$46:$U$53</c15:sqref>
                  </c15:fullRef>
                </c:ext>
              </c:extLst>
              <c:f>'2CC'!$U$46:$U$50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'2CC'!$V$46:$V$53</c15:sqref>
                  </c15:fullRef>
                </c:ext>
              </c:extLst>
              <c:f>'2CC'!$V$46:$V$50</c:f>
              <c:numCache>
                <c:formatCode>0.0%</c:formatCode>
                <c:ptCount val="5"/>
                <c:pt idx="0">
                  <c:v>0.11372764033880027</c:v>
                </c:pt>
                <c:pt idx="1">
                  <c:v>0.1160649074498503</c:v>
                </c:pt>
                <c:pt idx="2">
                  <c:v>0.10892736869769264</c:v>
                </c:pt>
                <c:pt idx="3">
                  <c:v>0.10785512518175103</c:v>
                </c:pt>
                <c:pt idx="4">
                  <c:v>0.10261672943512802</c:v>
                </c:pt>
              </c:numCache>
            </c:numRef>
          </c:val>
          <c:smooth val="0"/>
          <c:extLst>
            <c:ext xmlns:c16="http://schemas.microsoft.com/office/drawing/2014/chart" uri="{C3380CC4-5D6E-409C-BE32-E72D297353CC}">
              <c16:uniqueId val="{00000001-E482-4788-AC90-2ECBB6472216}"/>
            </c:ext>
          </c:extLst>
        </c:ser>
        <c:ser>
          <c:idx val="3"/>
          <c:order val="2"/>
          <c:tx>
            <c:strRef>
              <c:f>'2CC'!$Y$45</c:f>
              <c:strCache>
                <c:ptCount val="1"/>
                <c:pt idx="0">
                  <c:v>Baseline simulation (after reescaling)</c:v>
                </c:pt>
              </c:strCache>
            </c:strRef>
          </c:tx>
          <c:spPr>
            <a:ln w="25400" cap="rnd">
              <a:noFill/>
              <a:round/>
            </a:ln>
            <a:effectLst/>
          </c:spPr>
          <c:marker>
            <c:symbol val="circle"/>
            <c:size val="7"/>
            <c:spPr>
              <a:solidFill>
                <a:schemeClr val="tx1"/>
              </a:solidFill>
              <a:ln w="9525">
                <a:solidFill>
                  <a:schemeClr val="tx1"/>
                </a:solidFill>
              </a:ln>
              <a:effectLst/>
            </c:spPr>
          </c:marker>
          <c:cat>
            <c:numRef>
              <c:extLst>
                <c:ext xmlns:c15="http://schemas.microsoft.com/office/drawing/2012/chart" uri="{02D57815-91ED-43cb-92C2-25804820EDAC}">
                  <c15:fullRef>
                    <c15:sqref>'2CC'!$U$46:$U$53</c15:sqref>
                  </c15:fullRef>
                </c:ext>
              </c:extLst>
              <c:f>'2CC'!$U$46:$U$50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'2CC'!$Y$46:$Y$53</c15:sqref>
                  </c15:fullRef>
                </c:ext>
              </c:extLst>
              <c:f>'2CC'!$Y$46:$Y$50</c:f>
              <c:numCache>
                <c:formatCode>0.0%</c:formatCode>
                <c:ptCount val="5"/>
                <c:pt idx="0">
                  <c:v>9.595375231973928E-2</c:v>
                </c:pt>
                <c:pt idx="4">
                  <c:v>8.9552866409432455E-2</c:v>
                </c:pt>
              </c:numCache>
            </c:numRef>
          </c:val>
          <c:smooth val="0"/>
          <c:extLst>
            <c:ext xmlns:c16="http://schemas.microsoft.com/office/drawing/2014/chart" uri="{C3380CC4-5D6E-409C-BE32-E72D297353CC}">
              <c16:uniqueId val="{00000002-E482-4788-AC90-2ECBB6472216}"/>
            </c:ext>
          </c:extLst>
        </c:ser>
        <c:ser>
          <c:idx val="4"/>
          <c:order val="3"/>
          <c:tx>
            <c:strRef>
              <c:f>'2CC'!$Z$45</c:f>
              <c:strCache>
                <c:ptCount val="1"/>
                <c:pt idx="0">
                  <c:v>Unchanged legislation since 2019</c:v>
                </c:pt>
              </c:strCache>
            </c:strRef>
          </c:tx>
          <c:spPr>
            <a:ln w="25400" cap="rnd">
              <a:noFill/>
              <a:round/>
            </a:ln>
            <a:effectLst/>
          </c:spPr>
          <c:marker>
            <c:symbol val="circle"/>
            <c:size val="6"/>
            <c:spPr>
              <a:noFill/>
              <a:ln w="25400">
                <a:solidFill>
                  <a:srgbClr val="C00000"/>
                </a:solidFill>
              </a:ln>
              <a:effectLst/>
            </c:spPr>
          </c:marker>
          <c:cat>
            <c:numRef>
              <c:extLst>
                <c:ext xmlns:c15="http://schemas.microsoft.com/office/drawing/2012/chart" uri="{02D57815-91ED-43cb-92C2-25804820EDAC}">
                  <c15:fullRef>
                    <c15:sqref>'2CC'!$U$46:$U$53</c15:sqref>
                  </c15:fullRef>
                </c:ext>
              </c:extLst>
              <c:f>'2CC'!$U$46:$U$50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'2CC'!$Z$46:$Z$53</c15:sqref>
                  </c15:fullRef>
                </c:ext>
              </c:extLst>
              <c:f>'2CC'!$Z$46:$Z$50</c:f>
              <c:numCache>
                <c:formatCode>0.0%</c:formatCode>
                <c:ptCount val="5"/>
                <c:pt idx="4">
                  <c:v>0.10139965387154594</c:v>
                </c:pt>
              </c:numCache>
            </c:numRef>
          </c:val>
          <c:smooth val="0"/>
          <c:extLst>
            <c:ext xmlns:c16="http://schemas.microsoft.com/office/drawing/2014/chart" uri="{C3380CC4-5D6E-409C-BE32-E72D297353CC}">
              <c16:uniqueId val="{00000003-E482-4788-AC90-2ECBB6472216}"/>
            </c:ext>
          </c:extLst>
        </c:ser>
        <c:ser>
          <c:idx val="5"/>
          <c:order val="4"/>
          <c:tx>
            <c:strRef>
              <c:f>'2CC'!$AA$45</c:f>
              <c:strCache>
                <c:ptCount val="1"/>
                <c:pt idx="0">
                  <c:v>Indexing with tax base growth</c:v>
                </c:pt>
              </c:strCache>
            </c:strRef>
          </c:tx>
          <c:spPr>
            <a:ln w="25400" cap="rnd">
              <a:noFill/>
              <a:round/>
            </a:ln>
            <a:effectLst/>
          </c:spPr>
          <c:marker>
            <c:symbol val="square"/>
            <c:size val="5"/>
            <c:spPr>
              <a:noFill/>
              <a:ln w="25400">
                <a:solidFill>
                  <a:schemeClr val="accent6">
                    <a:lumMod val="75000"/>
                  </a:schemeClr>
                </a:solidFill>
              </a:ln>
              <a:effectLst/>
            </c:spPr>
          </c:marker>
          <c:cat>
            <c:numRef>
              <c:extLst>
                <c:ext xmlns:c15="http://schemas.microsoft.com/office/drawing/2012/chart" uri="{02D57815-91ED-43cb-92C2-25804820EDAC}">
                  <c15:fullRef>
                    <c15:sqref>'2CC'!$U$46:$U$53</c15:sqref>
                  </c15:fullRef>
                </c:ext>
              </c:extLst>
              <c:f>'2CC'!$U$46:$U$50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'2CC'!$AA$46:$AA$53</c15:sqref>
                  </c15:fullRef>
                </c:ext>
              </c:extLst>
              <c:f>'2CC'!$AA$46:$AA$50</c:f>
              <c:numCache>
                <c:formatCode>0.0%</c:formatCode>
                <c:ptCount val="5"/>
                <c:pt idx="4">
                  <c:v>9.4014031506957682E-2</c:v>
                </c:pt>
              </c:numCache>
            </c:numRef>
          </c:val>
          <c:smooth val="0"/>
          <c:extLst>
            <c:ext xmlns:c16="http://schemas.microsoft.com/office/drawing/2014/chart" uri="{C3380CC4-5D6E-409C-BE32-E72D297353CC}">
              <c16:uniqueId val="{00000004-E482-4788-AC90-2ECBB6472216}"/>
            </c:ext>
          </c:extLst>
        </c:ser>
        <c:ser>
          <c:idx val="6"/>
          <c:order val="5"/>
          <c:tx>
            <c:strRef>
              <c:f>'2CC'!$AB$45</c:f>
              <c:strCache>
                <c:ptCount val="1"/>
                <c:pt idx="0">
                  <c:v>Indexing with lagged HICP</c:v>
                </c:pt>
              </c:strCache>
            </c:strRef>
          </c:tx>
          <c:spPr>
            <a:ln w="25400" cap="rnd">
              <a:noFill/>
              <a:round/>
            </a:ln>
            <a:effectLst/>
          </c:spPr>
          <c:marker>
            <c:symbol val="diamond"/>
            <c:size val="6"/>
            <c:spPr>
              <a:noFill/>
              <a:ln w="25400">
                <a:solidFill>
                  <a:schemeClr val="accent4"/>
                </a:solidFill>
              </a:ln>
              <a:effectLst/>
            </c:spPr>
          </c:marker>
          <c:cat>
            <c:numRef>
              <c:extLst>
                <c:ext xmlns:c15="http://schemas.microsoft.com/office/drawing/2012/chart" uri="{02D57815-91ED-43cb-92C2-25804820EDAC}">
                  <c15:fullRef>
                    <c15:sqref>'2CC'!$U$46:$U$53</c15:sqref>
                  </c15:fullRef>
                </c:ext>
              </c:extLst>
              <c:f>'2CC'!$U$46:$U$50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'2CC'!$AB$46:$AB$53</c15:sqref>
                  </c15:fullRef>
                </c:ext>
              </c:extLst>
              <c:f>'2CC'!$AB$46:$AB$50</c:f>
              <c:numCache>
                <c:formatCode>0.0%</c:formatCode>
                <c:ptCount val="5"/>
                <c:pt idx="4">
                  <c:v>9.3999312273762181E-2</c:v>
                </c:pt>
              </c:numCache>
            </c:numRef>
          </c:val>
          <c:smooth val="0"/>
          <c:extLst>
            <c:ext xmlns:c16="http://schemas.microsoft.com/office/drawing/2014/chart" uri="{C3380CC4-5D6E-409C-BE32-E72D297353CC}">
              <c16:uniqueId val="{00000005-E482-4788-AC90-2ECBB6472216}"/>
            </c:ext>
          </c:extLst>
        </c:ser>
        <c:ser>
          <c:idx val="7"/>
          <c:order val="6"/>
          <c:tx>
            <c:strRef>
              <c:f>'2CC'!$AC$45</c:f>
              <c:strCache>
                <c:ptCount val="1"/>
                <c:pt idx="0">
                  <c:v>Indexing with concurrent HICP</c:v>
                </c:pt>
              </c:strCache>
            </c:strRef>
          </c:tx>
          <c:spPr>
            <a:ln w="25400" cap="rnd">
              <a:noFill/>
              <a:round/>
            </a:ln>
            <a:effectLst/>
          </c:spPr>
          <c:marker>
            <c:symbol val="triangle"/>
            <c:size val="6"/>
            <c:spPr>
              <a:noFill/>
              <a:ln w="25400">
                <a:solidFill>
                  <a:schemeClr val="accent5">
                    <a:lumMod val="75000"/>
                  </a:schemeClr>
                </a:solidFill>
              </a:ln>
              <a:effectLst/>
            </c:spPr>
          </c:marker>
          <c:cat>
            <c:numRef>
              <c:extLst>
                <c:ext xmlns:c15="http://schemas.microsoft.com/office/drawing/2012/chart" uri="{02D57815-91ED-43cb-92C2-25804820EDAC}">
                  <c15:fullRef>
                    <c15:sqref>'2CC'!$U$46:$U$53</c15:sqref>
                  </c15:fullRef>
                </c:ext>
              </c:extLst>
              <c:f>'2CC'!$U$46:$U$50</c:f>
              <c:numCache>
                <c:formatCode>General</c:formatCode>
                <c:ptCount val="5"/>
                <c:pt idx="0">
                  <c:v>2019</c:v>
                </c:pt>
                <c:pt idx="1">
                  <c:v>2020</c:v>
                </c:pt>
                <c:pt idx="2">
                  <c:v>2021</c:v>
                </c:pt>
                <c:pt idx="3">
                  <c:v>2022</c:v>
                </c:pt>
                <c:pt idx="4">
                  <c:v>2023</c:v>
                </c:pt>
              </c:numCache>
            </c:numRef>
          </c:cat>
          <c:val>
            <c:numRef>
              <c:extLst>
                <c:ext xmlns:c15="http://schemas.microsoft.com/office/drawing/2012/chart" uri="{02D57815-91ED-43cb-92C2-25804820EDAC}">
                  <c15:fullRef>
                    <c15:sqref>'2CC'!$AC$46:$AC$53</c15:sqref>
                  </c15:fullRef>
                </c:ext>
              </c:extLst>
              <c:f>'2CC'!$AC$46:$AC$50</c:f>
              <c:numCache>
                <c:formatCode>0.0%</c:formatCode>
                <c:ptCount val="5"/>
                <c:pt idx="4">
                  <c:v>9.1466348309817647E-2</c:v>
                </c:pt>
              </c:numCache>
            </c:numRef>
          </c:val>
          <c:smooth val="0"/>
          <c:extLst>
            <c:ext xmlns:c16="http://schemas.microsoft.com/office/drawing/2014/chart" uri="{C3380CC4-5D6E-409C-BE32-E72D297353CC}">
              <c16:uniqueId val="{00000006-E482-4788-AC90-2ECBB6472216}"/>
            </c:ext>
          </c:extLst>
        </c:ser>
        <c:dLbls>
          <c:showLegendKey val="0"/>
          <c:showVal val="0"/>
          <c:showCatName val="0"/>
          <c:showSerName val="0"/>
          <c:showPercent val="0"/>
          <c:showBubbleSize val="0"/>
        </c:dLbls>
        <c:smooth val="0"/>
        <c:axId val="709475840"/>
        <c:axId val="605168576"/>
        <c:extLst/>
      </c:lineChart>
      <c:catAx>
        <c:axId val="709475840"/>
        <c:scaling>
          <c:orientation val="minMax"/>
        </c:scaling>
        <c:delete val="0"/>
        <c:axPos val="b"/>
        <c:numFmt formatCode="General" sourceLinked="1"/>
        <c:majorTickMark val="out"/>
        <c:minorTickMark val="none"/>
        <c:tickLblPos val="nextTo"/>
        <c:spPr>
          <a:noFill/>
          <a:ln w="6350" cap="flat" cmpd="sng" algn="ctr">
            <a:solidFill>
              <a:schemeClr val="tx1"/>
            </a:solidFill>
            <a:round/>
          </a:ln>
          <a:effectLst/>
        </c:spPr>
        <c:txPr>
          <a:bodyPr rot="-60000000" spcFirstLastPara="1" vertOverflow="ellipsis" vert="horz" wrap="square" anchor="ctr" anchorCtr="1"/>
          <a:lstStyle/>
          <a:p>
            <a:pPr>
              <a:defRPr sz="950" b="0" i="0" u="none" strike="noStrike" kern="1200" baseline="0">
                <a:solidFill>
                  <a:schemeClr val="tx1"/>
                </a:solidFill>
                <a:latin typeface="Times New Roman" panose="02020603050405020304" pitchFamily="18" charset="0"/>
                <a:ea typeface="+mn-ea"/>
                <a:cs typeface="+mn-cs"/>
              </a:defRPr>
            </a:pPr>
            <a:endParaRPr lang="es-ES_tradnl"/>
          </a:p>
        </c:txPr>
        <c:crossAx val="605168576"/>
        <c:crosses val="autoZero"/>
        <c:auto val="1"/>
        <c:lblAlgn val="ctr"/>
        <c:lblOffset val="100"/>
        <c:noMultiLvlLbl val="0"/>
      </c:catAx>
      <c:valAx>
        <c:axId val="6051685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s-ES_tradnl" sz="1050">
                    <a:solidFill>
                      <a:sysClr val="windowText" lastClr="000000"/>
                    </a:solidFill>
                    <a:latin typeface="Times New Roman" panose="02020603050405020304" pitchFamily="18" charset="0"/>
                    <a:cs typeface="Times New Roman" panose="02020603050405020304" pitchFamily="18" charset="0"/>
                  </a:rPr>
                  <a:t>Share of GDP</a:t>
                </a:r>
              </a:p>
            </c:rich>
          </c:tx>
          <c:overlay val="0"/>
          <c:spPr>
            <a:noFill/>
            <a:ln>
              <a:noFill/>
            </a:ln>
            <a:effectLst/>
          </c:spPr>
        </c:title>
        <c:numFmt formatCode="0%" sourceLinked="0"/>
        <c:majorTickMark val="out"/>
        <c:minorTickMark val="none"/>
        <c:tickLblPos val="nextTo"/>
        <c:spPr>
          <a:noFill/>
          <a:ln w="6350">
            <a:solidFill>
              <a:schemeClr val="tx1">
                <a:lumMod val="65000"/>
                <a:lumOff val="35000"/>
              </a:schemeClr>
            </a:solidFill>
          </a:ln>
          <a:effectLst/>
        </c:spPr>
        <c:txPr>
          <a:bodyPr rot="-60000000" spcFirstLastPara="1" vertOverflow="ellipsis" vert="horz" wrap="square" anchor="ctr" anchorCtr="1"/>
          <a:lstStyle/>
          <a:p>
            <a:pPr>
              <a:defRPr sz="950" b="0" i="0" u="none" strike="noStrike" kern="1200" baseline="0">
                <a:solidFill>
                  <a:schemeClr val="tx1"/>
                </a:solidFill>
                <a:latin typeface="Times New Roman" panose="02020603050405020304" pitchFamily="18" charset="0"/>
                <a:ea typeface="+mn-ea"/>
                <a:cs typeface="+mn-cs"/>
              </a:defRPr>
            </a:pPr>
            <a:endParaRPr lang="es-ES_tradnl"/>
          </a:p>
        </c:txPr>
        <c:crossAx val="709475840"/>
        <c:crosses val="autoZero"/>
        <c:crossBetween val="between"/>
      </c:valAx>
    </c:plotArea>
    <c:legend>
      <c:legendPos val="b"/>
      <c:layout>
        <c:manualLayout>
          <c:xMode val="edge"/>
          <c:yMode val="edge"/>
          <c:x val="0"/>
          <c:y val="0.80216933512597055"/>
          <c:w val="1"/>
          <c:h val="0.19783066487402948"/>
        </c:manualLayout>
      </c:layout>
      <c:overlay val="0"/>
      <c:spPr>
        <a:noFill/>
        <a:ln>
          <a:noFill/>
        </a:ln>
        <a:effectLst/>
      </c:spPr>
      <c:txPr>
        <a:bodyPr rot="0" spcFirstLastPara="1" vertOverflow="ellipsis" vert="horz" wrap="square" anchor="ctr" anchorCtr="1"/>
        <a:lstStyle/>
        <a:p>
          <a:pPr>
            <a:defRPr sz="9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legend>
    <c:plotVisOnly val="1"/>
    <c:dispBlanksAs val="gap"/>
    <c:showDLblsOverMax val="0"/>
  </c:chart>
  <c:spPr>
    <a:solidFill>
      <a:schemeClr val="bg1"/>
    </a:solidFill>
    <a:ln w="9525" cap="flat" cmpd="sng" algn="ctr">
      <a:noFill/>
      <a:round/>
    </a:ln>
    <a:effectLst/>
  </c:spPr>
  <c:txPr>
    <a:bodyPr/>
    <a:lstStyle/>
    <a:p>
      <a:pPr>
        <a:defRPr/>
      </a:pPr>
      <a:endParaRPr lang="es-ES_tradnl"/>
    </a:p>
  </c:txPr>
  <c:printSettings>
    <c:headerFooter/>
    <c:pageMargins b="0.75" l="0.25" r="0.25" t="0.75" header="0.3" footer="0.3"/>
    <c:pageSetup paperSize="9" orientation="landscape"/>
  </c:printSettings>
</c:chartSpace>
</file>

<file path=xl/charts/chart6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5199815139386653E-2"/>
          <c:y val="4.8144708917560494E-2"/>
          <c:w val="0.8843461427786643"/>
          <c:h val="0.71103799043453175"/>
        </c:manualLayout>
      </c:layout>
      <c:barChart>
        <c:barDir val="col"/>
        <c:grouping val="clustered"/>
        <c:varyColors val="0"/>
        <c:ser>
          <c:idx val="6"/>
          <c:order val="0"/>
          <c:tx>
            <c:strRef>
              <c:f>'2CC'!$BS$11</c:f>
              <c:strCache>
                <c:ptCount val="1"/>
                <c:pt idx="0">
                  <c:v>Change in share of zero-tax payers (pp)</c:v>
                </c:pt>
              </c:strCache>
            </c:strRef>
          </c:tx>
          <c:spPr>
            <a:solidFill>
              <a:schemeClr val="bg1">
                <a:lumMod val="75000"/>
              </a:schemeClr>
            </a:solidFill>
          </c:spPr>
          <c:invertIfNegative val="0"/>
          <c:cat>
            <c:strRef>
              <c:f>'2CC'!$B$12:$B$22</c:f>
              <c:strCache>
                <c:ptCount val="11"/>
                <c:pt idx="0">
                  <c:v>1</c:v>
                </c:pt>
                <c:pt idx="1">
                  <c:v>2</c:v>
                </c:pt>
                <c:pt idx="2">
                  <c:v>3</c:v>
                </c:pt>
                <c:pt idx="3">
                  <c:v>4</c:v>
                </c:pt>
                <c:pt idx="4">
                  <c:v>5</c:v>
                </c:pt>
                <c:pt idx="5">
                  <c:v>6</c:v>
                </c:pt>
                <c:pt idx="6">
                  <c:v>7</c:v>
                </c:pt>
                <c:pt idx="7">
                  <c:v>8</c:v>
                </c:pt>
                <c:pt idx="8">
                  <c:v>9</c:v>
                </c:pt>
                <c:pt idx="9">
                  <c:v>10</c:v>
                </c:pt>
                <c:pt idx="10">
                  <c:v>Total</c:v>
                </c:pt>
              </c:strCache>
            </c:strRef>
          </c:cat>
          <c:val>
            <c:numRef>
              <c:f>'2CC'!$BS$12:$BS$22</c:f>
              <c:numCache>
                <c:formatCode>0</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0-638D-4FEB-B17E-8180143AFC65}"/>
            </c:ext>
          </c:extLst>
        </c:ser>
        <c:dLbls>
          <c:showLegendKey val="0"/>
          <c:showVal val="0"/>
          <c:showCatName val="0"/>
          <c:showSerName val="0"/>
          <c:showPercent val="0"/>
          <c:showBubbleSize val="0"/>
        </c:dLbls>
        <c:gapWidth val="75"/>
        <c:axId val="844305855"/>
        <c:axId val="892036479"/>
      </c:barChart>
      <c:catAx>
        <c:axId val="844305855"/>
        <c:scaling>
          <c:orientation val="minMax"/>
        </c:scaling>
        <c:delete val="0"/>
        <c:axPos val="b"/>
        <c:title>
          <c:tx>
            <c:rich>
              <a:bodyPr rot="0" spcFirstLastPara="1" vertOverflow="ellipsis" vert="horz" wrap="square" anchor="ctr" anchorCtr="1"/>
              <a:lstStyle/>
              <a:p>
                <a:pPr>
                  <a:defRPr sz="10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s-ES_tradnl"/>
                  <a:t>Decile of taxable income</a:t>
                </a:r>
              </a:p>
            </c:rich>
          </c:tx>
          <c:layout>
            <c:manualLayout>
              <c:xMode val="edge"/>
              <c:yMode val="edge"/>
              <c:x val="0.37627011687101292"/>
              <c:y val="0.83912489274952395"/>
            </c:manualLayout>
          </c:layout>
          <c:overlay val="0"/>
          <c:spPr>
            <a:noFill/>
            <a:ln>
              <a:noFill/>
            </a:ln>
            <a:effectLst/>
          </c:spPr>
        </c:title>
        <c:numFmt formatCode="General" sourceLinked="1"/>
        <c:majorTickMark val="none"/>
        <c:minorTickMark val="none"/>
        <c:tickLblPos val="low"/>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crossAx val="892036479"/>
        <c:crosses val="autoZero"/>
        <c:auto val="1"/>
        <c:lblAlgn val="ctr"/>
        <c:lblOffset val="100"/>
        <c:noMultiLvlLbl val="0"/>
      </c:catAx>
      <c:valAx>
        <c:axId val="89203647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s-ES_tradnl"/>
                  <a:t>Percentage points</a:t>
                </a:r>
              </a:p>
            </c:rich>
          </c:tx>
          <c:overlay val="0"/>
          <c:spPr>
            <a:noFill/>
            <a:ln>
              <a:noFill/>
            </a:ln>
            <a:effectLst/>
          </c:sp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crossAx val="844305855"/>
        <c:crosses val="autoZero"/>
        <c:crossBetween val="between"/>
      </c:valAx>
    </c:plotArea>
    <c:plotVisOnly val="1"/>
    <c:dispBlanksAs val="gap"/>
    <c:showDLblsOverMax val="0"/>
    <c:extLst/>
  </c:chart>
  <c:spPr>
    <a:solidFill>
      <a:schemeClr val="bg1"/>
    </a:solidFill>
    <a:ln w="9525" cap="flat" cmpd="sng" algn="ctr">
      <a:noFill/>
      <a:round/>
    </a:ln>
    <a:effectLst/>
  </c:spPr>
  <c:txPr>
    <a:bodyPr/>
    <a:lstStyle/>
    <a:p>
      <a:pPr>
        <a:defRPr>
          <a:solidFill>
            <a:sysClr val="windowText" lastClr="000000"/>
          </a:solidFill>
          <a:latin typeface="Times New Roman" panose="02020603050405020304" pitchFamily="18" charset="0"/>
          <a:cs typeface="Times New Roman" panose="02020603050405020304" pitchFamily="18" charset="0"/>
        </a:defRPr>
      </a:pPr>
      <a:endParaRPr lang="es-ES_tradnl"/>
    </a:p>
  </c:txPr>
  <c:printSettings>
    <c:headerFooter/>
    <c:pageMargins b="0.75" l="0.7" r="0.7" t="0.75" header="0.3" footer="0.3"/>
    <c:pageSetup/>
  </c:printSettings>
</c:chartSpace>
</file>

<file path=xl/charts/chart6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28575" cap="rnd">
            <a:noFill/>
            <a:round/>
          </a:ln>
          <a:effectLst/>
        </c:spPr>
        <c:marker>
          <c:symbol val="dash"/>
          <c:size val="7"/>
          <c:spPr>
            <a:solidFill>
              <a:srgbClr val="3B3838"/>
            </a:solidFill>
            <a:ln w="9525">
              <a:solidFill>
                <a:srgbClr val="3B3838"/>
              </a:solidFill>
            </a:ln>
            <a:effectLst/>
          </c:spPr>
        </c:marker>
        <c:dLbl>
          <c:idx val="0"/>
          <c:delete val="1"/>
          <c:extLst>
            <c:ext xmlns:c15="http://schemas.microsoft.com/office/drawing/2012/chart" uri="{CE6537A1-D6FC-4f65-9D91-7224C49458BB}"/>
          </c:extLst>
        </c:dLbl>
      </c:pivotFmt>
      <c:pivotFmt>
        <c:idx val="1"/>
        <c:spPr>
          <a:solidFill>
            <a:srgbClr val="E7E6E6"/>
          </a:solidFill>
          <a:ln w="25400">
            <a:noFill/>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2"/>
        <c:spPr>
          <a:solidFill>
            <a:srgbClr val="ED7D31"/>
          </a:solidFill>
          <a:ln w="25400">
            <a:noFill/>
          </a:ln>
          <a:effectLst/>
        </c:spPr>
        <c:marker>
          <c:symbol val="circle"/>
          <c:size val="5"/>
          <c:spPr>
            <a:solidFill>
              <a:schemeClr val="accent3"/>
            </a:solidFill>
            <a:ln w="9525">
              <a:solidFill>
                <a:schemeClr val="accent3"/>
              </a:solidFill>
            </a:ln>
            <a:effectLst/>
          </c:spPr>
        </c:marker>
        <c:dLbl>
          <c:idx val="0"/>
          <c:delete val="1"/>
          <c:extLst>
            <c:ext xmlns:c15="http://schemas.microsoft.com/office/drawing/2012/chart" uri="{CE6537A1-D6FC-4f65-9D91-7224C49458BB}"/>
          </c:extLst>
        </c:dLbl>
      </c:pivotFmt>
      <c:pivotFmt>
        <c:idx val="3"/>
        <c:spPr>
          <a:solidFill>
            <a:srgbClr val="2F5597"/>
          </a:solidFill>
          <a:ln w="25400">
            <a:noFill/>
          </a:ln>
          <a:effectLst/>
        </c:spPr>
        <c:marker>
          <c:symbol val="circle"/>
          <c:size val="5"/>
          <c:spPr>
            <a:solidFill>
              <a:schemeClr val="accent4"/>
            </a:solidFill>
            <a:ln w="9525">
              <a:solidFill>
                <a:schemeClr val="accent4"/>
              </a:solidFill>
            </a:ln>
            <a:effectLst/>
          </c:spPr>
        </c:marker>
        <c:dLbl>
          <c:idx val="0"/>
          <c:delete val="1"/>
          <c:extLst>
            <c:ext xmlns:c15="http://schemas.microsoft.com/office/drawing/2012/chart" uri="{CE6537A1-D6FC-4f65-9D91-7224C49458BB}"/>
          </c:extLst>
        </c:dLbl>
      </c:pivotFmt>
      <c:pivotFmt>
        <c:idx val="4"/>
        <c:spPr>
          <a:solidFill>
            <a:srgbClr val="4472C4"/>
          </a:solidFill>
          <a:ln>
            <a:noFill/>
          </a:ln>
          <a:effectLst/>
        </c:spPr>
        <c:marker>
          <c:symbol val="none"/>
        </c:marker>
        <c:dLbl>
          <c:idx val="0"/>
          <c:delete val="1"/>
          <c:extLst>
            <c:ext xmlns:c15="http://schemas.microsoft.com/office/drawing/2012/chart" uri="{CE6537A1-D6FC-4f65-9D91-7224C49458BB}"/>
          </c:extLst>
        </c:dLbl>
      </c:pivotFmt>
      <c:pivotFmt>
        <c:idx val="5"/>
        <c:spPr>
          <a:solidFill>
            <a:srgbClr val="8FAADC"/>
          </a:solidFill>
          <a:ln>
            <a:noFill/>
          </a:ln>
          <a:effectLst/>
        </c:spPr>
        <c:marker>
          <c:symbol val="none"/>
        </c:marker>
        <c:dLbl>
          <c:idx val="0"/>
          <c:delete val="1"/>
          <c:extLst>
            <c:ext xmlns:c15="http://schemas.microsoft.com/office/drawing/2012/chart" uri="{CE6537A1-D6FC-4f65-9D91-7224C49458BB}"/>
          </c:extLst>
        </c:dLbl>
      </c:pivotFmt>
      <c:pivotFmt>
        <c:idx val="6"/>
        <c:spPr>
          <a:solidFill>
            <a:srgbClr val="DAE3F3"/>
          </a:solidFill>
          <a:ln>
            <a:noFill/>
          </a:ln>
          <a:effectLst/>
        </c:spPr>
        <c:marker>
          <c:symbol val="none"/>
        </c:marker>
        <c:dLbl>
          <c:idx val="0"/>
          <c:delete val="1"/>
          <c:extLst>
            <c:ext xmlns:c15="http://schemas.microsoft.com/office/drawing/2012/chart" uri="{CE6537A1-D6FC-4f65-9D91-7224C49458BB}"/>
          </c:extLst>
        </c:dLbl>
      </c:pivotFmt>
      <c:pivotFmt>
        <c:idx val="7"/>
        <c:spPr>
          <a:solidFill>
            <a:srgbClr val="DAE3F3"/>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w="25400">
            <a:noFill/>
          </a:ln>
          <a:effectLst/>
        </c:spPr>
        <c:marker>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9"/>
        <c:spPr>
          <a:solidFill>
            <a:schemeClr val="accent1"/>
          </a:solidFill>
          <a:ln w="28575" cap="rnd">
            <a:noFill/>
            <a:round/>
          </a:ln>
          <a:effectLst/>
        </c:spPr>
        <c:marker>
          <c:symbol val="dash"/>
          <c:size val="7"/>
          <c:spPr>
            <a:solidFill>
              <a:srgbClr val="3B3838"/>
            </a:solidFill>
            <a:ln w="9525">
              <a:solidFill>
                <a:srgbClr val="3B3838"/>
              </a:solidFill>
            </a:ln>
            <a:effectLst/>
          </c:spPr>
        </c:marker>
      </c:pivotFmt>
      <c:pivotFmt>
        <c:idx val="10"/>
        <c:spPr>
          <a:solidFill>
            <a:srgbClr val="E7E6E6"/>
          </a:solidFill>
          <a:ln w="25400">
            <a:noFill/>
          </a:ln>
          <a:effectLst/>
        </c:spPr>
        <c:marker>
          <c:symbol val="none"/>
        </c:marker>
        <c:dLbl>
          <c:idx val="0"/>
          <c:delete val="1"/>
          <c:extLst>
            <c:ext xmlns:c15="http://schemas.microsoft.com/office/drawing/2012/chart" uri="{CE6537A1-D6FC-4f65-9D91-7224C49458BB}"/>
          </c:extLst>
        </c:dLbl>
      </c:pivotFmt>
      <c:pivotFmt>
        <c:idx val="11"/>
        <c:spPr>
          <a:solidFill>
            <a:srgbClr val="ED7D31"/>
          </a:solidFill>
          <a:ln w="25400">
            <a:noFill/>
          </a:ln>
          <a:effectLst/>
        </c:spPr>
        <c:marker>
          <c:symbol val="none"/>
        </c:marker>
        <c:dLbl>
          <c:idx val="0"/>
          <c:delete val="1"/>
          <c:extLst>
            <c:ext xmlns:c15="http://schemas.microsoft.com/office/drawing/2012/chart" uri="{CE6537A1-D6FC-4f65-9D91-7224C49458BB}"/>
          </c:extLst>
        </c:dLbl>
      </c:pivotFmt>
      <c:pivotFmt>
        <c:idx val="12"/>
        <c:spPr>
          <a:solidFill>
            <a:srgbClr val="2F5597"/>
          </a:solidFill>
          <a:ln w="25400">
            <a:noFill/>
          </a:ln>
          <a:effectLst/>
        </c:spPr>
        <c:marker>
          <c:symbol val="none"/>
        </c:marker>
        <c:dLbl>
          <c:idx val="0"/>
          <c:delete val="1"/>
          <c:extLst>
            <c:ext xmlns:c15="http://schemas.microsoft.com/office/drawing/2012/chart" uri="{CE6537A1-D6FC-4f65-9D91-7224C49458BB}"/>
          </c:extLst>
        </c:dLbl>
      </c:pivotFmt>
      <c:pivotFmt>
        <c:idx val="13"/>
        <c:spPr>
          <a:solidFill>
            <a:srgbClr val="4472C4"/>
          </a:solidFill>
          <a:ln>
            <a:noFill/>
          </a:ln>
          <a:effectLst/>
        </c:spPr>
        <c:marker>
          <c:symbol val="none"/>
        </c:marker>
        <c:dLbl>
          <c:idx val="0"/>
          <c:delete val="1"/>
          <c:extLst>
            <c:ext xmlns:c15="http://schemas.microsoft.com/office/drawing/2012/chart" uri="{CE6537A1-D6FC-4f65-9D91-7224C49458BB}"/>
          </c:extLst>
        </c:dLbl>
      </c:pivotFmt>
      <c:pivotFmt>
        <c:idx val="14"/>
        <c:spPr>
          <a:solidFill>
            <a:srgbClr val="8FAADC"/>
          </a:solidFill>
          <a:ln>
            <a:noFill/>
          </a:ln>
          <a:effectLst/>
        </c:spPr>
        <c:marker>
          <c:symbol val="none"/>
        </c:marker>
        <c:dLbl>
          <c:idx val="0"/>
          <c:delete val="1"/>
          <c:extLst>
            <c:ext xmlns:c15="http://schemas.microsoft.com/office/drawing/2012/chart" uri="{CE6537A1-D6FC-4f65-9D91-7224C49458BB}"/>
          </c:extLst>
        </c:dLbl>
      </c:pivotFmt>
      <c:pivotFmt>
        <c:idx val="15"/>
        <c:spPr>
          <a:solidFill>
            <a:srgbClr val="DAE3F3"/>
          </a:solidFill>
          <a:ln>
            <a:noFill/>
          </a:ln>
          <a:effectLst/>
        </c:spPr>
        <c:marker>
          <c:symbol val="none"/>
        </c:marker>
        <c:dLbl>
          <c:idx val="0"/>
          <c:delete val="1"/>
          <c:extLst>
            <c:ext xmlns:c15="http://schemas.microsoft.com/office/drawing/2012/chart" uri="{CE6537A1-D6FC-4f65-9D91-7224C49458BB}"/>
          </c:extLst>
        </c:dLbl>
      </c:pivotFmt>
      <c:pivotFmt>
        <c:idx val="16"/>
        <c:spPr>
          <a:solidFill>
            <a:srgbClr val="DAE3F3"/>
          </a:solidFill>
          <a:ln>
            <a:noFill/>
          </a:ln>
          <a:effectLst/>
        </c:spPr>
        <c:marker>
          <c:symbol val="none"/>
        </c:marker>
        <c:dLbl>
          <c:idx val="0"/>
          <c:delete val="1"/>
          <c:extLst>
            <c:ext xmlns:c15="http://schemas.microsoft.com/office/drawing/2012/chart" uri="{CE6537A1-D6FC-4f65-9D91-7224C49458BB}"/>
          </c:extLst>
        </c:dLbl>
      </c:pivotFmt>
      <c:pivotFmt>
        <c:idx val="17"/>
        <c:spPr>
          <a:solidFill>
            <a:schemeClr val="accent1"/>
          </a:solidFill>
          <a:ln w="28575" cap="rnd">
            <a:noFill/>
            <a:round/>
          </a:ln>
          <a:effectLst/>
        </c:spPr>
        <c:marker>
          <c:symbol val="dash"/>
          <c:size val="7"/>
          <c:spPr>
            <a:solidFill>
              <a:srgbClr val="3B3838"/>
            </a:solidFill>
            <a:ln w="9525">
              <a:solidFill>
                <a:srgbClr val="3B3838"/>
              </a:solidFill>
            </a:ln>
            <a:effectLst/>
          </c:spPr>
        </c:marker>
        <c:dLbl>
          <c:idx val="0"/>
          <c:delete val="1"/>
          <c:extLst>
            <c:ext xmlns:c15="http://schemas.microsoft.com/office/drawing/2012/chart" uri="{CE6537A1-D6FC-4f65-9D91-7224C49458BB}"/>
          </c:extLst>
        </c:dLbl>
      </c:pivotFmt>
      <c:pivotFmt>
        <c:idx val="18"/>
        <c:spPr>
          <a:solidFill>
            <a:srgbClr val="2F5597"/>
          </a:solidFill>
          <a:ln>
            <a:noFill/>
          </a:ln>
          <a:effectLst/>
        </c:spPr>
        <c:marker>
          <c:symbol val="none"/>
        </c:marker>
        <c:dLbl>
          <c:idx val="0"/>
          <c:delete val="1"/>
          <c:extLst>
            <c:ext xmlns:c15="http://schemas.microsoft.com/office/drawing/2012/chart" uri="{CE6537A1-D6FC-4f65-9D91-7224C49458BB}"/>
          </c:extLst>
        </c:dLbl>
      </c:pivotFmt>
      <c:pivotFmt>
        <c:idx val="19"/>
        <c:spPr>
          <a:solidFill>
            <a:srgbClr val="ED7D31"/>
          </a:solidFill>
          <a:ln>
            <a:noFill/>
          </a:ln>
          <a:effectLst/>
        </c:spPr>
        <c:marker>
          <c:symbol val="none"/>
        </c:marker>
        <c:dLbl>
          <c:idx val="0"/>
          <c:delete val="1"/>
          <c:extLst>
            <c:ext xmlns:c15="http://schemas.microsoft.com/office/drawing/2012/chart" uri="{CE6537A1-D6FC-4f65-9D91-7224C49458BB}"/>
          </c:extLst>
        </c:dLbl>
      </c:pivotFmt>
      <c:pivotFmt>
        <c:idx val="20"/>
        <c:spPr>
          <a:solidFill>
            <a:schemeClr val="accent5">
              <a:lumMod val="40000"/>
              <a:lumOff val="60000"/>
            </a:schemeClr>
          </a:solidFill>
          <a:ln w="9525">
            <a:noFill/>
          </a:ln>
          <a:effectLst/>
        </c:spPr>
        <c:marker>
          <c:symbol val="none"/>
        </c:marker>
        <c:dLbl>
          <c:idx val="0"/>
          <c:delete val="1"/>
          <c:extLst>
            <c:ext xmlns:c15="http://schemas.microsoft.com/office/drawing/2012/chart" uri="{CE6537A1-D6FC-4f65-9D91-7224C49458BB}"/>
          </c:extLst>
        </c:dLbl>
      </c:pivotFmt>
      <c:pivotFmt>
        <c:idx val="21"/>
        <c:spPr>
          <a:solidFill>
            <a:schemeClr val="bg2">
              <a:lumMod val="75000"/>
            </a:schemeClr>
          </a:solidFill>
          <a:ln w="6350">
            <a:noFill/>
          </a:ln>
          <a:effectLst/>
        </c:spPr>
        <c:marker>
          <c:symbol val="none"/>
        </c:marker>
        <c:dLbl>
          <c:idx val="0"/>
          <c:delete val="1"/>
          <c:extLst>
            <c:ext xmlns:c15="http://schemas.microsoft.com/office/drawing/2012/chart" uri="{CE6537A1-D6FC-4f65-9D91-7224C49458BB}"/>
          </c:extLst>
        </c:dLbl>
      </c:pivotFmt>
      <c:pivotFmt>
        <c:idx val="22"/>
        <c:spPr>
          <a:solidFill>
            <a:schemeClr val="bg2">
              <a:lumMod val="75000"/>
            </a:schemeClr>
          </a:solidFill>
          <a:ln w="6350">
            <a:noFill/>
          </a:ln>
          <a:effectLst/>
        </c:spPr>
      </c:pivotFmt>
      <c:pivotFmt>
        <c:idx val="23"/>
        <c:spPr>
          <a:solidFill>
            <a:srgbClr val="2F5597"/>
          </a:solidFill>
          <a:ln>
            <a:noFill/>
          </a:ln>
          <a:effectLst/>
        </c:spPr>
        <c:marker>
          <c:symbol val="none"/>
        </c:marker>
        <c:dLbl>
          <c:idx val="0"/>
          <c:delete val="1"/>
          <c:extLst>
            <c:ext xmlns:c15="http://schemas.microsoft.com/office/drawing/2012/chart" uri="{CE6537A1-D6FC-4f65-9D91-7224C49458BB}"/>
          </c:extLst>
        </c:dLbl>
      </c:pivotFmt>
      <c:pivotFmt>
        <c:idx val="24"/>
        <c:spPr>
          <a:solidFill>
            <a:srgbClr val="ED7D31"/>
          </a:solidFill>
          <a:ln>
            <a:noFill/>
          </a:ln>
          <a:effectLst/>
        </c:spPr>
        <c:marker>
          <c:symbol val="none"/>
        </c:marker>
        <c:dLbl>
          <c:idx val="0"/>
          <c:delete val="1"/>
          <c:extLst>
            <c:ext xmlns:c15="http://schemas.microsoft.com/office/drawing/2012/chart" uri="{CE6537A1-D6FC-4f65-9D91-7224C49458BB}"/>
          </c:extLst>
        </c:dLbl>
      </c:pivotFmt>
      <c:pivotFmt>
        <c:idx val="25"/>
        <c:spPr>
          <a:solidFill>
            <a:schemeClr val="accent5">
              <a:lumMod val="40000"/>
              <a:lumOff val="60000"/>
            </a:schemeClr>
          </a:solidFill>
          <a:ln w="9525">
            <a:noFill/>
          </a:ln>
          <a:effectLst/>
        </c:spPr>
        <c:marker>
          <c:symbol val="none"/>
        </c:marker>
        <c:dLbl>
          <c:idx val="0"/>
          <c:delete val="1"/>
          <c:extLst>
            <c:ext xmlns:c15="http://schemas.microsoft.com/office/drawing/2012/chart" uri="{CE6537A1-D6FC-4f65-9D91-7224C49458BB}"/>
          </c:extLst>
        </c:dLbl>
      </c:pivotFmt>
      <c:pivotFmt>
        <c:idx val="26"/>
        <c:spPr>
          <a:solidFill>
            <a:schemeClr val="bg2">
              <a:lumMod val="75000"/>
            </a:schemeClr>
          </a:solidFill>
          <a:ln w="6350">
            <a:noFill/>
          </a:ln>
          <a:effectLst/>
        </c:spPr>
        <c:marker>
          <c:symbol val="none"/>
        </c:marker>
        <c:dLbl>
          <c:idx val="0"/>
          <c:delete val="1"/>
          <c:extLst>
            <c:ext xmlns:c15="http://schemas.microsoft.com/office/drawing/2012/chart" uri="{CE6537A1-D6FC-4f65-9D91-7224C49458BB}"/>
          </c:extLst>
        </c:dLbl>
      </c:pivotFmt>
      <c:pivotFmt>
        <c:idx val="27"/>
        <c:spPr>
          <a:solidFill>
            <a:schemeClr val="accent1"/>
          </a:solidFill>
          <a:ln w="28575" cap="rnd">
            <a:noFill/>
            <a:round/>
          </a:ln>
          <a:effectLst/>
        </c:spPr>
        <c:marker>
          <c:symbol val="diamond"/>
          <c:size val="6"/>
          <c:spPr>
            <a:solidFill>
              <a:schemeClr val="accent1">
                <a:lumMod val="50000"/>
              </a:schemeClr>
            </a:solidFill>
            <a:ln w="9525">
              <a:solidFill>
                <a:schemeClr val="accent1">
                  <a:lumMod val="50000"/>
                </a:schemeClr>
              </a:solidFill>
            </a:ln>
            <a:effectLst/>
          </c:spPr>
        </c:marker>
        <c:dLbl>
          <c:idx val="0"/>
          <c:delete val="1"/>
          <c:extLst>
            <c:ext xmlns:c15="http://schemas.microsoft.com/office/drawing/2012/chart" uri="{CE6537A1-D6FC-4f65-9D91-7224C49458BB}"/>
          </c:extLst>
        </c:dLbl>
      </c:pivotFmt>
      <c:pivotFmt>
        <c:idx val="28"/>
        <c:spPr>
          <a:solidFill>
            <a:schemeClr val="accent1"/>
          </a:solidFill>
          <a:ln w="28575" cap="rnd">
            <a:noFill/>
            <a:round/>
          </a:ln>
          <a:effectLst/>
        </c:spPr>
        <c:marker>
          <c:symbol val="triangle"/>
          <c:size val="5"/>
          <c:spPr>
            <a:solidFill>
              <a:schemeClr val="accent2">
                <a:lumMod val="75000"/>
              </a:schemeClr>
            </a:solidFill>
            <a:ln w="9525">
              <a:solidFill>
                <a:schemeClr val="accent2">
                  <a:lumMod val="75000"/>
                </a:schemeClr>
              </a:solidFill>
            </a:ln>
            <a:effectLst/>
          </c:spPr>
        </c:marker>
        <c:dLbl>
          <c:idx val="0"/>
          <c:delete val="1"/>
          <c:extLst>
            <c:ext xmlns:c15="http://schemas.microsoft.com/office/drawing/2012/chart" uri="{CE6537A1-D6FC-4f65-9D91-7224C49458BB}"/>
          </c:extLst>
        </c:dLbl>
      </c:pivotFmt>
      <c:pivotFmt>
        <c:idx val="29"/>
        <c:spPr>
          <a:solidFill>
            <a:schemeClr val="accent1"/>
          </a:solidFill>
          <a:ln w="28575" cap="rnd">
            <a:noFill/>
            <a:round/>
          </a:ln>
          <a:effectLst/>
        </c:spPr>
        <c:marker>
          <c:symbol val="circle"/>
          <c:size val="5"/>
          <c:spPr>
            <a:solidFill>
              <a:schemeClr val="accent6">
                <a:lumMod val="75000"/>
              </a:schemeClr>
            </a:solidFill>
            <a:ln w="9525">
              <a:solidFill>
                <a:schemeClr val="accent6">
                  <a:lumMod val="75000"/>
                </a:schemeClr>
              </a:solidFill>
            </a:ln>
            <a:effectLst/>
          </c:spPr>
        </c:marker>
        <c:dLbl>
          <c:idx val="0"/>
          <c:delete val="1"/>
          <c:extLst>
            <c:ext xmlns:c15="http://schemas.microsoft.com/office/drawing/2012/chart" uri="{CE6537A1-D6FC-4f65-9D91-7224C49458BB}"/>
          </c:extLst>
        </c:dLbl>
      </c:pivotFmt>
      <c:pivotFmt>
        <c:idx val="30"/>
        <c:spPr>
          <a:solidFill>
            <a:schemeClr val="accent1"/>
          </a:solidFill>
          <a:ln w="28575" cap="rnd">
            <a:noFill/>
            <a:round/>
          </a:ln>
          <a:effectLst/>
        </c:spPr>
        <c:marker>
          <c:symbol val="square"/>
          <c:size val="5"/>
          <c:spPr>
            <a:solidFill>
              <a:srgbClr val="FFC000"/>
            </a:solidFill>
            <a:ln w="9525">
              <a:solidFill>
                <a:srgbClr val="FFC000"/>
              </a:solidFill>
            </a:ln>
            <a:effectLst/>
          </c:spPr>
        </c:marker>
        <c:dLbl>
          <c:idx val="0"/>
          <c:delete val="1"/>
          <c:extLst>
            <c:ext xmlns:c15="http://schemas.microsoft.com/office/drawing/2012/chart" uri="{CE6537A1-D6FC-4f65-9D91-7224C49458BB}"/>
          </c:extLst>
        </c:dLbl>
      </c:pivotFmt>
    </c:pivotFmts>
    <c:plotArea>
      <c:layout>
        <c:manualLayout>
          <c:layoutTarget val="inner"/>
          <c:xMode val="edge"/>
          <c:yMode val="edge"/>
          <c:x val="0.11863969827883356"/>
          <c:y val="9.0790308745776024E-2"/>
          <c:w val="0.85090620715276022"/>
          <c:h val="0.59008160117542108"/>
        </c:manualLayout>
      </c:layout>
      <c:lineChart>
        <c:grouping val="standard"/>
        <c:varyColors val="0"/>
        <c:ser>
          <c:idx val="0"/>
          <c:order val="0"/>
          <c:tx>
            <c:strRef>
              <c:f>'1Cross'!$B$40</c:f>
              <c:strCache>
                <c:ptCount val="1"/>
                <c:pt idx="0">
                  <c:v>Labor income</c:v>
                </c:pt>
              </c:strCache>
            </c:strRef>
          </c:tx>
          <c:spPr>
            <a:ln w="28575" cap="rnd">
              <a:noFill/>
              <a:round/>
            </a:ln>
            <a:effectLst/>
          </c:spPr>
          <c:marker>
            <c:symbol val="diamond"/>
            <c:size val="6"/>
            <c:spPr>
              <a:solidFill>
                <a:schemeClr val="accent1">
                  <a:lumMod val="50000"/>
                </a:schemeClr>
              </a:solidFill>
              <a:ln w="9525">
                <a:solidFill>
                  <a:schemeClr val="accent1">
                    <a:lumMod val="50000"/>
                  </a:schemeClr>
                </a:solidFill>
              </a:ln>
              <a:effectLst/>
            </c:spPr>
          </c:marker>
          <c:cat>
            <c:strRef>
              <c:extLst>
                <c:ext xmlns:c15="http://schemas.microsoft.com/office/drawing/2012/chart" uri="{02D57815-91ED-43cb-92C2-25804820EDAC}">
                  <c15:fullRef>
                    <c15:sqref>'1Cross'!$A$41:$A$69</c15:sqref>
                  </c15:fullRef>
                </c:ext>
              </c:extLst>
              <c:f>('1Cross'!$A$49:$A$50,'1Cross'!$A$52:$A$69)</c:f>
              <c:strCache>
                <c:ptCount val="20"/>
                <c:pt idx="0">
                  <c:v>HR</c:v>
                </c:pt>
                <c:pt idx="1">
                  <c:v>NL</c:v>
                </c:pt>
                <c:pt idx="2">
                  <c:v>SI</c:v>
                </c:pt>
                <c:pt idx="3">
                  <c:v>PT</c:v>
                </c:pt>
                <c:pt idx="4">
                  <c:v>BE</c:v>
                </c:pt>
                <c:pt idx="5">
                  <c:v>ES</c:v>
                </c:pt>
                <c:pt idx="6">
                  <c:v>MT</c:v>
                </c:pt>
                <c:pt idx="7">
                  <c:v>SK</c:v>
                </c:pt>
                <c:pt idx="8">
                  <c:v>IE</c:v>
                </c:pt>
                <c:pt idx="9">
                  <c:v>IT</c:v>
                </c:pt>
                <c:pt idx="10">
                  <c:v>EL</c:v>
                </c:pt>
                <c:pt idx="11">
                  <c:v>LU</c:v>
                </c:pt>
                <c:pt idx="12">
                  <c:v>DE</c:v>
                </c:pt>
                <c:pt idx="13">
                  <c:v>AT</c:v>
                </c:pt>
                <c:pt idx="14">
                  <c:v>FI</c:v>
                </c:pt>
                <c:pt idx="15">
                  <c:v>EE</c:v>
                </c:pt>
                <c:pt idx="16">
                  <c:v>FR</c:v>
                </c:pt>
                <c:pt idx="17">
                  <c:v>LV</c:v>
                </c:pt>
                <c:pt idx="18">
                  <c:v>LT</c:v>
                </c:pt>
                <c:pt idx="19">
                  <c:v>HU</c:v>
                </c:pt>
              </c:strCache>
            </c:strRef>
          </c:cat>
          <c:val>
            <c:numRef>
              <c:extLst>
                <c:ext xmlns:c15="http://schemas.microsoft.com/office/drawing/2012/chart" uri="{02D57815-91ED-43cb-92C2-25804820EDAC}">
                  <c15:fullRef>
                    <c15:sqref>'1Cross'!$B$41:$B$69</c15:sqref>
                  </c15:fullRef>
                </c:ext>
              </c:extLst>
              <c:f>('1Cross'!$B$49:$B$50,'1Cross'!$B$52:$B$69)</c:f>
              <c:numCache>
                <c:formatCode>General</c:formatCode>
                <c:ptCount val="20"/>
                <c:pt idx="0">
                  <c:v>2.6884276693825342</c:v>
                </c:pt>
                <c:pt idx="1">
                  <c:v>2.4690313683534573</c:v>
                </c:pt>
                <c:pt idx="2">
                  <c:v>2.2081156713004653</c:v>
                </c:pt>
                <c:pt idx="3">
                  <c:v>2.1090928514088643</c:v>
                </c:pt>
                <c:pt idx="4">
                  <c:v>2.0854920937951134</c:v>
                </c:pt>
                <c:pt idx="5">
                  <c:v>2.0793244264470014</c:v>
                </c:pt>
                <c:pt idx="6">
                  <c:v>1.9984210109142111</c:v>
                </c:pt>
                <c:pt idx="7">
                  <c:v>1.9961548581214728</c:v>
                </c:pt>
                <c:pt idx="8">
                  <c:v>1.970526294511352</c:v>
                </c:pt>
                <c:pt idx="9">
                  <c:v>1.9537493484105335</c:v>
                </c:pt>
                <c:pt idx="10">
                  <c:v>1.929360819718092</c:v>
                </c:pt>
                <c:pt idx="11">
                  <c:v>1.8999946856387637</c:v>
                </c:pt>
                <c:pt idx="12">
                  <c:v>1.8688044417274889</c:v>
                </c:pt>
                <c:pt idx="13">
                  <c:v>1.8225671577828801</c:v>
                </c:pt>
                <c:pt idx="14">
                  <c:v>1.7592194742378242</c:v>
                </c:pt>
                <c:pt idx="15">
                  <c:v>1.7576094398382469</c:v>
                </c:pt>
                <c:pt idx="16">
                  <c:v>1.5332977251311959</c:v>
                </c:pt>
                <c:pt idx="17">
                  <c:v>1.4601387143957609</c:v>
                </c:pt>
                <c:pt idx="18">
                  <c:v>1.4179586363622065</c:v>
                </c:pt>
                <c:pt idx="19">
                  <c:v>1.3679494214177452</c:v>
                </c:pt>
              </c:numCache>
            </c:numRef>
          </c:val>
          <c:smooth val="0"/>
          <c:extLst>
            <c:ext xmlns:c16="http://schemas.microsoft.com/office/drawing/2014/chart" uri="{C3380CC4-5D6E-409C-BE32-E72D297353CC}">
              <c16:uniqueId val="{0000006D-29B6-4D42-92AC-B3F7CFAC4715}"/>
            </c:ext>
          </c:extLst>
        </c:ser>
        <c:ser>
          <c:idx val="1"/>
          <c:order val="1"/>
          <c:tx>
            <c:strRef>
              <c:f>'1Cross'!$C$40</c:f>
              <c:strCache>
                <c:ptCount val="1"/>
                <c:pt idx="0">
                  <c:v>Pensions and benefits</c:v>
                </c:pt>
              </c:strCache>
            </c:strRef>
          </c:tx>
          <c:spPr>
            <a:ln w="28575" cap="rnd">
              <a:noFill/>
              <a:round/>
            </a:ln>
            <a:effectLst/>
          </c:spPr>
          <c:marker>
            <c:symbol val="triangle"/>
            <c:size val="5"/>
            <c:spPr>
              <a:solidFill>
                <a:schemeClr val="accent2">
                  <a:lumMod val="75000"/>
                </a:schemeClr>
              </a:solidFill>
              <a:ln w="9525">
                <a:solidFill>
                  <a:schemeClr val="accent2">
                    <a:lumMod val="75000"/>
                  </a:schemeClr>
                </a:solidFill>
              </a:ln>
              <a:effectLst/>
            </c:spPr>
          </c:marker>
          <c:cat>
            <c:strRef>
              <c:extLst>
                <c:ext xmlns:c15="http://schemas.microsoft.com/office/drawing/2012/chart" uri="{02D57815-91ED-43cb-92C2-25804820EDAC}">
                  <c15:fullRef>
                    <c15:sqref>'1Cross'!$A$41:$A$69</c15:sqref>
                  </c15:fullRef>
                </c:ext>
              </c:extLst>
              <c:f>('1Cross'!$A$49:$A$50,'1Cross'!$A$52:$A$69)</c:f>
              <c:strCache>
                <c:ptCount val="20"/>
                <c:pt idx="0">
                  <c:v>HR</c:v>
                </c:pt>
                <c:pt idx="1">
                  <c:v>NL</c:v>
                </c:pt>
                <c:pt idx="2">
                  <c:v>SI</c:v>
                </c:pt>
                <c:pt idx="3">
                  <c:v>PT</c:v>
                </c:pt>
                <c:pt idx="4">
                  <c:v>BE</c:v>
                </c:pt>
                <c:pt idx="5">
                  <c:v>ES</c:v>
                </c:pt>
                <c:pt idx="6">
                  <c:v>MT</c:v>
                </c:pt>
                <c:pt idx="7">
                  <c:v>SK</c:v>
                </c:pt>
                <c:pt idx="8">
                  <c:v>IE</c:v>
                </c:pt>
                <c:pt idx="9">
                  <c:v>IT</c:v>
                </c:pt>
                <c:pt idx="10">
                  <c:v>EL</c:v>
                </c:pt>
                <c:pt idx="11">
                  <c:v>LU</c:v>
                </c:pt>
                <c:pt idx="12">
                  <c:v>DE</c:v>
                </c:pt>
                <c:pt idx="13">
                  <c:v>AT</c:v>
                </c:pt>
                <c:pt idx="14">
                  <c:v>FI</c:v>
                </c:pt>
                <c:pt idx="15">
                  <c:v>EE</c:v>
                </c:pt>
                <c:pt idx="16">
                  <c:v>FR</c:v>
                </c:pt>
                <c:pt idx="17">
                  <c:v>LV</c:v>
                </c:pt>
                <c:pt idx="18">
                  <c:v>LT</c:v>
                </c:pt>
                <c:pt idx="19">
                  <c:v>HU</c:v>
                </c:pt>
              </c:strCache>
            </c:strRef>
          </c:cat>
          <c:val>
            <c:numRef>
              <c:extLst>
                <c:ext xmlns:c15="http://schemas.microsoft.com/office/drawing/2012/chart" uri="{02D57815-91ED-43cb-92C2-25804820EDAC}">
                  <c15:fullRef>
                    <c15:sqref>'1Cross'!$C$41:$C$69</c15:sqref>
                  </c15:fullRef>
                </c:ext>
              </c:extLst>
              <c:f>('1Cross'!$C$49:$C$50,'1Cross'!$C$52:$C$69)</c:f>
              <c:numCache>
                <c:formatCode>General</c:formatCode>
                <c:ptCount val="20"/>
                <c:pt idx="0">
                  <c:v>1.0104123808023298</c:v>
                </c:pt>
                <c:pt idx="1">
                  <c:v>1.6942098979905715</c:v>
                </c:pt>
                <c:pt idx="2">
                  <c:v>0.75577205303893757</c:v>
                </c:pt>
                <c:pt idx="3">
                  <c:v>1.6647705593685156</c:v>
                </c:pt>
                <c:pt idx="4">
                  <c:v>1.7608154234504292</c:v>
                </c:pt>
                <c:pt idx="5">
                  <c:v>1.8762948618205961</c:v>
                </c:pt>
                <c:pt idx="6">
                  <c:v>0.73848195880842593</c:v>
                </c:pt>
                <c:pt idx="7">
                  <c:v>2.3756448304070346</c:v>
                </c:pt>
                <c:pt idx="8">
                  <c:v>0.70800073725099166</c:v>
                </c:pt>
                <c:pt idx="9">
                  <c:v>1.8591212509285036</c:v>
                </c:pt>
                <c:pt idx="10">
                  <c:v>1.1591095437536814</c:v>
                </c:pt>
                <c:pt idx="11">
                  <c:v>1.8809239920002523</c:v>
                </c:pt>
                <c:pt idx="12">
                  <c:v>0.83796069764858772</c:v>
                </c:pt>
                <c:pt idx="13">
                  <c:v>1.8725383772899549</c:v>
                </c:pt>
                <c:pt idx="14">
                  <c:v>1.8002256504988021</c:v>
                </c:pt>
                <c:pt idx="15">
                  <c:v>1.2307576473337651</c:v>
                </c:pt>
                <c:pt idx="16">
                  <c:v>1.527852959594066</c:v>
                </c:pt>
                <c:pt idx="17">
                  <c:v>1.3338340627050325</c:v>
                </c:pt>
                <c:pt idx="18">
                  <c:v>1.066709013371774</c:v>
                </c:pt>
                <c:pt idx="19">
                  <c:v>1.5042242873058123E-2</c:v>
                </c:pt>
              </c:numCache>
            </c:numRef>
          </c:val>
          <c:smooth val="0"/>
          <c:extLst>
            <c:ext xmlns:c16="http://schemas.microsoft.com/office/drawing/2014/chart" uri="{C3380CC4-5D6E-409C-BE32-E72D297353CC}">
              <c16:uniqueId val="{0000006F-29B6-4D42-92AC-B3F7CFAC4715}"/>
            </c:ext>
          </c:extLst>
        </c:ser>
        <c:ser>
          <c:idx val="2"/>
          <c:order val="2"/>
          <c:tx>
            <c:strRef>
              <c:f>'1Cross'!$D$40</c:f>
              <c:strCache>
                <c:ptCount val="1"/>
                <c:pt idx="0">
                  <c:v>Self-employment income</c:v>
                </c:pt>
              </c:strCache>
            </c:strRef>
          </c:tx>
          <c:spPr>
            <a:ln w="28575" cap="rnd">
              <a:noFill/>
              <a:round/>
            </a:ln>
            <a:effectLst/>
          </c:spPr>
          <c:marker>
            <c:symbol val="circle"/>
            <c:size val="5"/>
            <c:spPr>
              <a:solidFill>
                <a:schemeClr val="accent6">
                  <a:lumMod val="75000"/>
                </a:schemeClr>
              </a:solidFill>
              <a:ln w="9525">
                <a:solidFill>
                  <a:schemeClr val="accent6">
                    <a:lumMod val="75000"/>
                  </a:schemeClr>
                </a:solidFill>
              </a:ln>
              <a:effectLst/>
            </c:spPr>
          </c:marker>
          <c:cat>
            <c:strRef>
              <c:extLst>
                <c:ext xmlns:c15="http://schemas.microsoft.com/office/drawing/2012/chart" uri="{02D57815-91ED-43cb-92C2-25804820EDAC}">
                  <c15:fullRef>
                    <c15:sqref>'1Cross'!$A$41:$A$69</c15:sqref>
                  </c15:fullRef>
                </c:ext>
              </c:extLst>
              <c:f>('1Cross'!$A$49:$A$50,'1Cross'!$A$52:$A$69)</c:f>
              <c:strCache>
                <c:ptCount val="20"/>
                <c:pt idx="0">
                  <c:v>HR</c:v>
                </c:pt>
                <c:pt idx="1">
                  <c:v>NL</c:v>
                </c:pt>
                <c:pt idx="2">
                  <c:v>SI</c:v>
                </c:pt>
                <c:pt idx="3">
                  <c:v>PT</c:v>
                </c:pt>
                <c:pt idx="4">
                  <c:v>BE</c:v>
                </c:pt>
                <c:pt idx="5">
                  <c:v>ES</c:v>
                </c:pt>
                <c:pt idx="6">
                  <c:v>MT</c:v>
                </c:pt>
                <c:pt idx="7">
                  <c:v>SK</c:v>
                </c:pt>
                <c:pt idx="8">
                  <c:v>IE</c:v>
                </c:pt>
                <c:pt idx="9">
                  <c:v>IT</c:v>
                </c:pt>
                <c:pt idx="10">
                  <c:v>EL</c:v>
                </c:pt>
                <c:pt idx="11">
                  <c:v>LU</c:v>
                </c:pt>
                <c:pt idx="12">
                  <c:v>DE</c:v>
                </c:pt>
                <c:pt idx="13">
                  <c:v>AT</c:v>
                </c:pt>
                <c:pt idx="14">
                  <c:v>FI</c:v>
                </c:pt>
                <c:pt idx="15">
                  <c:v>EE</c:v>
                </c:pt>
                <c:pt idx="16">
                  <c:v>FR</c:v>
                </c:pt>
                <c:pt idx="17">
                  <c:v>LV</c:v>
                </c:pt>
                <c:pt idx="18">
                  <c:v>LT</c:v>
                </c:pt>
                <c:pt idx="19">
                  <c:v>HU</c:v>
                </c:pt>
              </c:strCache>
            </c:strRef>
          </c:cat>
          <c:val>
            <c:numRef>
              <c:extLst>
                <c:ext xmlns:c15="http://schemas.microsoft.com/office/drawing/2012/chart" uri="{02D57815-91ED-43cb-92C2-25804820EDAC}">
                  <c15:fullRef>
                    <c15:sqref>'1Cross'!$D$41:$D$69</c15:sqref>
                  </c15:fullRef>
                </c:ext>
              </c:extLst>
              <c:f>('1Cross'!$D$49:$D$50,'1Cross'!$D$52:$D$69)</c:f>
              <c:numCache>
                <c:formatCode>General</c:formatCode>
                <c:ptCount val="20"/>
                <c:pt idx="0">
                  <c:v>3.5782659495015663</c:v>
                </c:pt>
                <c:pt idx="1">
                  <c:v>2.0460719597729513</c:v>
                </c:pt>
                <c:pt idx="2">
                  <c:v>2.4834953306538483</c:v>
                </c:pt>
                <c:pt idx="3">
                  <c:v>1.9320193275666571</c:v>
                </c:pt>
                <c:pt idx="4">
                  <c:v>1.9495121255522077</c:v>
                </c:pt>
                <c:pt idx="5">
                  <c:v>2.0679438662368117</c:v>
                </c:pt>
                <c:pt idx="6">
                  <c:v>2.0026194552608425</c:v>
                </c:pt>
                <c:pt idx="7">
                  <c:v>1.0011110900025455</c:v>
                </c:pt>
                <c:pt idx="8">
                  <c:v>2.1236932565563813</c:v>
                </c:pt>
                <c:pt idx="9">
                  <c:v>1.287581922864246</c:v>
                </c:pt>
                <c:pt idx="10">
                  <c:v>2.5417012400277428</c:v>
                </c:pt>
                <c:pt idx="11">
                  <c:v>1.855599622654609</c:v>
                </c:pt>
                <c:pt idx="12">
                  <c:v>2.019445463646294</c:v>
                </c:pt>
                <c:pt idx="13">
                  <c:v>2.4075525797409782</c:v>
                </c:pt>
                <c:pt idx="14">
                  <c:v>1.2061332089795913</c:v>
                </c:pt>
                <c:pt idx="15">
                  <c:v>1.4118513561801462</c:v>
                </c:pt>
                <c:pt idx="16">
                  <c:v>1.4994579213571648</c:v>
                </c:pt>
                <c:pt idx="17">
                  <c:v>1.4312187304648096</c:v>
                </c:pt>
                <c:pt idx="18">
                  <c:v>0.73260968072054045</c:v>
                </c:pt>
                <c:pt idx="19">
                  <c:v>1.2502440477725676</c:v>
                </c:pt>
              </c:numCache>
            </c:numRef>
          </c:val>
          <c:smooth val="0"/>
          <c:extLst>
            <c:ext xmlns:c16="http://schemas.microsoft.com/office/drawing/2014/chart" uri="{C3380CC4-5D6E-409C-BE32-E72D297353CC}">
              <c16:uniqueId val="{00000071-29B6-4D42-92AC-B3F7CFAC4715}"/>
            </c:ext>
          </c:extLst>
        </c:ser>
        <c:ser>
          <c:idx val="3"/>
          <c:order val="3"/>
          <c:tx>
            <c:strRef>
              <c:f>'1Cross'!$E$40</c:f>
              <c:strCache>
                <c:ptCount val="1"/>
                <c:pt idx="0">
                  <c:v>Capital income</c:v>
                </c:pt>
              </c:strCache>
            </c:strRef>
          </c:tx>
          <c:spPr>
            <a:ln w="28575" cap="rnd">
              <a:noFill/>
              <a:round/>
            </a:ln>
            <a:effectLst/>
          </c:spPr>
          <c:marker>
            <c:symbol val="square"/>
            <c:size val="5"/>
            <c:spPr>
              <a:solidFill>
                <a:srgbClr val="FFC000"/>
              </a:solidFill>
              <a:ln w="9525">
                <a:solidFill>
                  <a:srgbClr val="FFC000"/>
                </a:solidFill>
              </a:ln>
              <a:effectLst/>
            </c:spPr>
          </c:marker>
          <c:cat>
            <c:strRef>
              <c:extLst>
                <c:ext xmlns:c15="http://schemas.microsoft.com/office/drawing/2012/chart" uri="{02D57815-91ED-43cb-92C2-25804820EDAC}">
                  <c15:fullRef>
                    <c15:sqref>'1Cross'!$A$41:$A$69</c15:sqref>
                  </c15:fullRef>
                </c:ext>
              </c:extLst>
              <c:f>('1Cross'!$A$49:$A$50,'1Cross'!$A$52:$A$69)</c:f>
              <c:strCache>
                <c:ptCount val="20"/>
                <c:pt idx="0">
                  <c:v>HR</c:v>
                </c:pt>
                <c:pt idx="1">
                  <c:v>NL</c:v>
                </c:pt>
                <c:pt idx="2">
                  <c:v>SI</c:v>
                </c:pt>
                <c:pt idx="3">
                  <c:v>PT</c:v>
                </c:pt>
                <c:pt idx="4">
                  <c:v>BE</c:v>
                </c:pt>
                <c:pt idx="5">
                  <c:v>ES</c:v>
                </c:pt>
                <c:pt idx="6">
                  <c:v>MT</c:v>
                </c:pt>
                <c:pt idx="7">
                  <c:v>SK</c:v>
                </c:pt>
                <c:pt idx="8">
                  <c:v>IE</c:v>
                </c:pt>
                <c:pt idx="9">
                  <c:v>IT</c:v>
                </c:pt>
                <c:pt idx="10">
                  <c:v>EL</c:v>
                </c:pt>
                <c:pt idx="11">
                  <c:v>LU</c:v>
                </c:pt>
                <c:pt idx="12">
                  <c:v>DE</c:v>
                </c:pt>
                <c:pt idx="13">
                  <c:v>AT</c:v>
                </c:pt>
                <c:pt idx="14">
                  <c:v>FI</c:v>
                </c:pt>
                <c:pt idx="15">
                  <c:v>EE</c:v>
                </c:pt>
                <c:pt idx="16">
                  <c:v>FR</c:v>
                </c:pt>
                <c:pt idx="17">
                  <c:v>LV</c:v>
                </c:pt>
                <c:pt idx="18">
                  <c:v>LT</c:v>
                </c:pt>
                <c:pt idx="19">
                  <c:v>HU</c:v>
                </c:pt>
              </c:strCache>
            </c:strRef>
          </c:cat>
          <c:val>
            <c:numRef>
              <c:extLst>
                <c:ext xmlns:c15="http://schemas.microsoft.com/office/drawing/2012/chart" uri="{02D57815-91ED-43cb-92C2-25804820EDAC}">
                  <c15:fullRef>
                    <c15:sqref>'1Cross'!$E$41:$E$69</c15:sqref>
                  </c15:fullRef>
                </c:ext>
              </c:extLst>
              <c:f>('1Cross'!$E$49:$E$50,'1Cross'!$E$52:$E$69)</c:f>
              <c:numCache>
                <c:formatCode>General</c:formatCode>
                <c:ptCount val="20"/>
                <c:pt idx="0">
                  <c:v>2.1853699236530271</c:v>
                </c:pt>
                <c:pt idx="1">
                  <c:v>1.4510064346989677</c:v>
                </c:pt>
                <c:pt idx="2">
                  <c:v>2.49753074624559</c:v>
                </c:pt>
                <c:pt idx="3">
                  <c:v>2.4313184855918766</c:v>
                </c:pt>
                <c:pt idx="4">
                  <c:v>1.4640340832739966</c:v>
                </c:pt>
                <c:pt idx="5">
                  <c:v>1.7059627595037326</c:v>
                </c:pt>
                <c:pt idx="6">
                  <c:v>1.6342452720963929</c:v>
                </c:pt>
                <c:pt idx="7">
                  <c:v>1.6678959479585278</c:v>
                </c:pt>
                <c:pt idx="8">
                  <c:v>2.030635402414612</c:v>
                </c:pt>
                <c:pt idx="9">
                  <c:v>2.0030244186384594</c:v>
                </c:pt>
                <c:pt idx="10">
                  <c:v>2.151172237402577</c:v>
                </c:pt>
                <c:pt idx="11">
                  <c:v>2.1375577352985529</c:v>
                </c:pt>
                <c:pt idx="12">
                  <c:v>1.7758046351289409</c:v>
                </c:pt>
                <c:pt idx="13">
                  <c:v>2.0576559734182283</c:v>
                </c:pt>
                <c:pt idx="14">
                  <c:v>1.5757971404149997</c:v>
                </c:pt>
                <c:pt idx="15">
                  <c:v>1.660429316419471</c:v>
                </c:pt>
                <c:pt idx="16">
                  <c:v>1.6431081444694662</c:v>
                </c:pt>
                <c:pt idx="17">
                  <c:v>1.4974934921459935</c:v>
                </c:pt>
                <c:pt idx="18">
                  <c:v>1.0105271462337075</c:v>
                </c:pt>
                <c:pt idx="19">
                  <c:v>1.3997285624545133</c:v>
                </c:pt>
              </c:numCache>
            </c:numRef>
          </c:val>
          <c:smooth val="0"/>
          <c:extLst>
            <c:ext xmlns:c16="http://schemas.microsoft.com/office/drawing/2014/chart" uri="{C3380CC4-5D6E-409C-BE32-E72D297353CC}">
              <c16:uniqueId val="{00000073-29B6-4D42-92AC-B3F7CFAC4715}"/>
            </c:ext>
          </c:extLst>
        </c:ser>
        <c:dLbls>
          <c:showLegendKey val="0"/>
          <c:showVal val="0"/>
          <c:showCatName val="0"/>
          <c:showSerName val="0"/>
          <c:showPercent val="0"/>
          <c:showBubbleSize val="0"/>
        </c:dLbls>
        <c:marker val="1"/>
        <c:smooth val="0"/>
        <c:axId val="844305855"/>
        <c:axId val="892036479"/>
      </c:lineChart>
      <c:catAx>
        <c:axId val="844305855"/>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crossAx val="892036479"/>
        <c:crosses val="autoZero"/>
        <c:auto val="1"/>
        <c:lblAlgn val="ctr"/>
        <c:lblOffset val="100"/>
        <c:noMultiLvlLbl val="0"/>
      </c:catAx>
      <c:valAx>
        <c:axId val="89203647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s-ES_tradnl"/>
                  <a:t>ERTI (perecentage)</a:t>
                </a:r>
              </a:p>
            </c:rich>
          </c:tx>
          <c:overlay val="0"/>
          <c:spPr>
            <a:noFill/>
            <a:ln>
              <a:noFill/>
            </a:ln>
            <a:effectLst/>
          </c:spPr>
        </c:title>
        <c:numFmt formatCode="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crossAx val="844305855"/>
        <c:crosses val="autoZero"/>
        <c:crossBetween val="between"/>
        <c:majorUnit val="0.5"/>
      </c:valAx>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legend>
    <c:plotVisOnly val="1"/>
    <c:dispBlanksAs val="gap"/>
    <c:showDLblsOverMax val="0"/>
    <c:extLst/>
  </c:chart>
  <c:spPr>
    <a:solidFill>
      <a:schemeClr val="bg1"/>
    </a:solidFill>
    <a:ln w="9525" cap="flat" cmpd="sng" algn="ctr">
      <a:noFill/>
      <a:round/>
    </a:ln>
    <a:effectLst/>
  </c:spPr>
  <c:txPr>
    <a:bodyPr/>
    <a:lstStyle/>
    <a:p>
      <a:pPr>
        <a:defRPr>
          <a:solidFill>
            <a:sysClr val="windowText" lastClr="000000"/>
          </a:solidFill>
          <a:latin typeface="Times New Roman" panose="02020603050405020304" pitchFamily="18" charset="0"/>
          <a:cs typeface="Times New Roman" panose="02020603050405020304" pitchFamily="18" charset="0"/>
        </a:defRPr>
      </a:pPr>
      <a:endParaRPr lang="es-ES_tradnl"/>
    </a:p>
  </c:txPr>
  <c:printSettings>
    <c:headerFooter/>
    <c:pageMargins b="0.75" l="0.7" r="0.7" t="0.75" header="0.3" footer="0.3"/>
    <c:pageSetup/>
  </c:printSettings>
  <c:extLst/>
</c:chartSpace>
</file>

<file path=xl/charts/chart7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28575" cap="rnd">
            <a:noFill/>
            <a:round/>
          </a:ln>
          <a:effectLst/>
        </c:spPr>
        <c:marker>
          <c:symbol val="dash"/>
          <c:size val="7"/>
          <c:spPr>
            <a:solidFill>
              <a:srgbClr val="3B3838"/>
            </a:solidFill>
            <a:ln w="9525">
              <a:solidFill>
                <a:srgbClr val="3B3838"/>
              </a:solidFill>
            </a:ln>
            <a:effectLst/>
          </c:spPr>
        </c:marker>
        <c:dLbl>
          <c:idx val="0"/>
          <c:delete val="1"/>
          <c:extLst>
            <c:ext xmlns:c15="http://schemas.microsoft.com/office/drawing/2012/chart" uri="{CE6537A1-D6FC-4f65-9D91-7224C49458BB}"/>
          </c:extLst>
        </c:dLbl>
      </c:pivotFmt>
      <c:pivotFmt>
        <c:idx val="1"/>
        <c:spPr>
          <a:solidFill>
            <a:srgbClr val="E7E6E6"/>
          </a:solidFill>
          <a:ln w="25400">
            <a:noFill/>
          </a:ln>
          <a:effectLst/>
        </c:spPr>
        <c:marker>
          <c:symbol val="none"/>
        </c:marker>
        <c:dLbl>
          <c:idx val="0"/>
          <c:delete val="1"/>
          <c:extLst>
            <c:ext xmlns:c15="http://schemas.microsoft.com/office/drawing/2012/chart" uri="{CE6537A1-D6FC-4f65-9D91-7224C49458BB}"/>
          </c:extLst>
        </c:dLbl>
      </c:pivotFmt>
      <c:pivotFmt>
        <c:idx val="2"/>
        <c:spPr>
          <a:solidFill>
            <a:schemeClr val="accent2">
              <a:lumMod val="75000"/>
            </a:schemeClr>
          </a:solidFill>
          <a:ln w="25400">
            <a:noFill/>
          </a:ln>
          <a:effectLst/>
        </c:spPr>
        <c:marker>
          <c:symbol val="none"/>
        </c:marker>
        <c:dLbl>
          <c:idx val="0"/>
          <c:delete val="1"/>
          <c:extLst>
            <c:ext xmlns:c15="http://schemas.microsoft.com/office/drawing/2012/chart" uri="{CE6537A1-D6FC-4f65-9D91-7224C49458BB}"/>
          </c:extLst>
        </c:dLbl>
      </c:pivotFmt>
      <c:pivotFmt>
        <c:idx val="3"/>
        <c:spPr>
          <a:solidFill>
            <a:schemeClr val="accent5">
              <a:lumMod val="75000"/>
            </a:schemeClr>
          </a:solidFill>
          <a:ln w="25400">
            <a:noFill/>
          </a:ln>
          <a:effectLst/>
        </c:spPr>
        <c:marker>
          <c:symbol val="none"/>
        </c:marker>
        <c:dLbl>
          <c:idx val="0"/>
          <c:delete val="1"/>
          <c:extLst>
            <c:ext xmlns:c15="http://schemas.microsoft.com/office/drawing/2012/chart" uri="{CE6537A1-D6FC-4f65-9D91-7224C49458BB}"/>
          </c:extLst>
        </c:dLbl>
      </c:pivotFmt>
      <c:pivotFmt>
        <c:idx val="4"/>
        <c:spPr>
          <a:solidFill>
            <a:schemeClr val="accent5">
              <a:lumMod val="60000"/>
              <a:lumOff val="40000"/>
            </a:schemeClr>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5">
              <a:lumMod val="40000"/>
              <a:lumOff val="60000"/>
            </a:schemeClr>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tx2">
              <a:lumMod val="20000"/>
              <a:lumOff val="80000"/>
            </a:schemeClr>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5">
              <a:lumMod val="20000"/>
              <a:lumOff val="80000"/>
            </a:schemeClr>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w="25400">
            <a:noFill/>
          </a:ln>
          <a:effectLst/>
        </c:spPr>
        <c:marker>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9"/>
        <c:spPr>
          <a:solidFill>
            <a:schemeClr val="accent1"/>
          </a:solidFill>
          <a:ln w="28575" cap="rnd">
            <a:noFill/>
            <a:round/>
          </a:ln>
          <a:effectLst/>
        </c:spPr>
        <c:marker>
          <c:symbol val="dash"/>
          <c:size val="7"/>
          <c:spPr>
            <a:solidFill>
              <a:srgbClr val="3B3838"/>
            </a:solidFill>
            <a:ln w="9525">
              <a:solidFill>
                <a:srgbClr val="3B3838"/>
              </a:solidFill>
            </a:ln>
            <a:effectLst/>
          </c:spPr>
        </c:marker>
      </c:pivotFmt>
      <c:pivotFmt>
        <c:idx val="10"/>
        <c:spPr>
          <a:solidFill>
            <a:srgbClr val="E7E6E6"/>
          </a:solidFill>
          <a:ln w="25400">
            <a:noFill/>
          </a:ln>
          <a:effectLst/>
        </c:spPr>
        <c:marker>
          <c:symbol val="none"/>
        </c:marker>
        <c:dLbl>
          <c:idx val="0"/>
          <c:delete val="1"/>
          <c:extLst>
            <c:ext xmlns:c15="http://schemas.microsoft.com/office/drawing/2012/chart" uri="{CE6537A1-D6FC-4f65-9D91-7224C49458BB}"/>
          </c:extLst>
        </c:dLbl>
      </c:pivotFmt>
      <c:pivotFmt>
        <c:idx val="11"/>
        <c:spPr>
          <a:solidFill>
            <a:schemeClr val="accent2">
              <a:lumMod val="75000"/>
            </a:schemeClr>
          </a:solidFill>
          <a:ln w="25400">
            <a:noFill/>
          </a:ln>
          <a:effectLst/>
        </c:spPr>
        <c:marker>
          <c:symbol val="none"/>
        </c:marker>
        <c:dLbl>
          <c:idx val="0"/>
          <c:delete val="1"/>
          <c:extLst>
            <c:ext xmlns:c15="http://schemas.microsoft.com/office/drawing/2012/chart" uri="{CE6537A1-D6FC-4f65-9D91-7224C49458BB}"/>
          </c:extLst>
        </c:dLbl>
      </c:pivotFmt>
      <c:pivotFmt>
        <c:idx val="12"/>
        <c:spPr>
          <a:solidFill>
            <a:srgbClr val="2F5597"/>
          </a:solidFill>
          <a:ln w="25400">
            <a:noFill/>
          </a:ln>
          <a:effectLst/>
        </c:spPr>
        <c:marker>
          <c:symbol val="none"/>
        </c:marker>
        <c:dLbl>
          <c:idx val="0"/>
          <c:delete val="1"/>
          <c:extLst>
            <c:ext xmlns:c15="http://schemas.microsoft.com/office/drawing/2012/chart" uri="{CE6537A1-D6FC-4f65-9D91-7224C49458BB}"/>
          </c:extLst>
        </c:dLbl>
      </c:pivotFmt>
      <c:pivotFmt>
        <c:idx val="13"/>
        <c:spPr>
          <a:solidFill>
            <a:srgbClr val="8FAADC"/>
          </a:solidFill>
          <a:ln>
            <a:noFill/>
          </a:ln>
          <a:effectLst/>
        </c:spPr>
        <c:marker>
          <c:symbol val="none"/>
        </c:marker>
        <c:dLbl>
          <c:idx val="0"/>
          <c:delete val="1"/>
          <c:extLst>
            <c:ext xmlns:c15="http://schemas.microsoft.com/office/drawing/2012/chart" uri="{CE6537A1-D6FC-4f65-9D91-7224C49458BB}"/>
          </c:extLst>
        </c:dLbl>
      </c:pivotFmt>
      <c:pivotFmt>
        <c:idx val="14"/>
        <c:spPr>
          <a:solidFill>
            <a:srgbClr val="B4C7E7"/>
          </a:solidFill>
          <a:ln>
            <a:noFill/>
          </a:ln>
          <a:effectLst/>
        </c:spPr>
        <c:marker>
          <c:symbol val="none"/>
        </c:marker>
        <c:dLbl>
          <c:idx val="0"/>
          <c:delete val="1"/>
          <c:extLst>
            <c:ext xmlns:c15="http://schemas.microsoft.com/office/drawing/2012/chart" uri="{CE6537A1-D6FC-4f65-9D91-7224C49458BB}"/>
          </c:extLst>
        </c:dLbl>
      </c:pivotFmt>
      <c:pivotFmt>
        <c:idx val="15"/>
        <c:spPr>
          <a:solidFill>
            <a:srgbClr val="DAE3F3"/>
          </a:solidFill>
          <a:ln>
            <a:noFill/>
          </a:ln>
          <a:effectLst/>
        </c:spPr>
        <c:marker>
          <c:symbol val="none"/>
        </c:marker>
        <c:dLbl>
          <c:idx val="0"/>
          <c:delete val="1"/>
          <c:extLst>
            <c:ext xmlns:c15="http://schemas.microsoft.com/office/drawing/2012/chart" uri="{CE6537A1-D6FC-4f65-9D91-7224C49458BB}"/>
          </c:extLst>
        </c:dLbl>
      </c:pivotFmt>
      <c:pivotFmt>
        <c:idx val="16"/>
        <c:spPr>
          <a:solidFill>
            <a:schemeClr val="tx2">
              <a:lumMod val="40000"/>
              <a:lumOff val="60000"/>
            </a:schemeClr>
          </a:solidFill>
          <a:ln>
            <a:noFill/>
          </a:ln>
          <a:effectLst/>
        </c:spPr>
        <c:marker>
          <c:symbol val="none"/>
        </c:marker>
        <c:dLbl>
          <c:idx val="0"/>
          <c:delete val="1"/>
          <c:extLst>
            <c:ext xmlns:c15="http://schemas.microsoft.com/office/drawing/2012/chart" uri="{CE6537A1-D6FC-4f65-9D91-7224C49458BB}"/>
          </c:extLst>
        </c:dLbl>
      </c:pivotFmt>
      <c:pivotFmt>
        <c:idx val="17"/>
        <c:spPr>
          <a:solidFill>
            <a:schemeClr val="accent1"/>
          </a:solidFill>
          <a:ln w="28575" cap="rnd">
            <a:noFill/>
            <a:round/>
          </a:ln>
          <a:effectLst/>
        </c:spPr>
        <c:marker>
          <c:symbol val="dash"/>
          <c:size val="7"/>
          <c:spPr>
            <a:solidFill>
              <a:srgbClr val="3B3838"/>
            </a:solidFill>
            <a:ln w="9525">
              <a:solidFill>
                <a:srgbClr val="3B3838"/>
              </a:solidFill>
            </a:ln>
            <a:effectLst/>
          </c:spPr>
        </c:marker>
        <c:dLbl>
          <c:idx val="0"/>
          <c:delete val="1"/>
          <c:extLst>
            <c:ext xmlns:c15="http://schemas.microsoft.com/office/drawing/2012/chart" uri="{CE6537A1-D6FC-4f65-9D91-7224C49458BB}"/>
          </c:extLst>
        </c:dLbl>
      </c:pivotFmt>
      <c:pivotFmt>
        <c:idx val="18"/>
        <c:spPr>
          <a:solidFill>
            <a:srgbClr val="C55A11"/>
          </a:solidFill>
          <a:ln w="25400">
            <a:noFill/>
          </a:ln>
          <a:effectLst/>
        </c:spPr>
      </c:pivotFmt>
    </c:pivotFmts>
    <c:plotArea>
      <c:layout>
        <c:manualLayout>
          <c:layoutTarget val="inner"/>
          <c:xMode val="edge"/>
          <c:yMode val="edge"/>
          <c:x val="0.11246607287852706"/>
          <c:y val="4.8144708917560494E-2"/>
          <c:w val="0.85707992094084351"/>
          <c:h val="0.63607755923413178"/>
        </c:manualLayout>
      </c:layout>
      <c:barChart>
        <c:barDir val="col"/>
        <c:grouping val="stacked"/>
        <c:varyColors val="0"/>
        <c:ser>
          <c:idx val="0"/>
          <c:order val="0"/>
          <c:tx>
            <c:strRef>
              <c:f>'1Cross'!$C$4</c:f>
              <c:strCache>
                <c:ptCount val="1"/>
                <c:pt idx="0">
                  <c:v>Proportional effect </c:v>
                </c:pt>
              </c:strCache>
            </c:strRef>
          </c:tx>
          <c:spPr>
            <a:solidFill>
              <a:schemeClr val="bg2">
                <a:lumMod val="90000"/>
              </a:schemeClr>
            </a:solidFill>
            <a:ln w="28575" cap="rnd">
              <a:noFill/>
              <a:round/>
            </a:ln>
            <a:effectLst/>
          </c:spPr>
          <c:invertIfNegative val="0"/>
          <c:cat>
            <c:strRef>
              <c:extLst>
                <c:ext xmlns:c15="http://schemas.microsoft.com/office/drawing/2012/chart" uri="{02D57815-91ED-43cb-92C2-25804820EDAC}">
                  <c15:fullRef>
                    <c15:sqref>'1Cross'!$A$5:$A$33</c15:sqref>
                  </c15:fullRef>
                </c:ext>
              </c:extLst>
              <c:f>'1Cross'!$A$13:$A$33</c:f>
              <c:strCache>
                <c:ptCount val="21"/>
                <c:pt idx="0">
                  <c:v>HR</c:v>
                </c:pt>
                <c:pt idx="1">
                  <c:v>CY</c:v>
                </c:pt>
                <c:pt idx="2">
                  <c:v>NL</c:v>
                </c:pt>
                <c:pt idx="3">
                  <c:v>ES</c:v>
                </c:pt>
                <c:pt idx="4">
                  <c:v>PT</c:v>
                </c:pt>
                <c:pt idx="5">
                  <c:v>BE</c:v>
                </c:pt>
                <c:pt idx="6">
                  <c:v>AT</c:v>
                </c:pt>
                <c:pt idx="7">
                  <c:v>SI</c:v>
                </c:pt>
                <c:pt idx="8">
                  <c:v>LU</c:v>
                </c:pt>
                <c:pt idx="9">
                  <c:v>IT</c:v>
                </c:pt>
                <c:pt idx="10">
                  <c:v>SK</c:v>
                </c:pt>
                <c:pt idx="11">
                  <c:v>IE</c:v>
                </c:pt>
                <c:pt idx="12">
                  <c:v>MT</c:v>
                </c:pt>
                <c:pt idx="13">
                  <c:v>EL</c:v>
                </c:pt>
                <c:pt idx="14">
                  <c:v>FI</c:v>
                </c:pt>
                <c:pt idx="15">
                  <c:v>DE</c:v>
                </c:pt>
                <c:pt idx="16">
                  <c:v>EE</c:v>
                </c:pt>
                <c:pt idx="17">
                  <c:v>FR</c:v>
                </c:pt>
                <c:pt idx="18">
                  <c:v>LV</c:v>
                </c:pt>
                <c:pt idx="19">
                  <c:v>LT</c:v>
                </c:pt>
                <c:pt idx="20">
                  <c:v>HU</c:v>
                </c:pt>
              </c:strCache>
            </c:strRef>
          </c:cat>
          <c:val>
            <c:numRef>
              <c:extLst>
                <c:ext xmlns:c15="http://schemas.microsoft.com/office/drawing/2012/chart" uri="{02D57815-91ED-43cb-92C2-25804820EDAC}">
                  <c15:fullRef>
                    <c15:sqref>'1Cross'!$C$5:$C$33</c15:sqref>
                  </c15:fullRef>
                </c:ext>
              </c:extLst>
              <c:f>'1Cross'!$C$13:$C$33</c:f>
              <c:numCache>
                <c:formatCode>0.000000</c:formatCode>
                <c:ptCount val="21"/>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numCache>
            </c:numRef>
          </c:val>
          <c:extLst>
            <c:ext xmlns:c16="http://schemas.microsoft.com/office/drawing/2014/chart" uri="{C3380CC4-5D6E-409C-BE32-E72D297353CC}">
              <c16:uniqueId val="{0000007B-A72B-430B-A376-21477E27A689}"/>
            </c:ext>
          </c:extLst>
        </c:ser>
        <c:ser>
          <c:idx val="1"/>
          <c:order val="1"/>
          <c:tx>
            <c:strRef>
              <c:f>'1Cross'!$D$4</c:f>
              <c:strCache>
                <c:ptCount val="1"/>
                <c:pt idx="0">
                  <c:v>By bracket progressivity </c:v>
                </c:pt>
              </c:strCache>
            </c:strRef>
          </c:tx>
          <c:spPr>
            <a:solidFill>
              <a:schemeClr val="accent2">
                <a:lumMod val="75000"/>
              </a:schemeClr>
            </a:solidFill>
            <a:ln w="28575" cap="rnd">
              <a:noFill/>
              <a:round/>
            </a:ln>
            <a:effectLst/>
          </c:spPr>
          <c:invertIfNegative val="0"/>
          <c:cat>
            <c:strRef>
              <c:extLst>
                <c:ext xmlns:c15="http://schemas.microsoft.com/office/drawing/2012/chart" uri="{02D57815-91ED-43cb-92C2-25804820EDAC}">
                  <c15:fullRef>
                    <c15:sqref>'1Cross'!$A$5:$A$33</c15:sqref>
                  </c15:fullRef>
                </c:ext>
              </c:extLst>
              <c:f>'1Cross'!$A$13:$A$33</c:f>
              <c:strCache>
                <c:ptCount val="21"/>
                <c:pt idx="0">
                  <c:v>HR</c:v>
                </c:pt>
                <c:pt idx="1">
                  <c:v>CY</c:v>
                </c:pt>
                <c:pt idx="2">
                  <c:v>NL</c:v>
                </c:pt>
                <c:pt idx="3">
                  <c:v>ES</c:v>
                </c:pt>
                <c:pt idx="4">
                  <c:v>PT</c:v>
                </c:pt>
                <c:pt idx="5">
                  <c:v>BE</c:v>
                </c:pt>
                <c:pt idx="6">
                  <c:v>AT</c:v>
                </c:pt>
                <c:pt idx="7">
                  <c:v>SI</c:v>
                </c:pt>
                <c:pt idx="8">
                  <c:v>LU</c:v>
                </c:pt>
                <c:pt idx="9">
                  <c:v>IT</c:v>
                </c:pt>
                <c:pt idx="10">
                  <c:v>SK</c:v>
                </c:pt>
                <c:pt idx="11">
                  <c:v>IE</c:v>
                </c:pt>
                <c:pt idx="12">
                  <c:v>MT</c:v>
                </c:pt>
                <c:pt idx="13">
                  <c:v>EL</c:v>
                </c:pt>
                <c:pt idx="14">
                  <c:v>FI</c:v>
                </c:pt>
                <c:pt idx="15">
                  <c:v>DE</c:v>
                </c:pt>
                <c:pt idx="16">
                  <c:v>EE</c:v>
                </c:pt>
                <c:pt idx="17">
                  <c:v>FR</c:v>
                </c:pt>
                <c:pt idx="18">
                  <c:v>LV</c:v>
                </c:pt>
                <c:pt idx="19">
                  <c:v>LT</c:v>
                </c:pt>
                <c:pt idx="20">
                  <c:v>HU</c:v>
                </c:pt>
              </c:strCache>
            </c:strRef>
          </c:cat>
          <c:val>
            <c:numRef>
              <c:extLst>
                <c:ext xmlns:c15="http://schemas.microsoft.com/office/drawing/2012/chart" uri="{02D57815-91ED-43cb-92C2-25804820EDAC}">
                  <c15:fullRef>
                    <c15:sqref>'1Cross'!$D$5:$D$33</c15:sqref>
                  </c15:fullRef>
                </c:ext>
              </c:extLst>
              <c:f>'1Cross'!$D$13:$D$33</c:f>
              <c:numCache>
                <c:formatCode>0.000000</c:formatCode>
                <c:ptCount val="21"/>
                <c:pt idx="0">
                  <c:v>1.2212638368652939E-2</c:v>
                </c:pt>
                <c:pt idx="1">
                  <c:v>1.2934513525724549</c:v>
                </c:pt>
                <c:pt idx="2">
                  <c:v>0.8117324497813585</c:v>
                </c:pt>
                <c:pt idx="3">
                  <c:v>0.36285776653682689</c:v>
                </c:pt>
                <c:pt idx="4">
                  <c:v>0.43397368154429183</c:v>
                </c:pt>
                <c:pt idx="5">
                  <c:v>0.35917999074323648</c:v>
                </c:pt>
                <c:pt idx="6">
                  <c:v>0.74750879241278745</c:v>
                </c:pt>
                <c:pt idx="7">
                  <c:v>0.31791300200150951</c:v>
                </c:pt>
                <c:pt idx="8">
                  <c:v>0.7411849478331074</c:v>
                </c:pt>
                <c:pt idx="9">
                  <c:v>0.28610604140036422</c:v>
                </c:pt>
                <c:pt idx="10">
                  <c:v>3.9698009166191373E-3</c:v>
                </c:pt>
                <c:pt idx="11">
                  <c:v>0.39184792993449191</c:v>
                </c:pt>
                <c:pt idx="12">
                  <c:v>0.76447152926209938</c:v>
                </c:pt>
                <c:pt idx="13">
                  <c:v>0.15790905020047608</c:v>
                </c:pt>
                <c:pt idx="14">
                  <c:v>0.35419014809811289</c:v>
                </c:pt>
                <c:pt idx="15">
                  <c:v>0.50384350169997694</c:v>
                </c:pt>
                <c:pt idx="16">
                  <c:v>0</c:v>
                </c:pt>
                <c:pt idx="17">
                  <c:v>0.36690432468627732</c:v>
                </c:pt>
                <c:pt idx="18">
                  <c:v>5.2124099728372064E-2</c:v>
                </c:pt>
                <c:pt idx="19">
                  <c:v>7.3990221814811852E-2</c:v>
                </c:pt>
                <c:pt idx="20">
                  <c:v>0</c:v>
                </c:pt>
              </c:numCache>
            </c:numRef>
          </c:val>
          <c:extLst>
            <c:ext xmlns:c16="http://schemas.microsoft.com/office/drawing/2014/chart" uri="{C3380CC4-5D6E-409C-BE32-E72D297353CC}">
              <c16:uniqueId val="{0000006A-A72B-430B-A376-21477E27A689}"/>
            </c:ext>
          </c:extLst>
        </c:ser>
        <c:ser>
          <c:idx val="2"/>
          <c:order val="2"/>
          <c:tx>
            <c:strRef>
              <c:f>'1Cross'!$E$4</c:f>
              <c:strCache>
                <c:ptCount val="1"/>
                <c:pt idx="0">
                  <c:v>By tax deduction/credit 1 </c:v>
                </c:pt>
              </c:strCache>
            </c:strRef>
          </c:tx>
          <c:spPr>
            <a:solidFill>
              <a:schemeClr val="accent5">
                <a:lumMod val="75000"/>
              </a:schemeClr>
            </a:solidFill>
            <a:ln w="25400">
              <a:noFill/>
            </a:ln>
            <a:effectLst/>
          </c:spPr>
          <c:invertIfNegative val="0"/>
          <c:dPt>
            <c:idx val="5"/>
            <c:invertIfNegative val="0"/>
            <c:bubble3D val="0"/>
            <c:extLst>
              <c:ext xmlns:c16="http://schemas.microsoft.com/office/drawing/2014/chart" uri="{C3380CC4-5D6E-409C-BE32-E72D297353CC}">
                <c16:uniqueId val="{00000000-AFAB-4BBF-AD0E-29A5037AF944}"/>
              </c:ext>
            </c:extLst>
          </c:dPt>
          <c:cat>
            <c:strRef>
              <c:extLst>
                <c:ext xmlns:c15="http://schemas.microsoft.com/office/drawing/2012/chart" uri="{02D57815-91ED-43cb-92C2-25804820EDAC}">
                  <c15:fullRef>
                    <c15:sqref>'1Cross'!$A$5:$A$33</c15:sqref>
                  </c15:fullRef>
                </c:ext>
              </c:extLst>
              <c:f>'1Cross'!$A$13:$A$33</c:f>
              <c:strCache>
                <c:ptCount val="21"/>
                <c:pt idx="0">
                  <c:v>HR</c:v>
                </c:pt>
                <c:pt idx="1">
                  <c:v>CY</c:v>
                </c:pt>
                <c:pt idx="2">
                  <c:v>NL</c:v>
                </c:pt>
                <c:pt idx="3">
                  <c:v>ES</c:v>
                </c:pt>
                <c:pt idx="4">
                  <c:v>PT</c:v>
                </c:pt>
                <c:pt idx="5">
                  <c:v>BE</c:v>
                </c:pt>
                <c:pt idx="6">
                  <c:v>AT</c:v>
                </c:pt>
                <c:pt idx="7">
                  <c:v>SI</c:v>
                </c:pt>
                <c:pt idx="8">
                  <c:v>LU</c:v>
                </c:pt>
                <c:pt idx="9">
                  <c:v>IT</c:v>
                </c:pt>
                <c:pt idx="10">
                  <c:v>SK</c:v>
                </c:pt>
                <c:pt idx="11">
                  <c:v>IE</c:v>
                </c:pt>
                <c:pt idx="12">
                  <c:v>MT</c:v>
                </c:pt>
                <c:pt idx="13">
                  <c:v>EL</c:v>
                </c:pt>
                <c:pt idx="14">
                  <c:v>FI</c:v>
                </c:pt>
                <c:pt idx="15">
                  <c:v>DE</c:v>
                </c:pt>
                <c:pt idx="16">
                  <c:v>EE</c:v>
                </c:pt>
                <c:pt idx="17">
                  <c:v>FR</c:v>
                </c:pt>
                <c:pt idx="18">
                  <c:v>LV</c:v>
                </c:pt>
                <c:pt idx="19">
                  <c:v>LT</c:v>
                </c:pt>
                <c:pt idx="20">
                  <c:v>HU</c:v>
                </c:pt>
              </c:strCache>
            </c:strRef>
          </c:cat>
          <c:val>
            <c:numRef>
              <c:extLst>
                <c:ext xmlns:c15="http://schemas.microsoft.com/office/drawing/2012/chart" uri="{02D57815-91ED-43cb-92C2-25804820EDAC}">
                  <c15:fullRef>
                    <c15:sqref>'1Cross'!$E$5:$E$33</c15:sqref>
                  </c15:fullRef>
                </c:ext>
              </c:extLst>
              <c:f>'1Cross'!$E$13:$E$33</c:f>
              <c:numCache>
                <c:formatCode>0.000000</c:formatCode>
                <c:ptCount val="21"/>
                <c:pt idx="0">
                  <c:v>1.0587267984237194</c:v>
                </c:pt>
                <c:pt idx="1">
                  <c:v>2.6360746533675705E-3</c:v>
                </c:pt>
                <c:pt idx="2">
                  <c:v>0.23958252793437151</c:v>
                </c:pt>
                <c:pt idx="3">
                  <c:v>0.2781666453636813</c:v>
                </c:pt>
                <c:pt idx="4">
                  <c:v>0.28992579601440638</c:v>
                </c:pt>
                <c:pt idx="5">
                  <c:v>0.42310299087474834</c:v>
                </c:pt>
                <c:pt idx="6">
                  <c:v>5.1271133027993798E-2</c:v>
                </c:pt>
                <c:pt idx="7">
                  <c:v>0.44929476618994224</c:v>
                </c:pt>
                <c:pt idx="8">
                  <c:v>6.2203547139468407E-2</c:v>
                </c:pt>
                <c:pt idx="9">
                  <c:v>0.30251284271747125</c:v>
                </c:pt>
                <c:pt idx="10">
                  <c:v>0.71386740759585177</c:v>
                </c:pt>
                <c:pt idx="11">
                  <c:v>0.31259246731340395</c:v>
                </c:pt>
                <c:pt idx="12">
                  <c:v>1.2155319485450899E-2</c:v>
                </c:pt>
                <c:pt idx="13">
                  <c:v>0.64530214761992699</c:v>
                </c:pt>
                <c:pt idx="14">
                  <c:v>0.11199199711863939</c:v>
                </c:pt>
                <c:pt idx="15">
                  <c:v>0.12440165170545736</c:v>
                </c:pt>
                <c:pt idx="16">
                  <c:v>0.62804834410068544</c:v>
                </c:pt>
                <c:pt idx="17">
                  <c:v>6.2955225666680104E-2</c:v>
                </c:pt>
                <c:pt idx="18">
                  <c:v>0.30064903791821807</c:v>
                </c:pt>
                <c:pt idx="19">
                  <c:v>0.22835195926678153</c:v>
                </c:pt>
                <c:pt idx="20">
                  <c:v>9.5806155530295811E-2</c:v>
                </c:pt>
              </c:numCache>
            </c:numRef>
          </c:val>
          <c:extLst>
            <c:ext xmlns:c15="http://schemas.microsoft.com/office/drawing/2012/chart" uri="{02D57815-91ED-43cb-92C2-25804820EDAC}">
              <c15:categoryFilterExceptions>
                <c15:categoryFilterException>
                  <c15:sqref>'1Cross'!$E$5</c15:sqref>
                  <c15:spPr xmlns:c15="http://schemas.microsoft.com/office/drawing/2012/chart">
                    <a:solidFill>
                      <a:schemeClr val="accent5">
                        <a:lumMod val="75000"/>
                      </a:schemeClr>
                    </a:solidFill>
                    <a:ln w="25400">
                      <a:noFill/>
                    </a:ln>
                    <a:effectLst/>
                  </c15:spPr>
                  <c15:invertIfNegative val="0"/>
                  <c15:bubble3D val="0"/>
                </c15:categoryFilterException>
              </c15:categoryFilterExceptions>
            </c:ext>
            <c:ext xmlns:c16="http://schemas.microsoft.com/office/drawing/2014/chart" uri="{C3380CC4-5D6E-409C-BE32-E72D297353CC}">
              <c16:uniqueId val="{0000006F-A72B-430B-A376-21477E27A689}"/>
            </c:ext>
          </c:extLst>
        </c:ser>
        <c:ser>
          <c:idx val="3"/>
          <c:order val="3"/>
          <c:tx>
            <c:strRef>
              <c:f>'1Cross'!$F$4</c:f>
              <c:strCache>
                <c:ptCount val="1"/>
                <c:pt idx="0">
                  <c:v>By tax deduction/credit 2 </c:v>
                </c:pt>
              </c:strCache>
            </c:strRef>
          </c:tx>
          <c:spPr>
            <a:solidFill>
              <a:schemeClr val="accent5">
                <a:lumMod val="60000"/>
                <a:lumOff val="40000"/>
              </a:schemeClr>
            </a:solidFill>
            <a:ln w="25400">
              <a:noFill/>
            </a:ln>
            <a:effectLst/>
          </c:spPr>
          <c:invertIfNegative val="0"/>
          <c:cat>
            <c:strRef>
              <c:extLst>
                <c:ext xmlns:c15="http://schemas.microsoft.com/office/drawing/2012/chart" uri="{02D57815-91ED-43cb-92C2-25804820EDAC}">
                  <c15:fullRef>
                    <c15:sqref>'1Cross'!$A$5:$A$33</c15:sqref>
                  </c15:fullRef>
                </c:ext>
              </c:extLst>
              <c:f>'1Cross'!$A$13:$A$33</c:f>
              <c:strCache>
                <c:ptCount val="21"/>
                <c:pt idx="0">
                  <c:v>HR</c:v>
                </c:pt>
                <c:pt idx="1">
                  <c:v>CY</c:v>
                </c:pt>
                <c:pt idx="2">
                  <c:v>NL</c:v>
                </c:pt>
                <c:pt idx="3">
                  <c:v>ES</c:v>
                </c:pt>
                <c:pt idx="4">
                  <c:v>PT</c:v>
                </c:pt>
                <c:pt idx="5">
                  <c:v>BE</c:v>
                </c:pt>
                <c:pt idx="6">
                  <c:v>AT</c:v>
                </c:pt>
                <c:pt idx="7">
                  <c:v>SI</c:v>
                </c:pt>
                <c:pt idx="8">
                  <c:v>LU</c:v>
                </c:pt>
                <c:pt idx="9">
                  <c:v>IT</c:v>
                </c:pt>
                <c:pt idx="10">
                  <c:v>SK</c:v>
                </c:pt>
                <c:pt idx="11">
                  <c:v>IE</c:v>
                </c:pt>
                <c:pt idx="12">
                  <c:v>MT</c:v>
                </c:pt>
                <c:pt idx="13">
                  <c:v>EL</c:v>
                </c:pt>
                <c:pt idx="14">
                  <c:v>FI</c:v>
                </c:pt>
                <c:pt idx="15">
                  <c:v>DE</c:v>
                </c:pt>
                <c:pt idx="16">
                  <c:v>EE</c:v>
                </c:pt>
                <c:pt idx="17">
                  <c:v>FR</c:v>
                </c:pt>
                <c:pt idx="18">
                  <c:v>LV</c:v>
                </c:pt>
                <c:pt idx="19">
                  <c:v>LT</c:v>
                </c:pt>
                <c:pt idx="20">
                  <c:v>HU</c:v>
                </c:pt>
              </c:strCache>
            </c:strRef>
          </c:cat>
          <c:val>
            <c:numRef>
              <c:extLst>
                <c:ext xmlns:c15="http://schemas.microsoft.com/office/drawing/2012/chart" uri="{02D57815-91ED-43cb-92C2-25804820EDAC}">
                  <c15:fullRef>
                    <c15:sqref>'1Cross'!$F$5:$F$33</c15:sqref>
                  </c15:fullRef>
                </c:ext>
              </c:extLst>
              <c:f>'1Cross'!$F$13:$F$33</c:f>
              <c:numCache>
                <c:formatCode>0.000000</c:formatCode>
                <c:ptCount val="21"/>
                <c:pt idx="0">
                  <c:v>0.22778708028471595</c:v>
                </c:pt>
                <c:pt idx="1">
                  <c:v>0</c:v>
                </c:pt>
                <c:pt idx="2">
                  <c:v>1.5039542359578162E-2</c:v>
                </c:pt>
                <c:pt idx="3">
                  <c:v>0.27515917833824677</c:v>
                </c:pt>
                <c:pt idx="4">
                  <c:v>7.0806533734250943E-2</c:v>
                </c:pt>
                <c:pt idx="5">
                  <c:v>0.14378289662043864</c:v>
                </c:pt>
                <c:pt idx="6">
                  <c:v>3.7711883040369099E-2</c:v>
                </c:pt>
                <c:pt idx="7">
                  <c:v>0.11156873107911758</c:v>
                </c:pt>
                <c:pt idx="8">
                  <c:v>2.1530202282421529E-2</c:v>
                </c:pt>
                <c:pt idx="9">
                  <c:v>0.13466096967105434</c:v>
                </c:pt>
                <c:pt idx="10">
                  <c:v>1.1999515517639558E-2</c:v>
                </c:pt>
                <c:pt idx="11">
                  <c:v>9.3422407138279429E-2</c:v>
                </c:pt>
                <c:pt idx="12">
                  <c:v>2.877142453980186E-3</c:v>
                </c:pt>
                <c:pt idx="13">
                  <c:v>0</c:v>
                </c:pt>
                <c:pt idx="14">
                  <c:v>0.11457780809409046</c:v>
                </c:pt>
                <c:pt idx="15">
                  <c:v>3.5479907579255343E-2</c:v>
                </c:pt>
                <c:pt idx="16">
                  <c:v>1.6905042984745045E-2</c:v>
                </c:pt>
                <c:pt idx="17">
                  <c:v>5.5336544707874635E-2</c:v>
                </c:pt>
                <c:pt idx="18">
                  <c:v>8.2138395007142817E-2</c:v>
                </c:pt>
                <c:pt idx="19">
                  <c:v>0</c:v>
                </c:pt>
                <c:pt idx="20">
                  <c:v>0</c:v>
                </c:pt>
              </c:numCache>
            </c:numRef>
          </c:val>
          <c:extLst>
            <c:ext xmlns:c16="http://schemas.microsoft.com/office/drawing/2014/chart" uri="{C3380CC4-5D6E-409C-BE32-E72D297353CC}">
              <c16:uniqueId val="{00000071-A72B-430B-A376-21477E27A689}"/>
            </c:ext>
          </c:extLst>
        </c:ser>
        <c:ser>
          <c:idx val="4"/>
          <c:order val="4"/>
          <c:tx>
            <c:strRef>
              <c:f>'1Cross'!$G$4</c:f>
              <c:strCache>
                <c:ptCount val="1"/>
                <c:pt idx="0">
                  <c:v>By tax deduction/credit 3</c:v>
                </c:pt>
              </c:strCache>
            </c:strRef>
          </c:tx>
          <c:spPr>
            <a:solidFill>
              <a:schemeClr val="accent5">
                <a:lumMod val="40000"/>
                <a:lumOff val="60000"/>
              </a:schemeClr>
            </a:solidFill>
            <a:ln w="25400">
              <a:noFill/>
            </a:ln>
            <a:effectLst/>
          </c:spPr>
          <c:invertIfNegative val="0"/>
          <c:cat>
            <c:strRef>
              <c:extLst>
                <c:ext xmlns:c15="http://schemas.microsoft.com/office/drawing/2012/chart" uri="{02D57815-91ED-43cb-92C2-25804820EDAC}">
                  <c15:fullRef>
                    <c15:sqref>'1Cross'!$A$5:$A$33</c15:sqref>
                  </c15:fullRef>
                </c:ext>
              </c:extLst>
              <c:f>'1Cross'!$A$13:$A$33</c:f>
              <c:strCache>
                <c:ptCount val="21"/>
                <c:pt idx="0">
                  <c:v>HR</c:v>
                </c:pt>
                <c:pt idx="1">
                  <c:v>CY</c:v>
                </c:pt>
                <c:pt idx="2">
                  <c:v>NL</c:v>
                </c:pt>
                <c:pt idx="3">
                  <c:v>ES</c:v>
                </c:pt>
                <c:pt idx="4">
                  <c:v>PT</c:v>
                </c:pt>
                <c:pt idx="5">
                  <c:v>BE</c:v>
                </c:pt>
                <c:pt idx="6">
                  <c:v>AT</c:v>
                </c:pt>
                <c:pt idx="7">
                  <c:v>SI</c:v>
                </c:pt>
                <c:pt idx="8">
                  <c:v>LU</c:v>
                </c:pt>
                <c:pt idx="9">
                  <c:v>IT</c:v>
                </c:pt>
                <c:pt idx="10">
                  <c:v>SK</c:v>
                </c:pt>
                <c:pt idx="11">
                  <c:v>IE</c:v>
                </c:pt>
                <c:pt idx="12">
                  <c:v>MT</c:v>
                </c:pt>
                <c:pt idx="13">
                  <c:v>EL</c:v>
                </c:pt>
                <c:pt idx="14">
                  <c:v>FI</c:v>
                </c:pt>
                <c:pt idx="15">
                  <c:v>DE</c:v>
                </c:pt>
                <c:pt idx="16">
                  <c:v>EE</c:v>
                </c:pt>
                <c:pt idx="17">
                  <c:v>FR</c:v>
                </c:pt>
                <c:pt idx="18">
                  <c:v>LV</c:v>
                </c:pt>
                <c:pt idx="19">
                  <c:v>LT</c:v>
                </c:pt>
                <c:pt idx="20">
                  <c:v>HU</c:v>
                </c:pt>
              </c:strCache>
            </c:strRef>
          </c:cat>
          <c:val>
            <c:numRef>
              <c:extLst>
                <c:ext xmlns:c15="http://schemas.microsoft.com/office/drawing/2012/chart" uri="{02D57815-91ED-43cb-92C2-25804820EDAC}">
                  <c15:fullRef>
                    <c15:sqref>'1Cross'!$G$5:$G$33</c15:sqref>
                  </c15:fullRef>
                </c:ext>
              </c:extLst>
              <c:f>'1Cross'!$G$13:$G$33</c:f>
              <c:numCache>
                <c:formatCode>0.000000</c:formatCode>
                <c:ptCount val="21"/>
                <c:pt idx="0">
                  <c:v>0</c:v>
                </c:pt>
                <c:pt idx="1">
                  <c:v>0</c:v>
                </c:pt>
                <c:pt idx="2">
                  <c:v>0</c:v>
                </c:pt>
                <c:pt idx="3">
                  <c:v>0</c:v>
                </c:pt>
                <c:pt idx="4">
                  <c:v>8.5569670763286254E-2</c:v>
                </c:pt>
                <c:pt idx="5">
                  <c:v>0</c:v>
                </c:pt>
                <c:pt idx="6">
                  <c:v>0</c:v>
                </c:pt>
                <c:pt idx="7">
                  <c:v>0</c:v>
                </c:pt>
                <c:pt idx="8">
                  <c:v>2.4608467058549133E-2</c:v>
                </c:pt>
                <c:pt idx="9">
                  <c:v>8.356704487245592E-2</c:v>
                </c:pt>
                <c:pt idx="10">
                  <c:v>0</c:v>
                </c:pt>
                <c:pt idx="11">
                  <c:v>0</c:v>
                </c:pt>
                <c:pt idx="12">
                  <c:v>3.1018771171842374E-4</c:v>
                </c:pt>
                <c:pt idx="13">
                  <c:v>0</c:v>
                </c:pt>
                <c:pt idx="14">
                  <c:v>0.134860785872019</c:v>
                </c:pt>
                <c:pt idx="15">
                  <c:v>3.4317825081779496E-2</c:v>
                </c:pt>
                <c:pt idx="16">
                  <c:v>3.5288789413969734E-3</c:v>
                </c:pt>
                <c:pt idx="17">
                  <c:v>2.9476415886343199E-2</c:v>
                </c:pt>
                <c:pt idx="18">
                  <c:v>0</c:v>
                </c:pt>
                <c:pt idx="19">
                  <c:v>0</c:v>
                </c:pt>
                <c:pt idx="20">
                  <c:v>0</c:v>
                </c:pt>
              </c:numCache>
            </c:numRef>
          </c:val>
          <c:extLst>
            <c:ext xmlns:c16="http://schemas.microsoft.com/office/drawing/2014/chart" uri="{C3380CC4-5D6E-409C-BE32-E72D297353CC}">
              <c16:uniqueId val="{00000073-A72B-430B-A376-21477E27A689}"/>
            </c:ext>
          </c:extLst>
        </c:ser>
        <c:ser>
          <c:idx val="6"/>
          <c:order val="5"/>
          <c:tx>
            <c:strRef>
              <c:f>'1Cross'!$I$4</c:f>
              <c:strCache>
                <c:ptCount val="1"/>
                <c:pt idx="0">
                  <c:v>By other tax deductions/credits</c:v>
                </c:pt>
              </c:strCache>
            </c:strRef>
          </c:tx>
          <c:spPr>
            <a:solidFill>
              <a:schemeClr val="accent5">
                <a:lumMod val="20000"/>
                <a:lumOff val="80000"/>
              </a:schemeClr>
            </a:solidFill>
            <a:ln>
              <a:noFill/>
            </a:ln>
            <a:effectLst/>
          </c:spPr>
          <c:invertIfNegative val="0"/>
          <c:cat>
            <c:strRef>
              <c:extLst>
                <c:ext xmlns:c15="http://schemas.microsoft.com/office/drawing/2012/chart" uri="{02D57815-91ED-43cb-92C2-25804820EDAC}">
                  <c15:fullRef>
                    <c15:sqref>'1Cross'!$A$5:$A$33</c15:sqref>
                  </c15:fullRef>
                </c:ext>
              </c:extLst>
              <c:f>'1Cross'!$A$13:$A$33</c:f>
              <c:strCache>
                <c:ptCount val="21"/>
                <c:pt idx="0">
                  <c:v>HR</c:v>
                </c:pt>
                <c:pt idx="1">
                  <c:v>CY</c:v>
                </c:pt>
                <c:pt idx="2">
                  <c:v>NL</c:v>
                </c:pt>
                <c:pt idx="3">
                  <c:v>ES</c:v>
                </c:pt>
                <c:pt idx="4">
                  <c:v>PT</c:v>
                </c:pt>
                <c:pt idx="5">
                  <c:v>BE</c:v>
                </c:pt>
                <c:pt idx="6">
                  <c:v>AT</c:v>
                </c:pt>
                <c:pt idx="7">
                  <c:v>SI</c:v>
                </c:pt>
                <c:pt idx="8">
                  <c:v>LU</c:v>
                </c:pt>
                <c:pt idx="9">
                  <c:v>IT</c:v>
                </c:pt>
                <c:pt idx="10">
                  <c:v>SK</c:v>
                </c:pt>
                <c:pt idx="11">
                  <c:v>IE</c:v>
                </c:pt>
                <c:pt idx="12">
                  <c:v>MT</c:v>
                </c:pt>
                <c:pt idx="13">
                  <c:v>EL</c:v>
                </c:pt>
                <c:pt idx="14">
                  <c:v>FI</c:v>
                </c:pt>
                <c:pt idx="15">
                  <c:v>DE</c:v>
                </c:pt>
                <c:pt idx="16">
                  <c:v>EE</c:v>
                </c:pt>
                <c:pt idx="17">
                  <c:v>FR</c:v>
                </c:pt>
                <c:pt idx="18">
                  <c:v>LV</c:v>
                </c:pt>
                <c:pt idx="19">
                  <c:v>LT</c:v>
                </c:pt>
                <c:pt idx="20">
                  <c:v>HU</c:v>
                </c:pt>
              </c:strCache>
            </c:strRef>
          </c:cat>
          <c:val>
            <c:numRef>
              <c:extLst>
                <c:ext xmlns:c15="http://schemas.microsoft.com/office/drawing/2012/chart" uri="{02D57815-91ED-43cb-92C2-25804820EDAC}">
                  <c15:fullRef>
                    <c15:sqref>'1Cross'!$I$5:$I$33</c15:sqref>
                  </c15:fullRef>
                </c:ext>
              </c:extLst>
              <c:f>'1Cross'!$I$13:$I$33</c:f>
              <c:numCache>
                <c:formatCode>0.000000</c:formatCode>
                <c:ptCount val="21"/>
                <c:pt idx="0">
                  <c:v>-5.1156635055169541E-3</c:v>
                </c:pt>
                <c:pt idx="1">
                  <c:v>0</c:v>
                </c:pt>
                <c:pt idx="2">
                  <c:v>6.7313177393817369E-3</c:v>
                </c:pt>
                <c:pt idx="3">
                  <c:v>4.8999720315687112E-2</c:v>
                </c:pt>
                <c:pt idx="4">
                  <c:v>5.253088799197303E-2</c:v>
                </c:pt>
                <c:pt idx="5">
                  <c:v>6.8893574650277234E-3</c:v>
                </c:pt>
                <c:pt idx="6">
                  <c:v>5.013383400764404E-2</c:v>
                </c:pt>
                <c:pt idx="7">
                  <c:v>5.1759340673429577E-4</c:v>
                </c:pt>
                <c:pt idx="8">
                  <c:v>1.3015991248551906E-2</c:v>
                </c:pt>
                <c:pt idx="9">
                  <c:v>1.114058315913935E-3</c:v>
                </c:pt>
                <c:pt idx="10">
                  <c:v>0</c:v>
                </c:pt>
                <c:pt idx="11">
                  <c:v>0</c:v>
                </c:pt>
                <c:pt idx="12">
                  <c:v>7.4343708337212266E-3</c:v>
                </c:pt>
                <c:pt idx="13">
                  <c:v>0</c:v>
                </c:pt>
                <c:pt idx="14">
                  <c:v>2.4448816453920941E-2</c:v>
                </c:pt>
                <c:pt idx="15">
                  <c:v>1.2271093733372318E-2</c:v>
                </c:pt>
                <c:pt idx="16">
                  <c:v>3.783633622517879E-3</c:v>
                </c:pt>
                <c:pt idx="17">
                  <c:v>2.6897704336849682E-2</c:v>
                </c:pt>
                <c:pt idx="18">
                  <c:v>0</c:v>
                </c:pt>
                <c:pt idx="19">
                  <c:v>0</c:v>
                </c:pt>
                <c:pt idx="20">
                  <c:v>0</c:v>
                </c:pt>
              </c:numCache>
            </c:numRef>
          </c:val>
          <c:extLst>
            <c:ext xmlns:c16="http://schemas.microsoft.com/office/drawing/2014/chart" uri="{C3380CC4-5D6E-409C-BE32-E72D297353CC}">
              <c16:uniqueId val="{00000077-A72B-430B-A376-21477E27A689}"/>
            </c:ext>
          </c:extLst>
        </c:ser>
        <c:ser>
          <c:idx val="7"/>
          <c:order val="6"/>
          <c:tx>
            <c:strRef>
              <c:f>'1Cross'!$J$4</c:f>
              <c:strCache>
                <c:ptCount val="1"/>
                <c:pt idx="0">
                  <c:v>Residual</c:v>
                </c:pt>
              </c:strCache>
            </c:strRef>
          </c:tx>
          <c:spPr>
            <a:solidFill>
              <a:schemeClr val="accent4">
                <a:lumMod val="40000"/>
                <a:lumOff val="60000"/>
              </a:schemeClr>
            </a:solidFill>
            <a:ln>
              <a:noFill/>
            </a:ln>
            <a:effectLst/>
          </c:spPr>
          <c:invertIfNegative val="0"/>
          <c:cat>
            <c:strRef>
              <c:extLst>
                <c:ext xmlns:c15="http://schemas.microsoft.com/office/drawing/2012/chart" uri="{02D57815-91ED-43cb-92C2-25804820EDAC}">
                  <c15:fullRef>
                    <c15:sqref>'1Cross'!$A$5:$A$33</c15:sqref>
                  </c15:fullRef>
                </c:ext>
              </c:extLst>
              <c:f>'1Cross'!$A$13:$A$33</c:f>
              <c:strCache>
                <c:ptCount val="21"/>
                <c:pt idx="0">
                  <c:v>HR</c:v>
                </c:pt>
                <c:pt idx="1">
                  <c:v>CY</c:v>
                </c:pt>
                <c:pt idx="2">
                  <c:v>NL</c:v>
                </c:pt>
                <c:pt idx="3">
                  <c:v>ES</c:v>
                </c:pt>
                <c:pt idx="4">
                  <c:v>PT</c:v>
                </c:pt>
                <c:pt idx="5">
                  <c:v>BE</c:v>
                </c:pt>
                <c:pt idx="6">
                  <c:v>AT</c:v>
                </c:pt>
                <c:pt idx="7">
                  <c:v>SI</c:v>
                </c:pt>
                <c:pt idx="8">
                  <c:v>LU</c:v>
                </c:pt>
                <c:pt idx="9">
                  <c:v>IT</c:v>
                </c:pt>
                <c:pt idx="10">
                  <c:v>SK</c:v>
                </c:pt>
                <c:pt idx="11">
                  <c:v>IE</c:v>
                </c:pt>
                <c:pt idx="12">
                  <c:v>MT</c:v>
                </c:pt>
                <c:pt idx="13">
                  <c:v>EL</c:v>
                </c:pt>
                <c:pt idx="14">
                  <c:v>FI</c:v>
                </c:pt>
                <c:pt idx="15">
                  <c:v>DE</c:v>
                </c:pt>
                <c:pt idx="16">
                  <c:v>EE</c:v>
                </c:pt>
                <c:pt idx="17">
                  <c:v>FR</c:v>
                </c:pt>
                <c:pt idx="18">
                  <c:v>LV</c:v>
                </c:pt>
                <c:pt idx="19">
                  <c:v>LT</c:v>
                </c:pt>
                <c:pt idx="20">
                  <c:v>HU</c:v>
                </c:pt>
              </c:strCache>
            </c:strRef>
          </c:cat>
          <c:val>
            <c:numRef>
              <c:extLst>
                <c:ext xmlns:c15="http://schemas.microsoft.com/office/drawing/2012/chart" uri="{02D57815-91ED-43cb-92C2-25804820EDAC}">
                  <c15:fullRef>
                    <c15:sqref>'1Cross'!$J$5:$J$33</c15:sqref>
                  </c15:fullRef>
                </c:ext>
              </c:extLst>
              <c:f>'1Cross'!$J$13:$J$33</c:f>
              <c:numCache>
                <c:formatCode>0.000000</c:formatCode>
                <c:ptCount val="21"/>
                <c:pt idx="0">
                  <c:v>6.13965960182421E-2</c:v>
                </c:pt>
                <c:pt idx="1">
                  <c:v>1.9759073007841188E-3</c:v>
                </c:pt>
                <c:pt idx="2">
                  <c:v>0.10801530513366808</c:v>
                </c:pt>
                <c:pt idx="3">
                  <c:v>5.3941549976552539E-2</c:v>
                </c:pt>
                <c:pt idx="4">
                  <c:v>5.8473154757494372E-2</c:v>
                </c:pt>
                <c:pt idx="5">
                  <c:v>3.3499085099281789E-2</c:v>
                </c:pt>
                <c:pt idx="6">
                  <c:v>0</c:v>
                </c:pt>
                <c:pt idx="7">
                  <c:v>7.0535757066712002E-3</c:v>
                </c:pt>
                <c:pt idx="8">
                  <c:v>1.0253308410400175E-2</c:v>
                </c:pt>
                <c:pt idx="9">
                  <c:v>4.7200717451834517E-2</c:v>
                </c:pt>
                <c:pt idx="10">
                  <c:v>0.12183560428117413</c:v>
                </c:pt>
                <c:pt idx="11">
                  <c:v>1.6032516371986771E-2</c:v>
                </c:pt>
                <c:pt idx="12">
                  <c:v>2.6586125658713655E-2</c:v>
                </c:pt>
                <c:pt idx="13">
                  <c:v>0</c:v>
                </c:pt>
                <c:pt idx="14">
                  <c:v>2.2847800455658707E-3</c:v>
                </c:pt>
                <c:pt idx="15">
                  <c:v>0</c:v>
                </c:pt>
                <c:pt idx="16">
                  <c:v>6.7949945992797911E-3</c:v>
                </c:pt>
                <c:pt idx="17">
                  <c:v>0</c:v>
                </c:pt>
                <c:pt idx="18">
                  <c:v>4.9598945253410687E-3</c:v>
                </c:pt>
                <c:pt idx="19">
                  <c:v>1.2123117192539778E-2</c:v>
                </c:pt>
                <c:pt idx="20">
                  <c:v>0</c:v>
                </c:pt>
              </c:numCache>
            </c:numRef>
          </c:val>
          <c:extLst>
            <c:ext xmlns:c16="http://schemas.microsoft.com/office/drawing/2014/chart" uri="{C3380CC4-5D6E-409C-BE32-E72D297353CC}">
              <c16:uniqueId val="{00000079-A72B-430B-A376-21477E27A689}"/>
            </c:ext>
          </c:extLst>
        </c:ser>
        <c:dLbls>
          <c:showLegendKey val="0"/>
          <c:showVal val="0"/>
          <c:showCatName val="0"/>
          <c:showSerName val="0"/>
          <c:showPercent val="0"/>
          <c:showBubbleSize val="0"/>
        </c:dLbls>
        <c:gapWidth val="50"/>
        <c:overlap val="100"/>
        <c:axId val="844305855"/>
        <c:axId val="892036479"/>
      </c:barChart>
      <c:lineChart>
        <c:grouping val="standard"/>
        <c:varyColors val="0"/>
        <c:ser>
          <c:idx val="8"/>
          <c:order val="7"/>
          <c:tx>
            <c:strRef>
              <c:f>'1Cross'!$B$4</c:f>
              <c:strCache>
                <c:ptCount val="1"/>
                <c:pt idx="0">
                  <c:v>ERTI</c:v>
                </c:pt>
              </c:strCache>
            </c:strRef>
          </c:tx>
          <c:spPr>
            <a:ln>
              <a:noFill/>
            </a:ln>
            <a:effectLst/>
          </c:spPr>
          <c:marker>
            <c:symbol val="circle"/>
            <c:size val="6"/>
            <c:spPr>
              <a:noFill/>
              <a:ln w="15875">
                <a:solidFill>
                  <a:schemeClr val="tx1">
                    <a:lumMod val="85000"/>
                    <a:lumOff val="15000"/>
                  </a:schemeClr>
                </a:solidFill>
              </a:ln>
            </c:spPr>
          </c:marker>
          <c:cat>
            <c:strRef>
              <c:extLst>
                <c:ext xmlns:c15="http://schemas.microsoft.com/office/drawing/2012/chart" uri="{02D57815-91ED-43cb-92C2-25804820EDAC}">
                  <c15:fullRef>
                    <c15:sqref>'1Cross'!$A$5:$A$33</c15:sqref>
                  </c15:fullRef>
                </c:ext>
              </c:extLst>
              <c:f>'1Cross'!$A$13:$A$33</c:f>
              <c:strCache>
                <c:ptCount val="21"/>
                <c:pt idx="0">
                  <c:v>HR</c:v>
                </c:pt>
                <c:pt idx="1">
                  <c:v>CY</c:v>
                </c:pt>
                <c:pt idx="2">
                  <c:v>NL</c:v>
                </c:pt>
                <c:pt idx="3">
                  <c:v>ES</c:v>
                </c:pt>
                <c:pt idx="4">
                  <c:v>PT</c:v>
                </c:pt>
                <c:pt idx="5">
                  <c:v>BE</c:v>
                </c:pt>
                <c:pt idx="6">
                  <c:v>AT</c:v>
                </c:pt>
                <c:pt idx="7">
                  <c:v>SI</c:v>
                </c:pt>
                <c:pt idx="8">
                  <c:v>LU</c:v>
                </c:pt>
                <c:pt idx="9">
                  <c:v>IT</c:v>
                </c:pt>
                <c:pt idx="10">
                  <c:v>SK</c:v>
                </c:pt>
                <c:pt idx="11">
                  <c:v>IE</c:v>
                </c:pt>
                <c:pt idx="12">
                  <c:v>MT</c:v>
                </c:pt>
                <c:pt idx="13">
                  <c:v>EL</c:v>
                </c:pt>
                <c:pt idx="14">
                  <c:v>FI</c:v>
                </c:pt>
                <c:pt idx="15">
                  <c:v>DE</c:v>
                </c:pt>
                <c:pt idx="16">
                  <c:v>EE</c:v>
                </c:pt>
                <c:pt idx="17">
                  <c:v>FR</c:v>
                </c:pt>
                <c:pt idx="18">
                  <c:v>LV</c:v>
                </c:pt>
                <c:pt idx="19">
                  <c:v>LT</c:v>
                </c:pt>
                <c:pt idx="20">
                  <c:v>HU</c:v>
                </c:pt>
              </c:strCache>
            </c:strRef>
          </c:cat>
          <c:val>
            <c:numRef>
              <c:extLst>
                <c:ext xmlns:c15="http://schemas.microsoft.com/office/drawing/2012/chart" uri="{02D57815-91ED-43cb-92C2-25804820EDAC}">
                  <c15:fullRef>
                    <c15:sqref>'1Cross'!$B$5:$B$33</c15:sqref>
                  </c15:fullRef>
                </c:ext>
              </c:extLst>
              <c:f>'1Cross'!$B$13:$B$33</c:f>
              <c:numCache>
                <c:formatCode>0.000000</c:formatCode>
                <c:ptCount val="21"/>
                <c:pt idx="0">
                  <c:v>2.355007449589813</c:v>
                </c:pt>
                <c:pt idx="1">
                  <c:v>2.2980633345266068</c:v>
                </c:pt>
                <c:pt idx="2">
                  <c:v>2.1811011429483584</c:v>
                </c:pt>
                <c:pt idx="3">
                  <c:v>2.0191248605309946</c:v>
                </c:pt>
                <c:pt idx="4">
                  <c:v>1.9912797248057028</c:v>
                </c:pt>
                <c:pt idx="5">
                  <c:v>1.966454320802733</c:v>
                </c:pt>
                <c:pt idx="6">
                  <c:v>1.8866256424887944</c:v>
                </c:pt>
                <c:pt idx="7">
                  <c:v>1.8863476683839748</c:v>
                </c:pt>
                <c:pt idx="8">
                  <c:v>1.8727964639724985</c:v>
                </c:pt>
                <c:pt idx="9">
                  <c:v>1.8551616744290942</c:v>
                </c:pt>
                <c:pt idx="10">
                  <c:v>1.8516723283112846</c:v>
                </c:pt>
                <c:pt idx="11">
                  <c:v>1.8138953207581621</c:v>
                </c:pt>
                <c:pt idx="12">
                  <c:v>1.8138346754056838</c:v>
                </c:pt>
                <c:pt idx="13">
                  <c:v>1.8032111978204031</c:v>
                </c:pt>
                <c:pt idx="14">
                  <c:v>1.7423543356823485</c:v>
                </c:pt>
                <c:pt idx="15">
                  <c:v>1.7103139797998415</c:v>
                </c:pt>
                <c:pt idx="16">
                  <c:v>1.6590608942486251</c:v>
                </c:pt>
                <c:pt idx="17">
                  <c:v>1.5415702152840249</c:v>
                </c:pt>
                <c:pt idx="18">
                  <c:v>1.439871427179074</c:v>
                </c:pt>
                <c:pt idx="19">
                  <c:v>1.3144652982741332</c:v>
                </c:pt>
                <c:pt idx="20">
                  <c:v>1.0958061555302958</c:v>
                </c:pt>
              </c:numCache>
            </c:numRef>
          </c:val>
          <c:smooth val="0"/>
          <c:extLst>
            <c:ext xmlns:c16="http://schemas.microsoft.com/office/drawing/2014/chart" uri="{C3380CC4-5D6E-409C-BE32-E72D297353CC}">
              <c16:uniqueId val="{0000007C-A72B-430B-A376-21477E27A689}"/>
            </c:ext>
          </c:extLst>
        </c:ser>
        <c:dLbls>
          <c:showLegendKey val="0"/>
          <c:showVal val="0"/>
          <c:showCatName val="0"/>
          <c:showSerName val="0"/>
          <c:showPercent val="0"/>
          <c:showBubbleSize val="0"/>
        </c:dLbls>
        <c:marker val="1"/>
        <c:smooth val="0"/>
        <c:axId val="844305855"/>
        <c:axId val="892036479"/>
      </c:lineChart>
      <c:catAx>
        <c:axId val="844305855"/>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crossAx val="892036479"/>
        <c:crosses val="autoZero"/>
        <c:auto val="1"/>
        <c:lblAlgn val="ctr"/>
        <c:lblOffset val="100"/>
        <c:noMultiLvlLbl val="0"/>
      </c:catAx>
      <c:valAx>
        <c:axId val="892036479"/>
        <c:scaling>
          <c:orientation val="minMax"/>
          <c:max val="2.5"/>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s-ES_tradnl" sz="1050"/>
                  <a:t>TTB elasticity (percentage)</a:t>
                </a:r>
              </a:p>
            </c:rich>
          </c:tx>
          <c:overlay val="0"/>
          <c:spPr>
            <a:noFill/>
            <a:ln>
              <a:noFill/>
            </a:ln>
            <a:effectLst/>
          </c:spPr>
        </c:title>
        <c:numFmt formatCode="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crossAx val="844305855"/>
        <c:crosses val="autoZero"/>
        <c:crossBetween val="between"/>
        <c:majorUnit val="0.5"/>
      </c:valAx>
    </c:plotArea>
    <c:legend>
      <c:legendPos val="b"/>
      <c:legendEntry>
        <c:idx val="7"/>
        <c:delete val="1"/>
      </c:legendEntry>
      <c:layout>
        <c:manualLayout>
          <c:xMode val="edge"/>
          <c:yMode val="edge"/>
          <c:x val="6.6843303859236605E-2"/>
          <c:y val="0.77454225180417402"/>
          <c:w val="0.88266105718432453"/>
          <c:h val="0.20033171336930841"/>
        </c:manualLayout>
      </c:layout>
      <c:overlay val="0"/>
      <c:spPr>
        <a:noFill/>
        <a:ln>
          <a:noFill/>
        </a:ln>
        <a:effectLst/>
      </c:spPr>
      <c:txPr>
        <a:bodyPr rot="0" spcFirstLastPara="1" vertOverflow="ellipsis" vert="horz" wrap="square" anchor="ctr" anchorCtr="1"/>
        <a:lstStyle/>
        <a:p>
          <a:pPr>
            <a:defRPr sz="9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legend>
    <c:plotVisOnly val="1"/>
    <c:dispBlanksAs val="gap"/>
    <c:showDLblsOverMax val="0"/>
    <c:extLst/>
  </c:chart>
  <c:spPr>
    <a:solidFill>
      <a:schemeClr val="bg1"/>
    </a:solidFill>
    <a:ln w="9525" cap="flat" cmpd="sng" algn="ctr">
      <a:noFill/>
      <a:round/>
    </a:ln>
    <a:effectLst/>
  </c:spPr>
  <c:txPr>
    <a:bodyPr/>
    <a:lstStyle/>
    <a:p>
      <a:pPr>
        <a:defRPr>
          <a:solidFill>
            <a:sysClr val="windowText" lastClr="000000"/>
          </a:solidFill>
          <a:latin typeface="Times New Roman" panose="02020603050405020304" pitchFamily="18" charset="0"/>
          <a:cs typeface="Times New Roman" panose="02020603050405020304" pitchFamily="18" charset="0"/>
        </a:defRPr>
      </a:pPr>
      <a:endParaRPr lang="es-ES_tradnl"/>
    </a:p>
  </c:txPr>
  <c:printSettings>
    <c:headerFooter/>
    <c:pageMargins b="0.75" l="0.25" r="0.25" t="0.75" header="0.3" footer="0.3"/>
    <c:pageSetup paperSize="32767" orientation="landscape"/>
  </c:printSettings>
  <c:extLst/>
</c:chartSpace>
</file>

<file path=xl/charts/chart7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28575" cap="rnd">
            <a:noFill/>
            <a:round/>
          </a:ln>
          <a:effectLst/>
        </c:spPr>
        <c:marker>
          <c:symbol val="dash"/>
          <c:size val="7"/>
          <c:spPr>
            <a:solidFill>
              <a:srgbClr val="3B3838"/>
            </a:solidFill>
            <a:ln w="9525">
              <a:solidFill>
                <a:srgbClr val="3B3838"/>
              </a:solidFill>
            </a:ln>
            <a:effectLst/>
          </c:spPr>
        </c:marker>
        <c:dLbl>
          <c:idx val="0"/>
          <c:delete val="1"/>
          <c:extLst>
            <c:ext xmlns:c15="http://schemas.microsoft.com/office/drawing/2012/chart" uri="{CE6537A1-D6FC-4f65-9D91-7224C49458BB}"/>
          </c:extLst>
        </c:dLbl>
      </c:pivotFmt>
      <c:pivotFmt>
        <c:idx val="1"/>
        <c:spPr>
          <a:solidFill>
            <a:srgbClr val="E7E6E6"/>
          </a:solidFill>
          <a:ln w="25400">
            <a:noFill/>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2"/>
        <c:spPr>
          <a:solidFill>
            <a:srgbClr val="ED7D31"/>
          </a:solidFill>
          <a:ln w="25400">
            <a:noFill/>
          </a:ln>
          <a:effectLst/>
        </c:spPr>
        <c:marker>
          <c:symbol val="circle"/>
          <c:size val="5"/>
          <c:spPr>
            <a:solidFill>
              <a:schemeClr val="accent3"/>
            </a:solidFill>
            <a:ln w="9525">
              <a:solidFill>
                <a:schemeClr val="accent3"/>
              </a:solidFill>
            </a:ln>
            <a:effectLst/>
          </c:spPr>
        </c:marker>
        <c:dLbl>
          <c:idx val="0"/>
          <c:delete val="1"/>
          <c:extLst>
            <c:ext xmlns:c15="http://schemas.microsoft.com/office/drawing/2012/chart" uri="{CE6537A1-D6FC-4f65-9D91-7224C49458BB}"/>
          </c:extLst>
        </c:dLbl>
      </c:pivotFmt>
      <c:pivotFmt>
        <c:idx val="3"/>
        <c:spPr>
          <a:solidFill>
            <a:srgbClr val="2F5597"/>
          </a:solidFill>
          <a:ln w="25400">
            <a:noFill/>
          </a:ln>
          <a:effectLst/>
        </c:spPr>
        <c:marker>
          <c:symbol val="circle"/>
          <c:size val="5"/>
          <c:spPr>
            <a:solidFill>
              <a:schemeClr val="accent4"/>
            </a:solidFill>
            <a:ln w="9525">
              <a:solidFill>
                <a:schemeClr val="accent4"/>
              </a:solidFill>
            </a:ln>
            <a:effectLst/>
          </c:spPr>
        </c:marker>
        <c:dLbl>
          <c:idx val="0"/>
          <c:delete val="1"/>
          <c:extLst>
            <c:ext xmlns:c15="http://schemas.microsoft.com/office/drawing/2012/chart" uri="{CE6537A1-D6FC-4f65-9D91-7224C49458BB}"/>
          </c:extLst>
        </c:dLbl>
      </c:pivotFmt>
      <c:pivotFmt>
        <c:idx val="4"/>
        <c:spPr>
          <a:solidFill>
            <a:srgbClr val="4472C4"/>
          </a:solidFill>
          <a:ln>
            <a:noFill/>
          </a:ln>
          <a:effectLst/>
        </c:spPr>
        <c:marker>
          <c:symbol val="none"/>
        </c:marker>
        <c:dLbl>
          <c:idx val="0"/>
          <c:delete val="1"/>
          <c:extLst>
            <c:ext xmlns:c15="http://schemas.microsoft.com/office/drawing/2012/chart" uri="{CE6537A1-D6FC-4f65-9D91-7224C49458BB}"/>
          </c:extLst>
        </c:dLbl>
      </c:pivotFmt>
      <c:pivotFmt>
        <c:idx val="5"/>
        <c:spPr>
          <a:solidFill>
            <a:srgbClr val="8FAADC"/>
          </a:solidFill>
          <a:ln>
            <a:noFill/>
          </a:ln>
          <a:effectLst/>
        </c:spPr>
        <c:marker>
          <c:symbol val="none"/>
        </c:marker>
        <c:dLbl>
          <c:idx val="0"/>
          <c:delete val="1"/>
          <c:extLst>
            <c:ext xmlns:c15="http://schemas.microsoft.com/office/drawing/2012/chart" uri="{CE6537A1-D6FC-4f65-9D91-7224C49458BB}"/>
          </c:extLst>
        </c:dLbl>
      </c:pivotFmt>
      <c:pivotFmt>
        <c:idx val="6"/>
        <c:spPr>
          <a:solidFill>
            <a:srgbClr val="DAE3F3"/>
          </a:solidFill>
          <a:ln>
            <a:noFill/>
          </a:ln>
          <a:effectLst/>
        </c:spPr>
        <c:marker>
          <c:symbol val="none"/>
        </c:marker>
        <c:dLbl>
          <c:idx val="0"/>
          <c:delete val="1"/>
          <c:extLst>
            <c:ext xmlns:c15="http://schemas.microsoft.com/office/drawing/2012/chart" uri="{CE6537A1-D6FC-4f65-9D91-7224C49458BB}"/>
          </c:extLst>
        </c:dLbl>
      </c:pivotFmt>
      <c:pivotFmt>
        <c:idx val="7"/>
        <c:spPr>
          <a:solidFill>
            <a:srgbClr val="DAE3F3"/>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w="25400">
            <a:noFill/>
          </a:ln>
          <a:effectLst/>
        </c:spPr>
        <c:marker>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9"/>
        <c:spPr>
          <a:solidFill>
            <a:schemeClr val="accent1"/>
          </a:solidFill>
          <a:ln w="28575" cap="rnd">
            <a:noFill/>
            <a:round/>
          </a:ln>
          <a:effectLst/>
        </c:spPr>
        <c:marker>
          <c:symbol val="dash"/>
          <c:size val="7"/>
          <c:spPr>
            <a:solidFill>
              <a:srgbClr val="3B3838"/>
            </a:solidFill>
            <a:ln w="9525">
              <a:solidFill>
                <a:srgbClr val="3B3838"/>
              </a:solidFill>
            </a:ln>
            <a:effectLst/>
          </c:spPr>
        </c:marker>
      </c:pivotFmt>
      <c:pivotFmt>
        <c:idx val="10"/>
        <c:spPr>
          <a:solidFill>
            <a:srgbClr val="E7E6E6"/>
          </a:solidFill>
          <a:ln w="25400">
            <a:noFill/>
          </a:ln>
          <a:effectLst/>
        </c:spPr>
        <c:marker>
          <c:symbol val="none"/>
        </c:marker>
        <c:dLbl>
          <c:idx val="0"/>
          <c:delete val="1"/>
          <c:extLst>
            <c:ext xmlns:c15="http://schemas.microsoft.com/office/drawing/2012/chart" uri="{CE6537A1-D6FC-4f65-9D91-7224C49458BB}"/>
          </c:extLst>
        </c:dLbl>
      </c:pivotFmt>
      <c:pivotFmt>
        <c:idx val="11"/>
        <c:spPr>
          <a:solidFill>
            <a:srgbClr val="ED7D31"/>
          </a:solidFill>
          <a:ln w="25400">
            <a:noFill/>
          </a:ln>
          <a:effectLst/>
        </c:spPr>
        <c:marker>
          <c:symbol val="none"/>
        </c:marker>
        <c:dLbl>
          <c:idx val="0"/>
          <c:delete val="1"/>
          <c:extLst>
            <c:ext xmlns:c15="http://schemas.microsoft.com/office/drawing/2012/chart" uri="{CE6537A1-D6FC-4f65-9D91-7224C49458BB}"/>
          </c:extLst>
        </c:dLbl>
      </c:pivotFmt>
      <c:pivotFmt>
        <c:idx val="12"/>
        <c:spPr>
          <a:solidFill>
            <a:srgbClr val="2F5597"/>
          </a:solidFill>
          <a:ln w="25400">
            <a:noFill/>
          </a:ln>
          <a:effectLst/>
        </c:spPr>
        <c:marker>
          <c:symbol val="none"/>
        </c:marker>
        <c:dLbl>
          <c:idx val="0"/>
          <c:delete val="1"/>
          <c:extLst>
            <c:ext xmlns:c15="http://schemas.microsoft.com/office/drawing/2012/chart" uri="{CE6537A1-D6FC-4f65-9D91-7224C49458BB}"/>
          </c:extLst>
        </c:dLbl>
      </c:pivotFmt>
      <c:pivotFmt>
        <c:idx val="13"/>
        <c:spPr>
          <a:solidFill>
            <a:srgbClr val="4472C4"/>
          </a:solidFill>
          <a:ln>
            <a:noFill/>
          </a:ln>
          <a:effectLst/>
        </c:spPr>
        <c:marker>
          <c:symbol val="none"/>
        </c:marker>
        <c:dLbl>
          <c:idx val="0"/>
          <c:delete val="1"/>
          <c:extLst>
            <c:ext xmlns:c15="http://schemas.microsoft.com/office/drawing/2012/chart" uri="{CE6537A1-D6FC-4f65-9D91-7224C49458BB}"/>
          </c:extLst>
        </c:dLbl>
      </c:pivotFmt>
      <c:pivotFmt>
        <c:idx val="14"/>
        <c:spPr>
          <a:solidFill>
            <a:srgbClr val="8FAADC"/>
          </a:solidFill>
          <a:ln>
            <a:noFill/>
          </a:ln>
          <a:effectLst/>
        </c:spPr>
        <c:marker>
          <c:symbol val="none"/>
        </c:marker>
        <c:dLbl>
          <c:idx val="0"/>
          <c:delete val="1"/>
          <c:extLst>
            <c:ext xmlns:c15="http://schemas.microsoft.com/office/drawing/2012/chart" uri="{CE6537A1-D6FC-4f65-9D91-7224C49458BB}"/>
          </c:extLst>
        </c:dLbl>
      </c:pivotFmt>
      <c:pivotFmt>
        <c:idx val="15"/>
        <c:spPr>
          <a:solidFill>
            <a:srgbClr val="DAE3F3"/>
          </a:solidFill>
          <a:ln>
            <a:noFill/>
          </a:ln>
          <a:effectLst/>
        </c:spPr>
        <c:marker>
          <c:symbol val="none"/>
        </c:marker>
        <c:dLbl>
          <c:idx val="0"/>
          <c:delete val="1"/>
          <c:extLst>
            <c:ext xmlns:c15="http://schemas.microsoft.com/office/drawing/2012/chart" uri="{CE6537A1-D6FC-4f65-9D91-7224C49458BB}"/>
          </c:extLst>
        </c:dLbl>
      </c:pivotFmt>
      <c:pivotFmt>
        <c:idx val="16"/>
        <c:spPr>
          <a:solidFill>
            <a:srgbClr val="DAE3F3"/>
          </a:solidFill>
          <a:ln>
            <a:noFill/>
          </a:ln>
          <a:effectLst/>
        </c:spPr>
        <c:marker>
          <c:symbol val="none"/>
        </c:marker>
        <c:dLbl>
          <c:idx val="0"/>
          <c:delete val="1"/>
          <c:extLst>
            <c:ext xmlns:c15="http://schemas.microsoft.com/office/drawing/2012/chart" uri="{CE6537A1-D6FC-4f65-9D91-7224C49458BB}"/>
          </c:extLst>
        </c:dLbl>
      </c:pivotFmt>
      <c:pivotFmt>
        <c:idx val="17"/>
        <c:spPr>
          <a:solidFill>
            <a:schemeClr val="accent1"/>
          </a:solidFill>
          <a:ln w="28575" cap="rnd">
            <a:noFill/>
            <a:round/>
          </a:ln>
          <a:effectLst/>
        </c:spPr>
        <c:marker>
          <c:symbol val="dash"/>
          <c:size val="7"/>
          <c:spPr>
            <a:solidFill>
              <a:srgbClr val="3B3838"/>
            </a:solidFill>
            <a:ln w="9525">
              <a:solidFill>
                <a:srgbClr val="3B3838"/>
              </a:solidFill>
            </a:ln>
            <a:effectLst/>
          </c:spPr>
        </c:marker>
        <c:dLbl>
          <c:idx val="0"/>
          <c:delete val="1"/>
          <c:extLst>
            <c:ext xmlns:c15="http://schemas.microsoft.com/office/drawing/2012/chart" uri="{CE6537A1-D6FC-4f65-9D91-7224C49458BB}"/>
          </c:extLst>
        </c:dLbl>
      </c:pivotFmt>
      <c:pivotFmt>
        <c:idx val="18"/>
        <c:spPr>
          <a:solidFill>
            <a:srgbClr val="2F5597"/>
          </a:solidFill>
          <a:ln>
            <a:noFill/>
          </a:ln>
          <a:effectLst/>
        </c:spPr>
        <c:marker>
          <c:symbol val="none"/>
        </c:marker>
        <c:dLbl>
          <c:idx val="0"/>
          <c:delete val="1"/>
          <c:extLst>
            <c:ext xmlns:c15="http://schemas.microsoft.com/office/drawing/2012/chart" uri="{CE6537A1-D6FC-4f65-9D91-7224C49458BB}"/>
          </c:extLst>
        </c:dLbl>
      </c:pivotFmt>
      <c:pivotFmt>
        <c:idx val="19"/>
        <c:spPr>
          <a:solidFill>
            <a:srgbClr val="ED7D31"/>
          </a:solidFill>
          <a:ln>
            <a:noFill/>
          </a:ln>
          <a:effectLst/>
        </c:spPr>
        <c:marker>
          <c:symbol val="none"/>
        </c:marker>
        <c:dLbl>
          <c:idx val="0"/>
          <c:delete val="1"/>
          <c:extLst>
            <c:ext xmlns:c15="http://schemas.microsoft.com/office/drawing/2012/chart" uri="{CE6537A1-D6FC-4f65-9D91-7224C49458BB}"/>
          </c:extLst>
        </c:dLbl>
      </c:pivotFmt>
      <c:pivotFmt>
        <c:idx val="20"/>
        <c:spPr>
          <a:solidFill>
            <a:schemeClr val="accent5">
              <a:lumMod val="40000"/>
              <a:lumOff val="60000"/>
            </a:schemeClr>
          </a:solidFill>
          <a:ln w="9525">
            <a:noFill/>
          </a:ln>
          <a:effectLst/>
        </c:spPr>
        <c:marker>
          <c:symbol val="none"/>
        </c:marker>
        <c:dLbl>
          <c:idx val="0"/>
          <c:delete val="1"/>
          <c:extLst>
            <c:ext xmlns:c15="http://schemas.microsoft.com/office/drawing/2012/chart" uri="{CE6537A1-D6FC-4f65-9D91-7224C49458BB}"/>
          </c:extLst>
        </c:dLbl>
      </c:pivotFmt>
      <c:pivotFmt>
        <c:idx val="21"/>
        <c:spPr>
          <a:solidFill>
            <a:schemeClr val="bg2">
              <a:lumMod val="75000"/>
            </a:schemeClr>
          </a:solidFill>
          <a:ln w="6350">
            <a:noFill/>
          </a:ln>
          <a:effectLst/>
        </c:spPr>
        <c:marker>
          <c:symbol val="none"/>
        </c:marker>
        <c:dLbl>
          <c:idx val="0"/>
          <c:delete val="1"/>
          <c:extLst>
            <c:ext xmlns:c15="http://schemas.microsoft.com/office/drawing/2012/chart" uri="{CE6537A1-D6FC-4f65-9D91-7224C49458BB}"/>
          </c:extLst>
        </c:dLbl>
      </c:pivotFmt>
      <c:pivotFmt>
        <c:idx val="22"/>
        <c:spPr>
          <a:solidFill>
            <a:schemeClr val="bg2">
              <a:lumMod val="75000"/>
            </a:schemeClr>
          </a:solidFill>
          <a:ln w="6350">
            <a:noFill/>
          </a:ln>
          <a:effectLst/>
        </c:spPr>
      </c:pivotFmt>
      <c:pivotFmt>
        <c:idx val="23"/>
        <c:spPr>
          <a:solidFill>
            <a:srgbClr val="2F5597"/>
          </a:solidFill>
          <a:ln>
            <a:noFill/>
          </a:ln>
          <a:effectLst/>
        </c:spPr>
        <c:marker>
          <c:symbol val="none"/>
        </c:marker>
        <c:dLbl>
          <c:idx val="0"/>
          <c:delete val="1"/>
          <c:extLst>
            <c:ext xmlns:c15="http://schemas.microsoft.com/office/drawing/2012/chart" uri="{CE6537A1-D6FC-4f65-9D91-7224C49458BB}"/>
          </c:extLst>
        </c:dLbl>
      </c:pivotFmt>
      <c:pivotFmt>
        <c:idx val="24"/>
        <c:spPr>
          <a:solidFill>
            <a:srgbClr val="ED7D31"/>
          </a:solidFill>
          <a:ln>
            <a:noFill/>
          </a:ln>
          <a:effectLst/>
        </c:spPr>
        <c:marker>
          <c:symbol val="none"/>
        </c:marker>
        <c:dLbl>
          <c:idx val="0"/>
          <c:delete val="1"/>
          <c:extLst>
            <c:ext xmlns:c15="http://schemas.microsoft.com/office/drawing/2012/chart" uri="{CE6537A1-D6FC-4f65-9D91-7224C49458BB}"/>
          </c:extLst>
        </c:dLbl>
      </c:pivotFmt>
      <c:pivotFmt>
        <c:idx val="25"/>
        <c:spPr>
          <a:solidFill>
            <a:schemeClr val="accent5">
              <a:lumMod val="40000"/>
              <a:lumOff val="60000"/>
            </a:schemeClr>
          </a:solidFill>
          <a:ln w="9525">
            <a:noFill/>
          </a:ln>
          <a:effectLst/>
        </c:spPr>
        <c:marker>
          <c:symbol val="none"/>
        </c:marker>
        <c:dLbl>
          <c:idx val="0"/>
          <c:delete val="1"/>
          <c:extLst>
            <c:ext xmlns:c15="http://schemas.microsoft.com/office/drawing/2012/chart" uri="{CE6537A1-D6FC-4f65-9D91-7224C49458BB}"/>
          </c:extLst>
        </c:dLbl>
      </c:pivotFmt>
      <c:pivotFmt>
        <c:idx val="26"/>
        <c:spPr>
          <a:solidFill>
            <a:schemeClr val="bg2">
              <a:lumMod val="75000"/>
            </a:schemeClr>
          </a:solidFill>
          <a:ln w="6350">
            <a:noFill/>
          </a:ln>
          <a:effectLst/>
        </c:spPr>
        <c:marker>
          <c:symbol val="none"/>
        </c:marker>
        <c:dLbl>
          <c:idx val="0"/>
          <c:delete val="1"/>
          <c:extLst>
            <c:ext xmlns:c15="http://schemas.microsoft.com/office/drawing/2012/chart" uri="{CE6537A1-D6FC-4f65-9D91-7224C49458BB}"/>
          </c:extLst>
        </c:dLbl>
      </c:pivotFmt>
      <c:pivotFmt>
        <c:idx val="27"/>
        <c:spPr>
          <a:solidFill>
            <a:schemeClr val="accent1"/>
          </a:solidFill>
          <a:ln w="28575" cap="rnd">
            <a:noFill/>
            <a:round/>
          </a:ln>
          <a:effectLst/>
        </c:spPr>
        <c:marker>
          <c:symbol val="diamond"/>
          <c:size val="6"/>
          <c:spPr>
            <a:solidFill>
              <a:schemeClr val="accent1">
                <a:lumMod val="50000"/>
              </a:schemeClr>
            </a:solidFill>
            <a:ln w="9525">
              <a:solidFill>
                <a:schemeClr val="accent1">
                  <a:lumMod val="50000"/>
                </a:schemeClr>
              </a:solidFill>
            </a:ln>
            <a:effectLst/>
          </c:spPr>
        </c:marker>
        <c:dLbl>
          <c:idx val="0"/>
          <c:delete val="1"/>
          <c:extLst>
            <c:ext xmlns:c15="http://schemas.microsoft.com/office/drawing/2012/chart" uri="{CE6537A1-D6FC-4f65-9D91-7224C49458BB}"/>
          </c:extLst>
        </c:dLbl>
      </c:pivotFmt>
      <c:pivotFmt>
        <c:idx val="28"/>
        <c:spPr>
          <a:solidFill>
            <a:schemeClr val="accent1"/>
          </a:solidFill>
          <a:ln w="28575" cap="rnd">
            <a:noFill/>
            <a:round/>
          </a:ln>
          <a:effectLst/>
        </c:spPr>
        <c:marker>
          <c:symbol val="triangle"/>
          <c:size val="5"/>
          <c:spPr>
            <a:solidFill>
              <a:schemeClr val="accent2">
                <a:lumMod val="75000"/>
              </a:schemeClr>
            </a:solidFill>
            <a:ln w="9525">
              <a:solidFill>
                <a:schemeClr val="accent2">
                  <a:lumMod val="75000"/>
                </a:schemeClr>
              </a:solidFill>
            </a:ln>
            <a:effectLst/>
          </c:spPr>
        </c:marker>
        <c:dLbl>
          <c:idx val="0"/>
          <c:delete val="1"/>
          <c:extLst>
            <c:ext xmlns:c15="http://schemas.microsoft.com/office/drawing/2012/chart" uri="{CE6537A1-D6FC-4f65-9D91-7224C49458BB}"/>
          </c:extLst>
        </c:dLbl>
      </c:pivotFmt>
      <c:pivotFmt>
        <c:idx val="29"/>
        <c:spPr>
          <a:solidFill>
            <a:schemeClr val="accent1"/>
          </a:solidFill>
          <a:ln w="28575" cap="rnd">
            <a:noFill/>
            <a:round/>
          </a:ln>
          <a:effectLst/>
        </c:spPr>
        <c:marker>
          <c:symbol val="circle"/>
          <c:size val="5"/>
          <c:spPr>
            <a:solidFill>
              <a:schemeClr val="accent6">
                <a:lumMod val="75000"/>
              </a:schemeClr>
            </a:solidFill>
            <a:ln w="9525">
              <a:solidFill>
                <a:schemeClr val="accent6">
                  <a:lumMod val="75000"/>
                </a:schemeClr>
              </a:solidFill>
            </a:ln>
            <a:effectLst/>
          </c:spPr>
        </c:marker>
        <c:dLbl>
          <c:idx val="0"/>
          <c:delete val="1"/>
          <c:extLst>
            <c:ext xmlns:c15="http://schemas.microsoft.com/office/drawing/2012/chart" uri="{CE6537A1-D6FC-4f65-9D91-7224C49458BB}"/>
          </c:extLst>
        </c:dLbl>
      </c:pivotFmt>
      <c:pivotFmt>
        <c:idx val="30"/>
        <c:spPr>
          <a:solidFill>
            <a:schemeClr val="accent1"/>
          </a:solidFill>
          <a:ln w="28575" cap="rnd">
            <a:noFill/>
            <a:round/>
          </a:ln>
          <a:effectLst/>
        </c:spPr>
        <c:marker>
          <c:symbol val="square"/>
          <c:size val="5"/>
          <c:spPr>
            <a:solidFill>
              <a:srgbClr val="FFC000"/>
            </a:solidFill>
            <a:ln w="9525">
              <a:solidFill>
                <a:srgbClr val="FFC000"/>
              </a:solidFill>
            </a:ln>
            <a:effectLst/>
          </c:spPr>
        </c:marker>
        <c:dLbl>
          <c:idx val="0"/>
          <c:delete val="1"/>
          <c:extLst>
            <c:ext xmlns:c15="http://schemas.microsoft.com/office/drawing/2012/chart" uri="{CE6537A1-D6FC-4f65-9D91-7224C49458BB}"/>
          </c:extLst>
        </c:dLbl>
      </c:pivotFmt>
    </c:pivotFmts>
    <c:plotArea>
      <c:layout>
        <c:manualLayout>
          <c:layoutTarget val="inner"/>
          <c:xMode val="edge"/>
          <c:yMode val="edge"/>
          <c:x val="0.11863969827883356"/>
          <c:y val="9.0790308745776024E-2"/>
          <c:w val="0.85090620715276022"/>
          <c:h val="0.59008160117542108"/>
        </c:manualLayout>
      </c:layout>
      <c:lineChart>
        <c:grouping val="standard"/>
        <c:varyColors val="0"/>
        <c:ser>
          <c:idx val="0"/>
          <c:order val="0"/>
          <c:tx>
            <c:strRef>
              <c:f>'1Cross'!$B$40</c:f>
              <c:strCache>
                <c:ptCount val="1"/>
                <c:pt idx="0">
                  <c:v>Labor income</c:v>
                </c:pt>
              </c:strCache>
            </c:strRef>
          </c:tx>
          <c:spPr>
            <a:ln w="28575" cap="rnd">
              <a:noFill/>
              <a:round/>
            </a:ln>
            <a:effectLst/>
          </c:spPr>
          <c:marker>
            <c:symbol val="circle"/>
            <c:size val="7"/>
            <c:spPr>
              <a:solidFill>
                <a:schemeClr val="tx1">
                  <a:lumMod val="75000"/>
                  <a:lumOff val="25000"/>
                </a:schemeClr>
              </a:solidFill>
              <a:ln w="9525">
                <a:noFill/>
              </a:ln>
              <a:effectLst/>
            </c:spPr>
          </c:marker>
          <c:cat>
            <c:strRef>
              <c:extLst>
                <c:ext xmlns:c15="http://schemas.microsoft.com/office/drawing/2012/chart" uri="{02D57815-91ED-43cb-92C2-25804820EDAC}">
                  <c15:fullRef>
                    <c15:sqref>'1Cross'!$A$41:$A$69</c15:sqref>
                  </c15:fullRef>
                </c:ext>
              </c:extLst>
              <c:f>'1Cross'!$A$49:$A$69</c:f>
              <c:strCache>
                <c:ptCount val="21"/>
                <c:pt idx="0">
                  <c:v>HR</c:v>
                </c:pt>
                <c:pt idx="1">
                  <c:v>NL</c:v>
                </c:pt>
                <c:pt idx="2">
                  <c:v>CY</c:v>
                </c:pt>
                <c:pt idx="3">
                  <c:v>SI</c:v>
                </c:pt>
                <c:pt idx="4">
                  <c:v>PT</c:v>
                </c:pt>
                <c:pt idx="5">
                  <c:v>BE</c:v>
                </c:pt>
                <c:pt idx="6">
                  <c:v>ES</c:v>
                </c:pt>
                <c:pt idx="7">
                  <c:v>MT</c:v>
                </c:pt>
                <c:pt idx="8">
                  <c:v>SK</c:v>
                </c:pt>
                <c:pt idx="9">
                  <c:v>IE</c:v>
                </c:pt>
                <c:pt idx="10">
                  <c:v>IT</c:v>
                </c:pt>
                <c:pt idx="11">
                  <c:v>EL</c:v>
                </c:pt>
                <c:pt idx="12">
                  <c:v>LU</c:v>
                </c:pt>
                <c:pt idx="13">
                  <c:v>DE</c:v>
                </c:pt>
                <c:pt idx="14">
                  <c:v>AT</c:v>
                </c:pt>
                <c:pt idx="15">
                  <c:v>FI</c:v>
                </c:pt>
                <c:pt idx="16">
                  <c:v>EE</c:v>
                </c:pt>
                <c:pt idx="17">
                  <c:v>FR</c:v>
                </c:pt>
                <c:pt idx="18">
                  <c:v>LV</c:v>
                </c:pt>
                <c:pt idx="19">
                  <c:v>LT</c:v>
                </c:pt>
                <c:pt idx="20">
                  <c:v>HU</c:v>
                </c:pt>
              </c:strCache>
            </c:strRef>
          </c:cat>
          <c:val>
            <c:numRef>
              <c:extLst>
                <c:ext xmlns:c15="http://schemas.microsoft.com/office/drawing/2012/chart" uri="{02D57815-91ED-43cb-92C2-25804820EDAC}">
                  <c15:fullRef>
                    <c15:sqref>'1Cross'!$B$41:$B$69</c15:sqref>
                  </c15:fullRef>
                </c:ext>
              </c:extLst>
              <c:f>'1Cross'!$B$49:$B$69</c:f>
              <c:numCache>
                <c:formatCode>General</c:formatCode>
                <c:ptCount val="21"/>
                <c:pt idx="0">
                  <c:v>2.6884276693825342</c:v>
                </c:pt>
                <c:pt idx="1">
                  <c:v>2.4690313683534573</c:v>
                </c:pt>
                <c:pt idx="2">
                  <c:v>2.3353021028384129</c:v>
                </c:pt>
                <c:pt idx="3">
                  <c:v>2.2081156713004653</c:v>
                </c:pt>
                <c:pt idx="4">
                  <c:v>2.1090928514088643</c:v>
                </c:pt>
                <c:pt idx="5">
                  <c:v>2.0854920937951134</c:v>
                </c:pt>
                <c:pt idx="6">
                  <c:v>2.0793244264470014</c:v>
                </c:pt>
                <c:pt idx="7">
                  <c:v>1.9984210109142111</c:v>
                </c:pt>
                <c:pt idx="8">
                  <c:v>1.9961548581214728</c:v>
                </c:pt>
                <c:pt idx="9">
                  <c:v>1.970526294511352</c:v>
                </c:pt>
                <c:pt idx="10">
                  <c:v>1.9537493484105335</c:v>
                </c:pt>
                <c:pt idx="11">
                  <c:v>1.929360819718092</c:v>
                </c:pt>
                <c:pt idx="12">
                  <c:v>1.8999946856387637</c:v>
                </c:pt>
                <c:pt idx="13">
                  <c:v>1.8688044417274889</c:v>
                </c:pt>
                <c:pt idx="14">
                  <c:v>1.8225671577828801</c:v>
                </c:pt>
                <c:pt idx="15">
                  <c:v>1.7592194742378242</c:v>
                </c:pt>
                <c:pt idx="16">
                  <c:v>1.7576094398382469</c:v>
                </c:pt>
                <c:pt idx="17">
                  <c:v>1.5332977251311959</c:v>
                </c:pt>
                <c:pt idx="18">
                  <c:v>1.4601387143957609</c:v>
                </c:pt>
                <c:pt idx="19">
                  <c:v>1.4179586363622065</c:v>
                </c:pt>
                <c:pt idx="20">
                  <c:v>1.3679494214177452</c:v>
                </c:pt>
              </c:numCache>
            </c:numRef>
          </c:val>
          <c:smooth val="0"/>
          <c:extLst>
            <c:ext xmlns:c16="http://schemas.microsoft.com/office/drawing/2014/chart" uri="{C3380CC4-5D6E-409C-BE32-E72D297353CC}">
              <c16:uniqueId val="{0000006D-29B6-4D42-92AC-B3F7CFAC4715}"/>
            </c:ext>
          </c:extLst>
        </c:ser>
        <c:ser>
          <c:idx val="2"/>
          <c:order val="1"/>
          <c:tx>
            <c:strRef>
              <c:f>'1Cross'!$D$40</c:f>
              <c:strCache>
                <c:ptCount val="1"/>
                <c:pt idx="0">
                  <c:v>Self-employment income</c:v>
                </c:pt>
              </c:strCache>
            </c:strRef>
          </c:tx>
          <c:spPr>
            <a:ln w="28575" cap="rnd">
              <a:noFill/>
              <a:round/>
            </a:ln>
            <a:effectLst/>
          </c:spPr>
          <c:marker>
            <c:symbol val="diamond"/>
            <c:size val="7"/>
            <c:spPr>
              <a:solidFill>
                <a:schemeClr val="accent2">
                  <a:lumMod val="75000"/>
                </a:schemeClr>
              </a:solidFill>
              <a:ln w="9525">
                <a:noFill/>
              </a:ln>
              <a:effectLst/>
            </c:spPr>
          </c:marker>
          <c:cat>
            <c:strRef>
              <c:extLst>
                <c:ext xmlns:c15="http://schemas.microsoft.com/office/drawing/2012/chart" uri="{02D57815-91ED-43cb-92C2-25804820EDAC}">
                  <c15:fullRef>
                    <c15:sqref>'1Cross'!$A$41:$A$69</c15:sqref>
                  </c15:fullRef>
                </c:ext>
              </c:extLst>
              <c:f>'1Cross'!$A$49:$A$69</c:f>
              <c:strCache>
                <c:ptCount val="21"/>
                <c:pt idx="0">
                  <c:v>HR</c:v>
                </c:pt>
                <c:pt idx="1">
                  <c:v>NL</c:v>
                </c:pt>
                <c:pt idx="2">
                  <c:v>CY</c:v>
                </c:pt>
                <c:pt idx="3">
                  <c:v>SI</c:v>
                </c:pt>
                <c:pt idx="4">
                  <c:v>PT</c:v>
                </c:pt>
                <c:pt idx="5">
                  <c:v>BE</c:v>
                </c:pt>
                <c:pt idx="6">
                  <c:v>ES</c:v>
                </c:pt>
                <c:pt idx="7">
                  <c:v>MT</c:v>
                </c:pt>
                <c:pt idx="8">
                  <c:v>SK</c:v>
                </c:pt>
                <c:pt idx="9">
                  <c:v>IE</c:v>
                </c:pt>
                <c:pt idx="10">
                  <c:v>IT</c:v>
                </c:pt>
                <c:pt idx="11">
                  <c:v>EL</c:v>
                </c:pt>
                <c:pt idx="12">
                  <c:v>LU</c:v>
                </c:pt>
                <c:pt idx="13">
                  <c:v>DE</c:v>
                </c:pt>
                <c:pt idx="14">
                  <c:v>AT</c:v>
                </c:pt>
                <c:pt idx="15">
                  <c:v>FI</c:v>
                </c:pt>
                <c:pt idx="16">
                  <c:v>EE</c:v>
                </c:pt>
                <c:pt idx="17">
                  <c:v>FR</c:v>
                </c:pt>
                <c:pt idx="18">
                  <c:v>LV</c:v>
                </c:pt>
                <c:pt idx="19">
                  <c:v>LT</c:v>
                </c:pt>
                <c:pt idx="20">
                  <c:v>HU</c:v>
                </c:pt>
              </c:strCache>
            </c:strRef>
          </c:cat>
          <c:val>
            <c:numRef>
              <c:extLst>
                <c:ext xmlns:c15="http://schemas.microsoft.com/office/drawing/2012/chart" uri="{02D57815-91ED-43cb-92C2-25804820EDAC}">
                  <c15:fullRef>
                    <c15:sqref>'1Cross'!$D$41:$D$69</c15:sqref>
                  </c15:fullRef>
                </c:ext>
              </c:extLst>
              <c:f>'1Cross'!$D$49:$D$69</c:f>
              <c:numCache>
                <c:formatCode>General</c:formatCode>
                <c:ptCount val="21"/>
                <c:pt idx="0">
                  <c:v>3.5782659495015663</c:v>
                </c:pt>
                <c:pt idx="1">
                  <c:v>2.0460719597729513</c:v>
                </c:pt>
                <c:pt idx="2">
                  <c:v>1.5044128799674092</c:v>
                </c:pt>
                <c:pt idx="3">
                  <c:v>2.4834953306538483</c:v>
                </c:pt>
                <c:pt idx="4">
                  <c:v>1.9320193275666571</c:v>
                </c:pt>
                <c:pt idx="5">
                  <c:v>1.9495121255522077</c:v>
                </c:pt>
                <c:pt idx="6">
                  <c:v>2.0679438662368117</c:v>
                </c:pt>
                <c:pt idx="7">
                  <c:v>2.0026194552608425</c:v>
                </c:pt>
                <c:pt idx="8">
                  <c:v>1.0011110900025455</c:v>
                </c:pt>
                <c:pt idx="9">
                  <c:v>2.1236932565563813</c:v>
                </c:pt>
                <c:pt idx="10">
                  <c:v>1.287581922864246</c:v>
                </c:pt>
                <c:pt idx="11">
                  <c:v>2.5417012400277428</c:v>
                </c:pt>
                <c:pt idx="12">
                  <c:v>1.855599622654609</c:v>
                </c:pt>
                <c:pt idx="13">
                  <c:v>2.019445463646294</c:v>
                </c:pt>
                <c:pt idx="14">
                  <c:v>2.4075525797409782</c:v>
                </c:pt>
                <c:pt idx="15">
                  <c:v>1.2061332089795913</c:v>
                </c:pt>
                <c:pt idx="16">
                  <c:v>1.4118513561801462</c:v>
                </c:pt>
                <c:pt idx="17">
                  <c:v>1.4994579213571648</c:v>
                </c:pt>
                <c:pt idx="18">
                  <c:v>1.4312187304648096</c:v>
                </c:pt>
                <c:pt idx="19">
                  <c:v>0.73260968072054045</c:v>
                </c:pt>
                <c:pt idx="20">
                  <c:v>1.2502440477725676</c:v>
                </c:pt>
              </c:numCache>
            </c:numRef>
          </c:val>
          <c:smooth val="0"/>
          <c:extLst>
            <c:ext xmlns:c16="http://schemas.microsoft.com/office/drawing/2014/chart" uri="{C3380CC4-5D6E-409C-BE32-E72D297353CC}">
              <c16:uniqueId val="{00000071-29B6-4D42-92AC-B3F7CFAC4715}"/>
            </c:ext>
          </c:extLst>
        </c:ser>
        <c:ser>
          <c:idx val="3"/>
          <c:order val="2"/>
          <c:tx>
            <c:strRef>
              <c:f>'1Cross'!$E$40</c:f>
              <c:strCache>
                <c:ptCount val="1"/>
                <c:pt idx="0">
                  <c:v>Capital income</c:v>
                </c:pt>
              </c:strCache>
            </c:strRef>
          </c:tx>
          <c:spPr>
            <a:ln w="28575" cap="rnd">
              <a:noFill/>
              <a:round/>
            </a:ln>
            <a:effectLst/>
          </c:spPr>
          <c:marker>
            <c:symbol val="square"/>
            <c:size val="5"/>
            <c:spPr>
              <a:solidFill>
                <a:schemeClr val="accent5">
                  <a:lumMod val="75000"/>
                </a:schemeClr>
              </a:solidFill>
              <a:ln w="9525">
                <a:noFill/>
              </a:ln>
              <a:effectLst/>
            </c:spPr>
          </c:marker>
          <c:cat>
            <c:strRef>
              <c:extLst>
                <c:ext xmlns:c15="http://schemas.microsoft.com/office/drawing/2012/chart" uri="{02D57815-91ED-43cb-92C2-25804820EDAC}">
                  <c15:fullRef>
                    <c15:sqref>'1Cross'!$A$41:$A$69</c15:sqref>
                  </c15:fullRef>
                </c:ext>
              </c:extLst>
              <c:f>'1Cross'!$A$49:$A$69</c:f>
              <c:strCache>
                <c:ptCount val="21"/>
                <c:pt idx="0">
                  <c:v>HR</c:v>
                </c:pt>
                <c:pt idx="1">
                  <c:v>NL</c:v>
                </c:pt>
                <c:pt idx="2">
                  <c:v>CY</c:v>
                </c:pt>
                <c:pt idx="3">
                  <c:v>SI</c:v>
                </c:pt>
                <c:pt idx="4">
                  <c:v>PT</c:v>
                </c:pt>
                <c:pt idx="5">
                  <c:v>BE</c:v>
                </c:pt>
                <c:pt idx="6">
                  <c:v>ES</c:v>
                </c:pt>
                <c:pt idx="7">
                  <c:v>MT</c:v>
                </c:pt>
                <c:pt idx="8">
                  <c:v>SK</c:v>
                </c:pt>
                <c:pt idx="9">
                  <c:v>IE</c:v>
                </c:pt>
                <c:pt idx="10">
                  <c:v>IT</c:v>
                </c:pt>
                <c:pt idx="11">
                  <c:v>EL</c:v>
                </c:pt>
                <c:pt idx="12">
                  <c:v>LU</c:v>
                </c:pt>
                <c:pt idx="13">
                  <c:v>DE</c:v>
                </c:pt>
                <c:pt idx="14">
                  <c:v>AT</c:v>
                </c:pt>
                <c:pt idx="15">
                  <c:v>FI</c:v>
                </c:pt>
                <c:pt idx="16">
                  <c:v>EE</c:v>
                </c:pt>
                <c:pt idx="17">
                  <c:v>FR</c:v>
                </c:pt>
                <c:pt idx="18">
                  <c:v>LV</c:v>
                </c:pt>
                <c:pt idx="19">
                  <c:v>LT</c:v>
                </c:pt>
                <c:pt idx="20">
                  <c:v>HU</c:v>
                </c:pt>
              </c:strCache>
            </c:strRef>
          </c:cat>
          <c:val>
            <c:numRef>
              <c:extLst>
                <c:ext xmlns:c15="http://schemas.microsoft.com/office/drawing/2012/chart" uri="{02D57815-91ED-43cb-92C2-25804820EDAC}">
                  <c15:fullRef>
                    <c15:sqref>'1Cross'!$E$41:$E$69</c15:sqref>
                  </c15:fullRef>
                </c:ext>
              </c:extLst>
              <c:f>'1Cross'!$E$49:$E$69</c:f>
              <c:numCache>
                <c:formatCode>General</c:formatCode>
                <c:ptCount val="21"/>
                <c:pt idx="0">
                  <c:v>2.1853699236530271</c:v>
                </c:pt>
                <c:pt idx="1">
                  <c:v>1.4510064346989677</c:v>
                </c:pt>
                <c:pt idx="2">
                  <c:v>2.0075492929301699</c:v>
                </c:pt>
                <c:pt idx="3">
                  <c:v>2.49753074624559</c:v>
                </c:pt>
                <c:pt idx="4">
                  <c:v>2.4313184855918766</c:v>
                </c:pt>
                <c:pt idx="5">
                  <c:v>1.4640340832739966</c:v>
                </c:pt>
                <c:pt idx="6">
                  <c:v>1.7059627595037326</c:v>
                </c:pt>
                <c:pt idx="7">
                  <c:v>1.6342452720963929</c:v>
                </c:pt>
                <c:pt idx="8">
                  <c:v>1.6678959479585278</c:v>
                </c:pt>
                <c:pt idx="9">
                  <c:v>2.030635402414612</c:v>
                </c:pt>
                <c:pt idx="10">
                  <c:v>2.0030244186384594</c:v>
                </c:pt>
                <c:pt idx="11">
                  <c:v>2.151172237402577</c:v>
                </c:pt>
                <c:pt idx="12">
                  <c:v>2.1375577352985529</c:v>
                </c:pt>
                <c:pt idx="13">
                  <c:v>1.7758046351289409</c:v>
                </c:pt>
                <c:pt idx="14">
                  <c:v>2.0576559734182283</c:v>
                </c:pt>
                <c:pt idx="15">
                  <c:v>1.5757971404149997</c:v>
                </c:pt>
                <c:pt idx="16">
                  <c:v>1.660429316419471</c:v>
                </c:pt>
                <c:pt idx="17">
                  <c:v>1.6431081444694662</c:v>
                </c:pt>
                <c:pt idx="18">
                  <c:v>1.4974934921459935</c:v>
                </c:pt>
                <c:pt idx="19">
                  <c:v>1.0105271462337075</c:v>
                </c:pt>
                <c:pt idx="20">
                  <c:v>1.3997285624545133</c:v>
                </c:pt>
              </c:numCache>
            </c:numRef>
          </c:val>
          <c:smooth val="0"/>
          <c:extLst>
            <c:ext xmlns:c16="http://schemas.microsoft.com/office/drawing/2014/chart" uri="{C3380CC4-5D6E-409C-BE32-E72D297353CC}">
              <c16:uniqueId val="{00000073-29B6-4D42-92AC-B3F7CFAC4715}"/>
            </c:ext>
          </c:extLst>
        </c:ser>
        <c:ser>
          <c:idx val="1"/>
          <c:order val="3"/>
          <c:tx>
            <c:strRef>
              <c:f>'1Cross'!$C$40</c:f>
              <c:strCache>
                <c:ptCount val="1"/>
                <c:pt idx="0">
                  <c:v>Pensions and benefits</c:v>
                </c:pt>
              </c:strCache>
            </c:strRef>
          </c:tx>
          <c:spPr>
            <a:ln w="28575" cap="rnd">
              <a:noFill/>
              <a:round/>
            </a:ln>
            <a:effectLst/>
          </c:spPr>
          <c:marker>
            <c:symbol val="triangle"/>
            <c:size val="6"/>
            <c:spPr>
              <a:solidFill>
                <a:schemeClr val="accent4"/>
              </a:solidFill>
              <a:ln w="9525">
                <a:noFill/>
              </a:ln>
              <a:effectLst/>
            </c:spPr>
          </c:marker>
          <c:cat>
            <c:strRef>
              <c:extLst>
                <c:ext xmlns:c15="http://schemas.microsoft.com/office/drawing/2012/chart" uri="{02D57815-91ED-43cb-92C2-25804820EDAC}">
                  <c15:fullRef>
                    <c15:sqref>'1Cross'!$A$41:$A$69</c15:sqref>
                  </c15:fullRef>
                </c:ext>
              </c:extLst>
              <c:f>'1Cross'!$A$49:$A$69</c:f>
              <c:strCache>
                <c:ptCount val="21"/>
                <c:pt idx="0">
                  <c:v>HR</c:v>
                </c:pt>
                <c:pt idx="1">
                  <c:v>NL</c:v>
                </c:pt>
                <c:pt idx="2">
                  <c:v>CY</c:v>
                </c:pt>
                <c:pt idx="3">
                  <c:v>SI</c:v>
                </c:pt>
                <c:pt idx="4">
                  <c:v>PT</c:v>
                </c:pt>
                <c:pt idx="5">
                  <c:v>BE</c:v>
                </c:pt>
                <c:pt idx="6">
                  <c:v>ES</c:v>
                </c:pt>
                <c:pt idx="7">
                  <c:v>MT</c:v>
                </c:pt>
                <c:pt idx="8">
                  <c:v>SK</c:v>
                </c:pt>
                <c:pt idx="9">
                  <c:v>IE</c:v>
                </c:pt>
                <c:pt idx="10">
                  <c:v>IT</c:v>
                </c:pt>
                <c:pt idx="11">
                  <c:v>EL</c:v>
                </c:pt>
                <c:pt idx="12">
                  <c:v>LU</c:v>
                </c:pt>
                <c:pt idx="13">
                  <c:v>DE</c:v>
                </c:pt>
                <c:pt idx="14">
                  <c:v>AT</c:v>
                </c:pt>
                <c:pt idx="15">
                  <c:v>FI</c:v>
                </c:pt>
                <c:pt idx="16">
                  <c:v>EE</c:v>
                </c:pt>
                <c:pt idx="17">
                  <c:v>FR</c:v>
                </c:pt>
                <c:pt idx="18">
                  <c:v>LV</c:v>
                </c:pt>
                <c:pt idx="19">
                  <c:v>LT</c:v>
                </c:pt>
                <c:pt idx="20">
                  <c:v>HU</c:v>
                </c:pt>
              </c:strCache>
            </c:strRef>
          </c:cat>
          <c:val>
            <c:numRef>
              <c:extLst>
                <c:ext xmlns:c15="http://schemas.microsoft.com/office/drawing/2012/chart" uri="{02D57815-91ED-43cb-92C2-25804820EDAC}">
                  <c15:fullRef>
                    <c15:sqref>'1Cross'!$C$41:$C$69</c15:sqref>
                  </c15:fullRef>
                </c:ext>
              </c:extLst>
              <c:f>'1Cross'!$C$49:$C$69</c:f>
              <c:numCache>
                <c:formatCode>General</c:formatCode>
                <c:ptCount val="21"/>
                <c:pt idx="0">
                  <c:v>1.0104123808023298</c:v>
                </c:pt>
                <c:pt idx="1">
                  <c:v>1.6942098979905715</c:v>
                </c:pt>
                <c:pt idx="2">
                  <c:v>2.3723706605064598</c:v>
                </c:pt>
                <c:pt idx="3">
                  <c:v>0.75577205303893757</c:v>
                </c:pt>
                <c:pt idx="4">
                  <c:v>1.6647705593685156</c:v>
                </c:pt>
                <c:pt idx="5">
                  <c:v>1.7608154234504292</c:v>
                </c:pt>
                <c:pt idx="6">
                  <c:v>1.8762948618205961</c:v>
                </c:pt>
                <c:pt idx="7">
                  <c:v>0.73848195880842593</c:v>
                </c:pt>
                <c:pt idx="8">
                  <c:v>2.3756448304070346</c:v>
                </c:pt>
                <c:pt idx="9">
                  <c:v>0.70800073725099166</c:v>
                </c:pt>
                <c:pt idx="10">
                  <c:v>1.8591212509285036</c:v>
                </c:pt>
                <c:pt idx="11">
                  <c:v>1.1591095437536814</c:v>
                </c:pt>
                <c:pt idx="12">
                  <c:v>1.8809239920002523</c:v>
                </c:pt>
                <c:pt idx="13">
                  <c:v>0.83796069764858772</c:v>
                </c:pt>
                <c:pt idx="14">
                  <c:v>1.8725383772899549</c:v>
                </c:pt>
                <c:pt idx="15">
                  <c:v>1.8002256504988021</c:v>
                </c:pt>
                <c:pt idx="16">
                  <c:v>1.2307576473337651</c:v>
                </c:pt>
                <c:pt idx="17">
                  <c:v>1.527852959594066</c:v>
                </c:pt>
                <c:pt idx="18">
                  <c:v>1.3338340627050325</c:v>
                </c:pt>
                <c:pt idx="19">
                  <c:v>1.066709013371774</c:v>
                </c:pt>
                <c:pt idx="20">
                  <c:v>1.5042242873058123E-2</c:v>
                </c:pt>
              </c:numCache>
            </c:numRef>
          </c:val>
          <c:smooth val="0"/>
          <c:extLst>
            <c:ext xmlns:c16="http://schemas.microsoft.com/office/drawing/2014/chart" uri="{C3380CC4-5D6E-409C-BE32-E72D297353CC}">
              <c16:uniqueId val="{0000006F-29B6-4D42-92AC-B3F7CFAC4715}"/>
            </c:ext>
          </c:extLst>
        </c:ser>
        <c:dLbls>
          <c:showLegendKey val="0"/>
          <c:showVal val="0"/>
          <c:showCatName val="0"/>
          <c:showSerName val="0"/>
          <c:showPercent val="0"/>
          <c:showBubbleSize val="0"/>
        </c:dLbls>
        <c:marker val="1"/>
        <c:smooth val="0"/>
        <c:axId val="844305855"/>
        <c:axId val="892036479"/>
      </c:lineChart>
      <c:catAx>
        <c:axId val="844305855"/>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crossAx val="892036479"/>
        <c:crosses val="autoZero"/>
        <c:auto val="1"/>
        <c:lblAlgn val="ctr"/>
        <c:lblOffset val="100"/>
        <c:noMultiLvlLbl val="0"/>
      </c:catAx>
      <c:valAx>
        <c:axId val="89203647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s-ES_tradnl" sz="1050"/>
                  <a:t>TTB elasticities (percentage)</a:t>
                </a:r>
              </a:p>
            </c:rich>
          </c:tx>
          <c:overlay val="0"/>
          <c:spPr>
            <a:noFill/>
            <a:ln>
              <a:noFill/>
            </a:ln>
            <a:effectLst/>
          </c:spPr>
        </c:title>
        <c:numFmt formatCode="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crossAx val="844305855"/>
        <c:crosses val="autoZero"/>
        <c:crossBetween val="between"/>
        <c:majorUnit val="0.5"/>
      </c:valAx>
    </c:plotArea>
    <c:legend>
      <c:legendPos val="b"/>
      <c:layout>
        <c:manualLayout>
          <c:xMode val="edge"/>
          <c:yMode val="edge"/>
          <c:x val="0.11907345360312559"/>
          <c:y val="0.80686064386488099"/>
          <c:w val="0.79638981436564438"/>
          <c:h val="0.14030330114401846"/>
        </c:manualLayout>
      </c:layout>
      <c:overlay val="0"/>
      <c:spPr>
        <a:noFill/>
        <a:ln>
          <a:noFill/>
        </a:ln>
        <a:effectLst/>
      </c:spPr>
      <c:txPr>
        <a:bodyPr rot="0" spcFirstLastPara="1" vertOverflow="ellipsis" vert="horz" wrap="square" anchor="ctr" anchorCtr="1"/>
        <a:lstStyle/>
        <a:p>
          <a:pPr>
            <a:defRPr sz="9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legend>
    <c:plotVisOnly val="1"/>
    <c:dispBlanksAs val="gap"/>
    <c:showDLblsOverMax val="0"/>
    <c:extLst/>
  </c:chart>
  <c:spPr>
    <a:solidFill>
      <a:schemeClr val="bg1"/>
    </a:solidFill>
    <a:ln w="9525" cap="flat" cmpd="sng" algn="ctr">
      <a:noFill/>
      <a:round/>
    </a:ln>
    <a:effectLst/>
  </c:spPr>
  <c:txPr>
    <a:bodyPr/>
    <a:lstStyle/>
    <a:p>
      <a:pPr>
        <a:defRPr>
          <a:solidFill>
            <a:sysClr val="windowText" lastClr="000000"/>
          </a:solidFill>
          <a:latin typeface="Times New Roman" panose="02020603050405020304" pitchFamily="18" charset="0"/>
          <a:cs typeface="Times New Roman" panose="02020603050405020304" pitchFamily="18" charset="0"/>
        </a:defRPr>
      </a:pPr>
      <a:endParaRPr lang="es-ES_tradnl"/>
    </a:p>
  </c:txPr>
  <c:printSettings>
    <c:headerFooter/>
    <c:pageMargins b="0.75" l="0.25" r="0.25" t="0.75" header="0.3" footer="0.3"/>
    <c:pageSetup paperSize="9" orientation="landscape"/>
  </c:printSettings>
  <c:extLst/>
</c:chartSpace>
</file>

<file path=xl/charts/chart7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28575" cap="rnd">
            <a:noFill/>
            <a:round/>
          </a:ln>
          <a:effectLst/>
        </c:spPr>
        <c:marker>
          <c:symbol val="dash"/>
          <c:size val="7"/>
          <c:spPr>
            <a:solidFill>
              <a:srgbClr val="3B3838"/>
            </a:solidFill>
            <a:ln w="9525">
              <a:solidFill>
                <a:srgbClr val="3B3838"/>
              </a:solidFill>
            </a:ln>
            <a:effectLst/>
          </c:spPr>
        </c:marker>
        <c:dLbl>
          <c:idx val="0"/>
          <c:delete val="1"/>
          <c:extLst>
            <c:ext xmlns:c15="http://schemas.microsoft.com/office/drawing/2012/chart" uri="{CE6537A1-D6FC-4f65-9D91-7224C49458BB}"/>
          </c:extLst>
        </c:dLbl>
      </c:pivotFmt>
      <c:pivotFmt>
        <c:idx val="1"/>
        <c:spPr>
          <a:solidFill>
            <a:srgbClr val="E7E6E6"/>
          </a:solidFill>
          <a:ln w="25400">
            <a:noFill/>
          </a:ln>
          <a:effectLst/>
        </c:spPr>
        <c:marker>
          <c:symbol val="none"/>
        </c:marker>
        <c:dLbl>
          <c:idx val="0"/>
          <c:delete val="1"/>
          <c:extLst>
            <c:ext xmlns:c15="http://schemas.microsoft.com/office/drawing/2012/chart" uri="{CE6537A1-D6FC-4f65-9D91-7224C49458BB}"/>
          </c:extLst>
        </c:dLbl>
      </c:pivotFmt>
      <c:pivotFmt>
        <c:idx val="2"/>
        <c:spPr>
          <a:solidFill>
            <a:schemeClr val="accent2">
              <a:lumMod val="75000"/>
            </a:schemeClr>
          </a:solidFill>
          <a:ln w="25400">
            <a:noFill/>
          </a:ln>
          <a:effectLst/>
        </c:spPr>
        <c:marker>
          <c:symbol val="none"/>
        </c:marker>
        <c:dLbl>
          <c:idx val="0"/>
          <c:delete val="1"/>
          <c:extLst>
            <c:ext xmlns:c15="http://schemas.microsoft.com/office/drawing/2012/chart" uri="{CE6537A1-D6FC-4f65-9D91-7224C49458BB}"/>
          </c:extLst>
        </c:dLbl>
      </c:pivotFmt>
      <c:pivotFmt>
        <c:idx val="3"/>
        <c:spPr>
          <a:solidFill>
            <a:schemeClr val="accent5">
              <a:lumMod val="75000"/>
            </a:schemeClr>
          </a:solidFill>
          <a:ln w="25400">
            <a:noFill/>
          </a:ln>
          <a:effectLst/>
        </c:spPr>
        <c:marker>
          <c:symbol val="none"/>
        </c:marker>
        <c:dLbl>
          <c:idx val="0"/>
          <c:delete val="1"/>
          <c:extLst>
            <c:ext xmlns:c15="http://schemas.microsoft.com/office/drawing/2012/chart" uri="{CE6537A1-D6FC-4f65-9D91-7224C49458BB}"/>
          </c:extLst>
        </c:dLbl>
      </c:pivotFmt>
      <c:pivotFmt>
        <c:idx val="4"/>
        <c:spPr>
          <a:solidFill>
            <a:schemeClr val="accent5">
              <a:lumMod val="60000"/>
              <a:lumOff val="40000"/>
            </a:schemeClr>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5">
              <a:lumMod val="40000"/>
              <a:lumOff val="60000"/>
            </a:schemeClr>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tx2">
              <a:lumMod val="20000"/>
              <a:lumOff val="80000"/>
            </a:schemeClr>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5">
              <a:lumMod val="20000"/>
              <a:lumOff val="80000"/>
            </a:schemeClr>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w="25400">
            <a:noFill/>
          </a:ln>
          <a:effectLst/>
        </c:spPr>
        <c:marker>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9"/>
        <c:spPr>
          <a:solidFill>
            <a:schemeClr val="accent1"/>
          </a:solidFill>
          <a:ln w="28575" cap="rnd">
            <a:noFill/>
            <a:round/>
          </a:ln>
          <a:effectLst/>
        </c:spPr>
        <c:marker>
          <c:symbol val="dash"/>
          <c:size val="7"/>
          <c:spPr>
            <a:solidFill>
              <a:srgbClr val="3B3838"/>
            </a:solidFill>
            <a:ln w="9525">
              <a:solidFill>
                <a:srgbClr val="3B3838"/>
              </a:solidFill>
            </a:ln>
            <a:effectLst/>
          </c:spPr>
        </c:marker>
      </c:pivotFmt>
      <c:pivotFmt>
        <c:idx val="10"/>
        <c:spPr>
          <a:solidFill>
            <a:srgbClr val="E7E6E6"/>
          </a:solidFill>
          <a:ln w="25400">
            <a:noFill/>
          </a:ln>
          <a:effectLst/>
        </c:spPr>
        <c:marker>
          <c:symbol val="none"/>
        </c:marker>
        <c:dLbl>
          <c:idx val="0"/>
          <c:delete val="1"/>
          <c:extLst>
            <c:ext xmlns:c15="http://schemas.microsoft.com/office/drawing/2012/chart" uri="{CE6537A1-D6FC-4f65-9D91-7224C49458BB}"/>
          </c:extLst>
        </c:dLbl>
      </c:pivotFmt>
      <c:pivotFmt>
        <c:idx val="11"/>
        <c:spPr>
          <a:solidFill>
            <a:schemeClr val="accent2">
              <a:lumMod val="75000"/>
            </a:schemeClr>
          </a:solidFill>
          <a:ln w="25400">
            <a:noFill/>
          </a:ln>
          <a:effectLst/>
        </c:spPr>
        <c:marker>
          <c:symbol val="none"/>
        </c:marker>
        <c:dLbl>
          <c:idx val="0"/>
          <c:delete val="1"/>
          <c:extLst>
            <c:ext xmlns:c15="http://schemas.microsoft.com/office/drawing/2012/chart" uri="{CE6537A1-D6FC-4f65-9D91-7224C49458BB}"/>
          </c:extLst>
        </c:dLbl>
      </c:pivotFmt>
      <c:pivotFmt>
        <c:idx val="12"/>
        <c:spPr>
          <a:solidFill>
            <a:schemeClr val="accent5">
              <a:lumMod val="75000"/>
            </a:schemeClr>
          </a:solidFill>
          <a:ln w="25400">
            <a:noFill/>
          </a:ln>
          <a:effectLst/>
        </c:spPr>
        <c:marker>
          <c:symbol val="none"/>
        </c:marker>
        <c:dLbl>
          <c:idx val="0"/>
          <c:delete val="1"/>
          <c:extLst>
            <c:ext xmlns:c15="http://schemas.microsoft.com/office/drawing/2012/chart" uri="{CE6537A1-D6FC-4f65-9D91-7224C49458BB}"/>
          </c:extLst>
        </c:dLbl>
      </c:pivotFmt>
      <c:pivotFmt>
        <c:idx val="13"/>
        <c:spPr>
          <a:solidFill>
            <a:schemeClr val="accent5">
              <a:lumMod val="60000"/>
              <a:lumOff val="40000"/>
            </a:schemeClr>
          </a:solidFill>
          <a:ln>
            <a:noFill/>
          </a:ln>
          <a:effectLst/>
        </c:spPr>
        <c:marker>
          <c:symbol val="none"/>
        </c:marker>
        <c:dLbl>
          <c:idx val="0"/>
          <c:delete val="1"/>
          <c:extLst>
            <c:ext xmlns:c15="http://schemas.microsoft.com/office/drawing/2012/chart" uri="{CE6537A1-D6FC-4f65-9D91-7224C49458BB}"/>
          </c:extLst>
        </c:dLbl>
      </c:pivotFmt>
      <c:pivotFmt>
        <c:idx val="14"/>
        <c:spPr>
          <a:solidFill>
            <a:schemeClr val="accent5">
              <a:lumMod val="40000"/>
              <a:lumOff val="60000"/>
            </a:schemeClr>
          </a:solidFill>
          <a:ln>
            <a:noFill/>
          </a:ln>
          <a:effectLst/>
        </c:spPr>
        <c:marker>
          <c:symbol val="none"/>
        </c:marker>
        <c:dLbl>
          <c:idx val="0"/>
          <c:delete val="1"/>
          <c:extLst>
            <c:ext xmlns:c15="http://schemas.microsoft.com/office/drawing/2012/chart" uri="{CE6537A1-D6FC-4f65-9D91-7224C49458BB}"/>
          </c:extLst>
        </c:dLbl>
      </c:pivotFmt>
      <c:pivotFmt>
        <c:idx val="15"/>
        <c:spPr>
          <a:solidFill>
            <a:schemeClr val="accent5">
              <a:lumMod val="20000"/>
              <a:lumOff val="80000"/>
            </a:schemeClr>
          </a:solidFill>
          <a:ln>
            <a:noFill/>
          </a:ln>
          <a:effectLst/>
        </c:spPr>
        <c:marker>
          <c:symbol val="none"/>
        </c:marker>
        <c:dLbl>
          <c:idx val="0"/>
          <c:delete val="1"/>
          <c:extLst>
            <c:ext xmlns:c15="http://schemas.microsoft.com/office/drawing/2012/chart" uri="{CE6537A1-D6FC-4f65-9D91-7224C49458BB}"/>
          </c:extLst>
        </c:dLbl>
      </c:pivotFmt>
      <c:pivotFmt>
        <c:idx val="16"/>
        <c:spPr>
          <a:solidFill>
            <a:schemeClr val="tx2">
              <a:lumMod val="20000"/>
              <a:lumOff val="80000"/>
            </a:schemeClr>
          </a:solidFill>
          <a:ln>
            <a:noFill/>
          </a:ln>
          <a:effectLst/>
        </c:spPr>
        <c:marker>
          <c:symbol val="none"/>
        </c:marker>
        <c:dLbl>
          <c:idx val="0"/>
          <c:delete val="1"/>
          <c:extLst>
            <c:ext xmlns:c15="http://schemas.microsoft.com/office/drawing/2012/chart" uri="{CE6537A1-D6FC-4f65-9D91-7224C49458BB}"/>
          </c:extLst>
        </c:dLbl>
      </c:pivotFmt>
      <c:pivotFmt>
        <c:idx val="17"/>
        <c:spPr>
          <a:solidFill>
            <a:schemeClr val="accent1"/>
          </a:solidFill>
          <a:ln w="28575" cap="rnd">
            <a:noFill/>
            <a:round/>
          </a:ln>
          <a:effectLst/>
        </c:spPr>
        <c:marker>
          <c:symbol val="dash"/>
          <c:size val="7"/>
          <c:spPr>
            <a:solidFill>
              <a:srgbClr val="3B3838"/>
            </a:solidFill>
            <a:ln w="9525">
              <a:solidFill>
                <a:srgbClr val="3B3838"/>
              </a:solidFill>
            </a:ln>
            <a:effectLst/>
          </c:spPr>
        </c:marker>
        <c:dLbl>
          <c:idx val="0"/>
          <c:delete val="1"/>
          <c:extLst>
            <c:ext xmlns:c15="http://schemas.microsoft.com/office/drawing/2012/chart" uri="{CE6537A1-D6FC-4f65-9D91-7224C49458BB}"/>
          </c:extLst>
        </c:dLbl>
      </c:pivotFmt>
      <c:pivotFmt>
        <c:idx val="18"/>
        <c:spPr>
          <a:solidFill>
            <a:srgbClr val="E7E6E6"/>
          </a:solidFill>
          <a:ln w="25400">
            <a:noFill/>
          </a:ln>
          <a:effectLst/>
        </c:spPr>
        <c:marker>
          <c:symbol val="none"/>
        </c:marker>
        <c:dLbl>
          <c:idx val="0"/>
          <c:delete val="1"/>
          <c:extLst>
            <c:ext xmlns:c15="http://schemas.microsoft.com/office/drawing/2012/chart" uri="{CE6537A1-D6FC-4f65-9D91-7224C49458BB}"/>
          </c:extLst>
        </c:dLbl>
      </c:pivotFmt>
      <c:pivotFmt>
        <c:idx val="19"/>
        <c:spPr>
          <a:solidFill>
            <a:schemeClr val="accent2">
              <a:lumMod val="75000"/>
            </a:schemeClr>
          </a:solidFill>
          <a:ln w="25400">
            <a:noFill/>
          </a:ln>
          <a:effectLst/>
        </c:spPr>
        <c:marker>
          <c:symbol val="none"/>
        </c:marker>
        <c:dLbl>
          <c:idx val="0"/>
          <c:delete val="1"/>
          <c:extLst>
            <c:ext xmlns:c15="http://schemas.microsoft.com/office/drawing/2012/chart" uri="{CE6537A1-D6FC-4f65-9D91-7224C49458BB}"/>
          </c:extLst>
        </c:dLbl>
      </c:pivotFmt>
      <c:pivotFmt>
        <c:idx val="20"/>
        <c:spPr>
          <a:solidFill>
            <a:schemeClr val="accent5">
              <a:lumMod val="75000"/>
            </a:schemeClr>
          </a:solidFill>
          <a:ln w="25400">
            <a:noFill/>
          </a:ln>
          <a:effectLst/>
        </c:spPr>
        <c:marker>
          <c:symbol val="none"/>
        </c:marker>
        <c:dLbl>
          <c:idx val="0"/>
          <c:delete val="1"/>
          <c:extLst>
            <c:ext xmlns:c15="http://schemas.microsoft.com/office/drawing/2012/chart" uri="{CE6537A1-D6FC-4f65-9D91-7224C49458BB}"/>
          </c:extLst>
        </c:dLbl>
      </c:pivotFmt>
      <c:pivotFmt>
        <c:idx val="21"/>
        <c:spPr>
          <a:solidFill>
            <a:schemeClr val="accent5">
              <a:lumMod val="60000"/>
              <a:lumOff val="40000"/>
            </a:schemeClr>
          </a:solidFill>
          <a:ln>
            <a:noFill/>
          </a:ln>
          <a:effectLst/>
        </c:spPr>
        <c:marker>
          <c:symbol val="none"/>
        </c:marker>
        <c:dLbl>
          <c:idx val="0"/>
          <c:delete val="1"/>
          <c:extLst>
            <c:ext xmlns:c15="http://schemas.microsoft.com/office/drawing/2012/chart" uri="{CE6537A1-D6FC-4f65-9D91-7224C49458BB}"/>
          </c:extLst>
        </c:dLbl>
      </c:pivotFmt>
      <c:pivotFmt>
        <c:idx val="22"/>
        <c:spPr>
          <a:solidFill>
            <a:schemeClr val="accent5">
              <a:lumMod val="40000"/>
              <a:lumOff val="60000"/>
            </a:schemeClr>
          </a:solidFill>
          <a:ln>
            <a:noFill/>
          </a:ln>
          <a:effectLst/>
        </c:spPr>
        <c:marker>
          <c:symbol val="none"/>
        </c:marker>
        <c:dLbl>
          <c:idx val="0"/>
          <c:delete val="1"/>
          <c:extLst>
            <c:ext xmlns:c15="http://schemas.microsoft.com/office/drawing/2012/chart" uri="{CE6537A1-D6FC-4f65-9D91-7224C49458BB}"/>
          </c:extLst>
        </c:dLbl>
      </c:pivotFmt>
      <c:pivotFmt>
        <c:idx val="23"/>
        <c:spPr>
          <a:solidFill>
            <a:schemeClr val="accent5">
              <a:lumMod val="20000"/>
              <a:lumOff val="80000"/>
            </a:schemeClr>
          </a:solidFill>
          <a:ln>
            <a:noFill/>
          </a:ln>
          <a:effectLst/>
        </c:spPr>
        <c:marker>
          <c:symbol val="none"/>
        </c:marker>
        <c:dLbl>
          <c:idx val="0"/>
          <c:delete val="1"/>
          <c:extLst>
            <c:ext xmlns:c15="http://schemas.microsoft.com/office/drawing/2012/chart" uri="{CE6537A1-D6FC-4f65-9D91-7224C49458BB}"/>
          </c:extLst>
        </c:dLbl>
      </c:pivotFmt>
      <c:pivotFmt>
        <c:idx val="24"/>
        <c:spPr>
          <a:solidFill>
            <a:schemeClr val="tx2">
              <a:lumMod val="20000"/>
              <a:lumOff val="80000"/>
            </a:schemeClr>
          </a:solidFill>
          <a:ln>
            <a:noFill/>
          </a:ln>
          <a:effectLst/>
        </c:spPr>
        <c:marker>
          <c:symbol val="none"/>
        </c:marker>
        <c:dLbl>
          <c:idx val="0"/>
          <c:delete val="1"/>
          <c:extLst>
            <c:ext xmlns:c15="http://schemas.microsoft.com/office/drawing/2012/chart" uri="{CE6537A1-D6FC-4f65-9D91-7224C49458BB}"/>
          </c:extLst>
        </c:dLbl>
      </c:pivotFmt>
      <c:pivotFmt>
        <c:idx val="25"/>
        <c:spPr>
          <a:solidFill>
            <a:schemeClr val="accent1"/>
          </a:solidFill>
          <a:ln w="28575" cap="rnd">
            <a:noFill/>
            <a:round/>
          </a:ln>
          <a:effectLst/>
        </c:spPr>
        <c:marker>
          <c:symbol val="dash"/>
          <c:size val="7"/>
          <c:spPr>
            <a:solidFill>
              <a:srgbClr val="3B3838"/>
            </a:solidFill>
            <a:ln w="9525">
              <a:solidFill>
                <a:srgbClr val="3B3838"/>
              </a:solidFill>
            </a:ln>
            <a:effectLst/>
          </c:spPr>
        </c:marker>
        <c:dLbl>
          <c:idx val="0"/>
          <c:delete val="1"/>
          <c:extLst>
            <c:ext xmlns:c15="http://schemas.microsoft.com/office/drawing/2012/chart" uri="{CE6537A1-D6FC-4f65-9D91-7224C49458BB}"/>
          </c:extLst>
        </c:dLbl>
      </c:pivotFmt>
      <c:pivotFmt>
        <c:idx val="26"/>
        <c:spPr>
          <a:solidFill>
            <a:srgbClr val="E7E6E6"/>
          </a:solidFill>
          <a:ln w="25400">
            <a:noFill/>
          </a:ln>
          <a:effectLst/>
        </c:spPr>
        <c:marker>
          <c:symbol val="none"/>
        </c:marker>
        <c:dLbl>
          <c:idx val="0"/>
          <c:delete val="1"/>
          <c:extLst>
            <c:ext xmlns:c15="http://schemas.microsoft.com/office/drawing/2012/chart" uri="{CE6537A1-D6FC-4f65-9D91-7224C49458BB}"/>
          </c:extLst>
        </c:dLbl>
      </c:pivotFmt>
      <c:pivotFmt>
        <c:idx val="27"/>
        <c:spPr>
          <a:solidFill>
            <a:schemeClr val="accent2">
              <a:lumMod val="75000"/>
            </a:schemeClr>
          </a:solidFill>
          <a:ln w="25400">
            <a:noFill/>
          </a:ln>
          <a:effectLst/>
        </c:spPr>
        <c:marker>
          <c:symbol val="none"/>
        </c:marker>
        <c:dLbl>
          <c:idx val="0"/>
          <c:delete val="1"/>
          <c:extLst>
            <c:ext xmlns:c15="http://schemas.microsoft.com/office/drawing/2012/chart" uri="{CE6537A1-D6FC-4f65-9D91-7224C49458BB}"/>
          </c:extLst>
        </c:dLbl>
      </c:pivotFmt>
      <c:pivotFmt>
        <c:idx val="28"/>
        <c:spPr>
          <a:solidFill>
            <a:schemeClr val="accent5">
              <a:lumMod val="75000"/>
            </a:schemeClr>
          </a:solidFill>
          <a:ln w="25400">
            <a:noFill/>
          </a:ln>
          <a:effectLst/>
        </c:spPr>
        <c:marker>
          <c:symbol val="none"/>
        </c:marker>
        <c:dLbl>
          <c:idx val="0"/>
          <c:delete val="1"/>
          <c:extLst>
            <c:ext xmlns:c15="http://schemas.microsoft.com/office/drawing/2012/chart" uri="{CE6537A1-D6FC-4f65-9D91-7224C49458BB}"/>
          </c:extLst>
        </c:dLbl>
      </c:pivotFmt>
      <c:pivotFmt>
        <c:idx val="29"/>
        <c:spPr>
          <a:solidFill>
            <a:schemeClr val="accent5">
              <a:lumMod val="60000"/>
              <a:lumOff val="40000"/>
            </a:schemeClr>
          </a:solidFill>
          <a:ln>
            <a:noFill/>
          </a:ln>
          <a:effectLst/>
        </c:spPr>
        <c:marker>
          <c:symbol val="none"/>
        </c:marker>
        <c:dLbl>
          <c:idx val="0"/>
          <c:delete val="1"/>
          <c:extLst>
            <c:ext xmlns:c15="http://schemas.microsoft.com/office/drawing/2012/chart" uri="{CE6537A1-D6FC-4f65-9D91-7224C49458BB}"/>
          </c:extLst>
        </c:dLbl>
      </c:pivotFmt>
      <c:pivotFmt>
        <c:idx val="30"/>
        <c:spPr>
          <a:solidFill>
            <a:schemeClr val="accent5">
              <a:lumMod val="40000"/>
              <a:lumOff val="60000"/>
            </a:schemeClr>
          </a:solidFill>
          <a:ln>
            <a:noFill/>
          </a:ln>
          <a:effectLst/>
        </c:spPr>
        <c:marker>
          <c:symbol val="none"/>
        </c:marker>
        <c:dLbl>
          <c:idx val="0"/>
          <c:delete val="1"/>
          <c:extLst>
            <c:ext xmlns:c15="http://schemas.microsoft.com/office/drawing/2012/chart" uri="{CE6537A1-D6FC-4f65-9D91-7224C49458BB}"/>
          </c:extLst>
        </c:dLbl>
      </c:pivotFmt>
      <c:pivotFmt>
        <c:idx val="31"/>
        <c:spPr>
          <a:solidFill>
            <a:schemeClr val="accent5">
              <a:lumMod val="20000"/>
              <a:lumOff val="80000"/>
            </a:schemeClr>
          </a:solidFill>
          <a:ln>
            <a:noFill/>
          </a:ln>
          <a:effectLst/>
        </c:spPr>
        <c:marker>
          <c:symbol val="none"/>
        </c:marker>
        <c:dLbl>
          <c:idx val="0"/>
          <c:delete val="1"/>
          <c:extLst>
            <c:ext xmlns:c15="http://schemas.microsoft.com/office/drawing/2012/chart" uri="{CE6537A1-D6FC-4f65-9D91-7224C49458BB}"/>
          </c:extLst>
        </c:dLbl>
      </c:pivotFmt>
      <c:pivotFmt>
        <c:idx val="32"/>
        <c:spPr>
          <a:solidFill>
            <a:schemeClr val="tx2">
              <a:lumMod val="20000"/>
              <a:lumOff val="80000"/>
            </a:schemeClr>
          </a:solidFill>
          <a:ln>
            <a:noFill/>
          </a:ln>
          <a:effectLst/>
        </c:spPr>
        <c:marker>
          <c:symbol val="none"/>
        </c:marker>
        <c:dLbl>
          <c:idx val="0"/>
          <c:delete val="1"/>
          <c:extLst>
            <c:ext xmlns:c15="http://schemas.microsoft.com/office/drawing/2012/chart" uri="{CE6537A1-D6FC-4f65-9D91-7224C49458BB}"/>
          </c:extLst>
        </c:dLbl>
      </c:pivotFmt>
      <c:pivotFmt>
        <c:idx val="33"/>
        <c:spPr>
          <a:solidFill>
            <a:schemeClr val="accent1"/>
          </a:solidFill>
          <a:ln w="28575" cap="rnd">
            <a:noFill/>
            <a:round/>
          </a:ln>
          <a:effectLst/>
        </c:spPr>
        <c:marker>
          <c:symbol val="dash"/>
          <c:size val="7"/>
          <c:spPr>
            <a:solidFill>
              <a:srgbClr val="3B3838"/>
            </a:solidFill>
            <a:ln w="9525">
              <a:solidFill>
                <a:srgbClr val="3B3838"/>
              </a:solidFill>
            </a:ln>
            <a:effectLst/>
          </c:spPr>
        </c:marker>
        <c:dLbl>
          <c:idx val="0"/>
          <c:delete val="1"/>
          <c:extLst>
            <c:ext xmlns:c15="http://schemas.microsoft.com/office/drawing/2012/chart" uri="{CE6537A1-D6FC-4f65-9D91-7224C49458BB}"/>
          </c:extLst>
        </c:dLbl>
      </c:pivotFmt>
      <c:pivotFmt>
        <c:idx val="34"/>
        <c:spPr>
          <a:solidFill>
            <a:srgbClr val="E7E6E6"/>
          </a:solidFill>
          <a:ln w="25400">
            <a:noFill/>
          </a:ln>
          <a:effectLst/>
        </c:spPr>
        <c:marker>
          <c:symbol val="none"/>
        </c:marker>
        <c:dLbl>
          <c:idx val="0"/>
          <c:delete val="1"/>
          <c:extLst>
            <c:ext xmlns:c15="http://schemas.microsoft.com/office/drawing/2012/chart" uri="{CE6537A1-D6FC-4f65-9D91-7224C49458BB}"/>
          </c:extLst>
        </c:dLbl>
      </c:pivotFmt>
      <c:pivotFmt>
        <c:idx val="35"/>
        <c:spPr>
          <a:solidFill>
            <a:schemeClr val="accent2">
              <a:lumMod val="75000"/>
            </a:schemeClr>
          </a:solidFill>
          <a:ln w="25400">
            <a:noFill/>
          </a:ln>
          <a:effectLst/>
        </c:spPr>
        <c:marker>
          <c:symbol val="none"/>
        </c:marker>
        <c:dLbl>
          <c:idx val="0"/>
          <c:delete val="1"/>
          <c:extLst>
            <c:ext xmlns:c15="http://schemas.microsoft.com/office/drawing/2012/chart" uri="{CE6537A1-D6FC-4f65-9D91-7224C49458BB}"/>
          </c:extLst>
        </c:dLbl>
      </c:pivotFmt>
      <c:pivotFmt>
        <c:idx val="36"/>
        <c:spPr>
          <a:solidFill>
            <a:schemeClr val="accent5">
              <a:lumMod val="75000"/>
            </a:schemeClr>
          </a:solidFill>
          <a:ln w="25400">
            <a:noFill/>
          </a:ln>
          <a:effectLst/>
        </c:spPr>
        <c:marker>
          <c:symbol val="none"/>
        </c:marker>
        <c:dLbl>
          <c:idx val="0"/>
          <c:delete val="1"/>
          <c:extLst>
            <c:ext xmlns:c15="http://schemas.microsoft.com/office/drawing/2012/chart" uri="{CE6537A1-D6FC-4f65-9D91-7224C49458BB}"/>
          </c:extLst>
        </c:dLbl>
      </c:pivotFmt>
      <c:pivotFmt>
        <c:idx val="37"/>
        <c:spPr>
          <a:solidFill>
            <a:schemeClr val="accent5">
              <a:lumMod val="60000"/>
              <a:lumOff val="40000"/>
            </a:schemeClr>
          </a:solidFill>
          <a:ln>
            <a:noFill/>
          </a:ln>
          <a:effectLst/>
        </c:spPr>
        <c:marker>
          <c:symbol val="none"/>
        </c:marker>
        <c:dLbl>
          <c:idx val="0"/>
          <c:delete val="1"/>
          <c:extLst>
            <c:ext xmlns:c15="http://schemas.microsoft.com/office/drawing/2012/chart" uri="{CE6537A1-D6FC-4f65-9D91-7224C49458BB}"/>
          </c:extLst>
        </c:dLbl>
      </c:pivotFmt>
      <c:pivotFmt>
        <c:idx val="38"/>
        <c:spPr>
          <a:solidFill>
            <a:schemeClr val="accent5">
              <a:lumMod val="40000"/>
              <a:lumOff val="60000"/>
            </a:schemeClr>
          </a:solidFill>
          <a:ln>
            <a:noFill/>
          </a:ln>
          <a:effectLst/>
        </c:spPr>
        <c:marker>
          <c:symbol val="none"/>
        </c:marker>
        <c:dLbl>
          <c:idx val="0"/>
          <c:delete val="1"/>
          <c:extLst>
            <c:ext xmlns:c15="http://schemas.microsoft.com/office/drawing/2012/chart" uri="{CE6537A1-D6FC-4f65-9D91-7224C49458BB}"/>
          </c:extLst>
        </c:dLbl>
      </c:pivotFmt>
      <c:pivotFmt>
        <c:idx val="39"/>
        <c:spPr>
          <a:solidFill>
            <a:schemeClr val="accent5">
              <a:lumMod val="20000"/>
              <a:lumOff val="80000"/>
            </a:schemeClr>
          </a:solidFill>
          <a:ln>
            <a:noFill/>
          </a:ln>
          <a:effectLst/>
        </c:spPr>
        <c:marker>
          <c:symbol val="none"/>
        </c:marker>
        <c:dLbl>
          <c:idx val="0"/>
          <c:delete val="1"/>
          <c:extLst>
            <c:ext xmlns:c15="http://schemas.microsoft.com/office/drawing/2012/chart" uri="{CE6537A1-D6FC-4f65-9D91-7224C49458BB}"/>
          </c:extLst>
        </c:dLbl>
      </c:pivotFmt>
      <c:pivotFmt>
        <c:idx val="40"/>
        <c:spPr>
          <a:solidFill>
            <a:schemeClr val="tx2">
              <a:lumMod val="20000"/>
              <a:lumOff val="80000"/>
            </a:schemeClr>
          </a:solidFill>
          <a:ln>
            <a:noFill/>
          </a:ln>
          <a:effectLst/>
        </c:spPr>
        <c:marker>
          <c:symbol val="none"/>
        </c:marker>
        <c:dLbl>
          <c:idx val="0"/>
          <c:delete val="1"/>
          <c:extLst>
            <c:ext xmlns:c15="http://schemas.microsoft.com/office/drawing/2012/chart" uri="{CE6537A1-D6FC-4f65-9D91-7224C49458BB}"/>
          </c:extLst>
        </c:dLbl>
      </c:pivotFmt>
      <c:pivotFmt>
        <c:idx val="41"/>
        <c:spPr>
          <a:solidFill>
            <a:schemeClr val="accent1"/>
          </a:solidFill>
          <a:ln w="28575" cap="rnd">
            <a:noFill/>
            <a:round/>
          </a:ln>
          <a:effectLst/>
        </c:spPr>
        <c:marker>
          <c:symbol val="dash"/>
          <c:size val="7"/>
          <c:spPr>
            <a:solidFill>
              <a:srgbClr val="3B3838"/>
            </a:solidFill>
            <a:ln w="9525">
              <a:solidFill>
                <a:srgbClr val="3B3838"/>
              </a:solidFill>
            </a:ln>
            <a:effectLst/>
          </c:spPr>
        </c:marker>
        <c:dLbl>
          <c:idx val="0"/>
          <c:delete val="1"/>
          <c:extLst>
            <c:ext xmlns:c15="http://schemas.microsoft.com/office/drawing/2012/chart" uri="{CE6537A1-D6FC-4f65-9D91-7224C49458BB}"/>
          </c:extLst>
        </c:dLbl>
      </c:pivotFmt>
      <c:pivotFmt>
        <c:idx val="42"/>
        <c:spPr>
          <a:solidFill>
            <a:srgbClr val="2F5597"/>
          </a:solidFill>
          <a:ln w="25400">
            <a:noFill/>
          </a:ln>
          <a:effectLst/>
        </c:spPr>
        <c:marker>
          <c:symbol val="none"/>
        </c:marker>
        <c:dLbl>
          <c:idx val="0"/>
          <c:delete val="1"/>
          <c:extLst>
            <c:ext xmlns:c15="http://schemas.microsoft.com/office/drawing/2012/chart" uri="{CE6537A1-D6FC-4f65-9D91-7224C49458BB}"/>
          </c:extLst>
        </c:dLbl>
      </c:pivotFmt>
      <c:pivotFmt>
        <c:idx val="43"/>
        <c:spPr>
          <a:solidFill>
            <a:schemeClr val="accent5">
              <a:lumMod val="60000"/>
              <a:lumOff val="40000"/>
            </a:schemeClr>
          </a:solidFill>
          <a:ln w="25400">
            <a:noFill/>
          </a:ln>
          <a:effectLst/>
        </c:spPr>
        <c:marker>
          <c:symbol val="none"/>
        </c:marker>
        <c:dLbl>
          <c:idx val="0"/>
          <c:delete val="1"/>
          <c:extLst>
            <c:ext xmlns:c15="http://schemas.microsoft.com/office/drawing/2012/chart" uri="{CE6537A1-D6FC-4f65-9D91-7224C49458BB}"/>
          </c:extLst>
        </c:dLbl>
      </c:pivotFmt>
      <c:pivotFmt>
        <c:idx val="44"/>
        <c:spPr>
          <a:solidFill>
            <a:schemeClr val="accent5">
              <a:lumMod val="40000"/>
              <a:lumOff val="60000"/>
            </a:schemeClr>
          </a:solidFill>
          <a:ln w="25400">
            <a:noFill/>
          </a:ln>
          <a:effectLst/>
        </c:spPr>
        <c:marker>
          <c:symbol val="none"/>
        </c:marker>
        <c:dLbl>
          <c:idx val="0"/>
          <c:delete val="1"/>
          <c:extLst>
            <c:ext xmlns:c15="http://schemas.microsoft.com/office/drawing/2012/chart" uri="{CE6537A1-D6FC-4f65-9D91-7224C49458BB}"/>
          </c:extLst>
        </c:dLbl>
      </c:pivotFmt>
      <c:pivotFmt>
        <c:idx val="45"/>
        <c:spPr>
          <a:solidFill>
            <a:schemeClr val="accent5">
              <a:lumMod val="20000"/>
              <a:lumOff val="80000"/>
            </a:schemeClr>
          </a:solidFill>
          <a:ln w="25400">
            <a:noFill/>
          </a:ln>
          <a:effectLst/>
        </c:spPr>
        <c:marker>
          <c:symbol val="none"/>
        </c:marker>
        <c:dLbl>
          <c:idx val="0"/>
          <c:delete val="1"/>
          <c:extLst>
            <c:ext xmlns:c15="http://schemas.microsoft.com/office/drawing/2012/chart" uri="{CE6537A1-D6FC-4f65-9D91-7224C49458BB}"/>
          </c:extLst>
        </c:dLbl>
      </c:pivotFmt>
      <c:pivotFmt>
        <c:idx val="46"/>
        <c:spPr>
          <a:solidFill>
            <a:schemeClr val="tx2">
              <a:lumMod val="40000"/>
              <a:lumOff val="60000"/>
            </a:schemeClr>
          </a:solidFill>
          <a:ln w="25400">
            <a:noFill/>
          </a:ln>
          <a:effectLst/>
        </c:spPr>
        <c:marker>
          <c:symbol val="none"/>
        </c:marker>
        <c:dLbl>
          <c:idx val="0"/>
          <c:delete val="1"/>
          <c:extLst>
            <c:ext xmlns:c15="http://schemas.microsoft.com/office/drawing/2012/chart" uri="{CE6537A1-D6FC-4f65-9D91-7224C49458BB}"/>
          </c:extLst>
        </c:dLbl>
      </c:pivotFmt>
      <c:pivotFmt>
        <c:idx val="47"/>
        <c:spPr>
          <a:solidFill>
            <a:schemeClr val="accent2">
              <a:lumMod val="75000"/>
            </a:schemeClr>
          </a:solidFill>
          <a:ln w="25400">
            <a:noFill/>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1246607287852706"/>
          <c:y val="4.8144708917560494E-2"/>
          <c:w val="0.85707992094084351"/>
          <c:h val="0.63607755923413178"/>
        </c:manualLayout>
      </c:layout>
      <c:barChart>
        <c:barDir val="col"/>
        <c:grouping val="percentStacked"/>
        <c:varyColors val="0"/>
        <c:ser>
          <c:idx val="1"/>
          <c:order val="0"/>
          <c:tx>
            <c:strRef>
              <c:f>'1Cross'!$C$76</c:f>
              <c:strCache>
                <c:ptCount val="1"/>
                <c:pt idx="0">
                  <c:v>By tax deduction/credit 1 </c:v>
                </c:pt>
              </c:strCache>
            </c:strRef>
          </c:tx>
          <c:spPr>
            <a:solidFill>
              <a:srgbClr val="2F5597"/>
            </a:solidFill>
            <a:ln w="25400">
              <a:noFill/>
            </a:ln>
            <a:effectLst/>
          </c:spPr>
          <c:invertIfNegative val="0"/>
          <c:cat>
            <c:strRef>
              <c:extLst>
                <c:ext xmlns:c15="http://schemas.microsoft.com/office/drawing/2012/chart" uri="{02D57815-91ED-43cb-92C2-25804820EDAC}">
                  <c15:fullRef>
                    <c15:sqref>'1Cross'!$A$77:$A$105</c15:sqref>
                  </c15:fullRef>
                </c:ext>
              </c:extLst>
              <c:f>'1Cross'!$A$77:$A$97</c:f>
              <c:strCache>
                <c:ptCount val="21"/>
                <c:pt idx="0">
                  <c:v>HU</c:v>
                </c:pt>
                <c:pt idx="1">
                  <c:v>EE</c:v>
                </c:pt>
                <c:pt idx="2">
                  <c:v>SK</c:v>
                </c:pt>
                <c:pt idx="3">
                  <c:v>HR</c:v>
                </c:pt>
                <c:pt idx="4">
                  <c:v>LV</c:v>
                </c:pt>
                <c:pt idx="5">
                  <c:v>EL</c:v>
                </c:pt>
                <c:pt idx="6">
                  <c:v>LT</c:v>
                </c:pt>
                <c:pt idx="7">
                  <c:v>IT</c:v>
                </c:pt>
                <c:pt idx="8">
                  <c:v>ES</c:v>
                </c:pt>
                <c:pt idx="9">
                  <c:v>SI</c:v>
                </c:pt>
                <c:pt idx="10">
                  <c:v>BE</c:v>
                </c:pt>
                <c:pt idx="11">
                  <c:v>PT</c:v>
                </c:pt>
                <c:pt idx="12">
                  <c:v>FI</c:v>
                </c:pt>
                <c:pt idx="13">
                  <c:v>IE</c:v>
                </c:pt>
                <c:pt idx="14">
                  <c:v>FR</c:v>
                </c:pt>
                <c:pt idx="15">
                  <c:v>NL</c:v>
                </c:pt>
                <c:pt idx="16">
                  <c:v>DE</c:v>
                </c:pt>
                <c:pt idx="17">
                  <c:v>AT</c:v>
                </c:pt>
                <c:pt idx="18">
                  <c:v>LU</c:v>
                </c:pt>
                <c:pt idx="19">
                  <c:v>MT</c:v>
                </c:pt>
                <c:pt idx="20">
                  <c:v>CY</c:v>
                </c:pt>
              </c:strCache>
            </c:strRef>
          </c:cat>
          <c:val>
            <c:numRef>
              <c:extLst>
                <c:ext xmlns:c15="http://schemas.microsoft.com/office/drawing/2012/chart" uri="{02D57815-91ED-43cb-92C2-25804820EDAC}">
                  <c15:fullRef>
                    <c15:sqref>'1Cross'!$C$77:$C$105</c15:sqref>
                  </c15:fullRef>
                </c:ext>
              </c:extLst>
              <c:f>'1Cross'!$C$77:$C$97</c:f>
              <c:numCache>
                <c:formatCode>0.000000</c:formatCode>
                <c:ptCount val="21"/>
                <c:pt idx="0">
                  <c:v>100</c:v>
                </c:pt>
                <c:pt idx="1">
                  <c:v>95.294433273378161</c:v>
                </c:pt>
                <c:pt idx="2">
                  <c:v>83.819490649804777</c:v>
                </c:pt>
                <c:pt idx="3">
                  <c:v>78.13438950053127</c:v>
                </c:pt>
                <c:pt idx="4">
                  <c:v>68.349299213704612</c:v>
                </c:pt>
                <c:pt idx="5">
                  <c:v>80.340282776313543</c:v>
                </c:pt>
                <c:pt idx="6">
                  <c:v>72.615948570489692</c:v>
                </c:pt>
                <c:pt idx="7">
                  <c:v>35.374929883221064</c:v>
                </c:pt>
                <c:pt idx="8">
                  <c:v>27.29465800871035</c:v>
                </c:pt>
                <c:pt idx="9">
                  <c:v>50.69057912783984</c:v>
                </c:pt>
                <c:pt idx="10">
                  <c:v>43.778891745584083</c:v>
                </c:pt>
                <c:pt idx="11">
                  <c:v>29.247626957288336</c:v>
                </c:pt>
                <c:pt idx="12">
                  <c:v>15.086056851233973</c:v>
                </c:pt>
                <c:pt idx="13">
                  <c:v>38.406962092154181</c:v>
                </c:pt>
                <c:pt idx="14">
                  <c:v>11.624573119048547</c:v>
                </c:pt>
                <c:pt idx="15">
                  <c:v>20.284674971722286</c:v>
                </c:pt>
                <c:pt idx="16">
                  <c:v>17.513614435761543</c:v>
                </c:pt>
                <c:pt idx="17">
                  <c:v>5.7827261666010061</c:v>
                </c:pt>
                <c:pt idx="18">
                  <c:v>7.1269247421502397</c:v>
                </c:pt>
                <c:pt idx="19">
                  <c:v>1.4935858415459704</c:v>
                </c:pt>
                <c:pt idx="20">
                  <c:v>0.20307750656318518</c:v>
                </c:pt>
              </c:numCache>
            </c:numRef>
          </c:val>
          <c:extLst>
            <c:ext xmlns:c16="http://schemas.microsoft.com/office/drawing/2014/chart" uri="{C3380CC4-5D6E-409C-BE32-E72D297353CC}">
              <c16:uniqueId val="{0000000D-B9B3-4FE1-98BB-8B4306A45E20}"/>
            </c:ext>
          </c:extLst>
        </c:ser>
        <c:ser>
          <c:idx val="2"/>
          <c:order val="1"/>
          <c:tx>
            <c:strRef>
              <c:f>'1Cross'!$D$76</c:f>
              <c:strCache>
                <c:ptCount val="1"/>
                <c:pt idx="0">
                  <c:v>By tax deduction/credit 2 </c:v>
                </c:pt>
              </c:strCache>
            </c:strRef>
          </c:tx>
          <c:spPr>
            <a:solidFill>
              <a:schemeClr val="accent5">
                <a:lumMod val="60000"/>
                <a:lumOff val="40000"/>
              </a:schemeClr>
            </a:solidFill>
            <a:ln w="25400">
              <a:noFill/>
            </a:ln>
            <a:effectLst/>
          </c:spPr>
          <c:invertIfNegative val="0"/>
          <c:cat>
            <c:strRef>
              <c:extLst>
                <c:ext xmlns:c15="http://schemas.microsoft.com/office/drawing/2012/chart" uri="{02D57815-91ED-43cb-92C2-25804820EDAC}">
                  <c15:fullRef>
                    <c15:sqref>'1Cross'!$A$77:$A$105</c15:sqref>
                  </c15:fullRef>
                </c:ext>
              </c:extLst>
              <c:f>'1Cross'!$A$77:$A$97</c:f>
              <c:strCache>
                <c:ptCount val="21"/>
                <c:pt idx="0">
                  <c:v>HU</c:v>
                </c:pt>
                <c:pt idx="1">
                  <c:v>EE</c:v>
                </c:pt>
                <c:pt idx="2">
                  <c:v>SK</c:v>
                </c:pt>
                <c:pt idx="3">
                  <c:v>HR</c:v>
                </c:pt>
                <c:pt idx="4">
                  <c:v>LV</c:v>
                </c:pt>
                <c:pt idx="5">
                  <c:v>EL</c:v>
                </c:pt>
                <c:pt idx="6">
                  <c:v>LT</c:v>
                </c:pt>
                <c:pt idx="7">
                  <c:v>IT</c:v>
                </c:pt>
                <c:pt idx="8">
                  <c:v>ES</c:v>
                </c:pt>
                <c:pt idx="9">
                  <c:v>SI</c:v>
                </c:pt>
                <c:pt idx="10">
                  <c:v>BE</c:v>
                </c:pt>
                <c:pt idx="11">
                  <c:v>PT</c:v>
                </c:pt>
                <c:pt idx="12">
                  <c:v>FI</c:v>
                </c:pt>
                <c:pt idx="13">
                  <c:v>IE</c:v>
                </c:pt>
                <c:pt idx="14">
                  <c:v>FR</c:v>
                </c:pt>
                <c:pt idx="15">
                  <c:v>NL</c:v>
                </c:pt>
                <c:pt idx="16">
                  <c:v>DE</c:v>
                </c:pt>
                <c:pt idx="17">
                  <c:v>AT</c:v>
                </c:pt>
                <c:pt idx="18">
                  <c:v>LU</c:v>
                </c:pt>
                <c:pt idx="19">
                  <c:v>MT</c:v>
                </c:pt>
                <c:pt idx="20">
                  <c:v>CY</c:v>
                </c:pt>
              </c:strCache>
            </c:strRef>
          </c:cat>
          <c:val>
            <c:numRef>
              <c:extLst>
                <c:ext xmlns:c15="http://schemas.microsoft.com/office/drawing/2012/chart" uri="{02D57815-91ED-43cb-92C2-25804820EDAC}">
                  <c15:fullRef>
                    <c15:sqref>'1Cross'!$D$77:$D$105</c15:sqref>
                  </c15:fullRef>
                </c:ext>
              </c:extLst>
              <c:f>'1Cross'!$D$77:$D$97</c:f>
              <c:numCache>
                <c:formatCode>0.000000</c:formatCode>
                <c:ptCount val="21"/>
                <c:pt idx="0">
                  <c:v>0</c:v>
                </c:pt>
                <c:pt idx="1">
                  <c:v>2.5650198839392466</c:v>
                </c:pt>
                <c:pt idx="2">
                  <c:v>1.4089357043491684</c:v>
                </c:pt>
                <c:pt idx="3">
                  <c:v>16.810762210471353</c:v>
                </c:pt>
                <c:pt idx="4">
                  <c:v>18.67327358221516</c:v>
                </c:pt>
                <c:pt idx="5">
                  <c:v>0</c:v>
                </c:pt>
                <c:pt idx="6">
                  <c:v>0</c:v>
                </c:pt>
                <c:pt idx="7">
                  <c:v>15.746843397881927</c:v>
                </c:pt>
                <c:pt idx="8">
                  <c:v>26.99955510798555</c:v>
                </c:pt>
                <c:pt idx="9">
                  <c:v>12.587468220290379</c:v>
                </c:pt>
                <c:pt idx="10">
                  <c:v>14.877360835948581</c:v>
                </c:pt>
                <c:pt idx="11">
                  <c:v>7.1429417915442066</c:v>
                </c:pt>
                <c:pt idx="12">
                  <c:v>15.434382556515169</c:v>
                </c:pt>
                <c:pt idx="13">
                  <c:v>11.478430303697326</c:v>
                </c:pt>
                <c:pt idx="14">
                  <c:v>10.21779690724933</c:v>
                </c:pt>
                <c:pt idx="15">
                  <c:v>1.2733492342607731</c:v>
                </c:pt>
                <c:pt idx="16">
                  <c:v>4.9949611845247901</c:v>
                </c:pt>
                <c:pt idx="17">
                  <c:v>4.2534166883004083</c:v>
                </c:pt>
                <c:pt idx="18">
                  <c:v>2.466806772386275</c:v>
                </c:pt>
                <c:pt idx="19">
                  <c:v>0.3535291062089454</c:v>
                </c:pt>
                <c:pt idx="20">
                  <c:v>0</c:v>
                </c:pt>
              </c:numCache>
            </c:numRef>
          </c:val>
          <c:extLst>
            <c:ext xmlns:c16="http://schemas.microsoft.com/office/drawing/2014/chart" uri="{C3380CC4-5D6E-409C-BE32-E72D297353CC}">
              <c16:uniqueId val="{0000000F-B9B3-4FE1-98BB-8B4306A45E20}"/>
            </c:ext>
          </c:extLst>
        </c:ser>
        <c:ser>
          <c:idx val="3"/>
          <c:order val="2"/>
          <c:tx>
            <c:strRef>
              <c:f>'1Cross'!$E$76</c:f>
              <c:strCache>
                <c:ptCount val="1"/>
                <c:pt idx="0">
                  <c:v>By tax deduction/credit 3</c:v>
                </c:pt>
              </c:strCache>
            </c:strRef>
          </c:tx>
          <c:spPr>
            <a:solidFill>
              <a:schemeClr val="accent5">
                <a:lumMod val="40000"/>
                <a:lumOff val="60000"/>
              </a:schemeClr>
            </a:solidFill>
            <a:ln w="25400">
              <a:noFill/>
            </a:ln>
            <a:effectLst/>
          </c:spPr>
          <c:invertIfNegative val="0"/>
          <c:cat>
            <c:strRef>
              <c:extLst>
                <c:ext xmlns:c15="http://schemas.microsoft.com/office/drawing/2012/chart" uri="{02D57815-91ED-43cb-92C2-25804820EDAC}">
                  <c15:fullRef>
                    <c15:sqref>'1Cross'!$A$77:$A$105</c15:sqref>
                  </c15:fullRef>
                </c:ext>
              </c:extLst>
              <c:f>'1Cross'!$A$77:$A$97</c:f>
              <c:strCache>
                <c:ptCount val="21"/>
                <c:pt idx="0">
                  <c:v>HU</c:v>
                </c:pt>
                <c:pt idx="1">
                  <c:v>EE</c:v>
                </c:pt>
                <c:pt idx="2">
                  <c:v>SK</c:v>
                </c:pt>
                <c:pt idx="3">
                  <c:v>HR</c:v>
                </c:pt>
                <c:pt idx="4">
                  <c:v>LV</c:v>
                </c:pt>
                <c:pt idx="5">
                  <c:v>EL</c:v>
                </c:pt>
                <c:pt idx="6">
                  <c:v>LT</c:v>
                </c:pt>
                <c:pt idx="7">
                  <c:v>IT</c:v>
                </c:pt>
                <c:pt idx="8">
                  <c:v>ES</c:v>
                </c:pt>
                <c:pt idx="9">
                  <c:v>SI</c:v>
                </c:pt>
                <c:pt idx="10">
                  <c:v>BE</c:v>
                </c:pt>
                <c:pt idx="11">
                  <c:v>PT</c:v>
                </c:pt>
                <c:pt idx="12">
                  <c:v>FI</c:v>
                </c:pt>
                <c:pt idx="13">
                  <c:v>IE</c:v>
                </c:pt>
                <c:pt idx="14">
                  <c:v>FR</c:v>
                </c:pt>
                <c:pt idx="15">
                  <c:v>NL</c:v>
                </c:pt>
                <c:pt idx="16">
                  <c:v>DE</c:v>
                </c:pt>
                <c:pt idx="17">
                  <c:v>AT</c:v>
                </c:pt>
                <c:pt idx="18">
                  <c:v>LU</c:v>
                </c:pt>
                <c:pt idx="19">
                  <c:v>MT</c:v>
                </c:pt>
                <c:pt idx="20">
                  <c:v>CY</c:v>
                </c:pt>
              </c:strCache>
            </c:strRef>
          </c:cat>
          <c:val>
            <c:numRef>
              <c:extLst>
                <c:ext xmlns:c15="http://schemas.microsoft.com/office/drawing/2012/chart" uri="{02D57815-91ED-43cb-92C2-25804820EDAC}">
                  <c15:fullRef>
                    <c15:sqref>'1Cross'!$E$77:$E$105</c15:sqref>
                  </c15:fullRef>
                </c:ext>
              </c:extLst>
              <c:f>'1Cross'!$E$77:$E$97</c:f>
              <c:numCache>
                <c:formatCode>0.000000</c:formatCode>
                <c:ptCount val="21"/>
                <c:pt idx="0">
                  <c:v>0</c:v>
                </c:pt>
                <c:pt idx="1">
                  <c:v>0.53544049907863811</c:v>
                </c:pt>
                <c:pt idx="2">
                  <c:v>0</c:v>
                </c:pt>
                <c:pt idx="3">
                  <c:v>0</c:v>
                </c:pt>
                <c:pt idx="4">
                  <c:v>0</c:v>
                </c:pt>
                <c:pt idx="5">
                  <c:v>0</c:v>
                </c:pt>
                <c:pt idx="6">
                  <c:v>0</c:v>
                </c:pt>
                <c:pt idx="7">
                  <c:v>9.7720755467959055</c:v>
                </c:pt>
                <c:pt idx="8">
                  <c:v>0</c:v>
                </c:pt>
                <c:pt idx="9">
                  <c:v>0</c:v>
                </c:pt>
                <c:pt idx="10">
                  <c:v>0</c:v>
                </c:pt>
                <c:pt idx="11">
                  <c:v>8.6322426074091716</c:v>
                </c:pt>
                <c:pt idx="12">
                  <c:v>18.166632750660671</c:v>
                </c:pt>
                <c:pt idx="13">
                  <c:v>0</c:v>
                </c:pt>
                <c:pt idx="14">
                  <c:v>5.4427690176581036</c:v>
                </c:pt>
                <c:pt idx="15">
                  <c:v>0</c:v>
                </c:pt>
                <c:pt idx="16">
                  <c:v>4.8313599419020132</c:v>
                </c:pt>
                <c:pt idx="17">
                  <c:v>0</c:v>
                </c:pt>
                <c:pt idx="18">
                  <c:v>2.8194966494874039</c:v>
                </c:pt>
                <c:pt idx="19">
                  <c:v>3.8114339569495496E-2</c:v>
                </c:pt>
                <c:pt idx="20">
                  <c:v>0</c:v>
                </c:pt>
              </c:numCache>
            </c:numRef>
          </c:val>
          <c:extLst>
            <c:ext xmlns:c16="http://schemas.microsoft.com/office/drawing/2014/chart" uri="{C3380CC4-5D6E-409C-BE32-E72D297353CC}">
              <c16:uniqueId val="{00000011-B9B3-4FE1-98BB-8B4306A45E20}"/>
            </c:ext>
          </c:extLst>
        </c:ser>
        <c:ser>
          <c:idx val="4"/>
          <c:order val="3"/>
          <c:tx>
            <c:strRef>
              <c:f>'1Cross'!$F$76</c:f>
              <c:strCache>
                <c:ptCount val="1"/>
                <c:pt idx="0">
                  <c:v>Columna1</c:v>
                </c:pt>
              </c:strCache>
            </c:strRef>
          </c:tx>
          <c:spPr>
            <a:solidFill>
              <a:schemeClr val="accent5">
                <a:lumMod val="20000"/>
                <a:lumOff val="80000"/>
              </a:schemeClr>
            </a:solidFill>
            <a:ln w="25400">
              <a:noFill/>
            </a:ln>
            <a:effectLst/>
          </c:spPr>
          <c:invertIfNegative val="0"/>
          <c:cat>
            <c:strRef>
              <c:extLst>
                <c:ext xmlns:c15="http://schemas.microsoft.com/office/drawing/2012/chart" uri="{02D57815-91ED-43cb-92C2-25804820EDAC}">
                  <c15:fullRef>
                    <c15:sqref>'1Cross'!$A$77:$A$105</c15:sqref>
                  </c15:fullRef>
                </c:ext>
              </c:extLst>
              <c:f>'1Cross'!$A$77:$A$97</c:f>
              <c:strCache>
                <c:ptCount val="21"/>
                <c:pt idx="0">
                  <c:v>HU</c:v>
                </c:pt>
                <c:pt idx="1">
                  <c:v>EE</c:v>
                </c:pt>
                <c:pt idx="2">
                  <c:v>SK</c:v>
                </c:pt>
                <c:pt idx="3">
                  <c:v>HR</c:v>
                </c:pt>
                <c:pt idx="4">
                  <c:v>LV</c:v>
                </c:pt>
                <c:pt idx="5">
                  <c:v>EL</c:v>
                </c:pt>
                <c:pt idx="6">
                  <c:v>LT</c:v>
                </c:pt>
                <c:pt idx="7">
                  <c:v>IT</c:v>
                </c:pt>
                <c:pt idx="8">
                  <c:v>ES</c:v>
                </c:pt>
                <c:pt idx="9">
                  <c:v>SI</c:v>
                </c:pt>
                <c:pt idx="10">
                  <c:v>BE</c:v>
                </c:pt>
                <c:pt idx="11">
                  <c:v>PT</c:v>
                </c:pt>
                <c:pt idx="12">
                  <c:v>FI</c:v>
                </c:pt>
                <c:pt idx="13">
                  <c:v>IE</c:v>
                </c:pt>
                <c:pt idx="14">
                  <c:v>FR</c:v>
                </c:pt>
                <c:pt idx="15">
                  <c:v>NL</c:v>
                </c:pt>
                <c:pt idx="16">
                  <c:v>DE</c:v>
                </c:pt>
                <c:pt idx="17">
                  <c:v>AT</c:v>
                </c:pt>
                <c:pt idx="18">
                  <c:v>LU</c:v>
                </c:pt>
                <c:pt idx="19">
                  <c:v>MT</c:v>
                </c:pt>
                <c:pt idx="20">
                  <c:v>CY</c:v>
                </c:pt>
              </c:strCache>
            </c:strRef>
          </c:cat>
          <c:val>
            <c:numRef>
              <c:extLst>
                <c:ext xmlns:c15="http://schemas.microsoft.com/office/drawing/2012/chart" uri="{02D57815-91ED-43cb-92C2-25804820EDAC}">
                  <c15:fullRef>
                    <c15:sqref>'1Cross'!$F$77:$F$105</c15:sqref>
                  </c15:fullRef>
                </c:ext>
              </c:extLst>
              <c:f>'1Cross'!$F$77:$F$97</c:f>
              <c:numCache>
                <c:formatCode>0.000000</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val>
          <c:extLst>
            <c:ext xmlns:c16="http://schemas.microsoft.com/office/drawing/2014/chart" uri="{C3380CC4-5D6E-409C-BE32-E72D297353CC}">
              <c16:uniqueId val="{00000013-B9B3-4FE1-98BB-8B4306A45E20}"/>
            </c:ext>
          </c:extLst>
        </c:ser>
        <c:ser>
          <c:idx val="5"/>
          <c:order val="4"/>
          <c:tx>
            <c:strRef>
              <c:f>'1Cross'!$G$76</c:f>
              <c:strCache>
                <c:ptCount val="1"/>
                <c:pt idx="0">
                  <c:v>By other tax deductions/credits</c:v>
                </c:pt>
              </c:strCache>
            </c:strRef>
          </c:tx>
          <c:spPr>
            <a:solidFill>
              <a:schemeClr val="accent5">
                <a:lumMod val="20000"/>
                <a:lumOff val="80000"/>
              </a:schemeClr>
            </a:solidFill>
            <a:ln w="25400">
              <a:noFill/>
            </a:ln>
            <a:effectLst/>
          </c:spPr>
          <c:invertIfNegative val="0"/>
          <c:cat>
            <c:strRef>
              <c:extLst>
                <c:ext xmlns:c15="http://schemas.microsoft.com/office/drawing/2012/chart" uri="{02D57815-91ED-43cb-92C2-25804820EDAC}">
                  <c15:fullRef>
                    <c15:sqref>'1Cross'!$A$77:$A$105</c15:sqref>
                  </c15:fullRef>
                </c:ext>
              </c:extLst>
              <c:f>'1Cross'!$A$77:$A$97</c:f>
              <c:strCache>
                <c:ptCount val="21"/>
                <c:pt idx="0">
                  <c:v>HU</c:v>
                </c:pt>
                <c:pt idx="1">
                  <c:v>EE</c:v>
                </c:pt>
                <c:pt idx="2">
                  <c:v>SK</c:v>
                </c:pt>
                <c:pt idx="3">
                  <c:v>HR</c:v>
                </c:pt>
                <c:pt idx="4">
                  <c:v>LV</c:v>
                </c:pt>
                <c:pt idx="5">
                  <c:v>EL</c:v>
                </c:pt>
                <c:pt idx="6">
                  <c:v>LT</c:v>
                </c:pt>
                <c:pt idx="7">
                  <c:v>IT</c:v>
                </c:pt>
                <c:pt idx="8">
                  <c:v>ES</c:v>
                </c:pt>
                <c:pt idx="9">
                  <c:v>SI</c:v>
                </c:pt>
                <c:pt idx="10">
                  <c:v>BE</c:v>
                </c:pt>
                <c:pt idx="11">
                  <c:v>PT</c:v>
                </c:pt>
                <c:pt idx="12">
                  <c:v>FI</c:v>
                </c:pt>
                <c:pt idx="13">
                  <c:v>IE</c:v>
                </c:pt>
                <c:pt idx="14">
                  <c:v>FR</c:v>
                </c:pt>
                <c:pt idx="15">
                  <c:v>NL</c:v>
                </c:pt>
                <c:pt idx="16">
                  <c:v>DE</c:v>
                </c:pt>
                <c:pt idx="17">
                  <c:v>AT</c:v>
                </c:pt>
                <c:pt idx="18">
                  <c:v>LU</c:v>
                </c:pt>
                <c:pt idx="19">
                  <c:v>MT</c:v>
                </c:pt>
                <c:pt idx="20">
                  <c:v>CY</c:v>
                </c:pt>
              </c:strCache>
            </c:strRef>
          </c:cat>
          <c:val>
            <c:numRef>
              <c:extLst>
                <c:ext xmlns:c15="http://schemas.microsoft.com/office/drawing/2012/chart" uri="{02D57815-91ED-43cb-92C2-25804820EDAC}">
                  <c15:fullRef>
                    <c15:sqref>'1Cross'!$G$77:$G$105</c15:sqref>
                  </c15:fullRef>
                </c:ext>
              </c:extLst>
              <c:f>'1Cross'!$G$77:$G$97</c:f>
              <c:numCache>
                <c:formatCode>0.000000</c:formatCode>
                <c:ptCount val="21"/>
                <c:pt idx="0">
                  <c:v>0</c:v>
                </c:pt>
                <c:pt idx="1">
                  <c:v>0.57409469375837907</c:v>
                </c:pt>
                <c:pt idx="2">
                  <c:v>0</c:v>
                </c:pt>
                <c:pt idx="3">
                  <c:v>-0.37753766645825931</c:v>
                </c:pt>
                <c:pt idx="4">
                  <c:v>0</c:v>
                </c:pt>
                <c:pt idx="5">
                  <c:v>0</c:v>
                </c:pt>
                <c:pt idx="6">
                  <c:v>0</c:v>
                </c:pt>
                <c:pt idx="7">
                  <c:v>0.13027458423668017</c:v>
                </c:pt>
                <c:pt idx="8">
                  <c:v>4.8080193324061185</c:v>
                </c:pt>
                <c:pt idx="9">
                  <c:v>5.8396205597064765E-2</c:v>
                </c:pt>
                <c:pt idx="10">
                  <c:v>0.71284874170829426</c:v>
                </c:pt>
                <c:pt idx="11">
                  <c:v>5.2993001548850822</c:v>
                </c:pt>
                <c:pt idx="12">
                  <c:v>3.2934159980958908</c:v>
                </c:pt>
                <c:pt idx="13">
                  <c:v>0</c:v>
                </c:pt>
                <c:pt idx="14">
                  <c:v>4.9666144070983034</c:v>
                </c:pt>
                <c:pt idx="15">
                  <c:v>0.56991882359697721</c:v>
                </c:pt>
                <c:pt idx="16">
                  <c:v>1.7275590910980205</c:v>
                </c:pt>
                <c:pt idx="17">
                  <c:v>5.654453424888132</c:v>
                </c:pt>
                <c:pt idx="18">
                  <c:v>1.4912974313977094</c:v>
                </c:pt>
                <c:pt idx="19">
                  <c:v>0.91349890320356653</c:v>
                </c:pt>
                <c:pt idx="20">
                  <c:v>0</c:v>
                </c:pt>
              </c:numCache>
            </c:numRef>
          </c:val>
          <c:extLst>
            <c:ext xmlns:c16="http://schemas.microsoft.com/office/drawing/2014/chart" uri="{C3380CC4-5D6E-409C-BE32-E72D297353CC}">
              <c16:uniqueId val="{00000015-B9B3-4FE1-98BB-8B4306A45E20}"/>
            </c:ext>
          </c:extLst>
        </c:ser>
        <c:ser>
          <c:idx val="6"/>
          <c:order val="5"/>
          <c:tx>
            <c:strRef>
              <c:f>'1Cross'!$H$76</c:f>
              <c:strCache>
                <c:ptCount val="1"/>
                <c:pt idx="0">
                  <c:v>Residual</c:v>
                </c:pt>
              </c:strCache>
            </c:strRef>
          </c:tx>
          <c:spPr>
            <a:solidFill>
              <a:schemeClr val="accent4">
                <a:lumMod val="40000"/>
                <a:lumOff val="60000"/>
              </a:schemeClr>
            </a:solidFill>
          </c:spPr>
          <c:invertIfNegative val="0"/>
          <c:cat>
            <c:strRef>
              <c:extLst>
                <c:ext xmlns:c15="http://schemas.microsoft.com/office/drawing/2012/chart" uri="{02D57815-91ED-43cb-92C2-25804820EDAC}">
                  <c15:fullRef>
                    <c15:sqref>'1Cross'!$A$77:$A$105</c15:sqref>
                  </c15:fullRef>
                </c:ext>
              </c:extLst>
              <c:f>'1Cross'!$A$77:$A$97</c:f>
              <c:strCache>
                <c:ptCount val="21"/>
                <c:pt idx="0">
                  <c:v>HU</c:v>
                </c:pt>
                <c:pt idx="1">
                  <c:v>EE</c:v>
                </c:pt>
                <c:pt idx="2">
                  <c:v>SK</c:v>
                </c:pt>
                <c:pt idx="3">
                  <c:v>HR</c:v>
                </c:pt>
                <c:pt idx="4">
                  <c:v>LV</c:v>
                </c:pt>
                <c:pt idx="5">
                  <c:v>EL</c:v>
                </c:pt>
                <c:pt idx="6">
                  <c:v>LT</c:v>
                </c:pt>
                <c:pt idx="7">
                  <c:v>IT</c:v>
                </c:pt>
                <c:pt idx="8">
                  <c:v>ES</c:v>
                </c:pt>
                <c:pt idx="9">
                  <c:v>SI</c:v>
                </c:pt>
                <c:pt idx="10">
                  <c:v>BE</c:v>
                </c:pt>
                <c:pt idx="11">
                  <c:v>PT</c:v>
                </c:pt>
                <c:pt idx="12">
                  <c:v>FI</c:v>
                </c:pt>
                <c:pt idx="13">
                  <c:v>IE</c:v>
                </c:pt>
                <c:pt idx="14">
                  <c:v>FR</c:v>
                </c:pt>
                <c:pt idx="15">
                  <c:v>NL</c:v>
                </c:pt>
                <c:pt idx="16">
                  <c:v>DE</c:v>
                </c:pt>
                <c:pt idx="17">
                  <c:v>AT</c:v>
                </c:pt>
                <c:pt idx="18">
                  <c:v>LU</c:v>
                </c:pt>
                <c:pt idx="19">
                  <c:v>MT</c:v>
                </c:pt>
                <c:pt idx="20">
                  <c:v>CY</c:v>
                </c:pt>
              </c:strCache>
            </c:strRef>
          </c:cat>
          <c:val>
            <c:numRef>
              <c:extLst>
                <c:ext xmlns:c15="http://schemas.microsoft.com/office/drawing/2012/chart" uri="{02D57815-91ED-43cb-92C2-25804820EDAC}">
                  <c15:fullRef>
                    <c15:sqref>'1Cross'!$H$77:$H$105</c15:sqref>
                  </c15:fullRef>
                </c:ext>
              </c:extLst>
              <c:f>'1Cross'!$H$77:$H$97</c:f>
              <c:numCache>
                <c:formatCode>0.000000</c:formatCode>
                <c:ptCount val="21"/>
                <c:pt idx="0">
                  <c:v>0</c:v>
                </c:pt>
                <c:pt idx="1">
                  <c:v>1.0310116498455812</c:v>
                </c:pt>
                <c:pt idx="2">
                  <c:v>14.305455306121376</c:v>
                </c:pt>
                <c:pt idx="3">
                  <c:v>4.531089186028316</c:v>
                </c:pt>
                <c:pt idx="4">
                  <c:v>1.1275782464774347</c:v>
                </c:pt>
                <c:pt idx="5">
                  <c:v>0</c:v>
                </c:pt>
                <c:pt idx="6">
                  <c:v>3.8551526222685233</c:v>
                </c:pt>
                <c:pt idx="7">
                  <c:v>5.519508048971641</c:v>
                </c:pt>
                <c:pt idx="8">
                  <c:v>5.2929284786995945</c:v>
                </c:pt>
                <c:pt idx="9">
                  <c:v>0.79580236494913636</c:v>
                </c:pt>
                <c:pt idx="10">
                  <c:v>3.4661840066540948</c:v>
                </c:pt>
                <c:pt idx="11">
                  <c:v>5.8987542359908032</c:v>
                </c:pt>
                <c:pt idx="12">
                  <c:v>0.30777486380082542</c:v>
                </c:pt>
                <c:pt idx="13">
                  <c:v>1.9698499257929283</c:v>
                </c:pt>
                <c:pt idx="14">
                  <c:v>0</c:v>
                </c:pt>
                <c:pt idx="15">
                  <c:v>9.1453052753832509</c:v>
                </c:pt>
                <c:pt idx="16">
                  <c:v>0</c:v>
                </c:pt>
                <c:pt idx="17">
                  <c:v>0</c:v>
                </c:pt>
                <c:pt idx="18">
                  <c:v>1.174765118058871</c:v>
                </c:pt>
                <c:pt idx="19">
                  <c:v>3.2667722895268487</c:v>
                </c:pt>
                <c:pt idx="20">
                  <c:v>0.15221963738038377</c:v>
                </c:pt>
              </c:numCache>
            </c:numRef>
          </c:val>
          <c:extLst>
            <c:ext xmlns:c16="http://schemas.microsoft.com/office/drawing/2014/chart" uri="{C3380CC4-5D6E-409C-BE32-E72D297353CC}">
              <c16:uniqueId val="{00000018-B9B3-4FE1-98BB-8B4306A45E20}"/>
            </c:ext>
          </c:extLst>
        </c:ser>
        <c:ser>
          <c:idx val="0"/>
          <c:order val="6"/>
          <c:tx>
            <c:strRef>
              <c:f>'1Cross'!$B$76</c:f>
              <c:strCache>
                <c:ptCount val="1"/>
                <c:pt idx="0">
                  <c:v>By bracket progressivity </c:v>
                </c:pt>
              </c:strCache>
            </c:strRef>
          </c:tx>
          <c:spPr>
            <a:solidFill>
              <a:schemeClr val="accent2">
                <a:lumMod val="75000"/>
              </a:schemeClr>
            </a:solidFill>
            <a:ln w="25400">
              <a:noFill/>
            </a:ln>
            <a:effectLst/>
          </c:spPr>
          <c:invertIfNegative val="0"/>
          <c:cat>
            <c:strRef>
              <c:extLst>
                <c:ext xmlns:c15="http://schemas.microsoft.com/office/drawing/2012/chart" uri="{02D57815-91ED-43cb-92C2-25804820EDAC}">
                  <c15:fullRef>
                    <c15:sqref>'1Cross'!$A$77:$A$105</c15:sqref>
                  </c15:fullRef>
                </c:ext>
              </c:extLst>
              <c:f>'1Cross'!$A$77:$A$97</c:f>
              <c:strCache>
                <c:ptCount val="21"/>
                <c:pt idx="0">
                  <c:v>HU</c:v>
                </c:pt>
                <c:pt idx="1">
                  <c:v>EE</c:v>
                </c:pt>
                <c:pt idx="2">
                  <c:v>SK</c:v>
                </c:pt>
                <c:pt idx="3">
                  <c:v>HR</c:v>
                </c:pt>
                <c:pt idx="4">
                  <c:v>LV</c:v>
                </c:pt>
                <c:pt idx="5">
                  <c:v>EL</c:v>
                </c:pt>
                <c:pt idx="6">
                  <c:v>LT</c:v>
                </c:pt>
                <c:pt idx="7">
                  <c:v>IT</c:v>
                </c:pt>
                <c:pt idx="8">
                  <c:v>ES</c:v>
                </c:pt>
                <c:pt idx="9">
                  <c:v>SI</c:v>
                </c:pt>
                <c:pt idx="10">
                  <c:v>BE</c:v>
                </c:pt>
                <c:pt idx="11">
                  <c:v>PT</c:v>
                </c:pt>
                <c:pt idx="12">
                  <c:v>FI</c:v>
                </c:pt>
                <c:pt idx="13">
                  <c:v>IE</c:v>
                </c:pt>
                <c:pt idx="14">
                  <c:v>FR</c:v>
                </c:pt>
                <c:pt idx="15">
                  <c:v>NL</c:v>
                </c:pt>
                <c:pt idx="16">
                  <c:v>DE</c:v>
                </c:pt>
                <c:pt idx="17">
                  <c:v>AT</c:v>
                </c:pt>
                <c:pt idx="18">
                  <c:v>LU</c:v>
                </c:pt>
                <c:pt idx="19">
                  <c:v>MT</c:v>
                </c:pt>
                <c:pt idx="20">
                  <c:v>CY</c:v>
                </c:pt>
              </c:strCache>
            </c:strRef>
          </c:cat>
          <c:val>
            <c:numRef>
              <c:extLst>
                <c:ext xmlns:c15="http://schemas.microsoft.com/office/drawing/2012/chart" uri="{02D57815-91ED-43cb-92C2-25804820EDAC}">
                  <c15:fullRef>
                    <c15:sqref>'1Cross'!$B$77:$B$105</c15:sqref>
                  </c15:fullRef>
                </c:ext>
              </c:extLst>
              <c:f>'1Cross'!$B$77:$B$97</c:f>
              <c:numCache>
                <c:formatCode>0.000000</c:formatCode>
                <c:ptCount val="21"/>
                <c:pt idx="0">
                  <c:v>0</c:v>
                </c:pt>
                <c:pt idx="1">
                  <c:v>0</c:v>
                </c:pt>
                <c:pt idx="2">
                  <c:v>0.46611833972468608</c:v>
                </c:pt>
                <c:pt idx="3">
                  <c:v>0.90129676942735193</c:v>
                </c:pt>
                <c:pt idx="4">
                  <c:v>11.8498489576028</c:v>
                </c:pt>
                <c:pt idx="5">
                  <c:v>19.659717223686457</c:v>
                </c:pt>
                <c:pt idx="6">
                  <c:v>23.528898807241788</c:v>
                </c:pt>
                <c:pt idx="7">
                  <c:v>33.456368538892782</c:v>
                </c:pt>
                <c:pt idx="8">
                  <c:v>35.604839072198388</c:v>
                </c:pt>
                <c:pt idx="9">
                  <c:v>35.867754081323575</c:v>
                </c:pt>
                <c:pt idx="10">
                  <c:v>37.164714670104956</c:v>
                </c:pt>
                <c:pt idx="11">
                  <c:v>43.7791342528824</c:v>
                </c:pt>
                <c:pt idx="12">
                  <c:v>47.71173697969347</c:v>
                </c:pt>
                <c:pt idx="13">
                  <c:v>48.144757678355568</c:v>
                </c:pt>
                <c:pt idx="14">
                  <c:v>67.74824654894573</c:v>
                </c:pt>
                <c:pt idx="15">
                  <c:v>68.726751695036683</c:v>
                </c:pt>
                <c:pt idx="16">
                  <c:v>70.93250534671364</c:v>
                </c:pt>
                <c:pt idx="17">
                  <c:v>84.309403720210454</c:v>
                </c:pt>
                <c:pt idx="18">
                  <c:v>84.920709286519497</c:v>
                </c:pt>
                <c:pt idx="19">
                  <c:v>93.934499519945163</c:v>
                </c:pt>
                <c:pt idx="20">
                  <c:v>99.644702856056412</c:v>
                </c:pt>
              </c:numCache>
            </c:numRef>
          </c:val>
          <c:extLst>
            <c:ext xmlns:c16="http://schemas.microsoft.com/office/drawing/2014/chart" uri="{C3380CC4-5D6E-409C-BE32-E72D297353CC}">
              <c16:uniqueId val="{00000017-B9B3-4FE1-98BB-8B4306A45E20}"/>
            </c:ext>
          </c:extLst>
        </c:ser>
        <c:dLbls>
          <c:showLegendKey val="0"/>
          <c:showVal val="0"/>
          <c:showCatName val="0"/>
          <c:showSerName val="0"/>
          <c:showPercent val="0"/>
          <c:showBubbleSize val="0"/>
        </c:dLbls>
        <c:gapWidth val="50"/>
        <c:overlap val="100"/>
        <c:axId val="844305855"/>
        <c:axId val="892036479"/>
      </c:barChart>
      <c:catAx>
        <c:axId val="844305855"/>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crossAx val="892036479"/>
        <c:crosses val="autoZero"/>
        <c:auto val="1"/>
        <c:lblAlgn val="ctr"/>
        <c:lblOffset val="350"/>
        <c:tickLblSkip val="1"/>
        <c:noMultiLvlLbl val="0"/>
      </c:catAx>
      <c:valAx>
        <c:axId val="892036479"/>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s-ES_tradnl" sz="1050"/>
                  <a:t>TTB elasticity decomposition</a:t>
                </a:r>
              </a:p>
            </c:rich>
          </c:tx>
          <c:overlay val="0"/>
          <c:spPr>
            <a:noFill/>
            <a:ln>
              <a:noFill/>
            </a:ln>
            <a:effectLst/>
          </c:sp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crossAx val="844305855"/>
        <c:crosses val="autoZero"/>
        <c:crossBetween val="between"/>
      </c:valAx>
    </c:plotArea>
    <c:legend>
      <c:legendPos val="b"/>
      <c:legendEntry>
        <c:idx val="3"/>
        <c:delete val="1"/>
      </c:legendEntry>
      <c:layout>
        <c:manualLayout>
          <c:xMode val="edge"/>
          <c:yMode val="edge"/>
          <c:x val="9.6845960916955423E-2"/>
          <c:y val="0.78776079984650904"/>
          <c:w val="0.84251110306466215"/>
          <c:h val="0.16236240362308502"/>
        </c:manualLayout>
      </c:layout>
      <c:overlay val="0"/>
      <c:spPr>
        <a:noFill/>
        <a:ln>
          <a:noFill/>
        </a:ln>
        <a:effectLst/>
      </c:spPr>
      <c:txPr>
        <a:bodyPr rot="0" spcFirstLastPara="1" vertOverflow="ellipsis" vert="horz" wrap="square" anchor="ctr" anchorCtr="1"/>
        <a:lstStyle/>
        <a:p>
          <a:pPr>
            <a:defRPr sz="9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legend>
    <c:plotVisOnly val="1"/>
    <c:dispBlanksAs val="gap"/>
    <c:showDLblsOverMax val="0"/>
    <c:extLst/>
  </c:chart>
  <c:spPr>
    <a:solidFill>
      <a:schemeClr val="bg1"/>
    </a:solidFill>
    <a:ln w="9525" cap="flat" cmpd="sng" algn="ctr">
      <a:noFill/>
      <a:round/>
    </a:ln>
    <a:effectLst/>
  </c:spPr>
  <c:txPr>
    <a:bodyPr/>
    <a:lstStyle/>
    <a:p>
      <a:pPr>
        <a:defRPr>
          <a:solidFill>
            <a:sysClr val="windowText" lastClr="000000"/>
          </a:solidFill>
          <a:latin typeface="Times New Roman" panose="02020603050405020304" pitchFamily="18" charset="0"/>
          <a:cs typeface="Times New Roman" panose="02020603050405020304" pitchFamily="18" charset="0"/>
        </a:defRPr>
      </a:pPr>
      <a:endParaRPr lang="es-ES_tradnl"/>
    </a:p>
  </c:txPr>
  <c:printSettings>
    <c:headerFooter/>
    <c:pageMargins b="0.75" l="0.25" r="0.25" t="0.75" header="0.3" footer="0.3"/>
    <c:pageSetup paperSize="9" orientation="landscape"/>
  </c:printSettings>
  <c:extLst/>
</c:chartSpace>
</file>

<file path=xl/charts/chart7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ivotFmts>
      <c:pivotFmt>
        <c:idx val="0"/>
        <c:spPr>
          <a:solidFill>
            <a:schemeClr val="accent1"/>
          </a:solidFill>
          <a:ln w="28575" cap="rnd">
            <a:noFill/>
            <a:round/>
          </a:ln>
          <a:effectLst/>
        </c:spPr>
        <c:marker>
          <c:symbol val="dash"/>
          <c:size val="7"/>
          <c:spPr>
            <a:solidFill>
              <a:srgbClr val="3B3838"/>
            </a:solidFill>
            <a:ln w="9525">
              <a:solidFill>
                <a:srgbClr val="3B3838"/>
              </a:solidFill>
            </a:ln>
            <a:effectLst/>
          </c:spPr>
        </c:marker>
        <c:dLbl>
          <c:idx val="0"/>
          <c:delete val="1"/>
          <c:extLst>
            <c:ext xmlns:c15="http://schemas.microsoft.com/office/drawing/2012/chart" uri="{CE6537A1-D6FC-4f65-9D91-7224C49458BB}"/>
          </c:extLst>
        </c:dLbl>
      </c:pivotFmt>
      <c:pivotFmt>
        <c:idx val="1"/>
        <c:spPr>
          <a:solidFill>
            <a:srgbClr val="E7E6E6"/>
          </a:solidFill>
          <a:ln w="25400">
            <a:noFill/>
          </a:ln>
          <a:effectLst/>
        </c:spPr>
        <c:marker>
          <c:symbol val="none"/>
        </c:marker>
        <c:dLbl>
          <c:idx val="0"/>
          <c:delete val="1"/>
          <c:extLst>
            <c:ext xmlns:c15="http://schemas.microsoft.com/office/drawing/2012/chart" uri="{CE6537A1-D6FC-4f65-9D91-7224C49458BB}"/>
          </c:extLst>
        </c:dLbl>
      </c:pivotFmt>
      <c:pivotFmt>
        <c:idx val="2"/>
        <c:spPr>
          <a:solidFill>
            <a:schemeClr val="accent2">
              <a:lumMod val="75000"/>
            </a:schemeClr>
          </a:solidFill>
          <a:ln w="25400">
            <a:noFill/>
          </a:ln>
          <a:effectLst/>
        </c:spPr>
        <c:marker>
          <c:symbol val="none"/>
        </c:marker>
        <c:dLbl>
          <c:idx val="0"/>
          <c:delete val="1"/>
          <c:extLst>
            <c:ext xmlns:c15="http://schemas.microsoft.com/office/drawing/2012/chart" uri="{CE6537A1-D6FC-4f65-9D91-7224C49458BB}"/>
          </c:extLst>
        </c:dLbl>
      </c:pivotFmt>
      <c:pivotFmt>
        <c:idx val="3"/>
        <c:spPr>
          <a:solidFill>
            <a:schemeClr val="accent5">
              <a:lumMod val="75000"/>
            </a:schemeClr>
          </a:solidFill>
          <a:ln w="25400">
            <a:noFill/>
          </a:ln>
          <a:effectLst/>
        </c:spPr>
        <c:marker>
          <c:symbol val="none"/>
        </c:marker>
        <c:dLbl>
          <c:idx val="0"/>
          <c:delete val="1"/>
          <c:extLst>
            <c:ext xmlns:c15="http://schemas.microsoft.com/office/drawing/2012/chart" uri="{CE6537A1-D6FC-4f65-9D91-7224C49458BB}"/>
          </c:extLst>
        </c:dLbl>
      </c:pivotFmt>
      <c:pivotFmt>
        <c:idx val="4"/>
        <c:spPr>
          <a:solidFill>
            <a:schemeClr val="accent5">
              <a:lumMod val="60000"/>
              <a:lumOff val="40000"/>
            </a:schemeClr>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5">
              <a:lumMod val="40000"/>
              <a:lumOff val="60000"/>
            </a:schemeClr>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tx2">
              <a:lumMod val="20000"/>
              <a:lumOff val="80000"/>
            </a:schemeClr>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5">
              <a:lumMod val="20000"/>
              <a:lumOff val="80000"/>
            </a:schemeClr>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w="25400">
            <a:noFill/>
          </a:ln>
          <a:effectLst/>
        </c:spPr>
        <c:marker>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9"/>
        <c:spPr>
          <a:solidFill>
            <a:schemeClr val="accent1"/>
          </a:solidFill>
          <a:ln w="28575" cap="rnd">
            <a:noFill/>
            <a:round/>
          </a:ln>
          <a:effectLst/>
        </c:spPr>
        <c:marker>
          <c:symbol val="dash"/>
          <c:size val="7"/>
          <c:spPr>
            <a:solidFill>
              <a:srgbClr val="3B3838"/>
            </a:solidFill>
            <a:ln w="9525">
              <a:solidFill>
                <a:srgbClr val="3B3838"/>
              </a:solidFill>
            </a:ln>
            <a:effectLst/>
          </c:spPr>
        </c:marker>
      </c:pivotFmt>
      <c:pivotFmt>
        <c:idx val="10"/>
        <c:spPr>
          <a:solidFill>
            <a:srgbClr val="E7E6E6"/>
          </a:solidFill>
          <a:ln w="25400">
            <a:noFill/>
          </a:ln>
          <a:effectLst/>
        </c:spPr>
        <c:marker>
          <c:symbol val="none"/>
        </c:marker>
        <c:dLbl>
          <c:idx val="0"/>
          <c:delete val="1"/>
          <c:extLst>
            <c:ext xmlns:c15="http://schemas.microsoft.com/office/drawing/2012/chart" uri="{CE6537A1-D6FC-4f65-9D91-7224C49458BB}"/>
          </c:extLst>
        </c:dLbl>
      </c:pivotFmt>
      <c:pivotFmt>
        <c:idx val="11"/>
        <c:spPr>
          <a:solidFill>
            <a:schemeClr val="accent2">
              <a:lumMod val="75000"/>
            </a:schemeClr>
          </a:solidFill>
          <a:ln w="25400">
            <a:noFill/>
          </a:ln>
          <a:effectLst/>
        </c:spPr>
        <c:marker>
          <c:symbol val="none"/>
        </c:marker>
        <c:dLbl>
          <c:idx val="0"/>
          <c:delete val="1"/>
          <c:extLst>
            <c:ext xmlns:c15="http://schemas.microsoft.com/office/drawing/2012/chart" uri="{CE6537A1-D6FC-4f65-9D91-7224C49458BB}"/>
          </c:extLst>
        </c:dLbl>
      </c:pivotFmt>
      <c:pivotFmt>
        <c:idx val="12"/>
        <c:spPr>
          <a:solidFill>
            <a:schemeClr val="accent5">
              <a:lumMod val="75000"/>
            </a:schemeClr>
          </a:solidFill>
          <a:ln w="25400">
            <a:noFill/>
          </a:ln>
          <a:effectLst/>
        </c:spPr>
        <c:marker>
          <c:symbol val="none"/>
        </c:marker>
        <c:dLbl>
          <c:idx val="0"/>
          <c:delete val="1"/>
          <c:extLst>
            <c:ext xmlns:c15="http://schemas.microsoft.com/office/drawing/2012/chart" uri="{CE6537A1-D6FC-4f65-9D91-7224C49458BB}"/>
          </c:extLst>
        </c:dLbl>
      </c:pivotFmt>
      <c:pivotFmt>
        <c:idx val="13"/>
        <c:spPr>
          <a:solidFill>
            <a:schemeClr val="accent5">
              <a:lumMod val="60000"/>
              <a:lumOff val="40000"/>
            </a:schemeClr>
          </a:solidFill>
          <a:ln>
            <a:noFill/>
          </a:ln>
          <a:effectLst/>
        </c:spPr>
        <c:marker>
          <c:symbol val="none"/>
        </c:marker>
        <c:dLbl>
          <c:idx val="0"/>
          <c:delete val="1"/>
          <c:extLst>
            <c:ext xmlns:c15="http://schemas.microsoft.com/office/drawing/2012/chart" uri="{CE6537A1-D6FC-4f65-9D91-7224C49458BB}"/>
          </c:extLst>
        </c:dLbl>
      </c:pivotFmt>
      <c:pivotFmt>
        <c:idx val="14"/>
        <c:spPr>
          <a:solidFill>
            <a:schemeClr val="accent5">
              <a:lumMod val="40000"/>
              <a:lumOff val="60000"/>
            </a:schemeClr>
          </a:solidFill>
          <a:ln>
            <a:noFill/>
          </a:ln>
          <a:effectLst/>
        </c:spPr>
        <c:marker>
          <c:symbol val="none"/>
        </c:marker>
        <c:dLbl>
          <c:idx val="0"/>
          <c:delete val="1"/>
          <c:extLst>
            <c:ext xmlns:c15="http://schemas.microsoft.com/office/drawing/2012/chart" uri="{CE6537A1-D6FC-4f65-9D91-7224C49458BB}"/>
          </c:extLst>
        </c:dLbl>
      </c:pivotFmt>
      <c:pivotFmt>
        <c:idx val="15"/>
        <c:spPr>
          <a:solidFill>
            <a:schemeClr val="accent5">
              <a:lumMod val="20000"/>
              <a:lumOff val="80000"/>
            </a:schemeClr>
          </a:solidFill>
          <a:ln>
            <a:noFill/>
          </a:ln>
          <a:effectLst/>
        </c:spPr>
        <c:marker>
          <c:symbol val="none"/>
        </c:marker>
        <c:dLbl>
          <c:idx val="0"/>
          <c:delete val="1"/>
          <c:extLst>
            <c:ext xmlns:c15="http://schemas.microsoft.com/office/drawing/2012/chart" uri="{CE6537A1-D6FC-4f65-9D91-7224C49458BB}"/>
          </c:extLst>
        </c:dLbl>
      </c:pivotFmt>
      <c:pivotFmt>
        <c:idx val="16"/>
        <c:spPr>
          <a:solidFill>
            <a:schemeClr val="tx2">
              <a:lumMod val="20000"/>
              <a:lumOff val="80000"/>
            </a:schemeClr>
          </a:solidFill>
          <a:ln>
            <a:noFill/>
          </a:ln>
          <a:effectLst/>
        </c:spPr>
        <c:marker>
          <c:symbol val="none"/>
        </c:marker>
        <c:dLbl>
          <c:idx val="0"/>
          <c:delete val="1"/>
          <c:extLst>
            <c:ext xmlns:c15="http://schemas.microsoft.com/office/drawing/2012/chart" uri="{CE6537A1-D6FC-4f65-9D91-7224C49458BB}"/>
          </c:extLst>
        </c:dLbl>
      </c:pivotFmt>
      <c:pivotFmt>
        <c:idx val="17"/>
        <c:spPr>
          <a:solidFill>
            <a:schemeClr val="accent1"/>
          </a:solidFill>
          <a:ln w="28575" cap="rnd">
            <a:noFill/>
            <a:round/>
          </a:ln>
          <a:effectLst/>
        </c:spPr>
        <c:marker>
          <c:symbol val="dash"/>
          <c:size val="7"/>
          <c:spPr>
            <a:solidFill>
              <a:srgbClr val="3B3838"/>
            </a:solidFill>
            <a:ln w="9525">
              <a:solidFill>
                <a:srgbClr val="3B3838"/>
              </a:solidFill>
            </a:ln>
            <a:effectLst/>
          </c:spPr>
        </c:marker>
        <c:dLbl>
          <c:idx val="0"/>
          <c:delete val="1"/>
          <c:extLst>
            <c:ext xmlns:c15="http://schemas.microsoft.com/office/drawing/2012/chart" uri="{CE6537A1-D6FC-4f65-9D91-7224C49458BB}"/>
          </c:extLst>
        </c:dLbl>
      </c:pivotFmt>
      <c:pivotFmt>
        <c:idx val="18"/>
        <c:spPr>
          <a:solidFill>
            <a:srgbClr val="E7E6E6"/>
          </a:solidFill>
          <a:ln w="25400">
            <a:noFill/>
          </a:ln>
          <a:effectLst/>
        </c:spPr>
        <c:marker>
          <c:symbol val="none"/>
        </c:marker>
        <c:dLbl>
          <c:idx val="0"/>
          <c:delete val="1"/>
          <c:extLst>
            <c:ext xmlns:c15="http://schemas.microsoft.com/office/drawing/2012/chart" uri="{CE6537A1-D6FC-4f65-9D91-7224C49458BB}"/>
          </c:extLst>
        </c:dLbl>
      </c:pivotFmt>
      <c:pivotFmt>
        <c:idx val="19"/>
        <c:spPr>
          <a:solidFill>
            <a:schemeClr val="accent2">
              <a:lumMod val="75000"/>
            </a:schemeClr>
          </a:solidFill>
          <a:ln w="25400">
            <a:noFill/>
          </a:ln>
          <a:effectLst/>
        </c:spPr>
        <c:marker>
          <c:symbol val="none"/>
        </c:marker>
        <c:dLbl>
          <c:idx val="0"/>
          <c:delete val="1"/>
          <c:extLst>
            <c:ext xmlns:c15="http://schemas.microsoft.com/office/drawing/2012/chart" uri="{CE6537A1-D6FC-4f65-9D91-7224C49458BB}"/>
          </c:extLst>
        </c:dLbl>
      </c:pivotFmt>
      <c:pivotFmt>
        <c:idx val="20"/>
        <c:spPr>
          <a:solidFill>
            <a:schemeClr val="accent5">
              <a:lumMod val="75000"/>
            </a:schemeClr>
          </a:solidFill>
          <a:ln w="25400">
            <a:noFill/>
          </a:ln>
          <a:effectLst/>
        </c:spPr>
        <c:marker>
          <c:symbol val="none"/>
        </c:marker>
        <c:dLbl>
          <c:idx val="0"/>
          <c:delete val="1"/>
          <c:extLst>
            <c:ext xmlns:c15="http://schemas.microsoft.com/office/drawing/2012/chart" uri="{CE6537A1-D6FC-4f65-9D91-7224C49458BB}"/>
          </c:extLst>
        </c:dLbl>
      </c:pivotFmt>
      <c:pivotFmt>
        <c:idx val="21"/>
        <c:spPr>
          <a:solidFill>
            <a:schemeClr val="accent5">
              <a:lumMod val="60000"/>
              <a:lumOff val="40000"/>
            </a:schemeClr>
          </a:solidFill>
          <a:ln>
            <a:noFill/>
          </a:ln>
          <a:effectLst/>
        </c:spPr>
        <c:marker>
          <c:symbol val="none"/>
        </c:marker>
        <c:dLbl>
          <c:idx val="0"/>
          <c:delete val="1"/>
          <c:extLst>
            <c:ext xmlns:c15="http://schemas.microsoft.com/office/drawing/2012/chart" uri="{CE6537A1-D6FC-4f65-9D91-7224C49458BB}"/>
          </c:extLst>
        </c:dLbl>
      </c:pivotFmt>
      <c:pivotFmt>
        <c:idx val="22"/>
        <c:spPr>
          <a:solidFill>
            <a:schemeClr val="accent5">
              <a:lumMod val="40000"/>
              <a:lumOff val="60000"/>
            </a:schemeClr>
          </a:solidFill>
          <a:ln>
            <a:noFill/>
          </a:ln>
          <a:effectLst/>
        </c:spPr>
        <c:marker>
          <c:symbol val="none"/>
        </c:marker>
        <c:dLbl>
          <c:idx val="0"/>
          <c:delete val="1"/>
          <c:extLst>
            <c:ext xmlns:c15="http://schemas.microsoft.com/office/drawing/2012/chart" uri="{CE6537A1-D6FC-4f65-9D91-7224C49458BB}"/>
          </c:extLst>
        </c:dLbl>
      </c:pivotFmt>
      <c:pivotFmt>
        <c:idx val="23"/>
        <c:spPr>
          <a:solidFill>
            <a:schemeClr val="accent5">
              <a:lumMod val="20000"/>
              <a:lumOff val="80000"/>
            </a:schemeClr>
          </a:solidFill>
          <a:ln>
            <a:noFill/>
          </a:ln>
          <a:effectLst/>
        </c:spPr>
        <c:marker>
          <c:symbol val="none"/>
        </c:marker>
        <c:dLbl>
          <c:idx val="0"/>
          <c:delete val="1"/>
          <c:extLst>
            <c:ext xmlns:c15="http://schemas.microsoft.com/office/drawing/2012/chart" uri="{CE6537A1-D6FC-4f65-9D91-7224C49458BB}"/>
          </c:extLst>
        </c:dLbl>
      </c:pivotFmt>
      <c:pivotFmt>
        <c:idx val="24"/>
        <c:spPr>
          <a:solidFill>
            <a:schemeClr val="tx2">
              <a:lumMod val="20000"/>
              <a:lumOff val="80000"/>
            </a:schemeClr>
          </a:solidFill>
          <a:ln>
            <a:noFill/>
          </a:ln>
          <a:effectLst/>
        </c:spPr>
        <c:marker>
          <c:symbol val="none"/>
        </c:marker>
        <c:dLbl>
          <c:idx val="0"/>
          <c:delete val="1"/>
          <c:extLst>
            <c:ext xmlns:c15="http://schemas.microsoft.com/office/drawing/2012/chart" uri="{CE6537A1-D6FC-4f65-9D91-7224C49458BB}"/>
          </c:extLst>
        </c:dLbl>
      </c:pivotFmt>
      <c:pivotFmt>
        <c:idx val="25"/>
        <c:spPr>
          <a:solidFill>
            <a:schemeClr val="accent1"/>
          </a:solidFill>
          <a:ln w="28575" cap="rnd">
            <a:noFill/>
            <a:round/>
          </a:ln>
          <a:effectLst/>
        </c:spPr>
        <c:marker>
          <c:symbol val="dash"/>
          <c:size val="7"/>
          <c:spPr>
            <a:solidFill>
              <a:srgbClr val="3B3838"/>
            </a:solidFill>
            <a:ln w="9525">
              <a:solidFill>
                <a:srgbClr val="3B3838"/>
              </a:solidFill>
            </a:ln>
            <a:effectLst/>
          </c:spPr>
        </c:marker>
        <c:dLbl>
          <c:idx val="0"/>
          <c:delete val="1"/>
          <c:extLst>
            <c:ext xmlns:c15="http://schemas.microsoft.com/office/drawing/2012/chart" uri="{CE6537A1-D6FC-4f65-9D91-7224C49458BB}"/>
          </c:extLst>
        </c:dLbl>
      </c:pivotFmt>
      <c:pivotFmt>
        <c:idx val="26"/>
        <c:spPr>
          <a:solidFill>
            <a:srgbClr val="E7E6E6"/>
          </a:solidFill>
          <a:ln w="25400">
            <a:noFill/>
          </a:ln>
          <a:effectLst/>
        </c:spPr>
        <c:marker>
          <c:symbol val="none"/>
        </c:marker>
        <c:dLbl>
          <c:idx val="0"/>
          <c:delete val="1"/>
          <c:extLst>
            <c:ext xmlns:c15="http://schemas.microsoft.com/office/drawing/2012/chart" uri="{CE6537A1-D6FC-4f65-9D91-7224C49458BB}"/>
          </c:extLst>
        </c:dLbl>
      </c:pivotFmt>
      <c:pivotFmt>
        <c:idx val="27"/>
        <c:spPr>
          <a:solidFill>
            <a:schemeClr val="accent2">
              <a:lumMod val="75000"/>
            </a:schemeClr>
          </a:solidFill>
          <a:ln w="25400">
            <a:noFill/>
          </a:ln>
          <a:effectLst/>
        </c:spPr>
        <c:marker>
          <c:symbol val="none"/>
        </c:marker>
        <c:dLbl>
          <c:idx val="0"/>
          <c:delete val="1"/>
          <c:extLst>
            <c:ext xmlns:c15="http://schemas.microsoft.com/office/drawing/2012/chart" uri="{CE6537A1-D6FC-4f65-9D91-7224C49458BB}"/>
          </c:extLst>
        </c:dLbl>
      </c:pivotFmt>
      <c:pivotFmt>
        <c:idx val="28"/>
        <c:spPr>
          <a:solidFill>
            <a:schemeClr val="accent5">
              <a:lumMod val="75000"/>
            </a:schemeClr>
          </a:solidFill>
          <a:ln w="25400">
            <a:noFill/>
          </a:ln>
          <a:effectLst/>
        </c:spPr>
        <c:marker>
          <c:symbol val="none"/>
        </c:marker>
        <c:dLbl>
          <c:idx val="0"/>
          <c:delete val="1"/>
          <c:extLst>
            <c:ext xmlns:c15="http://schemas.microsoft.com/office/drawing/2012/chart" uri="{CE6537A1-D6FC-4f65-9D91-7224C49458BB}"/>
          </c:extLst>
        </c:dLbl>
      </c:pivotFmt>
      <c:pivotFmt>
        <c:idx val="29"/>
        <c:spPr>
          <a:solidFill>
            <a:schemeClr val="accent5">
              <a:lumMod val="60000"/>
              <a:lumOff val="40000"/>
            </a:schemeClr>
          </a:solidFill>
          <a:ln>
            <a:noFill/>
          </a:ln>
          <a:effectLst/>
        </c:spPr>
        <c:marker>
          <c:symbol val="none"/>
        </c:marker>
        <c:dLbl>
          <c:idx val="0"/>
          <c:delete val="1"/>
          <c:extLst>
            <c:ext xmlns:c15="http://schemas.microsoft.com/office/drawing/2012/chart" uri="{CE6537A1-D6FC-4f65-9D91-7224C49458BB}"/>
          </c:extLst>
        </c:dLbl>
      </c:pivotFmt>
      <c:pivotFmt>
        <c:idx val="30"/>
        <c:spPr>
          <a:solidFill>
            <a:schemeClr val="accent5">
              <a:lumMod val="40000"/>
              <a:lumOff val="60000"/>
            </a:schemeClr>
          </a:solidFill>
          <a:ln>
            <a:noFill/>
          </a:ln>
          <a:effectLst/>
        </c:spPr>
        <c:marker>
          <c:symbol val="none"/>
        </c:marker>
        <c:dLbl>
          <c:idx val="0"/>
          <c:delete val="1"/>
          <c:extLst>
            <c:ext xmlns:c15="http://schemas.microsoft.com/office/drawing/2012/chart" uri="{CE6537A1-D6FC-4f65-9D91-7224C49458BB}"/>
          </c:extLst>
        </c:dLbl>
      </c:pivotFmt>
      <c:pivotFmt>
        <c:idx val="31"/>
        <c:spPr>
          <a:solidFill>
            <a:schemeClr val="accent5">
              <a:lumMod val="20000"/>
              <a:lumOff val="80000"/>
            </a:schemeClr>
          </a:solidFill>
          <a:ln>
            <a:noFill/>
          </a:ln>
          <a:effectLst/>
        </c:spPr>
        <c:marker>
          <c:symbol val="none"/>
        </c:marker>
        <c:dLbl>
          <c:idx val="0"/>
          <c:delete val="1"/>
          <c:extLst>
            <c:ext xmlns:c15="http://schemas.microsoft.com/office/drawing/2012/chart" uri="{CE6537A1-D6FC-4f65-9D91-7224C49458BB}"/>
          </c:extLst>
        </c:dLbl>
      </c:pivotFmt>
      <c:pivotFmt>
        <c:idx val="32"/>
        <c:spPr>
          <a:solidFill>
            <a:schemeClr val="tx2">
              <a:lumMod val="20000"/>
              <a:lumOff val="80000"/>
            </a:schemeClr>
          </a:solidFill>
          <a:ln>
            <a:noFill/>
          </a:ln>
          <a:effectLst/>
        </c:spPr>
        <c:marker>
          <c:symbol val="none"/>
        </c:marker>
        <c:dLbl>
          <c:idx val="0"/>
          <c:delete val="1"/>
          <c:extLst>
            <c:ext xmlns:c15="http://schemas.microsoft.com/office/drawing/2012/chart" uri="{CE6537A1-D6FC-4f65-9D91-7224C49458BB}"/>
          </c:extLst>
        </c:dLbl>
      </c:pivotFmt>
      <c:pivotFmt>
        <c:idx val="33"/>
        <c:spPr>
          <a:solidFill>
            <a:schemeClr val="accent1"/>
          </a:solidFill>
          <a:ln w="28575" cap="rnd">
            <a:noFill/>
            <a:round/>
          </a:ln>
          <a:effectLst/>
        </c:spPr>
        <c:marker>
          <c:symbol val="dash"/>
          <c:size val="7"/>
          <c:spPr>
            <a:solidFill>
              <a:srgbClr val="3B3838"/>
            </a:solidFill>
            <a:ln w="9525">
              <a:solidFill>
                <a:srgbClr val="3B3838"/>
              </a:solidFill>
            </a:ln>
            <a:effectLst/>
          </c:spPr>
        </c:marker>
        <c:dLbl>
          <c:idx val="0"/>
          <c:delete val="1"/>
          <c:extLst>
            <c:ext xmlns:c15="http://schemas.microsoft.com/office/drawing/2012/chart" uri="{CE6537A1-D6FC-4f65-9D91-7224C49458BB}"/>
          </c:extLst>
        </c:dLbl>
      </c:pivotFmt>
      <c:pivotFmt>
        <c:idx val="34"/>
        <c:spPr>
          <a:solidFill>
            <a:srgbClr val="E7E6E6"/>
          </a:solidFill>
          <a:ln w="25400">
            <a:noFill/>
          </a:ln>
          <a:effectLst/>
        </c:spPr>
        <c:marker>
          <c:symbol val="none"/>
        </c:marker>
        <c:dLbl>
          <c:idx val="0"/>
          <c:delete val="1"/>
          <c:extLst>
            <c:ext xmlns:c15="http://schemas.microsoft.com/office/drawing/2012/chart" uri="{CE6537A1-D6FC-4f65-9D91-7224C49458BB}"/>
          </c:extLst>
        </c:dLbl>
      </c:pivotFmt>
      <c:pivotFmt>
        <c:idx val="35"/>
        <c:spPr>
          <a:solidFill>
            <a:schemeClr val="accent2">
              <a:lumMod val="75000"/>
            </a:schemeClr>
          </a:solidFill>
          <a:ln w="25400">
            <a:noFill/>
          </a:ln>
          <a:effectLst/>
        </c:spPr>
        <c:marker>
          <c:symbol val="none"/>
        </c:marker>
        <c:dLbl>
          <c:idx val="0"/>
          <c:delete val="1"/>
          <c:extLst>
            <c:ext xmlns:c15="http://schemas.microsoft.com/office/drawing/2012/chart" uri="{CE6537A1-D6FC-4f65-9D91-7224C49458BB}"/>
          </c:extLst>
        </c:dLbl>
      </c:pivotFmt>
      <c:pivotFmt>
        <c:idx val="36"/>
        <c:spPr>
          <a:solidFill>
            <a:schemeClr val="accent5">
              <a:lumMod val="75000"/>
            </a:schemeClr>
          </a:solidFill>
          <a:ln w="25400">
            <a:noFill/>
          </a:ln>
          <a:effectLst/>
        </c:spPr>
        <c:marker>
          <c:symbol val="none"/>
        </c:marker>
        <c:dLbl>
          <c:idx val="0"/>
          <c:delete val="1"/>
          <c:extLst>
            <c:ext xmlns:c15="http://schemas.microsoft.com/office/drawing/2012/chart" uri="{CE6537A1-D6FC-4f65-9D91-7224C49458BB}"/>
          </c:extLst>
        </c:dLbl>
      </c:pivotFmt>
      <c:pivotFmt>
        <c:idx val="37"/>
        <c:spPr>
          <a:solidFill>
            <a:schemeClr val="accent5">
              <a:lumMod val="60000"/>
              <a:lumOff val="40000"/>
            </a:schemeClr>
          </a:solidFill>
          <a:ln>
            <a:noFill/>
          </a:ln>
          <a:effectLst/>
        </c:spPr>
        <c:marker>
          <c:symbol val="none"/>
        </c:marker>
        <c:dLbl>
          <c:idx val="0"/>
          <c:delete val="1"/>
          <c:extLst>
            <c:ext xmlns:c15="http://schemas.microsoft.com/office/drawing/2012/chart" uri="{CE6537A1-D6FC-4f65-9D91-7224C49458BB}"/>
          </c:extLst>
        </c:dLbl>
      </c:pivotFmt>
      <c:pivotFmt>
        <c:idx val="38"/>
        <c:spPr>
          <a:solidFill>
            <a:schemeClr val="accent5">
              <a:lumMod val="40000"/>
              <a:lumOff val="60000"/>
            </a:schemeClr>
          </a:solidFill>
          <a:ln>
            <a:noFill/>
          </a:ln>
          <a:effectLst/>
        </c:spPr>
        <c:marker>
          <c:symbol val="none"/>
        </c:marker>
        <c:dLbl>
          <c:idx val="0"/>
          <c:delete val="1"/>
          <c:extLst>
            <c:ext xmlns:c15="http://schemas.microsoft.com/office/drawing/2012/chart" uri="{CE6537A1-D6FC-4f65-9D91-7224C49458BB}"/>
          </c:extLst>
        </c:dLbl>
      </c:pivotFmt>
      <c:pivotFmt>
        <c:idx val="39"/>
        <c:spPr>
          <a:solidFill>
            <a:schemeClr val="accent5">
              <a:lumMod val="20000"/>
              <a:lumOff val="80000"/>
            </a:schemeClr>
          </a:solidFill>
          <a:ln>
            <a:noFill/>
          </a:ln>
          <a:effectLst/>
        </c:spPr>
        <c:marker>
          <c:symbol val="none"/>
        </c:marker>
        <c:dLbl>
          <c:idx val="0"/>
          <c:delete val="1"/>
          <c:extLst>
            <c:ext xmlns:c15="http://schemas.microsoft.com/office/drawing/2012/chart" uri="{CE6537A1-D6FC-4f65-9D91-7224C49458BB}"/>
          </c:extLst>
        </c:dLbl>
      </c:pivotFmt>
      <c:pivotFmt>
        <c:idx val="40"/>
        <c:spPr>
          <a:solidFill>
            <a:schemeClr val="tx2">
              <a:lumMod val="20000"/>
              <a:lumOff val="80000"/>
            </a:schemeClr>
          </a:solidFill>
          <a:ln>
            <a:noFill/>
          </a:ln>
          <a:effectLst/>
        </c:spPr>
        <c:marker>
          <c:symbol val="none"/>
        </c:marker>
        <c:dLbl>
          <c:idx val="0"/>
          <c:delete val="1"/>
          <c:extLst>
            <c:ext xmlns:c15="http://schemas.microsoft.com/office/drawing/2012/chart" uri="{CE6537A1-D6FC-4f65-9D91-7224C49458BB}"/>
          </c:extLst>
        </c:dLbl>
      </c:pivotFmt>
      <c:pivotFmt>
        <c:idx val="41"/>
        <c:spPr>
          <a:solidFill>
            <a:schemeClr val="accent1"/>
          </a:solidFill>
          <a:ln w="28575" cap="rnd">
            <a:noFill/>
            <a:round/>
          </a:ln>
          <a:effectLst/>
        </c:spPr>
        <c:marker>
          <c:symbol val="dash"/>
          <c:size val="7"/>
          <c:spPr>
            <a:solidFill>
              <a:srgbClr val="3B3838"/>
            </a:solidFill>
            <a:ln w="9525">
              <a:solidFill>
                <a:srgbClr val="3B3838"/>
              </a:solidFill>
            </a:ln>
            <a:effectLst/>
          </c:spPr>
        </c:marker>
        <c:dLbl>
          <c:idx val="0"/>
          <c:delete val="1"/>
          <c:extLst>
            <c:ext xmlns:c15="http://schemas.microsoft.com/office/drawing/2012/chart" uri="{CE6537A1-D6FC-4f65-9D91-7224C49458BB}"/>
          </c:extLst>
        </c:dLbl>
      </c:pivotFmt>
      <c:pivotFmt>
        <c:idx val="42"/>
        <c:spPr>
          <a:solidFill>
            <a:srgbClr val="2F5597"/>
          </a:solidFill>
          <a:ln w="25400">
            <a:noFill/>
          </a:ln>
          <a:effectLst/>
        </c:spPr>
        <c:marker>
          <c:symbol val="none"/>
        </c:marker>
        <c:dLbl>
          <c:idx val="0"/>
          <c:delete val="1"/>
          <c:extLst>
            <c:ext xmlns:c15="http://schemas.microsoft.com/office/drawing/2012/chart" uri="{CE6537A1-D6FC-4f65-9D91-7224C49458BB}"/>
          </c:extLst>
        </c:dLbl>
      </c:pivotFmt>
      <c:pivotFmt>
        <c:idx val="43"/>
        <c:spPr>
          <a:solidFill>
            <a:schemeClr val="accent5">
              <a:lumMod val="60000"/>
              <a:lumOff val="40000"/>
            </a:schemeClr>
          </a:solidFill>
          <a:ln w="25400">
            <a:noFill/>
          </a:ln>
          <a:effectLst/>
        </c:spPr>
        <c:marker>
          <c:symbol val="none"/>
        </c:marker>
        <c:dLbl>
          <c:idx val="0"/>
          <c:delete val="1"/>
          <c:extLst>
            <c:ext xmlns:c15="http://schemas.microsoft.com/office/drawing/2012/chart" uri="{CE6537A1-D6FC-4f65-9D91-7224C49458BB}"/>
          </c:extLst>
        </c:dLbl>
      </c:pivotFmt>
      <c:pivotFmt>
        <c:idx val="44"/>
        <c:spPr>
          <a:solidFill>
            <a:schemeClr val="accent5">
              <a:lumMod val="40000"/>
              <a:lumOff val="60000"/>
            </a:schemeClr>
          </a:solidFill>
          <a:ln w="25400">
            <a:noFill/>
          </a:ln>
          <a:effectLst/>
        </c:spPr>
        <c:marker>
          <c:symbol val="none"/>
        </c:marker>
        <c:dLbl>
          <c:idx val="0"/>
          <c:delete val="1"/>
          <c:extLst>
            <c:ext xmlns:c15="http://schemas.microsoft.com/office/drawing/2012/chart" uri="{CE6537A1-D6FC-4f65-9D91-7224C49458BB}"/>
          </c:extLst>
        </c:dLbl>
      </c:pivotFmt>
      <c:pivotFmt>
        <c:idx val="45"/>
        <c:spPr>
          <a:solidFill>
            <a:schemeClr val="accent5">
              <a:lumMod val="20000"/>
              <a:lumOff val="80000"/>
            </a:schemeClr>
          </a:solidFill>
          <a:ln w="25400">
            <a:noFill/>
          </a:ln>
          <a:effectLst/>
        </c:spPr>
        <c:marker>
          <c:symbol val="none"/>
        </c:marker>
        <c:dLbl>
          <c:idx val="0"/>
          <c:delete val="1"/>
          <c:extLst>
            <c:ext xmlns:c15="http://schemas.microsoft.com/office/drawing/2012/chart" uri="{CE6537A1-D6FC-4f65-9D91-7224C49458BB}"/>
          </c:extLst>
        </c:dLbl>
      </c:pivotFmt>
      <c:pivotFmt>
        <c:idx val="46"/>
        <c:spPr>
          <a:solidFill>
            <a:schemeClr val="tx2">
              <a:lumMod val="40000"/>
              <a:lumOff val="60000"/>
            </a:schemeClr>
          </a:solidFill>
          <a:ln w="25400">
            <a:noFill/>
          </a:ln>
          <a:effectLst/>
        </c:spPr>
        <c:marker>
          <c:symbol val="none"/>
        </c:marker>
        <c:dLbl>
          <c:idx val="0"/>
          <c:delete val="1"/>
          <c:extLst>
            <c:ext xmlns:c15="http://schemas.microsoft.com/office/drawing/2012/chart" uri="{CE6537A1-D6FC-4f65-9D91-7224C49458BB}"/>
          </c:extLst>
        </c:dLbl>
      </c:pivotFmt>
      <c:pivotFmt>
        <c:idx val="47"/>
        <c:spPr>
          <a:solidFill>
            <a:schemeClr val="accent2">
              <a:lumMod val="75000"/>
            </a:schemeClr>
          </a:solidFill>
          <a:ln w="25400">
            <a:noFill/>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1246607287852706"/>
          <c:y val="4.8144708917560494E-2"/>
          <c:w val="0.85707992094084351"/>
          <c:h val="0.63607755923413178"/>
        </c:manualLayout>
      </c:layout>
      <c:barChart>
        <c:barDir val="col"/>
        <c:grouping val="percentStacked"/>
        <c:varyColors val="0"/>
        <c:ser>
          <c:idx val="1"/>
          <c:order val="0"/>
          <c:tx>
            <c:strRef>
              <c:f>'1Cross'!$B$148</c:f>
              <c:strCache>
                <c:ptCount val="1"/>
                <c:pt idx="0">
                  <c:v>Labour income</c:v>
                </c:pt>
              </c:strCache>
            </c:strRef>
          </c:tx>
          <c:spPr>
            <a:solidFill>
              <a:sysClr val="windowText" lastClr="000000">
                <a:lumMod val="50000"/>
                <a:lumOff val="50000"/>
              </a:sysClr>
            </a:solidFill>
          </c:spPr>
          <c:invertIfNegative val="0"/>
          <c:cat>
            <c:strRef>
              <c:extLst>
                <c:ext xmlns:c15="http://schemas.microsoft.com/office/drawing/2012/chart" uri="{02D57815-91ED-43cb-92C2-25804820EDAC}">
                  <c15:fullRef>
                    <c15:sqref>'1Cross'!$A$149:$A$177</c15:sqref>
                  </c15:fullRef>
                </c:ext>
              </c:extLst>
              <c:f>'1Cross'!$A$157:$A$177</c:f>
              <c:strCache>
                <c:ptCount val="21"/>
                <c:pt idx="0">
                  <c:v>SK</c:v>
                </c:pt>
                <c:pt idx="1">
                  <c:v>LT</c:v>
                </c:pt>
                <c:pt idx="2">
                  <c:v>LV</c:v>
                </c:pt>
                <c:pt idx="3">
                  <c:v>EE</c:v>
                </c:pt>
                <c:pt idx="4">
                  <c:v>CY</c:v>
                </c:pt>
                <c:pt idx="5">
                  <c:v>MT</c:v>
                </c:pt>
                <c:pt idx="6">
                  <c:v>IE</c:v>
                </c:pt>
                <c:pt idx="7">
                  <c:v>HU</c:v>
                </c:pt>
                <c:pt idx="8">
                  <c:v>HR</c:v>
                </c:pt>
                <c:pt idx="9">
                  <c:v>SI</c:v>
                </c:pt>
                <c:pt idx="10">
                  <c:v>DE</c:v>
                </c:pt>
                <c:pt idx="11">
                  <c:v>LU</c:v>
                </c:pt>
                <c:pt idx="12">
                  <c:v>ES</c:v>
                </c:pt>
                <c:pt idx="13">
                  <c:v>FI</c:v>
                </c:pt>
                <c:pt idx="14">
                  <c:v>AT</c:v>
                </c:pt>
                <c:pt idx="15">
                  <c:v>BE</c:v>
                </c:pt>
                <c:pt idx="16">
                  <c:v>PT</c:v>
                </c:pt>
                <c:pt idx="17">
                  <c:v>NL</c:v>
                </c:pt>
                <c:pt idx="18">
                  <c:v>FR</c:v>
                </c:pt>
                <c:pt idx="19">
                  <c:v>IT</c:v>
                </c:pt>
                <c:pt idx="20">
                  <c:v>EL</c:v>
                </c:pt>
              </c:strCache>
            </c:strRef>
          </c:cat>
          <c:val>
            <c:numRef>
              <c:extLst>
                <c:ext xmlns:c15="http://schemas.microsoft.com/office/drawing/2012/chart" uri="{02D57815-91ED-43cb-92C2-25804820EDAC}">
                  <c15:fullRef>
                    <c15:sqref>'1Cross'!$B$149:$B$177</c15:sqref>
                  </c15:fullRef>
                </c:ext>
              </c:extLst>
              <c:f>'1Cross'!$B$157:$B$177</c:f>
              <c:numCache>
                <c:formatCode>0.000</c:formatCode>
                <c:ptCount val="21"/>
                <c:pt idx="0">
                  <c:v>0.85302134000795082</c:v>
                </c:pt>
                <c:pt idx="1">
                  <c:v>0.82077830897464632</c:v>
                </c:pt>
                <c:pt idx="2">
                  <c:v>0.7893873578132008</c:v>
                </c:pt>
                <c:pt idx="3">
                  <c:v>0.7832527437023461</c:v>
                </c:pt>
                <c:pt idx="4">
                  <c:v>0.73870199127973368</c:v>
                </c:pt>
                <c:pt idx="5">
                  <c:v>0.72766374633788422</c:v>
                </c:pt>
                <c:pt idx="6">
                  <c:v>0.72497974012530975</c:v>
                </c:pt>
                <c:pt idx="7">
                  <c:v>0.70767009148121007</c:v>
                </c:pt>
                <c:pt idx="8">
                  <c:v>0.70213848752245811</c:v>
                </c:pt>
                <c:pt idx="9">
                  <c:v>0.69095160207736472</c:v>
                </c:pt>
                <c:pt idx="10">
                  <c:v>0.69089609220865789</c:v>
                </c:pt>
                <c:pt idx="11">
                  <c:v>0.68879967755084304</c:v>
                </c:pt>
                <c:pt idx="12">
                  <c:v>0.65411081250132441</c:v>
                </c:pt>
                <c:pt idx="13">
                  <c:v>0.65297089549550147</c:v>
                </c:pt>
                <c:pt idx="14">
                  <c:v>0.65041857831115224</c:v>
                </c:pt>
                <c:pt idx="15">
                  <c:v>0.64736777556873604</c:v>
                </c:pt>
                <c:pt idx="16">
                  <c:v>0.64682344807286818</c:v>
                </c:pt>
                <c:pt idx="17">
                  <c:v>0.61446280312246482</c:v>
                </c:pt>
                <c:pt idx="18">
                  <c:v>0.59247786418241222</c:v>
                </c:pt>
                <c:pt idx="19">
                  <c:v>0.56609190904926798</c:v>
                </c:pt>
                <c:pt idx="20">
                  <c:v>0.4497459959211188</c:v>
                </c:pt>
              </c:numCache>
            </c:numRef>
          </c:val>
          <c:extLst>
            <c:ext xmlns:c16="http://schemas.microsoft.com/office/drawing/2014/chart" uri="{C3380CC4-5D6E-409C-BE32-E72D297353CC}">
              <c16:uniqueId val="{00000000-123C-424F-823E-0373447AE03A}"/>
            </c:ext>
          </c:extLst>
        </c:ser>
        <c:ser>
          <c:idx val="2"/>
          <c:order val="1"/>
          <c:tx>
            <c:strRef>
              <c:f>'1Cross'!$C$148</c:f>
              <c:strCache>
                <c:ptCount val="1"/>
                <c:pt idx="0">
                  <c:v>Pension and benefits</c:v>
                </c:pt>
              </c:strCache>
            </c:strRef>
          </c:tx>
          <c:spPr>
            <a:solidFill>
              <a:srgbClr val="FFC000">
                <a:lumMod val="60000"/>
                <a:lumOff val="40000"/>
              </a:srgbClr>
            </a:solidFill>
          </c:spPr>
          <c:invertIfNegative val="0"/>
          <c:cat>
            <c:strRef>
              <c:extLst>
                <c:ext xmlns:c15="http://schemas.microsoft.com/office/drawing/2012/chart" uri="{02D57815-91ED-43cb-92C2-25804820EDAC}">
                  <c15:fullRef>
                    <c15:sqref>'1Cross'!$A$149:$A$177</c15:sqref>
                  </c15:fullRef>
                </c:ext>
              </c:extLst>
              <c:f>'1Cross'!$A$157:$A$177</c:f>
              <c:strCache>
                <c:ptCount val="21"/>
                <c:pt idx="0">
                  <c:v>SK</c:v>
                </c:pt>
                <c:pt idx="1">
                  <c:v>LT</c:v>
                </c:pt>
                <c:pt idx="2">
                  <c:v>LV</c:v>
                </c:pt>
                <c:pt idx="3">
                  <c:v>EE</c:v>
                </c:pt>
                <c:pt idx="4">
                  <c:v>CY</c:v>
                </c:pt>
                <c:pt idx="5">
                  <c:v>MT</c:v>
                </c:pt>
                <c:pt idx="6">
                  <c:v>IE</c:v>
                </c:pt>
                <c:pt idx="7">
                  <c:v>HU</c:v>
                </c:pt>
                <c:pt idx="8">
                  <c:v>HR</c:v>
                </c:pt>
                <c:pt idx="9">
                  <c:v>SI</c:v>
                </c:pt>
                <c:pt idx="10">
                  <c:v>DE</c:v>
                </c:pt>
                <c:pt idx="11">
                  <c:v>LU</c:v>
                </c:pt>
                <c:pt idx="12">
                  <c:v>ES</c:v>
                </c:pt>
                <c:pt idx="13">
                  <c:v>FI</c:v>
                </c:pt>
                <c:pt idx="14">
                  <c:v>AT</c:v>
                </c:pt>
                <c:pt idx="15">
                  <c:v>BE</c:v>
                </c:pt>
                <c:pt idx="16">
                  <c:v>PT</c:v>
                </c:pt>
                <c:pt idx="17">
                  <c:v>NL</c:v>
                </c:pt>
                <c:pt idx="18">
                  <c:v>FR</c:v>
                </c:pt>
                <c:pt idx="19">
                  <c:v>IT</c:v>
                </c:pt>
                <c:pt idx="20">
                  <c:v>EL</c:v>
                </c:pt>
              </c:strCache>
            </c:strRef>
          </c:cat>
          <c:val>
            <c:numRef>
              <c:extLst>
                <c:ext xmlns:c15="http://schemas.microsoft.com/office/drawing/2012/chart" uri="{02D57815-91ED-43cb-92C2-25804820EDAC}">
                  <c15:fullRef>
                    <c15:sqref>'1Cross'!$C$149:$C$177</c15:sqref>
                  </c15:fullRef>
                </c:ext>
              </c:extLst>
              <c:f>'1Cross'!$C$157:$C$177</c:f>
              <c:numCache>
                <c:formatCode>0.000</c:formatCode>
                <c:ptCount val="21"/>
                <c:pt idx="0">
                  <c:v>4.1099196555073196E-4</c:v>
                </c:pt>
                <c:pt idx="1">
                  <c:v>2.8939410210830688E-2</c:v>
                </c:pt>
                <c:pt idx="2">
                  <c:v>0.15910137136579952</c:v>
                </c:pt>
                <c:pt idx="3">
                  <c:v>0.17493794725043307</c:v>
                </c:pt>
                <c:pt idx="4">
                  <c:v>0.15627989053126976</c:v>
                </c:pt>
                <c:pt idx="5">
                  <c:v>0.13521100818729789</c:v>
                </c:pt>
                <c:pt idx="6">
                  <c:v>0.13871221931916494</c:v>
                </c:pt>
                <c:pt idx="7">
                  <c:v>0.19493368218010654</c:v>
                </c:pt>
                <c:pt idx="8">
                  <c:v>0.22511378395649023</c:v>
                </c:pt>
                <c:pt idx="9">
                  <c:v>0.2366279875483833</c:v>
                </c:pt>
                <c:pt idx="10">
                  <c:v>0.17960631045291311</c:v>
                </c:pt>
                <c:pt idx="11">
                  <c:v>0.24556965611605538</c:v>
                </c:pt>
                <c:pt idx="12">
                  <c:v>0.25027188216296875</c:v>
                </c:pt>
                <c:pt idx="13">
                  <c:v>0.26156270204758691</c:v>
                </c:pt>
                <c:pt idx="14">
                  <c:v>0.24169434510282167</c:v>
                </c:pt>
                <c:pt idx="15">
                  <c:v>0.25655978164365628</c:v>
                </c:pt>
                <c:pt idx="16">
                  <c:v>0.25417888859747939</c:v>
                </c:pt>
                <c:pt idx="17">
                  <c:v>0.21918535943710515</c:v>
                </c:pt>
                <c:pt idx="18">
                  <c:v>0.26964199603956468</c:v>
                </c:pt>
                <c:pt idx="19">
                  <c:v>0.30906101515244833</c:v>
                </c:pt>
                <c:pt idx="20">
                  <c:v>0.32533052347904917</c:v>
                </c:pt>
              </c:numCache>
            </c:numRef>
          </c:val>
          <c:extLst>
            <c:ext xmlns:c16="http://schemas.microsoft.com/office/drawing/2014/chart" uri="{C3380CC4-5D6E-409C-BE32-E72D297353CC}">
              <c16:uniqueId val="{00000001-123C-424F-823E-0373447AE03A}"/>
            </c:ext>
          </c:extLst>
        </c:ser>
        <c:ser>
          <c:idx val="3"/>
          <c:order val="2"/>
          <c:tx>
            <c:strRef>
              <c:f>'1Cross'!$D$148</c:f>
              <c:strCache>
                <c:ptCount val="1"/>
                <c:pt idx="0">
                  <c:v>Self-employment income</c:v>
                </c:pt>
              </c:strCache>
            </c:strRef>
          </c:tx>
          <c:spPr>
            <a:solidFill>
              <a:srgbClr val="ED7D31">
                <a:lumMod val="75000"/>
              </a:srgbClr>
            </a:solidFill>
          </c:spPr>
          <c:invertIfNegative val="0"/>
          <c:dPt>
            <c:idx val="12"/>
            <c:invertIfNegative val="0"/>
            <c:bubble3D val="0"/>
            <c:extLst>
              <c:ext xmlns:c16="http://schemas.microsoft.com/office/drawing/2014/chart" uri="{C3380CC4-5D6E-409C-BE32-E72D297353CC}">
                <c16:uniqueId val="{00000000-B201-4E7B-A079-A198691260A6}"/>
              </c:ext>
            </c:extLst>
          </c:dPt>
          <c:cat>
            <c:strRef>
              <c:extLst>
                <c:ext xmlns:c15="http://schemas.microsoft.com/office/drawing/2012/chart" uri="{02D57815-91ED-43cb-92C2-25804820EDAC}">
                  <c15:fullRef>
                    <c15:sqref>'1Cross'!$A$149:$A$177</c15:sqref>
                  </c15:fullRef>
                </c:ext>
              </c:extLst>
              <c:f>'1Cross'!$A$157:$A$177</c:f>
              <c:strCache>
                <c:ptCount val="21"/>
                <c:pt idx="0">
                  <c:v>SK</c:v>
                </c:pt>
                <c:pt idx="1">
                  <c:v>LT</c:v>
                </c:pt>
                <c:pt idx="2">
                  <c:v>LV</c:v>
                </c:pt>
                <c:pt idx="3">
                  <c:v>EE</c:v>
                </c:pt>
                <c:pt idx="4">
                  <c:v>CY</c:v>
                </c:pt>
                <c:pt idx="5">
                  <c:v>MT</c:v>
                </c:pt>
                <c:pt idx="6">
                  <c:v>IE</c:v>
                </c:pt>
                <c:pt idx="7">
                  <c:v>HU</c:v>
                </c:pt>
                <c:pt idx="8">
                  <c:v>HR</c:v>
                </c:pt>
                <c:pt idx="9">
                  <c:v>SI</c:v>
                </c:pt>
                <c:pt idx="10">
                  <c:v>DE</c:v>
                </c:pt>
                <c:pt idx="11">
                  <c:v>LU</c:v>
                </c:pt>
                <c:pt idx="12">
                  <c:v>ES</c:v>
                </c:pt>
                <c:pt idx="13">
                  <c:v>FI</c:v>
                </c:pt>
                <c:pt idx="14">
                  <c:v>AT</c:v>
                </c:pt>
                <c:pt idx="15">
                  <c:v>BE</c:v>
                </c:pt>
                <c:pt idx="16">
                  <c:v>PT</c:v>
                </c:pt>
                <c:pt idx="17">
                  <c:v>NL</c:v>
                </c:pt>
                <c:pt idx="18">
                  <c:v>FR</c:v>
                </c:pt>
                <c:pt idx="19">
                  <c:v>IT</c:v>
                </c:pt>
                <c:pt idx="20">
                  <c:v>EL</c:v>
                </c:pt>
              </c:strCache>
            </c:strRef>
          </c:cat>
          <c:val>
            <c:numRef>
              <c:extLst>
                <c:ext xmlns:c15="http://schemas.microsoft.com/office/drawing/2012/chart" uri="{02D57815-91ED-43cb-92C2-25804820EDAC}">
                  <c15:fullRef>
                    <c15:sqref>'1Cross'!$D$149:$D$177</c15:sqref>
                  </c15:fullRef>
                </c:ext>
              </c:extLst>
              <c:f>'1Cross'!$D$157:$D$177</c:f>
              <c:numCache>
                <c:formatCode>0.000</c:formatCode>
                <c:ptCount val="21"/>
                <c:pt idx="0">
                  <c:v>0.14476603626156276</c:v>
                </c:pt>
                <c:pt idx="1">
                  <c:v>0.11573304455833605</c:v>
                </c:pt>
                <c:pt idx="2">
                  <c:v>3.4313437173309799E-2</c:v>
                </c:pt>
                <c:pt idx="3">
                  <c:v>9.557322031861288E-3</c:v>
                </c:pt>
                <c:pt idx="4">
                  <c:v>8.5425365149602209E-2</c:v>
                </c:pt>
                <c:pt idx="5">
                  <c:v>0.10159168588943476</c:v>
                </c:pt>
                <c:pt idx="6">
                  <c:v>0.10892728105115472</c:v>
                </c:pt>
                <c:pt idx="7">
                  <c:v>9.0990312514681732E-2</c:v>
                </c:pt>
                <c:pt idx="8">
                  <c:v>5.7791466756538762E-2</c:v>
                </c:pt>
                <c:pt idx="9">
                  <c:v>5.0294228577534884E-2</c:v>
                </c:pt>
                <c:pt idx="10">
                  <c:v>0.1042794275010281</c:v>
                </c:pt>
                <c:pt idx="11">
                  <c:v>3.3952594925390857E-2</c:v>
                </c:pt>
                <c:pt idx="12">
                  <c:v>6.4498651613430102E-2</c:v>
                </c:pt>
                <c:pt idx="13">
                  <c:v>3.210296826592355E-2</c:v>
                </c:pt>
                <c:pt idx="14">
                  <c:v>8.0985994105524789E-2</c:v>
                </c:pt>
                <c:pt idx="15">
                  <c:v>7.1375316746022169E-2</c:v>
                </c:pt>
                <c:pt idx="16">
                  <c:v>7.3913284620388223E-2</c:v>
                </c:pt>
                <c:pt idx="17">
                  <c:v>9.2597355282247953E-2</c:v>
                </c:pt>
                <c:pt idx="18">
                  <c:v>5.7872323586390315E-2</c:v>
                </c:pt>
                <c:pt idx="19">
                  <c:v>0.10529466971932921</c:v>
                </c:pt>
                <c:pt idx="20">
                  <c:v>0.18657030429897492</c:v>
                </c:pt>
              </c:numCache>
            </c:numRef>
          </c:val>
          <c:extLst>
            <c:ext xmlns:c16="http://schemas.microsoft.com/office/drawing/2014/chart" uri="{C3380CC4-5D6E-409C-BE32-E72D297353CC}">
              <c16:uniqueId val="{00000002-123C-424F-823E-0373447AE03A}"/>
            </c:ext>
          </c:extLst>
        </c:ser>
        <c:ser>
          <c:idx val="4"/>
          <c:order val="3"/>
          <c:tx>
            <c:strRef>
              <c:f>'1Cross'!$E$148</c:f>
              <c:strCache>
                <c:ptCount val="1"/>
                <c:pt idx="0">
                  <c:v>Capital income</c:v>
                </c:pt>
              </c:strCache>
            </c:strRef>
          </c:tx>
          <c:spPr>
            <a:solidFill>
              <a:srgbClr val="2F5597"/>
            </a:solidFill>
          </c:spPr>
          <c:invertIfNegative val="0"/>
          <c:cat>
            <c:strRef>
              <c:extLst>
                <c:ext xmlns:c15="http://schemas.microsoft.com/office/drawing/2012/chart" uri="{02D57815-91ED-43cb-92C2-25804820EDAC}">
                  <c15:fullRef>
                    <c15:sqref>'1Cross'!$A$149:$A$177</c15:sqref>
                  </c15:fullRef>
                </c:ext>
              </c:extLst>
              <c:f>'1Cross'!$A$157:$A$177</c:f>
              <c:strCache>
                <c:ptCount val="21"/>
                <c:pt idx="0">
                  <c:v>SK</c:v>
                </c:pt>
                <c:pt idx="1">
                  <c:v>LT</c:v>
                </c:pt>
                <c:pt idx="2">
                  <c:v>LV</c:v>
                </c:pt>
                <c:pt idx="3">
                  <c:v>EE</c:v>
                </c:pt>
                <c:pt idx="4">
                  <c:v>CY</c:v>
                </c:pt>
                <c:pt idx="5">
                  <c:v>MT</c:v>
                </c:pt>
                <c:pt idx="6">
                  <c:v>IE</c:v>
                </c:pt>
                <c:pt idx="7">
                  <c:v>HU</c:v>
                </c:pt>
                <c:pt idx="8">
                  <c:v>HR</c:v>
                </c:pt>
                <c:pt idx="9">
                  <c:v>SI</c:v>
                </c:pt>
                <c:pt idx="10">
                  <c:v>DE</c:v>
                </c:pt>
                <c:pt idx="11">
                  <c:v>LU</c:v>
                </c:pt>
                <c:pt idx="12">
                  <c:v>ES</c:v>
                </c:pt>
                <c:pt idx="13">
                  <c:v>FI</c:v>
                </c:pt>
                <c:pt idx="14">
                  <c:v>AT</c:v>
                </c:pt>
                <c:pt idx="15">
                  <c:v>BE</c:v>
                </c:pt>
                <c:pt idx="16">
                  <c:v>PT</c:v>
                </c:pt>
                <c:pt idx="17">
                  <c:v>NL</c:v>
                </c:pt>
                <c:pt idx="18">
                  <c:v>FR</c:v>
                </c:pt>
                <c:pt idx="19">
                  <c:v>IT</c:v>
                </c:pt>
                <c:pt idx="20">
                  <c:v>EL</c:v>
                </c:pt>
              </c:strCache>
            </c:strRef>
          </c:cat>
          <c:val>
            <c:numRef>
              <c:extLst>
                <c:ext xmlns:c15="http://schemas.microsoft.com/office/drawing/2012/chart" uri="{02D57815-91ED-43cb-92C2-25804820EDAC}">
                  <c15:fullRef>
                    <c15:sqref>'1Cross'!$E$149:$E$177</c15:sqref>
                  </c15:fullRef>
                </c:ext>
              </c:extLst>
              <c:f>'1Cross'!$E$157:$E$177</c:f>
              <c:numCache>
                <c:formatCode>0.000</c:formatCode>
                <c:ptCount val="21"/>
                <c:pt idx="0">
                  <c:v>1.8016317649356456E-3</c:v>
                </c:pt>
                <c:pt idx="1">
                  <c:v>3.454923625618693E-2</c:v>
                </c:pt>
                <c:pt idx="2">
                  <c:v>1.7197833647689936E-2</c:v>
                </c:pt>
                <c:pt idx="3">
                  <c:v>3.2251987015359466E-2</c:v>
                </c:pt>
                <c:pt idx="4">
                  <c:v>1.9592753039394423E-2</c:v>
                </c:pt>
                <c:pt idx="5">
                  <c:v>3.5533559585383137E-2</c:v>
                </c:pt>
                <c:pt idx="6">
                  <c:v>2.7380759504370581E-2</c:v>
                </c:pt>
                <c:pt idx="7">
                  <c:v>6.4059138240016708E-3</c:v>
                </c:pt>
                <c:pt idx="8">
                  <c:v>1.4956261764512821E-2</c:v>
                </c:pt>
                <c:pt idx="9">
                  <c:v>2.2126181796717166E-2</c:v>
                </c:pt>
                <c:pt idx="10">
                  <c:v>2.5218169837400897E-2</c:v>
                </c:pt>
                <c:pt idx="11">
                  <c:v>3.1678071407710603E-2</c:v>
                </c:pt>
                <c:pt idx="12">
                  <c:v>3.1118653722276689E-2</c:v>
                </c:pt>
                <c:pt idx="13">
                  <c:v>5.3363434190987907E-2</c:v>
                </c:pt>
                <c:pt idx="14">
                  <c:v>2.6901082480501302E-2</c:v>
                </c:pt>
                <c:pt idx="15">
                  <c:v>2.4697126041585585E-2</c:v>
                </c:pt>
                <c:pt idx="16">
                  <c:v>2.5084378709264332E-2</c:v>
                </c:pt>
                <c:pt idx="17">
                  <c:v>7.3754482158181964E-2</c:v>
                </c:pt>
                <c:pt idx="18">
                  <c:v>8.0007816191632775E-2</c:v>
                </c:pt>
                <c:pt idx="19">
                  <c:v>1.9552406078954476E-2</c:v>
                </c:pt>
                <c:pt idx="20">
                  <c:v>3.8353176300857279E-2</c:v>
                </c:pt>
              </c:numCache>
            </c:numRef>
          </c:val>
          <c:extLst>
            <c:ext xmlns:c16="http://schemas.microsoft.com/office/drawing/2014/chart" uri="{C3380CC4-5D6E-409C-BE32-E72D297353CC}">
              <c16:uniqueId val="{00000003-123C-424F-823E-0373447AE03A}"/>
            </c:ext>
          </c:extLst>
        </c:ser>
        <c:dLbls>
          <c:showLegendKey val="0"/>
          <c:showVal val="0"/>
          <c:showCatName val="0"/>
          <c:showSerName val="0"/>
          <c:showPercent val="0"/>
          <c:showBubbleSize val="0"/>
        </c:dLbls>
        <c:gapWidth val="50"/>
        <c:overlap val="100"/>
        <c:axId val="844305855"/>
        <c:axId val="892036479"/>
      </c:barChart>
      <c:catAx>
        <c:axId val="844305855"/>
        <c:scaling>
          <c:orientation val="minMax"/>
        </c:scaling>
        <c:delete val="0"/>
        <c:axPos val="b"/>
        <c:numFmt formatCode="General" sourceLinked="1"/>
        <c:majorTickMark val="none"/>
        <c:minorTickMark val="none"/>
        <c:tickLblPos val="nextTo"/>
        <c:spPr>
          <a:noFill/>
          <a:ln w="6350"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crossAx val="892036479"/>
        <c:crosses val="autoZero"/>
        <c:auto val="1"/>
        <c:lblAlgn val="ctr"/>
        <c:lblOffset val="350"/>
        <c:tickLblSkip val="1"/>
        <c:noMultiLvlLbl val="0"/>
      </c:catAx>
      <c:valAx>
        <c:axId val="892036479"/>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s-ES_tradnl" sz="1050">
                    <a:solidFill>
                      <a:sysClr val="windowText" lastClr="000000"/>
                    </a:solidFill>
                    <a:latin typeface="Times New Roman" panose="02020603050405020304" pitchFamily="18" charset="0"/>
                    <a:cs typeface="Times New Roman" panose="02020603050405020304" pitchFamily="18" charset="0"/>
                  </a:rPr>
                  <a:t>Share of total tax base</a:t>
                </a:r>
              </a:p>
            </c:rich>
          </c:tx>
          <c:overlay val="0"/>
          <c:spPr>
            <a:noFill/>
            <a:ln>
              <a:noFill/>
            </a:ln>
            <a:effectLst/>
          </c:sp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crossAx val="844305855"/>
        <c:crosses val="autoZero"/>
        <c:crossBetween val="between"/>
      </c:valAx>
    </c:plotArea>
    <c:legend>
      <c:legendPos val="b"/>
      <c:layout>
        <c:manualLayout>
          <c:xMode val="edge"/>
          <c:yMode val="edge"/>
          <c:x val="8.0113644675439757E-2"/>
          <c:y val="0.80880627585109788"/>
          <c:w val="0.80213538303354781"/>
          <c:h val="0.16648471470993745"/>
        </c:manualLayout>
      </c:layout>
      <c:overlay val="0"/>
      <c:spPr>
        <a:noFill/>
        <a:ln>
          <a:noFill/>
        </a:ln>
        <a:effectLst/>
      </c:spPr>
      <c:txPr>
        <a:bodyPr rot="0" spcFirstLastPara="1" vertOverflow="ellipsis" vert="horz" wrap="square" anchor="ctr" anchorCtr="1"/>
        <a:lstStyle/>
        <a:p>
          <a:pPr>
            <a:defRPr sz="9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legend>
    <c:plotVisOnly val="1"/>
    <c:dispBlanksAs val="gap"/>
    <c:showDLblsOverMax val="0"/>
    <c:extLst/>
  </c:chart>
  <c:spPr>
    <a:solidFill>
      <a:schemeClr val="bg1"/>
    </a:solidFill>
    <a:ln w="9525" cap="flat" cmpd="sng" algn="ctr">
      <a:noFill/>
      <a:round/>
    </a:ln>
    <a:effectLst/>
  </c:spPr>
  <c:txPr>
    <a:bodyPr/>
    <a:lstStyle/>
    <a:p>
      <a:pPr>
        <a:defRPr>
          <a:solidFill>
            <a:sysClr val="windowText" lastClr="000000"/>
          </a:solidFill>
          <a:latin typeface="Times New Roman" panose="02020603050405020304" pitchFamily="18" charset="0"/>
          <a:cs typeface="Times New Roman" panose="02020603050405020304" pitchFamily="18" charset="0"/>
        </a:defRPr>
      </a:pPr>
      <a:endParaRPr lang="es-ES_tradnl"/>
    </a:p>
  </c:txPr>
  <c:printSettings>
    <c:headerFooter/>
    <c:pageMargins b="0.75" l="0.25" r="0.25" t="0.75" header="0.3" footer="0.3"/>
    <c:pageSetup paperSize="9" orientation="landscape"/>
  </c:printSettings>
  <c:extLst/>
</c:chartSpace>
</file>

<file path=xl/charts/chart7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2"/>
          <c:order val="0"/>
          <c:tx>
            <c:strRef>
              <c:f>'1Cross'!$D$184</c:f>
              <c:strCache>
                <c:ptCount val="1"/>
                <c:pt idx="0">
                  <c:v>Share of total tax base earned by 9th decile</c:v>
                </c:pt>
              </c:strCache>
            </c:strRef>
          </c:tx>
          <c:spPr>
            <a:solidFill>
              <a:schemeClr val="tx1">
                <a:lumMod val="65000"/>
                <a:lumOff val="35000"/>
              </a:schemeClr>
            </a:solidFill>
            <a:ln>
              <a:noFill/>
            </a:ln>
            <a:effectLst/>
          </c:spPr>
          <c:invertIfNegative val="0"/>
          <c:cat>
            <c:strRef>
              <c:extLst>
                <c:ext xmlns:c15="http://schemas.microsoft.com/office/drawing/2012/chart" uri="{02D57815-91ED-43cb-92C2-25804820EDAC}">
                  <c15:fullRef>
                    <c15:sqref>'1Cross'!$A$185:$A$213</c15:sqref>
                  </c15:fullRef>
                </c:ext>
              </c:extLst>
              <c:f>'1Cross'!$A$185:$A$205</c:f>
              <c:strCache>
                <c:ptCount val="21"/>
                <c:pt idx="0">
                  <c:v>HU</c:v>
                </c:pt>
                <c:pt idx="1">
                  <c:v>SK</c:v>
                </c:pt>
                <c:pt idx="2">
                  <c:v>FI</c:v>
                </c:pt>
                <c:pt idx="3">
                  <c:v>LV</c:v>
                </c:pt>
                <c:pt idx="4">
                  <c:v>LT</c:v>
                </c:pt>
                <c:pt idx="5">
                  <c:v>EE</c:v>
                </c:pt>
                <c:pt idx="6">
                  <c:v>BE</c:v>
                </c:pt>
                <c:pt idx="7">
                  <c:v>SI</c:v>
                </c:pt>
                <c:pt idx="8">
                  <c:v>FR</c:v>
                </c:pt>
                <c:pt idx="9">
                  <c:v>IT</c:v>
                </c:pt>
                <c:pt idx="10">
                  <c:v>LU</c:v>
                </c:pt>
                <c:pt idx="11">
                  <c:v>AT</c:v>
                </c:pt>
                <c:pt idx="12">
                  <c:v>DE</c:v>
                </c:pt>
                <c:pt idx="13">
                  <c:v>MT</c:v>
                </c:pt>
                <c:pt idx="14">
                  <c:v>ES</c:v>
                </c:pt>
                <c:pt idx="15">
                  <c:v>NL</c:v>
                </c:pt>
                <c:pt idx="16">
                  <c:v>EL</c:v>
                </c:pt>
                <c:pt idx="17">
                  <c:v>IE</c:v>
                </c:pt>
                <c:pt idx="18">
                  <c:v>PT</c:v>
                </c:pt>
                <c:pt idx="19">
                  <c:v>HR</c:v>
                </c:pt>
                <c:pt idx="20">
                  <c:v>CY</c:v>
                </c:pt>
              </c:strCache>
            </c:strRef>
          </c:cat>
          <c:val>
            <c:numRef>
              <c:extLst>
                <c:ext xmlns:c15="http://schemas.microsoft.com/office/drawing/2012/chart" uri="{02D57815-91ED-43cb-92C2-25804820EDAC}">
                  <c15:fullRef>
                    <c15:sqref>'1Cross'!$D$185:$D$213</c15:sqref>
                  </c15:fullRef>
                </c:ext>
              </c:extLst>
              <c:f>'1Cross'!$D$185:$D$205</c:f>
              <c:numCache>
                <c:formatCode>0.000</c:formatCode>
                <c:ptCount val="21"/>
                <c:pt idx="0">
                  <c:v>14.584975030040964</c:v>
                </c:pt>
                <c:pt idx="1">
                  <c:v>17.454705608526453</c:v>
                </c:pt>
                <c:pt idx="2">
                  <c:v>14.836584528698179</c:v>
                </c:pt>
                <c:pt idx="3">
                  <c:v>16.239184537605485</c:v>
                </c:pt>
                <c:pt idx="4">
                  <c:v>17.850018443428272</c:v>
                </c:pt>
                <c:pt idx="5">
                  <c:v>15.970494308933155</c:v>
                </c:pt>
                <c:pt idx="6">
                  <c:v>15.434180840930797</c:v>
                </c:pt>
                <c:pt idx="7">
                  <c:v>14.53239878301043</c:v>
                </c:pt>
                <c:pt idx="8">
                  <c:v>14.940135036246001</c:v>
                </c:pt>
                <c:pt idx="9">
                  <c:v>16.467463450074042</c:v>
                </c:pt>
                <c:pt idx="10">
                  <c:v>15.997902243606553</c:v>
                </c:pt>
                <c:pt idx="11">
                  <c:v>15.893403609693655</c:v>
                </c:pt>
                <c:pt idx="12">
                  <c:v>15.791836706294482</c:v>
                </c:pt>
                <c:pt idx="13">
                  <c:v>15.495980322608474</c:v>
                </c:pt>
                <c:pt idx="14">
                  <c:v>16.661439111246505</c:v>
                </c:pt>
                <c:pt idx="15">
                  <c:v>14.626985172599957</c:v>
                </c:pt>
                <c:pt idx="16">
                  <c:v>15.648828507493862</c:v>
                </c:pt>
                <c:pt idx="17">
                  <c:v>16.86693231982289</c:v>
                </c:pt>
                <c:pt idx="18">
                  <c:v>16.119759459936269</c:v>
                </c:pt>
                <c:pt idx="19">
                  <c:v>16.026388175131281</c:v>
                </c:pt>
                <c:pt idx="20">
                  <c:v>16.336004777462339</c:v>
                </c:pt>
              </c:numCache>
            </c:numRef>
          </c:val>
          <c:extLst>
            <c:ext xmlns:c16="http://schemas.microsoft.com/office/drawing/2014/chart" uri="{C3380CC4-5D6E-409C-BE32-E72D297353CC}">
              <c16:uniqueId val="{00000000-5BB5-465E-91F5-EE0DF785E858}"/>
            </c:ext>
          </c:extLst>
        </c:ser>
        <c:ser>
          <c:idx val="3"/>
          <c:order val="1"/>
          <c:tx>
            <c:strRef>
              <c:f>'1Cross'!$E$184</c:f>
              <c:strCache>
                <c:ptCount val="1"/>
                <c:pt idx="0">
                  <c:v>Share of total tax base earned by 10th decile</c:v>
                </c:pt>
              </c:strCache>
            </c:strRef>
          </c:tx>
          <c:spPr>
            <a:solidFill>
              <a:schemeClr val="bg1">
                <a:lumMod val="65000"/>
              </a:schemeClr>
            </a:solidFill>
            <a:ln>
              <a:noFill/>
            </a:ln>
            <a:effectLst/>
          </c:spPr>
          <c:invertIfNegative val="0"/>
          <c:cat>
            <c:strRef>
              <c:extLst>
                <c:ext xmlns:c15="http://schemas.microsoft.com/office/drawing/2012/chart" uri="{02D57815-91ED-43cb-92C2-25804820EDAC}">
                  <c15:fullRef>
                    <c15:sqref>'1Cross'!$A$185:$A$213</c15:sqref>
                  </c15:fullRef>
                </c:ext>
              </c:extLst>
              <c:f>'1Cross'!$A$185:$A$205</c:f>
              <c:strCache>
                <c:ptCount val="21"/>
                <c:pt idx="0">
                  <c:v>HU</c:v>
                </c:pt>
                <c:pt idx="1">
                  <c:v>SK</c:v>
                </c:pt>
                <c:pt idx="2">
                  <c:v>FI</c:v>
                </c:pt>
                <c:pt idx="3">
                  <c:v>LV</c:v>
                </c:pt>
                <c:pt idx="4">
                  <c:v>LT</c:v>
                </c:pt>
                <c:pt idx="5">
                  <c:v>EE</c:v>
                </c:pt>
                <c:pt idx="6">
                  <c:v>BE</c:v>
                </c:pt>
                <c:pt idx="7">
                  <c:v>SI</c:v>
                </c:pt>
                <c:pt idx="8">
                  <c:v>FR</c:v>
                </c:pt>
                <c:pt idx="9">
                  <c:v>IT</c:v>
                </c:pt>
                <c:pt idx="10">
                  <c:v>LU</c:v>
                </c:pt>
                <c:pt idx="11">
                  <c:v>AT</c:v>
                </c:pt>
                <c:pt idx="12">
                  <c:v>DE</c:v>
                </c:pt>
                <c:pt idx="13">
                  <c:v>MT</c:v>
                </c:pt>
                <c:pt idx="14">
                  <c:v>ES</c:v>
                </c:pt>
                <c:pt idx="15">
                  <c:v>NL</c:v>
                </c:pt>
                <c:pt idx="16">
                  <c:v>EL</c:v>
                </c:pt>
                <c:pt idx="17">
                  <c:v>IE</c:v>
                </c:pt>
                <c:pt idx="18">
                  <c:v>PT</c:v>
                </c:pt>
                <c:pt idx="19">
                  <c:v>HR</c:v>
                </c:pt>
                <c:pt idx="20">
                  <c:v>CY</c:v>
                </c:pt>
              </c:strCache>
            </c:strRef>
          </c:cat>
          <c:val>
            <c:numRef>
              <c:extLst>
                <c:ext xmlns:c15="http://schemas.microsoft.com/office/drawing/2012/chart" uri="{02D57815-91ED-43cb-92C2-25804820EDAC}">
                  <c15:fullRef>
                    <c15:sqref>'1Cross'!$E$185:$E$213</c15:sqref>
                  </c15:fullRef>
                </c:ext>
              </c:extLst>
              <c:f>'1Cross'!$E$185:$E$205</c:f>
              <c:numCache>
                <c:formatCode>0.000</c:formatCode>
                <c:ptCount val="21"/>
                <c:pt idx="0">
                  <c:v>25.652533318401062</c:v>
                </c:pt>
                <c:pt idx="1">
                  <c:v>24.270622505651332</c:v>
                </c:pt>
                <c:pt idx="2">
                  <c:v>25.156199040804765</c:v>
                </c:pt>
                <c:pt idx="3">
                  <c:v>28.517987480356854</c:v>
                </c:pt>
                <c:pt idx="4">
                  <c:v>32.036281630856372</c:v>
                </c:pt>
                <c:pt idx="5">
                  <c:v>26.3001749775765</c:v>
                </c:pt>
                <c:pt idx="6">
                  <c:v>24.757292491598008</c:v>
                </c:pt>
                <c:pt idx="7">
                  <c:v>23.311033201992633</c:v>
                </c:pt>
                <c:pt idx="8">
                  <c:v>28.626841247073521</c:v>
                </c:pt>
                <c:pt idx="9">
                  <c:v>28.548889210064527</c:v>
                </c:pt>
                <c:pt idx="10">
                  <c:v>27.585996859253513</c:v>
                </c:pt>
                <c:pt idx="11">
                  <c:v>26.707176583330455</c:v>
                </c:pt>
                <c:pt idx="12">
                  <c:v>28.534486819413413</c:v>
                </c:pt>
                <c:pt idx="13">
                  <c:v>27.216912562030803</c:v>
                </c:pt>
                <c:pt idx="14">
                  <c:v>26.760509231913787</c:v>
                </c:pt>
                <c:pt idx="15">
                  <c:v>27.218051693366192</c:v>
                </c:pt>
                <c:pt idx="16">
                  <c:v>27.94259161711684</c:v>
                </c:pt>
                <c:pt idx="17">
                  <c:v>29.637291555263179</c:v>
                </c:pt>
                <c:pt idx="18">
                  <c:v>29.84744146986889</c:v>
                </c:pt>
                <c:pt idx="19">
                  <c:v>25.072998303436766</c:v>
                </c:pt>
                <c:pt idx="20">
                  <c:v>28.161596230843404</c:v>
                </c:pt>
              </c:numCache>
            </c:numRef>
          </c:val>
          <c:extLst>
            <c:ext xmlns:c16="http://schemas.microsoft.com/office/drawing/2014/chart" uri="{C3380CC4-5D6E-409C-BE32-E72D297353CC}">
              <c16:uniqueId val="{00000001-5BB5-465E-91F5-EE0DF785E858}"/>
            </c:ext>
          </c:extLst>
        </c:ser>
        <c:dLbls>
          <c:showLegendKey val="0"/>
          <c:showVal val="0"/>
          <c:showCatName val="0"/>
          <c:showSerName val="0"/>
          <c:showPercent val="0"/>
          <c:showBubbleSize val="0"/>
        </c:dLbls>
        <c:gapWidth val="50"/>
        <c:overlap val="100"/>
        <c:axId val="484598304"/>
        <c:axId val="469484096"/>
      </c:barChart>
      <c:lineChart>
        <c:grouping val="stacked"/>
        <c:varyColors val="0"/>
        <c:ser>
          <c:idx val="5"/>
          <c:order val="2"/>
          <c:tx>
            <c:strRef>
              <c:f>'1Cross'!$G$184</c:f>
              <c:strCache>
                <c:ptCount val="1"/>
                <c:pt idx="0">
                  <c:v>Share of tax revenue paid by 9th and 10th decile</c:v>
                </c:pt>
              </c:strCache>
            </c:strRef>
          </c:tx>
          <c:spPr>
            <a:ln w="28575" cap="rnd">
              <a:noFill/>
              <a:round/>
            </a:ln>
            <a:effectLst/>
          </c:spPr>
          <c:marker>
            <c:symbol val="circle"/>
            <c:size val="6"/>
            <c:spPr>
              <a:solidFill>
                <a:schemeClr val="tx1">
                  <a:lumMod val="75000"/>
                  <a:lumOff val="25000"/>
                </a:schemeClr>
              </a:solidFill>
              <a:ln w="9525">
                <a:solidFill>
                  <a:schemeClr val="tx1">
                    <a:lumMod val="75000"/>
                    <a:lumOff val="25000"/>
                  </a:schemeClr>
                </a:solidFill>
              </a:ln>
              <a:effectLst/>
            </c:spPr>
          </c:marker>
          <c:cat>
            <c:strRef>
              <c:extLst>
                <c:ext xmlns:c15="http://schemas.microsoft.com/office/drawing/2012/chart" uri="{02D57815-91ED-43cb-92C2-25804820EDAC}">
                  <c15:fullRef>
                    <c15:sqref>'1Cross'!$A$185:$A$213</c15:sqref>
                  </c15:fullRef>
                </c:ext>
              </c:extLst>
              <c:f>'1Cross'!$A$185:$A$205</c:f>
              <c:strCache>
                <c:ptCount val="21"/>
                <c:pt idx="0">
                  <c:v>HU</c:v>
                </c:pt>
                <c:pt idx="1">
                  <c:v>SK</c:v>
                </c:pt>
                <c:pt idx="2">
                  <c:v>FI</c:v>
                </c:pt>
                <c:pt idx="3">
                  <c:v>LV</c:v>
                </c:pt>
                <c:pt idx="4">
                  <c:v>LT</c:v>
                </c:pt>
                <c:pt idx="5">
                  <c:v>EE</c:v>
                </c:pt>
                <c:pt idx="6">
                  <c:v>BE</c:v>
                </c:pt>
                <c:pt idx="7">
                  <c:v>SI</c:v>
                </c:pt>
                <c:pt idx="8">
                  <c:v>FR</c:v>
                </c:pt>
                <c:pt idx="9">
                  <c:v>IT</c:v>
                </c:pt>
                <c:pt idx="10">
                  <c:v>LU</c:v>
                </c:pt>
                <c:pt idx="11">
                  <c:v>AT</c:v>
                </c:pt>
                <c:pt idx="12">
                  <c:v>DE</c:v>
                </c:pt>
                <c:pt idx="13">
                  <c:v>MT</c:v>
                </c:pt>
                <c:pt idx="14">
                  <c:v>ES</c:v>
                </c:pt>
                <c:pt idx="15">
                  <c:v>NL</c:v>
                </c:pt>
                <c:pt idx="16">
                  <c:v>EL</c:v>
                </c:pt>
                <c:pt idx="17">
                  <c:v>IE</c:v>
                </c:pt>
                <c:pt idx="18">
                  <c:v>PT</c:v>
                </c:pt>
                <c:pt idx="19">
                  <c:v>HR</c:v>
                </c:pt>
                <c:pt idx="20">
                  <c:v>CY</c:v>
                </c:pt>
              </c:strCache>
            </c:strRef>
          </c:cat>
          <c:val>
            <c:numRef>
              <c:extLst>
                <c:ext xmlns:c15="http://schemas.microsoft.com/office/drawing/2012/chart" uri="{02D57815-91ED-43cb-92C2-25804820EDAC}">
                  <c15:fullRef>
                    <c15:sqref>'1Cross'!$G$185:$G$213</c15:sqref>
                  </c15:fullRef>
                </c:ext>
              </c:extLst>
              <c:f>'1Cross'!$G$185:$G$205</c:f>
              <c:numCache>
                <c:formatCode>0.000</c:formatCode>
                <c:ptCount val="21"/>
                <c:pt idx="0">
                  <c:v>47.380829945178832</c:v>
                </c:pt>
                <c:pt idx="1">
                  <c:v>51.575499848662403</c:v>
                </c:pt>
                <c:pt idx="2">
                  <c:v>52.278772113995544</c:v>
                </c:pt>
                <c:pt idx="3">
                  <c:v>55.593461904383744</c:v>
                </c:pt>
                <c:pt idx="4">
                  <c:v>56.069795215749913</c:v>
                </c:pt>
                <c:pt idx="5">
                  <c:v>57.77568902245266</c:v>
                </c:pt>
                <c:pt idx="6">
                  <c:v>58.929255652568692</c:v>
                </c:pt>
                <c:pt idx="7">
                  <c:v>59.724469431948378</c:v>
                </c:pt>
                <c:pt idx="8">
                  <c:v>59.753525758119387</c:v>
                </c:pt>
                <c:pt idx="9">
                  <c:v>61.170411180501176</c:v>
                </c:pt>
                <c:pt idx="10">
                  <c:v>63.83549037331565</c:v>
                </c:pt>
                <c:pt idx="11">
                  <c:v>64.207089079529212</c:v>
                </c:pt>
                <c:pt idx="12">
                  <c:v>64.392266395026908</c:v>
                </c:pt>
                <c:pt idx="13">
                  <c:v>65.054980485618103</c:v>
                </c:pt>
                <c:pt idx="14">
                  <c:v>66.342040651766993</c:v>
                </c:pt>
                <c:pt idx="15">
                  <c:v>66.585257680186771</c:v>
                </c:pt>
                <c:pt idx="16">
                  <c:v>68.581611654088505</c:v>
                </c:pt>
                <c:pt idx="17">
                  <c:v>68.733794356514551</c:v>
                </c:pt>
                <c:pt idx="18">
                  <c:v>74.755263871286274</c:v>
                </c:pt>
                <c:pt idx="19">
                  <c:v>76.318293726392341</c:v>
                </c:pt>
                <c:pt idx="20">
                  <c:v>82.701988194905596</c:v>
                </c:pt>
              </c:numCache>
            </c:numRef>
          </c:val>
          <c:smooth val="0"/>
          <c:extLst>
            <c:ext xmlns:c16="http://schemas.microsoft.com/office/drawing/2014/chart" uri="{C3380CC4-5D6E-409C-BE32-E72D297353CC}">
              <c16:uniqueId val="{00000002-5BB5-465E-91F5-EE0DF785E858}"/>
            </c:ext>
          </c:extLst>
        </c:ser>
        <c:dLbls>
          <c:showLegendKey val="0"/>
          <c:showVal val="0"/>
          <c:showCatName val="0"/>
          <c:showSerName val="0"/>
          <c:showPercent val="0"/>
          <c:showBubbleSize val="0"/>
        </c:dLbls>
        <c:marker val="1"/>
        <c:smooth val="0"/>
        <c:axId val="484598304"/>
        <c:axId val="469484096"/>
      </c:lineChart>
      <c:catAx>
        <c:axId val="484598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mn-cs"/>
              </a:defRPr>
            </a:pPr>
            <a:endParaRPr lang="es-ES_tradnl"/>
          </a:p>
        </c:txPr>
        <c:crossAx val="469484096"/>
        <c:crosses val="autoZero"/>
        <c:auto val="1"/>
        <c:lblAlgn val="ctr"/>
        <c:lblOffset val="100"/>
        <c:noMultiLvlLbl val="0"/>
      </c:catAx>
      <c:valAx>
        <c:axId val="4694840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50" b="0" i="0" u="none" strike="noStrike" kern="1200" baseline="0">
                    <a:solidFill>
                      <a:schemeClr val="tx1"/>
                    </a:solidFill>
                    <a:latin typeface="+mn-lt"/>
                    <a:ea typeface="+mn-ea"/>
                    <a:cs typeface="+mn-cs"/>
                  </a:defRPr>
                </a:pPr>
                <a:r>
                  <a:rPr lang="en-GB" sz="1050">
                    <a:solidFill>
                      <a:schemeClr val="tx1"/>
                    </a:solidFill>
                    <a:latin typeface="Times New Roman" panose="02020603050405020304" pitchFamily="18" charset="0"/>
                    <a:cs typeface="Times New Roman" panose="02020603050405020304" pitchFamily="18" charset="0"/>
                  </a:rPr>
                  <a:t>Share</a:t>
                </a:r>
              </a:p>
            </c:rich>
          </c:tx>
          <c:overlay val="0"/>
          <c:spPr>
            <a:noFill/>
            <a:ln>
              <a:noFill/>
            </a:ln>
            <a:effectLst/>
          </c:spPr>
          <c:txPr>
            <a:bodyPr rot="-540000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s-ES_tradnl"/>
            </a:p>
          </c:txPr>
        </c:title>
        <c:numFmt formatCode="0&quot;%&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mn-cs"/>
              </a:defRPr>
            </a:pPr>
            <a:endParaRPr lang="es-ES_tradnl"/>
          </a:p>
        </c:txPr>
        <c:crossAx val="484598304"/>
        <c:crosses val="autoZero"/>
        <c:crossBetween val="between"/>
      </c:valAx>
      <c:spPr>
        <a:noFill/>
        <a:ln>
          <a:noFill/>
        </a:ln>
        <a:effectLst/>
      </c:spPr>
    </c:plotArea>
    <c:legend>
      <c:legendPos val="b"/>
      <c:layout>
        <c:manualLayout>
          <c:xMode val="edge"/>
          <c:yMode val="edge"/>
          <c:x val="8.1283366187848247E-2"/>
          <c:y val="0.79686495448271677"/>
          <c:w val="0.81927485465687244"/>
          <c:h val="0.18410868554773205"/>
        </c:manualLayout>
      </c:layout>
      <c:overlay val="0"/>
      <c:spPr>
        <a:noFill/>
        <a:ln>
          <a:noFill/>
        </a:ln>
        <a:effectLst/>
      </c:spPr>
      <c:txPr>
        <a:bodyPr rot="0" spcFirstLastPara="1" vertOverflow="ellipsis" vert="horz" wrap="square" anchor="ctr" anchorCtr="1"/>
        <a:lstStyle/>
        <a:p>
          <a:pPr>
            <a:defRPr sz="950" b="0" i="0" u="none" strike="noStrike" kern="1200" baseline="0">
              <a:solidFill>
                <a:schemeClr val="tx1"/>
              </a:solidFill>
              <a:latin typeface="Times New Roman" panose="02020603050405020304" pitchFamily="18" charset="0"/>
              <a:ea typeface="+mn-ea"/>
              <a:cs typeface="+mn-cs"/>
            </a:defRPr>
          </a:pPr>
          <a:endParaRPr lang="es-ES_tradn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baseline="0">
          <a:solidFill>
            <a:schemeClr val="tx1"/>
          </a:solidFill>
        </a:defRPr>
      </a:pPr>
      <a:endParaRPr lang="es-ES_tradnl"/>
    </a:p>
  </c:txPr>
  <c:printSettings>
    <c:headerFooter/>
    <c:pageMargins b="0.75" l="0.7" r="0.7" t="0.75" header="0.3" footer="0.3"/>
    <c:pageSetup orientation="landscape"/>
  </c:printSettings>
</c:chartSpace>
</file>

<file path=xl/charts/chart7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'1Cross'!$J$184</c:f>
              <c:strCache>
                <c:ptCount val="1"/>
                <c:pt idx="0">
                  <c:v>Difference between shared paid and earned by top 20</c:v>
                </c:pt>
              </c:strCache>
            </c:strRef>
          </c:tx>
          <c:spPr>
            <a:ln w="28575" cap="rnd">
              <a:noFill/>
              <a:round/>
            </a:ln>
            <a:effectLst/>
          </c:spPr>
          <c:marker>
            <c:symbol val="circle"/>
            <c:size val="7"/>
            <c:spPr>
              <a:solidFill>
                <a:schemeClr val="tx1">
                  <a:lumMod val="75000"/>
                  <a:lumOff val="25000"/>
                </a:schemeClr>
              </a:solidFill>
              <a:ln w="9525">
                <a:solidFill>
                  <a:schemeClr val="tx1">
                    <a:lumMod val="75000"/>
                    <a:lumOff val="25000"/>
                    <a:alpha val="99000"/>
                  </a:schemeClr>
                </a:solidFill>
              </a:ln>
              <a:effectLst/>
            </c:spPr>
          </c:marker>
          <c:cat>
            <c:strRef>
              <c:extLst>
                <c:ext xmlns:c15="http://schemas.microsoft.com/office/drawing/2012/chart" uri="{02D57815-91ED-43cb-92C2-25804820EDAC}">
                  <c15:fullRef>
                    <c15:sqref>'1Cross'!$I$185:$I$213</c15:sqref>
                  </c15:fullRef>
                </c:ext>
              </c:extLst>
              <c:f>'1Cross'!$I$185:$I$205</c:f>
              <c:strCache>
                <c:ptCount val="21"/>
                <c:pt idx="0">
                  <c:v>LT</c:v>
                </c:pt>
                <c:pt idx="1">
                  <c:v>HU</c:v>
                </c:pt>
                <c:pt idx="2">
                  <c:v>SK</c:v>
                </c:pt>
                <c:pt idx="3">
                  <c:v>LV</c:v>
                </c:pt>
                <c:pt idx="4">
                  <c:v>FI</c:v>
                </c:pt>
                <c:pt idx="5">
                  <c:v>EE</c:v>
                </c:pt>
                <c:pt idx="6">
                  <c:v>IT</c:v>
                </c:pt>
                <c:pt idx="7">
                  <c:v>FR</c:v>
                </c:pt>
                <c:pt idx="8">
                  <c:v>BE</c:v>
                </c:pt>
                <c:pt idx="9">
                  <c:v>DE</c:v>
                </c:pt>
                <c:pt idx="10">
                  <c:v>LU</c:v>
                </c:pt>
                <c:pt idx="11">
                  <c:v>AT</c:v>
                </c:pt>
                <c:pt idx="12">
                  <c:v>SI</c:v>
                </c:pt>
                <c:pt idx="13">
                  <c:v>IE</c:v>
                </c:pt>
                <c:pt idx="14">
                  <c:v>MT</c:v>
                </c:pt>
                <c:pt idx="15">
                  <c:v>ES</c:v>
                </c:pt>
                <c:pt idx="16">
                  <c:v>NL</c:v>
                </c:pt>
                <c:pt idx="17">
                  <c:v>EL</c:v>
                </c:pt>
                <c:pt idx="18">
                  <c:v>PT</c:v>
                </c:pt>
                <c:pt idx="19">
                  <c:v>HR</c:v>
                </c:pt>
                <c:pt idx="20">
                  <c:v>CY</c:v>
                </c:pt>
              </c:strCache>
            </c:strRef>
          </c:cat>
          <c:val>
            <c:numRef>
              <c:extLst>
                <c:ext xmlns:c15="http://schemas.microsoft.com/office/drawing/2012/chart" uri="{02D57815-91ED-43cb-92C2-25804820EDAC}">
                  <c15:fullRef>
                    <c15:sqref>'1Cross'!$J$185:$J$213</c15:sqref>
                  </c15:fullRef>
                </c:ext>
              </c:extLst>
              <c:f>'1Cross'!$J$185:$J$205</c:f>
              <c:numCache>
                <c:formatCode>0.000</c:formatCode>
                <c:ptCount val="21"/>
                <c:pt idx="0">
                  <c:v>6.183495141465265</c:v>
                </c:pt>
                <c:pt idx="1">
                  <c:v>7.1433215967368042</c:v>
                </c:pt>
                <c:pt idx="2">
                  <c:v>9.8501717344846185</c:v>
                </c:pt>
                <c:pt idx="3">
                  <c:v>10.836289886421408</c:v>
                </c:pt>
                <c:pt idx="4">
                  <c:v>12.285988544492596</c:v>
                </c:pt>
                <c:pt idx="5">
                  <c:v>15.505019735943005</c:v>
                </c:pt>
                <c:pt idx="6">
                  <c:v>16.154058520362607</c:v>
                </c:pt>
                <c:pt idx="7">
                  <c:v>16.186549474799868</c:v>
                </c:pt>
                <c:pt idx="8">
                  <c:v>18.737782320039884</c:v>
                </c:pt>
                <c:pt idx="9">
                  <c:v>20.065942869319013</c:v>
                </c:pt>
                <c:pt idx="10">
                  <c:v>20.251591270455584</c:v>
                </c:pt>
                <c:pt idx="11">
                  <c:v>21.6065088865051</c:v>
                </c:pt>
                <c:pt idx="12">
                  <c:v>21.881037446945317</c:v>
                </c:pt>
                <c:pt idx="13">
                  <c:v>22.229570481428478</c:v>
                </c:pt>
                <c:pt idx="14">
                  <c:v>22.342087600978825</c:v>
                </c:pt>
                <c:pt idx="15">
                  <c:v>22.920092308606698</c:v>
                </c:pt>
                <c:pt idx="16">
                  <c:v>24.740220814220621</c:v>
                </c:pt>
                <c:pt idx="17">
                  <c:v>24.990191529477805</c:v>
                </c:pt>
                <c:pt idx="18">
                  <c:v>28.788062941481115</c:v>
                </c:pt>
                <c:pt idx="19">
                  <c:v>35.218907247824291</c:v>
                </c:pt>
                <c:pt idx="20">
                  <c:v>38.20438718659986</c:v>
                </c:pt>
              </c:numCache>
            </c:numRef>
          </c:val>
          <c:smooth val="0"/>
          <c:extLst>
            <c:ext xmlns:c16="http://schemas.microsoft.com/office/drawing/2014/chart" uri="{C3380CC4-5D6E-409C-BE32-E72D297353CC}">
              <c16:uniqueId val="{00000000-C118-42D6-A0BF-E7C57EEE4940}"/>
            </c:ext>
          </c:extLst>
        </c:ser>
        <c:dLbls>
          <c:showLegendKey val="0"/>
          <c:showVal val="0"/>
          <c:showCatName val="0"/>
          <c:showSerName val="0"/>
          <c:showPercent val="0"/>
          <c:showBubbleSize val="0"/>
        </c:dLbls>
        <c:marker val="1"/>
        <c:smooth val="0"/>
        <c:axId val="709475840"/>
        <c:axId val="605168576"/>
      </c:lineChart>
      <c:catAx>
        <c:axId val="709475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mn-cs"/>
              </a:defRPr>
            </a:pPr>
            <a:endParaRPr lang="es-ES_tradnl"/>
          </a:p>
        </c:txPr>
        <c:crossAx val="605168576"/>
        <c:crosses val="autoZero"/>
        <c:auto val="1"/>
        <c:lblAlgn val="ctr"/>
        <c:lblOffset val="100"/>
        <c:noMultiLvlLbl val="0"/>
      </c:catAx>
      <c:valAx>
        <c:axId val="605168576"/>
        <c:scaling>
          <c:orientation val="minMax"/>
          <c:max val="40"/>
          <c:min val="5"/>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s-ES_tradnl" sz="1050">
                    <a:solidFill>
                      <a:sysClr val="windowText" lastClr="000000"/>
                    </a:solidFill>
                    <a:latin typeface="Times New Roman" panose="02020603050405020304" pitchFamily="18" charset="0"/>
                    <a:cs typeface="Times New Roman" panose="02020603050405020304" pitchFamily="18" charset="0"/>
                  </a:rPr>
                  <a:t>Percentage</a:t>
                </a:r>
                <a:r>
                  <a:rPr lang="es-ES_tradnl" sz="1050" baseline="0">
                    <a:solidFill>
                      <a:sysClr val="windowText" lastClr="000000"/>
                    </a:solidFill>
                    <a:latin typeface="Times New Roman" panose="02020603050405020304" pitchFamily="18" charset="0"/>
                    <a:cs typeface="Times New Roman" panose="02020603050405020304" pitchFamily="18" charset="0"/>
                  </a:rPr>
                  <a:t> points</a:t>
                </a:r>
                <a:endParaRPr lang="es-ES_tradnl" sz="1050">
                  <a:solidFill>
                    <a:sysClr val="windowText" lastClr="000000"/>
                  </a:solidFill>
                  <a:latin typeface="Times New Roman" panose="02020603050405020304" pitchFamily="18" charset="0"/>
                  <a:cs typeface="Times New Roman" panose="02020603050405020304" pitchFamily="18" charset="0"/>
                </a:endParaRPr>
              </a:p>
            </c:rich>
          </c:tx>
          <c:overlay val="0"/>
          <c:spPr>
            <a:noFill/>
            <a:ln>
              <a:noFill/>
            </a:ln>
            <a:effectLst/>
          </c:spPr>
          <c:txPr>
            <a:bodyPr rot="-5400000" spcFirstLastPara="1" vertOverflow="ellipsis" vert="horz" wrap="square" anchor="ctr" anchorCtr="1"/>
            <a:lstStyle/>
            <a:p>
              <a:pPr>
                <a:defRPr sz="10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mn-cs"/>
              </a:defRPr>
            </a:pPr>
            <a:endParaRPr lang="es-ES_tradnl"/>
          </a:p>
        </c:txPr>
        <c:crossAx val="709475840"/>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s-ES_tradnl"/>
    </a:p>
  </c:txPr>
  <c:printSettings>
    <c:headerFooter/>
    <c:pageMargins b="0.75" l="0.7" r="0.7" t="0.75" header="0.3" footer="0.3"/>
    <c:pageSetup orientation="landscape"/>
  </c:printSettings>
</c:chartSpace>
</file>

<file path=xl/charts/chart7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609381405572292"/>
          <c:y val="4.6087571003560986E-2"/>
          <c:w val="0.84406202714258949"/>
          <c:h val="0.72063806048193679"/>
        </c:manualLayout>
      </c:layout>
      <c:lineChart>
        <c:grouping val="standard"/>
        <c:varyColors val="0"/>
        <c:ser>
          <c:idx val="0"/>
          <c:order val="0"/>
          <c:tx>
            <c:strRef>
              <c:f>'1Cross'!$D$220</c:f>
              <c:strCache>
                <c:ptCount val="1"/>
                <c:pt idx="0">
                  <c:v>TTB elasticity bottom 80 - TTB elasticity top 20</c:v>
                </c:pt>
              </c:strCache>
            </c:strRef>
          </c:tx>
          <c:spPr>
            <a:ln w="25400" cap="rnd">
              <a:noFill/>
              <a:round/>
            </a:ln>
            <a:effectLst/>
          </c:spPr>
          <c:marker>
            <c:symbol val="circle"/>
            <c:size val="7"/>
            <c:spPr>
              <a:solidFill>
                <a:schemeClr val="tx1">
                  <a:lumMod val="75000"/>
                  <a:lumOff val="25000"/>
                </a:schemeClr>
              </a:solidFill>
              <a:ln w="9525">
                <a:solidFill>
                  <a:schemeClr val="tx1">
                    <a:lumMod val="75000"/>
                    <a:lumOff val="25000"/>
                    <a:alpha val="99000"/>
                  </a:schemeClr>
                </a:solidFill>
              </a:ln>
              <a:effectLst/>
            </c:spPr>
          </c:marker>
          <c:cat>
            <c:strRef>
              <c:extLst>
                <c:ext xmlns:c15="http://schemas.microsoft.com/office/drawing/2012/chart" uri="{02D57815-91ED-43cb-92C2-25804820EDAC}">
                  <c15:fullRef>
                    <c15:sqref>'1Cross'!$A$221:$A$249</c15:sqref>
                  </c15:fullRef>
                </c:ext>
              </c:extLst>
              <c:f>'1Cross'!$A$221:$A$241</c:f>
              <c:strCache>
                <c:ptCount val="21"/>
                <c:pt idx="0">
                  <c:v>HU</c:v>
                </c:pt>
                <c:pt idx="1">
                  <c:v>FR</c:v>
                </c:pt>
                <c:pt idx="2">
                  <c:v>LT</c:v>
                </c:pt>
                <c:pt idx="3">
                  <c:v>FI</c:v>
                </c:pt>
                <c:pt idx="4">
                  <c:v>SK</c:v>
                </c:pt>
                <c:pt idx="5">
                  <c:v>LV</c:v>
                </c:pt>
                <c:pt idx="6">
                  <c:v>DE</c:v>
                </c:pt>
                <c:pt idx="7">
                  <c:v>EL</c:v>
                </c:pt>
                <c:pt idx="8">
                  <c:v>SI</c:v>
                </c:pt>
                <c:pt idx="9">
                  <c:v>IT</c:v>
                </c:pt>
                <c:pt idx="10">
                  <c:v>IE</c:v>
                </c:pt>
                <c:pt idx="11">
                  <c:v>MT</c:v>
                </c:pt>
                <c:pt idx="12">
                  <c:v>EE</c:v>
                </c:pt>
                <c:pt idx="13">
                  <c:v>AT</c:v>
                </c:pt>
                <c:pt idx="14">
                  <c:v>BE</c:v>
                </c:pt>
                <c:pt idx="15">
                  <c:v>LU</c:v>
                </c:pt>
                <c:pt idx="16">
                  <c:v>ES</c:v>
                </c:pt>
                <c:pt idx="17">
                  <c:v>NL</c:v>
                </c:pt>
                <c:pt idx="18">
                  <c:v>PT</c:v>
                </c:pt>
                <c:pt idx="19">
                  <c:v>HR</c:v>
                </c:pt>
                <c:pt idx="20">
                  <c:v>CY</c:v>
                </c:pt>
              </c:strCache>
            </c:strRef>
          </c:cat>
          <c:val>
            <c:numRef>
              <c:extLst>
                <c:ext xmlns:c15="http://schemas.microsoft.com/office/drawing/2012/chart" uri="{02D57815-91ED-43cb-92C2-25804820EDAC}">
                  <c15:fullRef>
                    <c15:sqref>'1Cross'!$D$221:$D$249</c15:sqref>
                  </c15:fullRef>
                </c:ext>
              </c:extLst>
              <c:f>'1Cross'!$D$221:$D$241</c:f>
              <c:numCache>
                <c:formatCode>0.000</c:formatCode>
                <c:ptCount val="21"/>
                <c:pt idx="0">
                  <c:v>7.2131887380246118E-2</c:v>
                </c:pt>
                <c:pt idx="1">
                  <c:v>0.34917211470361886</c:v>
                </c:pt>
                <c:pt idx="2">
                  <c:v>0.36200423270874382</c:v>
                </c:pt>
                <c:pt idx="3">
                  <c:v>0.49192145887058114</c:v>
                </c:pt>
                <c:pt idx="4">
                  <c:v>0.49205728032231799</c:v>
                </c:pt>
                <c:pt idx="5">
                  <c:v>0.58519219931411359</c:v>
                </c:pt>
                <c:pt idx="6">
                  <c:v>0.7230254940326164</c:v>
                </c:pt>
                <c:pt idx="7">
                  <c:v>0.75930497450370527</c:v>
                </c:pt>
                <c:pt idx="8">
                  <c:v>0.82145814078915458</c:v>
                </c:pt>
                <c:pt idx="9">
                  <c:v>0.85246116182875142</c:v>
                </c:pt>
                <c:pt idx="10">
                  <c:v>0.86074711239087054</c:v>
                </c:pt>
                <c:pt idx="11">
                  <c:v>0.94824611015366633</c:v>
                </c:pt>
                <c:pt idx="12">
                  <c:v>0.97635367879894885</c:v>
                </c:pt>
                <c:pt idx="13">
                  <c:v>1.0515305748942407</c:v>
                </c:pt>
                <c:pt idx="14">
                  <c:v>1.0788679977703668</c:v>
                </c:pt>
                <c:pt idx="15">
                  <c:v>1.1022236134824694</c:v>
                </c:pt>
                <c:pt idx="16">
                  <c:v>1.1073315107671746</c:v>
                </c:pt>
                <c:pt idx="17">
                  <c:v>1.1742283018389361</c:v>
                </c:pt>
                <c:pt idx="18">
                  <c:v>1.4007233072357592</c:v>
                </c:pt>
                <c:pt idx="19">
                  <c:v>1.8638906187339797</c:v>
                </c:pt>
                <c:pt idx="20">
                  <c:v>1.8951647076521418</c:v>
                </c:pt>
              </c:numCache>
            </c:numRef>
          </c:val>
          <c:smooth val="0"/>
          <c:extLst>
            <c:ext xmlns:c16="http://schemas.microsoft.com/office/drawing/2014/chart" uri="{C3380CC4-5D6E-409C-BE32-E72D297353CC}">
              <c16:uniqueId val="{00000000-A9F3-41DA-BA01-45F41B4CDFE5}"/>
            </c:ext>
          </c:extLst>
        </c:ser>
        <c:ser>
          <c:idx val="1"/>
          <c:order val="1"/>
          <c:tx>
            <c:strRef>
              <c:f>'1Cross'!$G$220</c:f>
              <c:strCache>
                <c:ptCount val="1"/>
                <c:pt idx="0">
                  <c:v>TTB elasticity bottom 90 - TTB elasticity top 10</c:v>
                </c:pt>
              </c:strCache>
            </c:strRef>
          </c:tx>
          <c:spPr>
            <a:ln w="25400" cap="rnd">
              <a:noFill/>
              <a:round/>
            </a:ln>
            <a:effectLst/>
          </c:spPr>
          <c:marker>
            <c:symbol val="circle"/>
            <c:size val="6"/>
            <c:spPr>
              <a:noFill/>
              <a:ln w="22225">
                <a:solidFill>
                  <a:schemeClr val="accent2">
                    <a:lumMod val="75000"/>
                  </a:schemeClr>
                </a:solidFill>
              </a:ln>
              <a:effectLst/>
            </c:spPr>
          </c:marker>
          <c:cat>
            <c:strLit>
              <c:ptCount val="21"/>
              <c:pt idx="0">
                <c:v>HU</c:v>
              </c:pt>
              <c:pt idx="1">
                <c:v>FR</c:v>
              </c:pt>
              <c:pt idx="2">
                <c:v>LT</c:v>
              </c:pt>
              <c:pt idx="3">
                <c:v>FI</c:v>
              </c:pt>
              <c:pt idx="4">
                <c:v>SK</c:v>
              </c:pt>
              <c:pt idx="5">
                <c:v>LV</c:v>
              </c:pt>
              <c:pt idx="6">
                <c:v>DE</c:v>
              </c:pt>
              <c:pt idx="7">
                <c:v>EL</c:v>
              </c:pt>
              <c:pt idx="8">
                <c:v>SI</c:v>
              </c:pt>
              <c:pt idx="9">
                <c:v>IT</c:v>
              </c:pt>
              <c:pt idx="10">
                <c:v>IE</c:v>
              </c:pt>
              <c:pt idx="11">
                <c:v>MT</c:v>
              </c:pt>
              <c:pt idx="12">
                <c:v>EE</c:v>
              </c:pt>
              <c:pt idx="13">
                <c:v>AT</c:v>
              </c:pt>
              <c:pt idx="14">
                <c:v>BE</c:v>
              </c:pt>
              <c:pt idx="15">
                <c:v>LU</c:v>
              </c:pt>
              <c:pt idx="16">
                <c:v>ES</c:v>
              </c:pt>
              <c:pt idx="17">
                <c:v>NL</c:v>
              </c:pt>
              <c:pt idx="18">
                <c:v>PT</c:v>
              </c:pt>
              <c:pt idx="19">
                <c:v>HR</c:v>
              </c:pt>
              <c:pt idx="20">
                <c:v>CY</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'1Cross'!$G$221:$G$249</c15:sqref>
                  </c15:fullRef>
                </c:ext>
              </c:extLst>
              <c:f>'1Cross'!$G$221:$G$241</c:f>
              <c:numCache>
                <c:formatCode>0.000</c:formatCode>
                <c:ptCount val="21"/>
                <c:pt idx="0">
                  <c:v>7.8525932179418501E-2</c:v>
                </c:pt>
                <c:pt idx="1">
                  <c:v>0.34284750783071205</c:v>
                </c:pt>
                <c:pt idx="2">
                  <c:v>0.3570788215750893</c:v>
                </c:pt>
                <c:pt idx="3">
                  <c:v>0.49911255247059216</c:v>
                </c:pt>
                <c:pt idx="4">
                  <c:v>0.47218351000174286</c:v>
                </c:pt>
                <c:pt idx="5">
                  <c:v>0.4692250596883214</c:v>
                </c:pt>
                <c:pt idx="6">
                  <c:v>0.65896549685596617</c:v>
                </c:pt>
                <c:pt idx="7">
                  <c:v>0.75139006891550908</c:v>
                </c:pt>
                <c:pt idx="8">
                  <c:v>0.70070550107140739</c:v>
                </c:pt>
                <c:pt idx="9">
                  <c:v>0.80762180872167666</c:v>
                </c:pt>
                <c:pt idx="10">
                  <c:v>0.78100577675793148</c:v>
                </c:pt>
                <c:pt idx="11">
                  <c:v>0.77124599199239152</c:v>
                </c:pt>
                <c:pt idx="12">
                  <c:v>0.8541029489218126</c:v>
                </c:pt>
                <c:pt idx="13">
                  <c:v>0.87988751453087688</c:v>
                </c:pt>
                <c:pt idx="14">
                  <c:v>0.92224648184275004</c:v>
                </c:pt>
                <c:pt idx="15">
                  <c:v>0.91784030391141447</c:v>
                </c:pt>
                <c:pt idx="16">
                  <c:v>0.86356412872020205</c:v>
                </c:pt>
                <c:pt idx="17">
                  <c:v>1.1128898832498355</c:v>
                </c:pt>
                <c:pt idx="18">
                  <c:v>1.0281562087939509</c:v>
                </c:pt>
                <c:pt idx="19">
                  <c:v>1.507588753240712</c:v>
                </c:pt>
                <c:pt idx="20">
                  <c:v>1.4929756878573537</c:v>
                </c:pt>
              </c:numCache>
            </c:numRef>
          </c:val>
          <c:smooth val="0"/>
          <c:extLst>
            <c:ext xmlns:c16="http://schemas.microsoft.com/office/drawing/2014/chart" uri="{C3380CC4-5D6E-409C-BE32-E72D297353CC}">
              <c16:uniqueId val="{00000000-6E5B-437C-8AA4-F6AD241D87EA}"/>
            </c:ext>
          </c:extLst>
        </c:ser>
        <c:dLbls>
          <c:showLegendKey val="0"/>
          <c:showVal val="0"/>
          <c:showCatName val="0"/>
          <c:showSerName val="0"/>
          <c:showPercent val="0"/>
          <c:showBubbleSize val="0"/>
        </c:dLbls>
        <c:marker val="1"/>
        <c:smooth val="0"/>
        <c:axId val="709475840"/>
        <c:axId val="605168576"/>
      </c:lineChart>
      <c:catAx>
        <c:axId val="709475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mn-cs"/>
              </a:defRPr>
            </a:pPr>
            <a:endParaRPr lang="es-ES_tradnl"/>
          </a:p>
        </c:txPr>
        <c:crossAx val="605168576"/>
        <c:crosses val="autoZero"/>
        <c:auto val="1"/>
        <c:lblAlgn val="ctr"/>
        <c:lblOffset val="100"/>
        <c:noMultiLvlLbl val="0"/>
      </c:catAx>
      <c:valAx>
        <c:axId val="6051685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s-ES_tradnl" sz="1050">
                    <a:solidFill>
                      <a:sysClr val="windowText" lastClr="000000"/>
                    </a:solidFill>
                    <a:latin typeface="Times New Roman" panose="02020603050405020304" pitchFamily="18" charset="0"/>
                    <a:cs typeface="Times New Roman" panose="02020603050405020304" pitchFamily="18" charset="0"/>
                  </a:rPr>
                  <a:t>Percentage</a:t>
                </a:r>
                <a:r>
                  <a:rPr lang="es-ES_tradnl" sz="1050" baseline="0">
                    <a:solidFill>
                      <a:sysClr val="windowText" lastClr="000000"/>
                    </a:solidFill>
                    <a:latin typeface="Times New Roman" panose="02020603050405020304" pitchFamily="18" charset="0"/>
                    <a:cs typeface="Times New Roman" panose="02020603050405020304" pitchFamily="18" charset="0"/>
                  </a:rPr>
                  <a:t> points</a:t>
                </a:r>
                <a:endParaRPr lang="es-ES_tradnl" sz="1050">
                  <a:solidFill>
                    <a:sysClr val="windowText" lastClr="000000"/>
                  </a:solidFill>
                  <a:latin typeface="Times New Roman" panose="02020603050405020304" pitchFamily="18" charset="0"/>
                  <a:cs typeface="Times New Roman" panose="02020603050405020304" pitchFamily="18" charset="0"/>
                </a:endParaRPr>
              </a:p>
            </c:rich>
          </c:tx>
          <c:overlay val="0"/>
          <c:spPr>
            <a:noFill/>
            <a:ln>
              <a:noFill/>
            </a:ln>
            <a:effectLst/>
          </c:spPr>
          <c:txPr>
            <a:bodyPr rot="-5400000" spcFirstLastPara="1" vertOverflow="ellipsis" vert="horz" wrap="square" anchor="ctr" anchorCtr="1"/>
            <a:lstStyle/>
            <a:p>
              <a:pPr>
                <a:defRPr sz="10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title>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mn-cs"/>
              </a:defRPr>
            </a:pPr>
            <a:endParaRPr lang="es-ES_tradnl"/>
          </a:p>
        </c:txPr>
        <c:crossAx val="709475840"/>
        <c:crosses val="autoZero"/>
        <c:crossBetween val="between"/>
      </c:valAx>
      <c:spPr>
        <a:noFill/>
        <a:ln>
          <a:noFill/>
        </a:ln>
        <a:effectLst/>
      </c:spPr>
    </c:plotArea>
    <c:legend>
      <c:legendPos val="b"/>
      <c:layout>
        <c:manualLayout>
          <c:xMode val="edge"/>
          <c:yMode val="edge"/>
          <c:x val="5.5426178646664596E-2"/>
          <c:y val="0.85811164342933755"/>
          <c:w val="0.86744258631146487"/>
          <c:h val="0.11674968147781099"/>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legend>
    <c:plotVisOnly val="1"/>
    <c:dispBlanksAs val="gap"/>
    <c:showDLblsOverMax val="0"/>
  </c:chart>
  <c:spPr>
    <a:solidFill>
      <a:schemeClr val="bg1"/>
    </a:solidFill>
    <a:ln w="9525" cap="flat" cmpd="sng" algn="ctr">
      <a:noFill/>
      <a:round/>
    </a:ln>
    <a:effectLst/>
  </c:spPr>
  <c:txPr>
    <a:bodyPr/>
    <a:lstStyle/>
    <a:p>
      <a:pPr>
        <a:defRPr/>
      </a:pPr>
      <a:endParaRPr lang="es-ES_tradnl"/>
    </a:p>
  </c:txPr>
  <c:printSettings>
    <c:headerFooter/>
    <c:pageMargins b="0.75" l="0.84" r="0.25" t="0.75" header="0.3" footer="0.3"/>
    <c:pageSetup paperSize="9" orientation="landscape"/>
  </c:printSettings>
</c:chartSpace>
</file>

<file path=xl/charts/chart7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ivotFmts>
      <c:pivotFmt>
        <c:idx val="0"/>
        <c:spPr>
          <a:solidFill>
            <a:schemeClr val="accent1"/>
          </a:solidFill>
          <a:ln w="28575" cap="rnd">
            <a:noFill/>
            <a:round/>
          </a:ln>
          <a:effectLst/>
        </c:spPr>
        <c:marker>
          <c:symbol val="dash"/>
          <c:size val="7"/>
          <c:spPr>
            <a:solidFill>
              <a:srgbClr val="3B3838"/>
            </a:solidFill>
            <a:ln w="9525">
              <a:solidFill>
                <a:srgbClr val="3B3838"/>
              </a:solidFill>
            </a:ln>
            <a:effectLst/>
          </c:spPr>
        </c:marker>
        <c:dLbl>
          <c:idx val="0"/>
          <c:delete val="1"/>
          <c:extLst>
            <c:ext xmlns:c15="http://schemas.microsoft.com/office/drawing/2012/chart" uri="{CE6537A1-D6FC-4f65-9D91-7224C49458BB}"/>
          </c:extLst>
        </c:dLbl>
      </c:pivotFmt>
      <c:pivotFmt>
        <c:idx val="1"/>
        <c:spPr>
          <a:solidFill>
            <a:srgbClr val="E7E6E6"/>
          </a:solidFill>
          <a:ln w="25400">
            <a:noFill/>
          </a:ln>
          <a:effectLst/>
        </c:spPr>
        <c:marker>
          <c:symbol val="none"/>
        </c:marker>
        <c:dLbl>
          <c:idx val="0"/>
          <c:delete val="1"/>
          <c:extLst>
            <c:ext xmlns:c15="http://schemas.microsoft.com/office/drawing/2012/chart" uri="{CE6537A1-D6FC-4f65-9D91-7224C49458BB}"/>
          </c:extLst>
        </c:dLbl>
      </c:pivotFmt>
      <c:pivotFmt>
        <c:idx val="2"/>
        <c:spPr>
          <a:solidFill>
            <a:schemeClr val="accent2">
              <a:lumMod val="75000"/>
            </a:schemeClr>
          </a:solidFill>
          <a:ln w="25400">
            <a:noFill/>
          </a:ln>
          <a:effectLst/>
        </c:spPr>
        <c:marker>
          <c:symbol val="none"/>
        </c:marker>
        <c:dLbl>
          <c:idx val="0"/>
          <c:delete val="1"/>
          <c:extLst>
            <c:ext xmlns:c15="http://schemas.microsoft.com/office/drawing/2012/chart" uri="{CE6537A1-D6FC-4f65-9D91-7224C49458BB}"/>
          </c:extLst>
        </c:dLbl>
      </c:pivotFmt>
      <c:pivotFmt>
        <c:idx val="3"/>
        <c:spPr>
          <a:solidFill>
            <a:schemeClr val="accent5">
              <a:lumMod val="75000"/>
            </a:schemeClr>
          </a:solidFill>
          <a:ln w="25400">
            <a:noFill/>
          </a:ln>
          <a:effectLst/>
        </c:spPr>
        <c:marker>
          <c:symbol val="none"/>
        </c:marker>
        <c:dLbl>
          <c:idx val="0"/>
          <c:delete val="1"/>
          <c:extLst>
            <c:ext xmlns:c15="http://schemas.microsoft.com/office/drawing/2012/chart" uri="{CE6537A1-D6FC-4f65-9D91-7224C49458BB}"/>
          </c:extLst>
        </c:dLbl>
      </c:pivotFmt>
      <c:pivotFmt>
        <c:idx val="4"/>
        <c:spPr>
          <a:solidFill>
            <a:schemeClr val="accent5">
              <a:lumMod val="60000"/>
              <a:lumOff val="40000"/>
            </a:schemeClr>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5">
              <a:lumMod val="40000"/>
              <a:lumOff val="60000"/>
            </a:schemeClr>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tx2">
              <a:lumMod val="20000"/>
              <a:lumOff val="80000"/>
            </a:schemeClr>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5">
              <a:lumMod val="20000"/>
              <a:lumOff val="80000"/>
            </a:schemeClr>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w="25400">
            <a:noFill/>
          </a:ln>
          <a:effectLst/>
        </c:spPr>
        <c:marker>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9"/>
        <c:spPr>
          <a:solidFill>
            <a:schemeClr val="accent1"/>
          </a:solidFill>
          <a:ln w="28575" cap="rnd">
            <a:noFill/>
            <a:round/>
          </a:ln>
          <a:effectLst/>
        </c:spPr>
        <c:marker>
          <c:symbol val="dash"/>
          <c:size val="7"/>
          <c:spPr>
            <a:solidFill>
              <a:srgbClr val="3B3838"/>
            </a:solidFill>
            <a:ln w="9525">
              <a:solidFill>
                <a:srgbClr val="3B3838"/>
              </a:solidFill>
            </a:ln>
            <a:effectLst/>
          </c:spPr>
        </c:marker>
      </c:pivotFmt>
      <c:pivotFmt>
        <c:idx val="10"/>
        <c:spPr>
          <a:solidFill>
            <a:srgbClr val="E7E6E6"/>
          </a:solidFill>
          <a:ln w="25400">
            <a:noFill/>
          </a:ln>
          <a:effectLst/>
        </c:spPr>
        <c:marker>
          <c:symbol val="none"/>
        </c:marker>
        <c:dLbl>
          <c:idx val="0"/>
          <c:delete val="1"/>
          <c:extLst>
            <c:ext xmlns:c15="http://schemas.microsoft.com/office/drawing/2012/chart" uri="{CE6537A1-D6FC-4f65-9D91-7224C49458BB}"/>
          </c:extLst>
        </c:dLbl>
      </c:pivotFmt>
      <c:pivotFmt>
        <c:idx val="11"/>
        <c:spPr>
          <a:solidFill>
            <a:schemeClr val="accent2">
              <a:lumMod val="75000"/>
            </a:schemeClr>
          </a:solidFill>
          <a:ln w="25400">
            <a:noFill/>
          </a:ln>
          <a:effectLst/>
        </c:spPr>
        <c:marker>
          <c:symbol val="none"/>
        </c:marker>
        <c:dLbl>
          <c:idx val="0"/>
          <c:delete val="1"/>
          <c:extLst>
            <c:ext xmlns:c15="http://schemas.microsoft.com/office/drawing/2012/chart" uri="{CE6537A1-D6FC-4f65-9D91-7224C49458BB}"/>
          </c:extLst>
        </c:dLbl>
      </c:pivotFmt>
      <c:pivotFmt>
        <c:idx val="12"/>
        <c:spPr>
          <a:solidFill>
            <a:schemeClr val="accent5">
              <a:lumMod val="75000"/>
            </a:schemeClr>
          </a:solidFill>
          <a:ln w="25400">
            <a:noFill/>
          </a:ln>
          <a:effectLst/>
        </c:spPr>
        <c:marker>
          <c:symbol val="none"/>
        </c:marker>
        <c:dLbl>
          <c:idx val="0"/>
          <c:delete val="1"/>
          <c:extLst>
            <c:ext xmlns:c15="http://schemas.microsoft.com/office/drawing/2012/chart" uri="{CE6537A1-D6FC-4f65-9D91-7224C49458BB}"/>
          </c:extLst>
        </c:dLbl>
      </c:pivotFmt>
      <c:pivotFmt>
        <c:idx val="13"/>
        <c:spPr>
          <a:solidFill>
            <a:schemeClr val="accent5">
              <a:lumMod val="60000"/>
              <a:lumOff val="40000"/>
            </a:schemeClr>
          </a:solidFill>
          <a:ln>
            <a:noFill/>
          </a:ln>
          <a:effectLst/>
        </c:spPr>
        <c:marker>
          <c:symbol val="none"/>
        </c:marker>
        <c:dLbl>
          <c:idx val="0"/>
          <c:delete val="1"/>
          <c:extLst>
            <c:ext xmlns:c15="http://schemas.microsoft.com/office/drawing/2012/chart" uri="{CE6537A1-D6FC-4f65-9D91-7224C49458BB}"/>
          </c:extLst>
        </c:dLbl>
      </c:pivotFmt>
      <c:pivotFmt>
        <c:idx val="14"/>
        <c:spPr>
          <a:solidFill>
            <a:schemeClr val="accent5">
              <a:lumMod val="40000"/>
              <a:lumOff val="60000"/>
            </a:schemeClr>
          </a:solidFill>
          <a:ln>
            <a:noFill/>
          </a:ln>
          <a:effectLst/>
        </c:spPr>
        <c:marker>
          <c:symbol val="none"/>
        </c:marker>
        <c:dLbl>
          <c:idx val="0"/>
          <c:delete val="1"/>
          <c:extLst>
            <c:ext xmlns:c15="http://schemas.microsoft.com/office/drawing/2012/chart" uri="{CE6537A1-D6FC-4f65-9D91-7224C49458BB}"/>
          </c:extLst>
        </c:dLbl>
      </c:pivotFmt>
      <c:pivotFmt>
        <c:idx val="15"/>
        <c:spPr>
          <a:solidFill>
            <a:schemeClr val="accent5">
              <a:lumMod val="20000"/>
              <a:lumOff val="80000"/>
            </a:schemeClr>
          </a:solidFill>
          <a:ln>
            <a:noFill/>
          </a:ln>
          <a:effectLst/>
        </c:spPr>
        <c:marker>
          <c:symbol val="none"/>
        </c:marker>
        <c:dLbl>
          <c:idx val="0"/>
          <c:delete val="1"/>
          <c:extLst>
            <c:ext xmlns:c15="http://schemas.microsoft.com/office/drawing/2012/chart" uri="{CE6537A1-D6FC-4f65-9D91-7224C49458BB}"/>
          </c:extLst>
        </c:dLbl>
      </c:pivotFmt>
      <c:pivotFmt>
        <c:idx val="16"/>
        <c:spPr>
          <a:solidFill>
            <a:schemeClr val="tx2">
              <a:lumMod val="20000"/>
              <a:lumOff val="80000"/>
            </a:schemeClr>
          </a:solidFill>
          <a:ln>
            <a:noFill/>
          </a:ln>
          <a:effectLst/>
        </c:spPr>
        <c:marker>
          <c:symbol val="none"/>
        </c:marker>
        <c:dLbl>
          <c:idx val="0"/>
          <c:delete val="1"/>
          <c:extLst>
            <c:ext xmlns:c15="http://schemas.microsoft.com/office/drawing/2012/chart" uri="{CE6537A1-D6FC-4f65-9D91-7224C49458BB}"/>
          </c:extLst>
        </c:dLbl>
      </c:pivotFmt>
      <c:pivotFmt>
        <c:idx val="17"/>
        <c:spPr>
          <a:solidFill>
            <a:schemeClr val="accent1"/>
          </a:solidFill>
          <a:ln w="28575" cap="rnd">
            <a:noFill/>
            <a:round/>
          </a:ln>
          <a:effectLst/>
        </c:spPr>
        <c:marker>
          <c:symbol val="dash"/>
          <c:size val="7"/>
          <c:spPr>
            <a:solidFill>
              <a:srgbClr val="3B3838"/>
            </a:solidFill>
            <a:ln w="9525">
              <a:solidFill>
                <a:srgbClr val="3B3838"/>
              </a:solidFill>
            </a:ln>
            <a:effectLst/>
          </c:spPr>
        </c:marker>
        <c:dLbl>
          <c:idx val="0"/>
          <c:delete val="1"/>
          <c:extLst>
            <c:ext xmlns:c15="http://schemas.microsoft.com/office/drawing/2012/chart" uri="{CE6537A1-D6FC-4f65-9D91-7224C49458BB}"/>
          </c:extLst>
        </c:dLbl>
      </c:pivotFmt>
      <c:pivotFmt>
        <c:idx val="18"/>
        <c:spPr>
          <a:solidFill>
            <a:srgbClr val="E7E6E6"/>
          </a:solidFill>
          <a:ln w="25400">
            <a:noFill/>
          </a:ln>
          <a:effectLst/>
        </c:spPr>
        <c:marker>
          <c:symbol val="none"/>
        </c:marker>
        <c:dLbl>
          <c:idx val="0"/>
          <c:delete val="1"/>
          <c:extLst>
            <c:ext xmlns:c15="http://schemas.microsoft.com/office/drawing/2012/chart" uri="{CE6537A1-D6FC-4f65-9D91-7224C49458BB}"/>
          </c:extLst>
        </c:dLbl>
      </c:pivotFmt>
      <c:pivotFmt>
        <c:idx val="19"/>
        <c:spPr>
          <a:solidFill>
            <a:schemeClr val="accent2">
              <a:lumMod val="75000"/>
            </a:schemeClr>
          </a:solidFill>
          <a:ln w="25400">
            <a:noFill/>
          </a:ln>
          <a:effectLst/>
        </c:spPr>
        <c:marker>
          <c:symbol val="none"/>
        </c:marker>
        <c:dLbl>
          <c:idx val="0"/>
          <c:delete val="1"/>
          <c:extLst>
            <c:ext xmlns:c15="http://schemas.microsoft.com/office/drawing/2012/chart" uri="{CE6537A1-D6FC-4f65-9D91-7224C49458BB}"/>
          </c:extLst>
        </c:dLbl>
      </c:pivotFmt>
      <c:pivotFmt>
        <c:idx val="20"/>
        <c:spPr>
          <a:solidFill>
            <a:schemeClr val="accent5">
              <a:lumMod val="75000"/>
            </a:schemeClr>
          </a:solidFill>
          <a:ln w="25400">
            <a:noFill/>
          </a:ln>
          <a:effectLst/>
        </c:spPr>
        <c:marker>
          <c:symbol val="none"/>
        </c:marker>
        <c:dLbl>
          <c:idx val="0"/>
          <c:delete val="1"/>
          <c:extLst>
            <c:ext xmlns:c15="http://schemas.microsoft.com/office/drawing/2012/chart" uri="{CE6537A1-D6FC-4f65-9D91-7224C49458BB}"/>
          </c:extLst>
        </c:dLbl>
      </c:pivotFmt>
      <c:pivotFmt>
        <c:idx val="21"/>
        <c:spPr>
          <a:solidFill>
            <a:schemeClr val="accent5">
              <a:lumMod val="60000"/>
              <a:lumOff val="40000"/>
            </a:schemeClr>
          </a:solidFill>
          <a:ln>
            <a:noFill/>
          </a:ln>
          <a:effectLst/>
        </c:spPr>
        <c:marker>
          <c:symbol val="none"/>
        </c:marker>
        <c:dLbl>
          <c:idx val="0"/>
          <c:delete val="1"/>
          <c:extLst>
            <c:ext xmlns:c15="http://schemas.microsoft.com/office/drawing/2012/chart" uri="{CE6537A1-D6FC-4f65-9D91-7224C49458BB}"/>
          </c:extLst>
        </c:dLbl>
      </c:pivotFmt>
      <c:pivotFmt>
        <c:idx val="22"/>
        <c:spPr>
          <a:solidFill>
            <a:schemeClr val="accent5">
              <a:lumMod val="40000"/>
              <a:lumOff val="60000"/>
            </a:schemeClr>
          </a:solidFill>
          <a:ln>
            <a:noFill/>
          </a:ln>
          <a:effectLst/>
        </c:spPr>
        <c:marker>
          <c:symbol val="none"/>
        </c:marker>
        <c:dLbl>
          <c:idx val="0"/>
          <c:delete val="1"/>
          <c:extLst>
            <c:ext xmlns:c15="http://schemas.microsoft.com/office/drawing/2012/chart" uri="{CE6537A1-D6FC-4f65-9D91-7224C49458BB}"/>
          </c:extLst>
        </c:dLbl>
      </c:pivotFmt>
      <c:pivotFmt>
        <c:idx val="23"/>
        <c:spPr>
          <a:solidFill>
            <a:schemeClr val="accent5">
              <a:lumMod val="20000"/>
              <a:lumOff val="80000"/>
            </a:schemeClr>
          </a:solidFill>
          <a:ln>
            <a:noFill/>
          </a:ln>
          <a:effectLst/>
        </c:spPr>
        <c:marker>
          <c:symbol val="none"/>
        </c:marker>
        <c:dLbl>
          <c:idx val="0"/>
          <c:delete val="1"/>
          <c:extLst>
            <c:ext xmlns:c15="http://schemas.microsoft.com/office/drawing/2012/chart" uri="{CE6537A1-D6FC-4f65-9D91-7224C49458BB}"/>
          </c:extLst>
        </c:dLbl>
      </c:pivotFmt>
      <c:pivotFmt>
        <c:idx val="24"/>
        <c:spPr>
          <a:solidFill>
            <a:schemeClr val="tx2">
              <a:lumMod val="20000"/>
              <a:lumOff val="80000"/>
            </a:schemeClr>
          </a:solidFill>
          <a:ln>
            <a:noFill/>
          </a:ln>
          <a:effectLst/>
        </c:spPr>
        <c:marker>
          <c:symbol val="none"/>
        </c:marker>
        <c:dLbl>
          <c:idx val="0"/>
          <c:delete val="1"/>
          <c:extLst>
            <c:ext xmlns:c15="http://schemas.microsoft.com/office/drawing/2012/chart" uri="{CE6537A1-D6FC-4f65-9D91-7224C49458BB}"/>
          </c:extLst>
        </c:dLbl>
      </c:pivotFmt>
      <c:pivotFmt>
        <c:idx val="25"/>
        <c:spPr>
          <a:solidFill>
            <a:schemeClr val="accent1"/>
          </a:solidFill>
          <a:ln w="28575" cap="rnd">
            <a:noFill/>
            <a:round/>
          </a:ln>
          <a:effectLst/>
        </c:spPr>
        <c:marker>
          <c:symbol val="dash"/>
          <c:size val="7"/>
          <c:spPr>
            <a:solidFill>
              <a:srgbClr val="3B3838"/>
            </a:solidFill>
            <a:ln w="9525">
              <a:solidFill>
                <a:srgbClr val="3B3838"/>
              </a:solidFill>
            </a:ln>
            <a:effectLst/>
          </c:spPr>
        </c:marker>
        <c:dLbl>
          <c:idx val="0"/>
          <c:delete val="1"/>
          <c:extLst>
            <c:ext xmlns:c15="http://schemas.microsoft.com/office/drawing/2012/chart" uri="{CE6537A1-D6FC-4f65-9D91-7224C49458BB}"/>
          </c:extLst>
        </c:dLbl>
      </c:pivotFmt>
      <c:pivotFmt>
        <c:idx val="26"/>
        <c:spPr>
          <a:solidFill>
            <a:srgbClr val="E7E6E6"/>
          </a:solidFill>
          <a:ln w="25400">
            <a:noFill/>
          </a:ln>
          <a:effectLst/>
        </c:spPr>
        <c:marker>
          <c:symbol val="none"/>
        </c:marker>
        <c:dLbl>
          <c:idx val="0"/>
          <c:delete val="1"/>
          <c:extLst>
            <c:ext xmlns:c15="http://schemas.microsoft.com/office/drawing/2012/chart" uri="{CE6537A1-D6FC-4f65-9D91-7224C49458BB}"/>
          </c:extLst>
        </c:dLbl>
      </c:pivotFmt>
      <c:pivotFmt>
        <c:idx val="27"/>
        <c:spPr>
          <a:solidFill>
            <a:schemeClr val="accent2">
              <a:lumMod val="75000"/>
            </a:schemeClr>
          </a:solidFill>
          <a:ln w="25400">
            <a:noFill/>
          </a:ln>
          <a:effectLst/>
        </c:spPr>
        <c:marker>
          <c:symbol val="none"/>
        </c:marker>
        <c:dLbl>
          <c:idx val="0"/>
          <c:delete val="1"/>
          <c:extLst>
            <c:ext xmlns:c15="http://schemas.microsoft.com/office/drawing/2012/chart" uri="{CE6537A1-D6FC-4f65-9D91-7224C49458BB}"/>
          </c:extLst>
        </c:dLbl>
      </c:pivotFmt>
      <c:pivotFmt>
        <c:idx val="28"/>
        <c:spPr>
          <a:solidFill>
            <a:schemeClr val="accent5">
              <a:lumMod val="75000"/>
            </a:schemeClr>
          </a:solidFill>
          <a:ln w="25400">
            <a:noFill/>
          </a:ln>
          <a:effectLst/>
        </c:spPr>
        <c:marker>
          <c:symbol val="none"/>
        </c:marker>
        <c:dLbl>
          <c:idx val="0"/>
          <c:delete val="1"/>
          <c:extLst>
            <c:ext xmlns:c15="http://schemas.microsoft.com/office/drawing/2012/chart" uri="{CE6537A1-D6FC-4f65-9D91-7224C49458BB}"/>
          </c:extLst>
        </c:dLbl>
      </c:pivotFmt>
      <c:pivotFmt>
        <c:idx val="29"/>
        <c:spPr>
          <a:solidFill>
            <a:schemeClr val="accent5">
              <a:lumMod val="60000"/>
              <a:lumOff val="40000"/>
            </a:schemeClr>
          </a:solidFill>
          <a:ln>
            <a:noFill/>
          </a:ln>
          <a:effectLst/>
        </c:spPr>
        <c:marker>
          <c:symbol val="none"/>
        </c:marker>
        <c:dLbl>
          <c:idx val="0"/>
          <c:delete val="1"/>
          <c:extLst>
            <c:ext xmlns:c15="http://schemas.microsoft.com/office/drawing/2012/chart" uri="{CE6537A1-D6FC-4f65-9D91-7224C49458BB}"/>
          </c:extLst>
        </c:dLbl>
      </c:pivotFmt>
      <c:pivotFmt>
        <c:idx val="30"/>
        <c:spPr>
          <a:solidFill>
            <a:schemeClr val="accent5">
              <a:lumMod val="40000"/>
              <a:lumOff val="60000"/>
            </a:schemeClr>
          </a:solidFill>
          <a:ln>
            <a:noFill/>
          </a:ln>
          <a:effectLst/>
        </c:spPr>
        <c:marker>
          <c:symbol val="none"/>
        </c:marker>
        <c:dLbl>
          <c:idx val="0"/>
          <c:delete val="1"/>
          <c:extLst>
            <c:ext xmlns:c15="http://schemas.microsoft.com/office/drawing/2012/chart" uri="{CE6537A1-D6FC-4f65-9D91-7224C49458BB}"/>
          </c:extLst>
        </c:dLbl>
      </c:pivotFmt>
      <c:pivotFmt>
        <c:idx val="31"/>
        <c:spPr>
          <a:solidFill>
            <a:schemeClr val="accent5">
              <a:lumMod val="20000"/>
              <a:lumOff val="80000"/>
            </a:schemeClr>
          </a:solidFill>
          <a:ln>
            <a:noFill/>
          </a:ln>
          <a:effectLst/>
        </c:spPr>
        <c:marker>
          <c:symbol val="none"/>
        </c:marker>
        <c:dLbl>
          <c:idx val="0"/>
          <c:delete val="1"/>
          <c:extLst>
            <c:ext xmlns:c15="http://schemas.microsoft.com/office/drawing/2012/chart" uri="{CE6537A1-D6FC-4f65-9D91-7224C49458BB}"/>
          </c:extLst>
        </c:dLbl>
      </c:pivotFmt>
      <c:pivotFmt>
        <c:idx val="32"/>
        <c:spPr>
          <a:solidFill>
            <a:schemeClr val="tx2">
              <a:lumMod val="20000"/>
              <a:lumOff val="80000"/>
            </a:schemeClr>
          </a:solidFill>
          <a:ln>
            <a:noFill/>
          </a:ln>
          <a:effectLst/>
        </c:spPr>
        <c:marker>
          <c:symbol val="none"/>
        </c:marker>
        <c:dLbl>
          <c:idx val="0"/>
          <c:delete val="1"/>
          <c:extLst>
            <c:ext xmlns:c15="http://schemas.microsoft.com/office/drawing/2012/chart" uri="{CE6537A1-D6FC-4f65-9D91-7224C49458BB}"/>
          </c:extLst>
        </c:dLbl>
      </c:pivotFmt>
      <c:pivotFmt>
        <c:idx val="33"/>
        <c:spPr>
          <a:solidFill>
            <a:schemeClr val="accent1"/>
          </a:solidFill>
          <a:ln w="28575" cap="rnd">
            <a:noFill/>
            <a:round/>
          </a:ln>
          <a:effectLst/>
        </c:spPr>
        <c:marker>
          <c:symbol val="dash"/>
          <c:size val="7"/>
          <c:spPr>
            <a:solidFill>
              <a:srgbClr val="3B3838"/>
            </a:solidFill>
            <a:ln w="9525">
              <a:solidFill>
                <a:srgbClr val="3B3838"/>
              </a:solidFill>
            </a:ln>
            <a:effectLst/>
          </c:spPr>
        </c:marker>
        <c:dLbl>
          <c:idx val="0"/>
          <c:delete val="1"/>
          <c:extLst>
            <c:ext xmlns:c15="http://schemas.microsoft.com/office/drawing/2012/chart" uri="{CE6537A1-D6FC-4f65-9D91-7224C49458BB}"/>
          </c:extLst>
        </c:dLbl>
      </c:pivotFmt>
      <c:pivotFmt>
        <c:idx val="34"/>
        <c:spPr>
          <a:solidFill>
            <a:srgbClr val="E7E6E6"/>
          </a:solidFill>
          <a:ln w="25400">
            <a:noFill/>
          </a:ln>
          <a:effectLst/>
        </c:spPr>
        <c:marker>
          <c:symbol val="none"/>
        </c:marker>
        <c:dLbl>
          <c:idx val="0"/>
          <c:delete val="1"/>
          <c:extLst>
            <c:ext xmlns:c15="http://schemas.microsoft.com/office/drawing/2012/chart" uri="{CE6537A1-D6FC-4f65-9D91-7224C49458BB}"/>
          </c:extLst>
        </c:dLbl>
      </c:pivotFmt>
      <c:pivotFmt>
        <c:idx val="35"/>
        <c:spPr>
          <a:solidFill>
            <a:schemeClr val="accent2">
              <a:lumMod val="75000"/>
            </a:schemeClr>
          </a:solidFill>
          <a:ln w="25400">
            <a:noFill/>
          </a:ln>
          <a:effectLst/>
        </c:spPr>
        <c:marker>
          <c:symbol val="none"/>
        </c:marker>
        <c:dLbl>
          <c:idx val="0"/>
          <c:delete val="1"/>
          <c:extLst>
            <c:ext xmlns:c15="http://schemas.microsoft.com/office/drawing/2012/chart" uri="{CE6537A1-D6FC-4f65-9D91-7224C49458BB}"/>
          </c:extLst>
        </c:dLbl>
      </c:pivotFmt>
      <c:pivotFmt>
        <c:idx val="36"/>
        <c:spPr>
          <a:solidFill>
            <a:schemeClr val="accent5">
              <a:lumMod val="75000"/>
            </a:schemeClr>
          </a:solidFill>
          <a:ln w="25400">
            <a:noFill/>
          </a:ln>
          <a:effectLst/>
        </c:spPr>
        <c:marker>
          <c:symbol val="none"/>
        </c:marker>
        <c:dLbl>
          <c:idx val="0"/>
          <c:delete val="1"/>
          <c:extLst>
            <c:ext xmlns:c15="http://schemas.microsoft.com/office/drawing/2012/chart" uri="{CE6537A1-D6FC-4f65-9D91-7224C49458BB}"/>
          </c:extLst>
        </c:dLbl>
      </c:pivotFmt>
      <c:pivotFmt>
        <c:idx val="37"/>
        <c:spPr>
          <a:solidFill>
            <a:schemeClr val="accent5">
              <a:lumMod val="60000"/>
              <a:lumOff val="40000"/>
            </a:schemeClr>
          </a:solidFill>
          <a:ln>
            <a:noFill/>
          </a:ln>
          <a:effectLst/>
        </c:spPr>
        <c:marker>
          <c:symbol val="none"/>
        </c:marker>
        <c:dLbl>
          <c:idx val="0"/>
          <c:delete val="1"/>
          <c:extLst>
            <c:ext xmlns:c15="http://schemas.microsoft.com/office/drawing/2012/chart" uri="{CE6537A1-D6FC-4f65-9D91-7224C49458BB}"/>
          </c:extLst>
        </c:dLbl>
      </c:pivotFmt>
      <c:pivotFmt>
        <c:idx val="38"/>
        <c:spPr>
          <a:solidFill>
            <a:schemeClr val="accent5">
              <a:lumMod val="40000"/>
              <a:lumOff val="60000"/>
            </a:schemeClr>
          </a:solidFill>
          <a:ln>
            <a:noFill/>
          </a:ln>
          <a:effectLst/>
        </c:spPr>
        <c:marker>
          <c:symbol val="none"/>
        </c:marker>
        <c:dLbl>
          <c:idx val="0"/>
          <c:delete val="1"/>
          <c:extLst>
            <c:ext xmlns:c15="http://schemas.microsoft.com/office/drawing/2012/chart" uri="{CE6537A1-D6FC-4f65-9D91-7224C49458BB}"/>
          </c:extLst>
        </c:dLbl>
      </c:pivotFmt>
      <c:pivotFmt>
        <c:idx val="39"/>
        <c:spPr>
          <a:solidFill>
            <a:schemeClr val="accent5">
              <a:lumMod val="20000"/>
              <a:lumOff val="80000"/>
            </a:schemeClr>
          </a:solidFill>
          <a:ln>
            <a:noFill/>
          </a:ln>
          <a:effectLst/>
        </c:spPr>
        <c:marker>
          <c:symbol val="none"/>
        </c:marker>
        <c:dLbl>
          <c:idx val="0"/>
          <c:delete val="1"/>
          <c:extLst>
            <c:ext xmlns:c15="http://schemas.microsoft.com/office/drawing/2012/chart" uri="{CE6537A1-D6FC-4f65-9D91-7224C49458BB}"/>
          </c:extLst>
        </c:dLbl>
      </c:pivotFmt>
      <c:pivotFmt>
        <c:idx val="40"/>
        <c:spPr>
          <a:solidFill>
            <a:schemeClr val="tx2">
              <a:lumMod val="20000"/>
              <a:lumOff val="80000"/>
            </a:schemeClr>
          </a:solidFill>
          <a:ln>
            <a:noFill/>
          </a:ln>
          <a:effectLst/>
        </c:spPr>
        <c:marker>
          <c:symbol val="none"/>
        </c:marker>
        <c:dLbl>
          <c:idx val="0"/>
          <c:delete val="1"/>
          <c:extLst>
            <c:ext xmlns:c15="http://schemas.microsoft.com/office/drawing/2012/chart" uri="{CE6537A1-D6FC-4f65-9D91-7224C49458BB}"/>
          </c:extLst>
        </c:dLbl>
      </c:pivotFmt>
      <c:pivotFmt>
        <c:idx val="41"/>
        <c:spPr>
          <a:solidFill>
            <a:schemeClr val="accent1"/>
          </a:solidFill>
          <a:ln w="28575" cap="rnd">
            <a:noFill/>
            <a:round/>
          </a:ln>
          <a:effectLst/>
        </c:spPr>
        <c:marker>
          <c:symbol val="dash"/>
          <c:size val="7"/>
          <c:spPr>
            <a:solidFill>
              <a:srgbClr val="3B3838"/>
            </a:solidFill>
            <a:ln w="9525">
              <a:solidFill>
                <a:srgbClr val="3B3838"/>
              </a:solidFill>
            </a:ln>
            <a:effectLst/>
          </c:spPr>
        </c:marker>
        <c:dLbl>
          <c:idx val="0"/>
          <c:delete val="1"/>
          <c:extLst>
            <c:ext xmlns:c15="http://schemas.microsoft.com/office/drawing/2012/chart" uri="{CE6537A1-D6FC-4f65-9D91-7224C49458BB}"/>
          </c:extLst>
        </c:dLbl>
      </c:pivotFmt>
      <c:pivotFmt>
        <c:idx val="42"/>
        <c:spPr>
          <a:solidFill>
            <a:srgbClr val="2F5597"/>
          </a:solidFill>
          <a:ln w="25400">
            <a:noFill/>
          </a:ln>
          <a:effectLst/>
        </c:spPr>
        <c:marker>
          <c:symbol val="none"/>
        </c:marker>
        <c:dLbl>
          <c:idx val="0"/>
          <c:delete val="1"/>
          <c:extLst>
            <c:ext xmlns:c15="http://schemas.microsoft.com/office/drawing/2012/chart" uri="{CE6537A1-D6FC-4f65-9D91-7224C49458BB}"/>
          </c:extLst>
        </c:dLbl>
      </c:pivotFmt>
      <c:pivotFmt>
        <c:idx val="43"/>
        <c:spPr>
          <a:solidFill>
            <a:schemeClr val="accent5">
              <a:lumMod val="60000"/>
              <a:lumOff val="40000"/>
            </a:schemeClr>
          </a:solidFill>
          <a:ln w="25400">
            <a:noFill/>
          </a:ln>
          <a:effectLst/>
        </c:spPr>
        <c:marker>
          <c:symbol val="none"/>
        </c:marker>
        <c:dLbl>
          <c:idx val="0"/>
          <c:delete val="1"/>
          <c:extLst>
            <c:ext xmlns:c15="http://schemas.microsoft.com/office/drawing/2012/chart" uri="{CE6537A1-D6FC-4f65-9D91-7224C49458BB}"/>
          </c:extLst>
        </c:dLbl>
      </c:pivotFmt>
      <c:pivotFmt>
        <c:idx val="44"/>
        <c:spPr>
          <a:solidFill>
            <a:schemeClr val="accent5">
              <a:lumMod val="40000"/>
              <a:lumOff val="60000"/>
            </a:schemeClr>
          </a:solidFill>
          <a:ln w="25400">
            <a:noFill/>
          </a:ln>
          <a:effectLst/>
        </c:spPr>
        <c:marker>
          <c:symbol val="none"/>
        </c:marker>
        <c:dLbl>
          <c:idx val="0"/>
          <c:delete val="1"/>
          <c:extLst>
            <c:ext xmlns:c15="http://schemas.microsoft.com/office/drawing/2012/chart" uri="{CE6537A1-D6FC-4f65-9D91-7224C49458BB}"/>
          </c:extLst>
        </c:dLbl>
      </c:pivotFmt>
      <c:pivotFmt>
        <c:idx val="45"/>
        <c:spPr>
          <a:solidFill>
            <a:schemeClr val="accent5">
              <a:lumMod val="20000"/>
              <a:lumOff val="80000"/>
            </a:schemeClr>
          </a:solidFill>
          <a:ln w="25400">
            <a:noFill/>
          </a:ln>
          <a:effectLst/>
        </c:spPr>
        <c:marker>
          <c:symbol val="none"/>
        </c:marker>
        <c:dLbl>
          <c:idx val="0"/>
          <c:delete val="1"/>
          <c:extLst>
            <c:ext xmlns:c15="http://schemas.microsoft.com/office/drawing/2012/chart" uri="{CE6537A1-D6FC-4f65-9D91-7224C49458BB}"/>
          </c:extLst>
        </c:dLbl>
      </c:pivotFmt>
      <c:pivotFmt>
        <c:idx val="46"/>
        <c:spPr>
          <a:solidFill>
            <a:schemeClr val="tx2">
              <a:lumMod val="40000"/>
              <a:lumOff val="60000"/>
            </a:schemeClr>
          </a:solidFill>
          <a:ln w="25400">
            <a:noFill/>
          </a:ln>
          <a:effectLst/>
        </c:spPr>
        <c:marker>
          <c:symbol val="none"/>
        </c:marker>
        <c:dLbl>
          <c:idx val="0"/>
          <c:delete val="1"/>
          <c:extLst>
            <c:ext xmlns:c15="http://schemas.microsoft.com/office/drawing/2012/chart" uri="{CE6537A1-D6FC-4f65-9D91-7224C49458BB}"/>
          </c:extLst>
        </c:dLbl>
      </c:pivotFmt>
      <c:pivotFmt>
        <c:idx val="47"/>
        <c:spPr>
          <a:solidFill>
            <a:schemeClr val="accent2">
              <a:lumMod val="75000"/>
            </a:schemeClr>
          </a:solidFill>
          <a:ln w="25400">
            <a:noFill/>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1246607287852706"/>
          <c:y val="4.8144708917560494E-2"/>
          <c:w val="0.85707992094084351"/>
          <c:h val="0.63607755923413178"/>
        </c:manualLayout>
      </c:layout>
      <c:barChart>
        <c:barDir val="col"/>
        <c:grouping val="stacked"/>
        <c:varyColors val="0"/>
        <c:ser>
          <c:idx val="2"/>
          <c:order val="1"/>
          <c:tx>
            <c:strRef>
              <c:f>'1Cross'!$C$292</c:f>
              <c:strCache>
                <c:ptCount val="1"/>
                <c:pt idx="0">
                  <c:v>in decile 1</c:v>
                </c:pt>
              </c:strCache>
            </c:strRef>
          </c:tx>
          <c:spPr>
            <a:solidFill>
              <a:sysClr val="windowText" lastClr="000000">
                <a:lumMod val="75000"/>
                <a:lumOff val="25000"/>
              </a:sysClr>
            </a:solidFill>
          </c:spPr>
          <c:invertIfNegative val="0"/>
          <c:cat>
            <c:strRef>
              <c:extLst>
                <c:ext xmlns:c15="http://schemas.microsoft.com/office/drawing/2012/chart" uri="{02D57815-91ED-43cb-92C2-25804820EDAC}">
                  <c15:fullRef>
                    <c15:sqref>'1Cross'!$A$293:$A$321</c15:sqref>
                  </c15:fullRef>
                </c:ext>
              </c:extLst>
              <c:f>'1Cross'!$A$301:$A$321</c:f>
              <c:strCache>
                <c:ptCount val="21"/>
                <c:pt idx="0">
                  <c:v>CY</c:v>
                </c:pt>
                <c:pt idx="1">
                  <c:v>HR</c:v>
                </c:pt>
                <c:pt idx="2">
                  <c:v>ES</c:v>
                </c:pt>
                <c:pt idx="3">
                  <c:v>EL</c:v>
                </c:pt>
                <c:pt idx="4">
                  <c:v>IE</c:v>
                </c:pt>
                <c:pt idx="5">
                  <c:v>PT</c:v>
                </c:pt>
                <c:pt idx="6">
                  <c:v>SI</c:v>
                </c:pt>
                <c:pt idx="7">
                  <c:v>HU</c:v>
                </c:pt>
                <c:pt idx="8">
                  <c:v>DE</c:v>
                </c:pt>
                <c:pt idx="9">
                  <c:v>SK</c:v>
                </c:pt>
                <c:pt idx="10">
                  <c:v>IT</c:v>
                </c:pt>
                <c:pt idx="11">
                  <c:v>EE</c:v>
                </c:pt>
                <c:pt idx="12">
                  <c:v>LT</c:v>
                </c:pt>
                <c:pt idx="13">
                  <c:v>LV</c:v>
                </c:pt>
                <c:pt idx="14">
                  <c:v>BE</c:v>
                </c:pt>
                <c:pt idx="15">
                  <c:v>LU</c:v>
                </c:pt>
                <c:pt idx="16">
                  <c:v>FI</c:v>
                </c:pt>
                <c:pt idx="17">
                  <c:v>AT</c:v>
                </c:pt>
                <c:pt idx="18">
                  <c:v>MT</c:v>
                </c:pt>
                <c:pt idx="19">
                  <c:v>NL</c:v>
                </c:pt>
                <c:pt idx="20">
                  <c:v>FR</c:v>
                </c:pt>
              </c:strCache>
            </c:strRef>
          </c:cat>
          <c:val>
            <c:numRef>
              <c:extLst>
                <c:ext xmlns:c15="http://schemas.microsoft.com/office/drawing/2012/chart" uri="{02D57815-91ED-43cb-92C2-25804820EDAC}">
                  <c15:fullRef>
                    <c15:sqref>'1Cross'!$C$293:$C$321</c15:sqref>
                  </c15:fullRef>
                </c:ext>
              </c:extLst>
              <c:f>'1Cross'!$C$301:$C$321</c:f>
              <c:numCache>
                <c:formatCode>0.0</c:formatCode>
                <c:ptCount val="21"/>
                <c:pt idx="0">
                  <c:v>100</c:v>
                </c:pt>
                <c:pt idx="1">
                  <c:v>95.202521653496632</c:v>
                </c:pt>
                <c:pt idx="2">
                  <c:v>95.894969974551771</c:v>
                </c:pt>
                <c:pt idx="3">
                  <c:v>87.648248736475608</c:v>
                </c:pt>
                <c:pt idx="4">
                  <c:v>83.76192003752638</c:v>
                </c:pt>
                <c:pt idx="5">
                  <c:v>91.479342459440289</c:v>
                </c:pt>
                <c:pt idx="6">
                  <c:v>89.125411383940673</c:v>
                </c:pt>
                <c:pt idx="7">
                  <c:v>63.4</c:v>
                </c:pt>
                <c:pt idx="8">
                  <c:v>92.635051499048132</c:v>
                </c:pt>
                <c:pt idx="9">
                  <c:v>100</c:v>
                </c:pt>
                <c:pt idx="10">
                  <c:v>97.864119442169155</c:v>
                </c:pt>
                <c:pt idx="11">
                  <c:v>91.29620516683778</c:v>
                </c:pt>
                <c:pt idx="12">
                  <c:v>100</c:v>
                </c:pt>
                <c:pt idx="13">
                  <c:v>78.061321424581521</c:v>
                </c:pt>
                <c:pt idx="14">
                  <c:v>38.935880688253718</c:v>
                </c:pt>
                <c:pt idx="15">
                  <c:v>37.135708581159989</c:v>
                </c:pt>
                <c:pt idx="16">
                  <c:v>28.171680686886745</c:v>
                </c:pt>
                <c:pt idx="17">
                  <c:v>17.164667748349537</c:v>
                </c:pt>
                <c:pt idx="18">
                  <c:v>17.047520674143644</c:v>
                </c:pt>
                <c:pt idx="19">
                  <c:v>5.4387663520872875</c:v>
                </c:pt>
                <c:pt idx="20">
                  <c:v>1.8172206719078265</c:v>
                </c:pt>
              </c:numCache>
            </c:numRef>
          </c:val>
          <c:extLst>
            <c:ext xmlns:c16="http://schemas.microsoft.com/office/drawing/2014/chart" uri="{C3380CC4-5D6E-409C-BE32-E72D297353CC}">
              <c16:uniqueId val="{00000004-F8CE-4126-9A1C-A4E1D0F87280}"/>
            </c:ext>
          </c:extLst>
        </c:ser>
        <c:ser>
          <c:idx val="3"/>
          <c:order val="2"/>
          <c:tx>
            <c:strRef>
              <c:f>'1Cross'!$D$292</c:f>
              <c:strCache>
                <c:ptCount val="1"/>
                <c:pt idx="0">
                  <c:v>in decile 2</c:v>
                </c:pt>
              </c:strCache>
            </c:strRef>
          </c:tx>
          <c:spPr>
            <a:solidFill>
              <a:srgbClr val="E7E6E6">
                <a:lumMod val="50000"/>
              </a:srgbClr>
            </a:solidFill>
          </c:spPr>
          <c:invertIfNegative val="0"/>
          <c:cat>
            <c:strRef>
              <c:extLst>
                <c:ext xmlns:c15="http://schemas.microsoft.com/office/drawing/2012/chart" uri="{02D57815-91ED-43cb-92C2-25804820EDAC}">
                  <c15:fullRef>
                    <c15:sqref>'1Cross'!$A$293:$A$321</c15:sqref>
                  </c15:fullRef>
                </c:ext>
              </c:extLst>
              <c:f>'1Cross'!$A$301:$A$321</c:f>
              <c:strCache>
                <c:ptCount val="21"/>
                <c:pt idx="0">
                  <c:v>CY</c:v>
                </c:pt>
                <c:pt idx="1">
                  <c:v>HR</c:v>
                </c:pt>
                <c:pt idx="2">
                  <c:v>ES</c:v>
                </c:pt>
                <c:pt idx="3">
                  <c:v>EL</c:v>
                </c:pt>
                <c:pt idx="4">
                  <c:v>IE</c:v>
                </c:pt>
                <c:pt idx="5">
                  <c:v>PT</c:v>
                </c:pt>
                <c:pt idx="6">
                  <c:v>SI</c:v>
                </c:pt>
                <c:pt idx="7">
                  <c:v>HU</c:v>
                </c:pt>
                <c:pt idx="8">
                  <c:v>DE</c:v>
                </c:pt>
                <c:pt idx="9">
                  <c:v>SK</c:v>
                </c:pt>
                <c:pt idx="10">
                  <c:v>IT</c:v>
                </c:pt>
                <c:pt idx="11">
                  <c:v>EE</c:v>
                </c:pt>
                <c:pt idx="12">
                  <c:v>LT</c:v>
                </c:pt>
                <c:pt idx="13">
                  <c:v>LV</c:v>
                </c:pt>
                <c:pt idx="14">
                  <c:v>BE</c:v>
                </c:pt>
                <c:pt idx="15">
                  <c:v>LU</c:v>
                </c:pt>
                <c:pt idx="16">
                  <c:v>FI</c:v>
                </c:pt>
                <c:pt idx="17">
                  <c:v>AT</c:v>
                </c:pt>
                <c:pt idx="18">
                  <c:v>MT</c:v>
                </c:pt>
                <c:pt idx="19">
                  <c:v>NL</c:v>
                </c:pt>
                <c:pt idx="20">
                  <c:v>FR</c:v>
                </c:pt>
              </c:strCache>
            </c:strRef>
          </c:cat>
          <c:val>
            <c:numRef>
              <c:extLst>
                <c:ext xmlns:c15="http://schemas.microsoft.com/office/drawing/2012/chart" uri="{02D57815-91ED-43cb-92C2-25804820EDAC}">
                  <c15:fullRef>
                    <c15:sqref>'1Cross'!$D$293:$D$321</c15:sqref>
                  </c15:fullRef>
                </c:ext>
              </c:extLst>
              <c:f>'1Cross'!$D$301:$D$321</c:f>
              <c:numCache>
                <c:formatCode>0.0</c:formatCode>
                <c:ptCount val="21"/>
                <c:pt idx="0">
                  <c:v>98.877348588587751</c:v>
                </c:pt>
                <c:pt idx="1">
                  <c:v>93.988284201175873</c:v>
                </c:pt>
                <c:pt idx="2">
                  <c:v>90.382712327839585</c:v>
                </c:pt>
                <c:pt idx="3">
                  <c:v>76.047527906314627</c:v>
                </c:pt>
                <c:pt idx="4">
                  <c:v>52.988985897209261</c:v>
                </c:pt>
                <c:pt idx="5">
                  <c:v>80.439492271305966</c:v>
                </c:pt>
                <c:pt idx="6">
                  <c:v>63.91034764409099</c:v>
                </c:pt>
                <c:pt idx="7">
                  <c:v>52.400000000000006</c:v>
                </c:pt>
                <c:pt idx="8">
                  <c:v>48.212024146275681</c:v>
                </c:pt>
                <c:pt idx="9">
                  <c:v>28.561958560405277</c:v>
                </c:pt>
                <c:pt idx="10">
                  <c:v>59.545615821144573</c:v>
                </c:pt>
                <c:pt idx="11">
                  <c:v>53.441297485679328</c:v>
                </c:pt>
                <c:pt idx="12">
                  <c:v>24.764460719072812</c:v>
                </c:pt>
                <c:pt idx="13">
                  <c:v>4.8171153353775757</c:v>
                </c:pt>
                <c:pt idx="14">
                  <c:v>34.835838819858736</c:v>
                </c:pt>
                <c:pt idx="15">
                  <c:v>4.0351713167629537</c:v>
                </c:pt>
                <c:pt idx="16">
                  <c:v>3.9017049650940439</c:v>
                </c:pt>
                <c:pt idx="17">
                  <c:v>14.776200704358677</c:v>
                </c:pt>
                <c:pt idx="18">
                  <c:v>2.3691960882763596</c:v>
                </c:pt>
                <c:pt idx="19">
                  <c:v>4.8479981667615135E-2</c:v>
                </c:pt>
                <c:pt idx="20">
                  <c:v>0</c:v>
                </c:pt>
              </c:numCache>
            </c:numRef>
          </c:val>
          <c:extLst>
            <c:ext xmlns:c15="http://schemas.microsoft.com/office/drawing/2012/chart" uri="{02D57815-91ED-43cb-92C2-25804820EDAC}">
              <c15:categoryFilterExceptions>
                <c15:categoryFilterException>
                  <c15:sqref>'1Cross'!$D$298</c15:sqref>
                  <c15:invertIfNegative val="0"/>
                  <c15:bubble3D val="0"/>
                </c15:categoryFilterException>
              </c15:categoryFilterExceptions>
            </c:ext>
            <c:ext xmlns:c16="http://schemas.microsoft.com/office/drawing/2014/chart" uri="{C3380CC4-5D6E-409C-BE32-E72D297353CC}">
              <c16:uniqueId val="{00000007-F8CE-4126-9A1C-A4E1D0F87280}"/>
            </c:ext>
          </c:extLst>
        </c:ser>
        <c:ser>
          <c:idx val="4"/>
          <c:order val="3"/>
          <c:tx>
            <c:strRef>
              <c:f>'1Cross'!$E$292</c:f>
              <c:strCache>
                <c:ptCount val="1"/>
                <c:pt idx="0">
                  <c:v>in decile 3</c:v>
                </c:pt>
              </c:strCache>
            </c:strRef>
          </c:tx>
          <c:spPr>
            <a:solidFill>
              <a:srgbClr val="E7E6E6">
                <a:lumMod val="75000"/>
              </a:srgbClr>
            </a:solidFill>
          </c:spPr>
          <c:invertIfNegative val="0"/>
          <c:cat>
            <c:strRef>
              <c:extLst>
                <c:ext xmlns:c15="http://schemas.microsoft.com/office/drawing/2012/chart" uri="{02D57815-91ED-43cb-92C2-25804820EDAC}">
                  <c15:fullRef>
                    <c15:sqref>'1Cross'!$A$293:$A$321</c15:sqref>
                  </c15:fullRef>
                </c:ext>
              </c:extLst>
              <c:f>'1Cross'!$A$301:$A$321</c:f>
              <c:strCache>
                <c:ptCount val="21"/>
                <c:pt idx="0">
                  <c:v>CY</c:v>
                </c:pt>
                <c:pt idx="1">
                  <c:v>HR</c:v>
                </c:pt>
                <c:pt idx="2">
                  <c:v>ES</c:v>
                </c:pt>
                <c:pt idx="3">
                  <c:v>EL</c:v>
                </c:pt>
                <c:pt idx="4">
                  <c:v>IE</c:v>
                </c:pt>
                <c:pt idx="5">
                  <c:v>PT</c:v>
                </c:pt>
                <c:pt idx="6">
                  <c:v>SI</c:v>
                </c:pt>
                <c:pt idx="7">
                  <c:v>HU</c:v>
                </c:pt>
                <c:pt idx="8">
                  <c:v>DE</c:v>
                </c:pt>
                <c:pt idx="9">
                  <c:v>SK</c:v>
                </c:pt>
                <c:pt idx="10">
                  <c:v>IT</c:v>
                </c:pt>
                <c:pt idx="11">
                  <c:v>EE</c:v>
                </c:pt>
                <c:pt idx="12">
                  <c:v>LT</c:v>
                </c:pt>
                <c:pt idx="13">
                  <c:v>LV</c:v>
                </c:pt>
                <c:pt idx="14">
                  <c:v>BE</c:v>
                </c:pt>
                <c:pt idx="15">
                  <c:v>LU</c:v>
                </c:pt>
                <c:pt idx="16">
                  <c:v>FI</c:v>
                </c:pt>
                <c:pt idx="17">
                  <c:v>AT</c:v>
                </c:pt>
                <c:pt idx="18">
                  <c:v>MT</c:v>
                </c:pt>
                <c:pt idx="19">
                  <c:v>NL</c:v>
                </c:pt>
                <c:pt idx="20">
                  <c:v>FR</c:v>
                </c:pt>
              </c:strCache>
            </c:strRef>
          </c:cat>
          <c:val>
            <c:numRef>
              <c:extLst>
                <c:ext xmlns:c15="http://schemas.microsoft.com/office/drawing/2012/chart" uri="{02D57815-91ED-43cb-92C2-25804820EDAC}">
                  <c15:fullRef>
                    <c15:sqref>'1Cross'!$E$293:$E$321</c15:sqref>
                  </c15:fullRef>
                </c:ext>
              </c:extLst>
              <c:f>'1Cross'!$E$301:$E$321</c:f>
              <c:numCache>
                <c:formatCode>0.0</c:formatCode>
                <c:ptCount val="21"/>
                <c:pt idx="0">
                  <c:v>88.585854380312455</c:v>
                </c:pt>
                <c:pt idx="1">
                  <c:v>89.215765183956009</c:v>
                </c:pt>
                <c:pt idx="2">
                  <c:v>65.729198738319326</c:v>
                </c:pt>
                <c:pt idx="3">
                  <c:v>58.706880411882899</c:v>
                </c:pt>
                <c:pt idx="4">
                  <c:v>74.562263144815404</c:v>
                </c:pt>
                <c:pt idx="5">
                  <c:v>59.214315097127525</c:v>
                </c:pt>
                <c:pt idx="6">
                  <c:v>41.23878646103546</c:v>
                </c:pt>
                <c:pt idx="7">
                  <c:v>40.400000000000006</c:v>
                </c:pt>
                <c:pt idx="8">
                  <c:v>24.600578490341761</c:v>
                </c:pt>
                <c:pt idx="9">
                  <c:v>28.015526990036033</c:v>
                </c:pt>
                <c:pt idx="10">
                  <c:v>8.3612114817762659</c:v>
                </c:pt>
                <c:pt idx="11">
                  <c:v>10.248820903517331</c:v>
                </c:pt>
                <c:pt idx="12">
                  <c:v>12.073208100016863</c:v>
                </c:pt>
                <c:pt idx="13">
                  <c:v>0.56804482836023684</c:v>
                </c:pt>
                <c:pt idx="14">
                  <c:v>3.5931418090808243</c:v>
                </c:pt>
                <c:pt idx="15">
                  <c:v>0</c:v>
                </c:pt>
                <c:pt idx="16">
                  <c:v>9.9381243954976828E-2</c:v>
                </c:pt>
                <c:pt idx="17">
                  <c:v>0</c:v>
                </c:pt>
                <c:pt idx="18">
                  <c:v>1.3671990050002414</c:v>
                </c:pt>
                <c:pt idx="19">
                  <c:v>0</c:v>
                </c:pt>
                <c:pt idx="20">
                  <c:v>0</c:v>
                </c:pt>
              </c:numCache>
            </c:numRef>
          </c:val>
          <c:extLst>
            <c:ext xmlns:c16="http://schemas.microsoft.com/office/drawing/2014/chart" uri="{C3380CC4-5D6E-409C-BE32-E72D297353CC}">
              <c16:uniqueId val="{00000009-F8CE-4126-9A1C-A4E1D0F87280}"/>
            </c:ext>
          </c:extLst>
        </c:ser>
        <c:ser>
          <c:idx val="0"/>
          <c:order val="4"/>
          <c:tx>
            <c:strRef>
              <c:f>'1Cross'!$F$292</c:f>
              <c:strCache>
                <c:ptCount val="1"/>
                <c:pt idx="0">
                  <c:v>in decile 4</c:v>
                </c:pt>
              </c:strCache>
            </c:strRef>
          </c:tx>
          <c:spPr>
            <a:solidFill>
              <a:sysClr val="window" lastClr="FFFFFF">
                <a:lumMod val="85000"/>
              </a:sysClr>
            </a:solidFill>
          </c:spPr>
          <c:invertIfNegative val="0"/>
          <c:cat>
            <c:strRef>
              <c:extLst>
                <c:ext xmlns:c15="http://schemas.microsoft.com/office/drawing/2012/chart" uri="{02D57815-91ED-43cb-92C2-25804820EDAC}">
                  <c15:fullRef>
                    <c15:sqref>'1Cross'!$A$293:$A$321</c15:sqref>
                  </c15:fullRef>
                </c:ext>
              </c:extLst>
              <c:f>'1Cross'!$A$301:$A$321</c:f>
              <c:strCache>
                <c:ptCount val="21"/>
                <c:pt idx="0">
                  <c:v>CY</c:v>
                </c:pt>
                <c:pt idx="1">
                  <c:v>HR</c:v>
                </c:pt>
                <c:pt idx="2">
                  <c:v>ES</c:v>
                </c:pt>
                <c:pt idx="3">
                  <c:v>EL</c:v>
                </c:pt>
                <c:pt idx="4">
                  <c:v>IE</c:v>
                </c:pt>
                <c:pt idx="5">
                  <c:v>PT</c:v>
                </c:pt>
                <c:pt idx="6">
                  <c:v>SI</c:v>
                </c:pt>
                <c:pt idx="7">
                  <c:v>HU</c:v>
                </c:pt>
                <c:pt idx="8">
                  <c:v>DE</c:v>
                </c:pt>
                <c:pt idx="9">
                  <c:v>SK</c:v>
                </c:pt>
                <c:pt idx="10">
                  <c:v>IT</c:v>
                </c:pt>
                <c:pt idx="11">
                  <c:v>EE</c:v>
                </c:pt>
                <c:pt idx="12">
                  <c:v>LT</c:v>
                </c:pt>
                <c:pt idx="13">
                  <c:v>LV</c:v>
                </c:pt>
                <c:pt idx="14">
                  <c:v>BE</c:v>
                </c:pt>
                <c:pt idx="15">
                  <c:v>LU</c:v>
                </c:pt>
                <c:pt idx="16">
                  <c:v>FI</c:v>
                </c:pt>
                <c:pt idx="17">
                  <c:v>AT</c:v>
                </c:pt>
                <c:pt idx="18">
                  <c:v>MT</c:v>
                </c:pt>
                <c:pt idx="19">
                  <c:v>NL</c:v>
                </c:pt>
                <c:pt idx="20">
                  <c:v>FR</c:v>
                </c:pt>
              </c:strCache>
            </c:strRef>
          </c:cat>
          <c:val>
            <c:numRef>
              <c:extLst>
                <c:ext xmlns:c15="http://schemas.microsoft.com/office/drawing/2012/chart" uri="{02D57815-91ED-43cb-92C2-25804820EDAC}">
                  <c15:fullRef>
                    <c15:sqref>'1Cross'!$F$293:$F$321</c15:sqref>
                  </c15:fullRef>
                </c:ext>
              </c:extLst>
              <c:f>'1Cross'!$F$301:$F$321</c:f>
              <c:numCache>
                <c:formatCode>0.0</c:formatCode>
                <c:ptCount val="21"/>
                <c:pt idx="0">
                  <c:v>81.084071773758936</c:v>
                </c:pt>
                <c:pt idx="1">
                  <c:v>71.864820406001201</c:v>
                </c:pt>
                <c:pt idx="2">
                  <c:v>38.32298938309642</c:v>
                </c:pt>
                <c:pt idx="3">
                  <c:v>54.434081800485544</c:v>
                </c:pt>
                <c:pt idx="4">
                  <c:v>47.018997510327701</c:v>
                </c:pt>
                <c:pt idx="5">
                  <c:v>26.152393338805126</c:v>
                </c:pt>
                <c:pt idx="6">
                  <c:v>12.973579163134463</c:v>
                </c:pt>
                <c:pt idx="7">
                  <c:v>28.1</c:v>
                </c:pt>
                <c:pt idx="8">
                  <c:v>9.7683359491241735</c:v>
                </c:pt>
                <c:pt idx="9">
                  <c:v>10.433451886845679</c:v>
                </c:pt>
                <c:pt idx="10">
                  <c:v>0</c:v>
                </c:pt>
                <c:pt idx="11">
                  <c:v>0</c:v>
                </c:pt>
                <c:pt idx="12">
                  <c:v>0.13232217812521041</c:v>
                </c:pt>
                <c:pt idx="13">
                  <c:v>0</c:v>
                </c:pt>
                <c:pt idx="14">
                  <c:v>0.32938727279874236</c:v>
                </c:pt>
                <c:pt idx="15">
                  <c:v>0</c:v>
                </c:pt>
                <c:pt idx="16">
                  <c:v>0</c:v>
                </c:pt>
                <c:pt idx="17">
                  <c:v>0</c:v>
                </c:pt>
                <c:pt idx="18">
                  <c:v>0</c:v>
                </c:pt>
                <c:pt idx="19">
                  <c:v>0.14839996514711684</c:v>
                </c:pt>
                <c:pt idx="20">
                  <c:v>0</c:v>
                </c:pt>
              </c:numCache>
            </c:numRef>
          </c:val>
          <c:extLst xmlns:c15="http://schemas.microsoft.com/office/drawing/2012/chart">
            <c:ext xmlns:c16="http://schemas.microsoft.com/office/drawing/2014/chart" uri="{C3380CC4-5D6E-409C-BE32-E72D297353CC}">
              <c16:uniqueId val="{0000000A-F8CE-4126-9A1C-A4E1D0F87280}"/>
            </c:ext>
          </c:extLst>
        </c:ser>
        <c:dLbls>
          <c:showLegendKey val="0"/>
          <c:showVal val="0"/>
          <c:showCatName val="0"/>
          <c:showSerName val="0"/>
          <c:showPercent val="0"/>
          <c:showBubbleSize val="0"/>
        </c:dLbls>
        <c:gapWidth val="50"/>
        <c:overlap val="100"/>
        <c:axId val="844305855"/>
        <c:axId val="892036479"/>
        <c:extLst>
          <c:ext xmlns:c15="http://schemas.microsoft.com/office/drawing/2012/chart" uri="{02D57815-91ED-43cb-92C2-25804820EDAC}">
            <c15:filteredBarSeries>
              <c15:ser>
                <c:idx val="1"/>
                <c:order val="0"/>
                <c:tx>
                  <c:strRef>
                    <c:extLst>
                      <c:ext uri="{02D57815-91ED-43cb-92C2-25804820EDAC}">
                        <c15:formulaRef>
                          <c15:sqref>'1Cross'!$B$292</c15:sqref>
                        </c15:formulaRef>
                      </c:ext>
                    </c:extLst>
                    <c:strCache>
                      <c:ptCount val="1"/>
                      <c:pt idx="0">
                        <c:v>Total share of zero-tax payers</c:v>
                      </c:pt>
                    </c:strCache>
                  </c:strRef>
                </c:tx>
                <c:spPr>
                  <a:solidFill>
                    <a:sysClr val="windowText" lastClr="000000">
                      <a:lumMod val="50000"/>
                      <a:lumOff val="50000"/>
                    </a:sysClr>
                  </a:solidFill>
                </c:spPr>
                <c:invertIfNegative val="0"/>
                <c:cat>
                  <c:strRef>
                    <c:extLst>
                      <c:ext uri="{02D57815-91ED-43cb-92C2-25804820EDAC}">
                        <c15:fullRef>
                          <c15:sqref>'1Cross'!$A$293:$A$321</c15:sqref>
                        </c15:fullRef>
                        <c15:formulaRef>
                          <c15:sqref>'1Cross'!$A$301:$A$321</c15:sqref>
                        </c15:formulaRef>
                      </c:ext>
                    </c:extLst>
                    <c:strCache>
                      <c:ptCount val="21"/>
                      <c:pt idx="0">
                        <c:v>CY</c:v>
                      </c:pt>
                      <c:pt idx="1">
                        <c:v>HR</c:v>
                      </c:pt>
                      <c:pt idx="2">
                        <c:v>ES</c:v>
                      </c:pt>
                      <c:pt idx="3">
                        <c:v>EL</c:v>
                      </c:pt>
                      <c:pt idx="4">
                        <c:v>IE</c:v>
                      </c:pt>
                      <c:pt idx="5">
                        <c:v>PT</c:v>
                      </c:pt>
                      <c:pt idx="6">
                        <c:v>SI</c:v>
                      </c:pt>
                      <c:pt idx="7">
                        <c:v>HU</c:v>
                      </c:pt>
                      <c:pt idx="8">
                        <c:v>DE</c:v>
                      </c:pt>
                      <c:pt idx="9">
                        <c:v>SK</c:v>
                      </c:pt>
                      <c:pt idx="10">
                        <c:v>IT</c:v>
                      </c:pt>
                      <c:pt idx="11">
                        <c:v>EE</c:v>
                      </c:pt>
                      <c:pt idx="12">
                        <c:v>LT</c:v>
                      </c:pt>
                      <c:pt idx="13">
                        <c:v>LV</c:v>
                      </c:pt>
                      <c:pt idx="14">
                        <c:v>BE</c:v>
                      </c:pt>
                      <c:pt idx="15">
                        <c:v>LU</c:v>
                      </c:pt>
                      <c:pt idx="16">
                        <c:v>FI</c:v>
                      </c:pt>
                      <c:pt idx="17">
                        <c:v>AT</c:v>
                      </c:pt>
                      <c:pt idx="18">
                        <c:v>MT</c:v>
                      </c:pt>
                      <c:pt idx="19">
                        <c:v>NL</c:v>
                      </c:pt>
                      <c:pt idx="20">
                        <c:v>FR</c:v>
                      </c:pt>
                    </c:strCache>
                  </c:strRef>
                </c:cat>
                <c:val>
                  <c:numRef>
                    <c:extLst>
                      <c:ext uri="{02D57815-91ED-43cb-92C2-25804820EDAC}">
                        <c15:fullRef>
                          <c15:sqref>'1Cross'!$B$293:$B$321</c15:sqref>
                        </c15:fullRef>
                        <c15:formulaRef>
                          <c15:sqref>'1Cross'!$B$301:$B$321</c15:sqref>
                        </c15:formulaRef>
                      </c:ext>
                    </c:extLst>
                    <c:numCache>
                      <c:formatCode>0.0</c:formatCode>
                      <c:ptCount val="21"/>
                      <c:pt idx="0">
                        <c:v>54.508321169159402</c:v>
                      </c:pt>
                      <c:pt idx="1">
                        <c:v>47.145768259479496</c:v>
                      </c:pt>
                      <c:pt idx="2">
                        <c:v>29.998414501270155</c:v>
                      </c:pt>
                      <c:pt idx="3">
                        <c:v>32.29242207454184</c:v>
                      </c:pt>
                      <c:pt idx="4">
                        <c:v>30.883961936994652</c:v>
                      </c:pt>
                      <c:pt idx="5">
                        <c:v>27.892250914839178</c:v>
                      </c:pt>
                      <c:pt idx="6">
                        <c:v>26.271192381372099</c:v>
                      </c:pt>
                      <c:pt idx="7">
                        <c:v>25.1</c:v>
                      </c:pt>
                      <c:pt idx="8">
                        <c:v>19.426861178228304</c:v>
                      </c:pt>
                      <c:pt idx="9">
                        <c:v>25.084805448895874</c:v>
                      </c:pt>
                      <c:pt idx="10">
                        <c:v>16.685444287520568</c:v>
                      </c:pt>
                      <c:pt idx="11">
                        <c:v>19.593350209146365</c:v>
                      </c:pt>
                      <c:pt idx="12">
                        <c:v>25.107140959074147</c:v>
                      </c:pt>
                      <c:pt idx="13">
                        <c:v>10.0282920051462</c:v>
                      </c:pt>
                      <c:pt idx="14">
                        <c:v>8.68814883280975</c:v>
                      </c:pt>
                      <c:pt idx="15">
                        <c:v>4.1840421770169449</c:v>
                      </c:pt>
                      <c:pt idx="16">
                        <c:v>4.0332719907852699</c:v>
                      </c:pt>
                      <c:pt idx="17">
                        <c:v>3.3936931431305273</c:v>
                      </c:pt>
                      <c:pt idx="18">
                        <c:v>2.4124533368460876</c:v>
                      </c:pt>
                      <c:pt idx="19">
                        <c:v>0.68093063335666892</c:v>
                      </c:pt>
                      <c:pt idx="20">
                        <c:v>0.17765199183533698</c:v>
                      </c:pt>
                    </c:numCache>
                  </c:numRef>
                </c:val>
                <c:extLst>
                  <c:ext xmlns:c16="http://schemas.microsoft.com/office/drawing/2014/chart" uri="{C3380CC4-5D6E-409C-BE32-E72D297353CC}">
                    <c16:uniqueId val="{00000002-F8CE-4126-9A1C-A4E1D0F87280}"/>
                  </c:ext>
                </c:extLst>
              </c15:ser>
            </c15:filteredBarSeries>
            <c15:filteredBarSeries>
              <c15:ser>
                <c:idx val="5"/>
                <c:order val="5"/>
                <c:tx>
                  <c:strRef>
                    <c:extLst>
                      <c:ext xmlns:c15="http://schemas.microsoft.com/office/drawing/2012/chart" uri="{02D57815-91ED-43cb-92C2-25804820EDAC}">
                        <c15:formulaRef>
                          <c15:sqref>'1Cross'!$G$292</c15:sqref>
                        </c15:formulaRef>
                      </c:ext>
                    </c:extLst>
                    <c:strCache>
                      <c:ptCount val="1"/>
                      <c:pt idx="0">
                        <c:v>SUM</c:v>
                      </c:pt>
                    </c:strCache>
                  </c:strRef>
                </c:tx>
                <c:spPr>
                  <a:ln w="25400">
                    <a:noFill/>
                  </a:ln>
                </c:spPr>
                <c:invertIfNegative val="0"/>
                <c:cat>
                  <c:strRef>
                    <c:extLst>
                      <c:ext xmlns:c15="http://schemas.microsoft.com/office/drawing/2012/chart" uri="{02D57815-91ED-43cb-92C2-25804820EDAC}">
                        <c15:fullRef>
                          <c15:sqref>'1Cross'!$A$293:$A$321</c15:sqref>
                        </c15:fullRef>
                        <c15:formulaRef>
                          <c15:sqref>'1Cross'!$A$301:$A$321</c15:sqref>
                        </c15:formulaRef>
                      </c:ext>
                    </c:extLst>
                    <c:strCache>
                      <c:ptCount val="21"/>
                      <c:pt idx="0">
                        <c:v>CY</c:v>
                      </c:pt>
                      <c:pt idx="1">
                        <c:v>HR</c:v>
                      </c:pt>
                      <c:pt idx="2">
                        <c:v>ES</c:v>
                      </c:pt>
                      <c:pt idx="3">
                        <c:v>EL</c:v>
                      </c:pt>
                      <c:pt idx="4">
                        <c:v>IE</c:v>
                      </c:pt>
                      <c:pt idx="5">
                        <c:v>PT</c:v>
                      </c:pt>
                      <c:pt idx="6">
                        <c:v>SI</c:v>
                      </c:pt>
                      <c:pt idx="7">
                        <c:v>HU</c:v>
                      </c:pt>
                      <c:pt idx="8">
                        <c:v>DE</c:v>
                      </c:pt>
                      <c:pt idx="9">
                        <c:v>SK</c:v>
                      </c:pt>
                      <c:pt idx="10">
                        <c:v>IT</c:v>
                      </c:pt>
                      <c:pt idx="11">
                        <c:v>EE</c:v>
                      </c:pt>
                      <c:pt idx="12">
                        <c:v>LT</c:v>
                      </c:pt>
                      <c:pt idx="13">
                        <c:v>LV</c:v>
                      </c:pt>
                      <c:pt idx="14">
                        <c:v>BE</c:v>
                      </c:pt>
                      <c:pt idx="15">
                        <c:v>LU</c:v>
                      </c:pt>
                      <c:pt idx="16">
                        <c:v>FI</c:v>
                      </c:pt>
                      <c:pt idx="17">
                        <c:v>AT</c:v>
                      </c:pt>
                      <c:pt idx="18">
                        <c:v>MT</c:v>
                      </c:pt>
                      <c:pt idx="19">
                        <c:v>NL</c:v>
                      </c:pt>
                      <c:pt idx="20">
                        <c:v>FR</c:v>
                      </c:pt>
                    </c:strCache>
                  </c:strRef>
                </c:cat>
                <c:val>
                  <c:numRef>
                    <c:extLst>
                      <c:ext xmlns:c15="http://schemas.microsoft.com/office/drawing/2012/chart" uri="{02D57815-91ED-43cb-92C2-25804820EDAC}">
                        <c15:fullRef>
                          <c15:sqref>'1Cross'!$G$293:$G$321</c15:sqref>
                        </c15:fullRef>
                        <c15:formulaRef>
                          <c15:sqref>'1Cross'!$G$301:$G$321</c15:sqref>
                        </c15:formulaRef>
                      </c:ext>
                    </c:extLst>
                    <c:numCache>
                      <c:formatCode>0.0</c:formatCode>
                      <c:ptCount val="21"/>
                      <c:pt idx="0">
                        <c:v>368.54727474265911</c:v>
                      </c:pt>
                      <c:pt idx="1">
                        <c:v>350.27139144462967</c:v>
                      </c:pt>
                      <c:pt idx="2">
                        <c:v>290.32987042380711</c:v>
                      </c:pt>
                      <c:pt idx="3">
                        <c:v>276.83673885515867</c:v>
                      </c:pt>
                      <c:pt idx="4">
                        <c:v>258.33216658987874</c:v>
                      </c:pt>
                      <c:pt idx="5">
                        <c:v>257.28554316667891</c:v>
                      </c:pt>
                      <c:pt idx="6">
                        <c:v>207.2481246522016</c:v>
                      </c:pt>
                      <c:pt idx="7">
                        <c:v>184.3</c:v>
                      </c:pt>
                      <c:pt idx="8">
                        <c:v>175.21599008478975</c:v>
                      </c:pt>
                      <c:pt idx="9">
                        <c:v>167.010937437287</c:v>
                      </c:pt>
                      <c:pt idx="10">
                        <c:v>165.77094674508999</c:v>
                      </c:pt>
                      <c:pt idx="11">
                        <c:v>154.98632355603442</c:v>
                      </c:pt>
                      <c:pt idx="12">
                        <c:v>136.96999099721489</c:v>
                      </c:pt>
                      <c:pt idx="13">
                        <c:v>83.446481588319344</c:v>
                      </c:pt>
                      <c:pt idx="14">
                        <c:v>77.694248589992014</c:v>
                      </c:pt>
                      <c:pt idx="15">
                        <c:v>41.170879897922944</c:v>
                      </c:pt>
                      <c:pt idx="16">
                        <c:v>32.172766895935766</c:v>
                      </c:pt>
                      <c:pt idx="17">
                        <c:v>31.940868452708216</c:v>
                      </c:pt>
                      <c:pt idx="18">
                        <c:v>20.783915767420247</c:v>
                      </c:pt>
                      <c:pt idx="19">
                        <c:v>5.6356462989020191</c:v>
                      </c:pt>
                      <c:pt idx="20">
                        <c:v>1.8172206719078265</c:v>
                      </c:pt>
                    </c:numCache>
                  </c:numRef>
                </c:val>
                <c:extLst xmlns:c15="http://schemas.microsoft.com/office/drawing/2012/chart">
                  <c:ext xmlns:c16="http://schemas.microsoft.com/office/drawing/2014/chart" uri="{C3380CC4-5D6E-409C-BE32-E72D297353CC}">
                    <c16:uniqueId val="{00000001-1094-48D7-BB35-A077816F4BC2}"/>
                  </c:ext>
                </c:extLst>
              </c15:ser>
            </c15:filteredBarSeries>
          </c:ext>
        </c:extLst>
      </c:barChart>
      <c:catAx>
        <c:axId val="844305855"/>
        <c:scaling>
          <c:orientation val="minMax"/>
        </c:scaling>
        <c:delete val="0"/>
        <c:axPos val="b"/>
        <c:numFmt formatCode="General" sourceLinked="1"/>
        <c:majorTickMark val="none"/>
        <c:minorTickMark val="none"/>
        <c:tickLblPos val="nextTo"/>
        <c:spPr>
          <a:noFill/>
          <a:ln w="6350"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crossAx val="892036479"/>
        <c:crosses val="autoZero"/>
        <c:auto val="1"/>
        <c:lblAlgn val="ctr"/>
        <c:lblOffset val="350"/>
        <c:noMultiLvlLbl val="0"/>
      </c:catAx>
      <c:valAx>
        <c:axId val="892036479"/>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s-ES_tradnl" sz="1050">
                    <a:solidFill>
                      <a:sysClr val="windowText" lastClr="000000"/>
                    </a:solidFill>
                    <a:latin typeface="Times New Roman" panose="02020603050405020304" pitchFamily="18" charset="0"/>
                    <a:cs typeface="Times New Roman" panose="02020603050405020304" pitchFamily="18" charset="0"/>
                  </a:rPr>
                  <a:t>Cumulated share of zero-tax payers</a:t>
                </a:r>
              </a:p>
            </c:rich>
          </c:tx>
          <c:overlay val="0"/>
          <c:spPr>
            <a:noFill/>
            <a:ln>
              <a:noFill/>
            </a:ln>
            <a:effectLst/>
          </c:spPr>
        </c:title>
        <c:numFmt formatCode="General"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crossAx val="844305855"/>
        <c:crosses val="autoZero"/>
        <c:crossBetween val="between"/>
      </c:valAx>
    </c:plotArea>
    <c:legend>
      <c:legendPos val="b"/>
      <c:layout>
        <c:manualLayout>
          <c:xMode val="edge"/>
          <c:yMode val="edge"/>
          <c:x val="0.16205246911010804"/>
          <c:y val="0.78776079984650904"/>
          <c:w val="0.63799848283887572"/>
          <c:h val="6.9029619080132693E-2"/>
        </c:manualLayout>
      </c:layout>
      <c:overlay val="0"/>
      <c:spPr>
        <a:noFill/>
        <a:ln>
          <a:noFill/>
        </a:ln>
        <a:effectLst/>
      </c:spPr>
      <c:txPr>
        <a:bodyPr rot="0" spcFirstLastPara="1" vertOverflow="ellipsis" vert="horz" wrap="square" anchor="ctr" anchorCtr="1"/>
        <a:lstStyle/>
        <a:p>
          <a:pPr>
            <a:defRPr sz="9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legend>
    <c:plotVisOnly val="1"/>
    <c:dispBlanksAs val="gap"/>
    <c:showDLblsOverMax val="0"/>
    <c:extLst/>
  </c:chart>
  <c:spPr>
    <a:solidFill>
      <a:schemeClr val="bg1"/>
    </a:solidFill>
    <a:ln w="9525" cap="flat" cmpd="sng" algn="ctr">
      <a:noFill/>
      <a:round/>
    </a:ln>
    <a:effectLst/>
  </c:spPr>
  <c:txPr>
    <a:bodyPr/>
    <a:lstStyle/>
    <a:p>
      <a:pPr>
        <a:defRPr>
          <a:solidFill>
            <a:sysClr val="windowText" lastClr="000000"/>
          </a:solidFill>
          <a:latin typeface="Times New Roman" panose="02020603050405020304" pitchFamily="18" charset="0"/>
          <a:cs typeface="Times New Roman" panose="02020603050405020304" pitchFamily="18" charset="0"/>
        </a:defRPr>
      </a:pPr>
      <a:endParaRPr lang="es-ES_tradnl"/>
    </a:p>
  </c:txPr>
  <c:printSettings>
    <c:headerFooter/>
    <c:pageMargins b="0.75" l="0.25" r="0.25" t="0.75" header="0.3" footer="0.3"/>
    <c:pageSetup paperSize="9" orientation="landscape"/>
  </c:printSettings>
  <c:extLst/>
</c:chartSpace>
</file>

<file path=xl/charts/chart7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006037561360439"/>
          <c:y val="4.6087571003560986E-2"/>
          <c:w val="0.77277550678759632"/>
          <c:h val="0.68997561826109122"/>
        </c:manualLayout>
      </c:layout>
      <c:lineChart>
        <c:grouping val="standard"/>
        <c:varyColors val="0"/>
        <c:ser>
          <c:idx val="0"/>
          <c:order val="0"/>
          <c:tx>
            <c:strRef>
              <c:f>'1Cross'!$B$328</c:f>
              <c:strCache>
                <c:ptCount val="1"/>
                <c:pt idx="0">
                  <c:v>Difference in relative impact of tax system on Gini after 1% income increase</c:v>
                </c:pt>
              </c:strCache>
            </c:strRef>
          </c:tx>
          <c:spPr>
            <a:ln w="25400" cap="rnd">
              <a:noFill/>
              <a:round/>
            </a:ln>
            <a:effectLst/>
          </c:spPr>
          <c:marker>
            <c:symbol val="circle"/>
            <c:size val="6"/>
            <c:spPr>
              <a:solidFill>
                <a:schemeClr val="tx1">
                  <a:lumMod val="65000"/>
                  <a:lumOff val="35000"/>
                </a:schemeClr>
              </a:solidFill>
              <a:ln w="22225">
                <a:solidFill>
                  <a:schemeClr val="tx1">
                    <a:lumMod val="65000"/>
                    <a:lumOff val="35000"/>
                    <a:alpha val="99000"/>
                  </a:schemeClr>
                </a:solidFill>
              </a:ln>
              <a:effectLst/>
            </c:spPr>
          </c:marker>
          <c:cat>
            <c:strRef>
              <c:extLst>
                <c:ext xmlns:c15="http://schemas.microsoft.com/office/drawing/2012/chart" uri="{02D57815-91ED-43cb-92C2-25804820EDAC}">
                  <c15:fullRef>
                    <c15:sqref>'1Cross'!$A$329:$A$357</c15:sqref>
                  </c15:fullRef>
                </c:ext>
              </c:extLst>
              <c:f>'1Cross'!$A$337:$A$357</c:f>
              <c:strCache>
                <c:ptCount val="21"/>
                <c:pt idx="0">
                  <c:v>CY</c:v>
                </c:pt>
                <c:pt idx="1">
                  <c:v>NL</c:v>
                </c:pt>
                <c:pt idx="2">
                  <c:v>FI</c:v>
                </c:pt>
                <c:pt idx="3">
                  <c:v>HR</c:v>
                </c:pt>
                <c:pt idx="4">
                  <c:v>PT</c:v>
                </c:pt>
                <c:pt idx="5">
                  <c:v>IE</c:v>
                </c:pt>
                <c:pt idx="6">
                  <c:v>ES</c:v>
                </c:pt>
                <c:pt idx="7">
                  <c:v>FR</c:v>
                </c:pt>
                <c:pt idx="8">
                  <c:v>EL</c:v>
                </c:pt>
                <c:pt idx="9">
                  <c:v>LU</c:v>
                </c:pt>
                <c:pt idx="10">
                  <c:v>SI</c:v>
                </c:pt>
                <c:pt idx="11">
                  <c:v>DE</c:v>
                </c:pt>
                <c:pt idx="12">
                  <c:v>MT</c:v>
                </c:pt>
                <c:pt idx="13">
                  <c:v>HU</c:v>
                </c:pt>
                <c:pt idx="14">
                  <c:v>SK</c:v>
                </c:pt>
                <c:pt idx="15">
                  <c:v>IT</c:v>
                </c:pt>
                <c:pt idx="16">
                  <c:v>AT</c:v>
                </c:pt>
                <c:pt idx="17">
                  <c:v>BE</c:v>
                </c:pt>
                <c:pt idx="18">
                  <c:v>LT</c:v>
                </c:pt>
                <c:pt idx="19">
                  <c:v>EE</c:v>
                </c:pt>
                <c:pt idx="20">
                  <c:v>LV</c:v>
                </c:pt>
              </c:strCache>
            </c:strRef>
          </c:cat>
          <c:val>
            <c:numRef>
              <c:extLst>
                <c:ext xmlns:c15="http://schemas.microsoft.com/office/drawing/2012/chart" uri="{02D57815-91ED-43cb-92C2-25804820EDAC}">
                  <c15:fullRef>
                    <c15:sqref>'1Cross'!$B$329:$B$357</c15:sqref>
                  </c15:fullRef>
                </c:ext>
              </c:extLst>
              <c:f>'1Cross'!$B$337:$B$357</c:f>
              <c:numCache>
                <c:formatCode>0.000</c:formatCode>
                <c:ptCount val="21"/>
                <c:pt idx="0">
                  <c:v>5.9112817941989193E-2</c:v>
                </c:pt>
                <c:pt idx="1">
                  <c:v>5.904339637876066E-2</c:v>
                </c:pt>
                <c:pt idx="2">
                  <c:v>4.9627475811710176E-2</c:v>
                </c:pt>
                <c:pt idx="3">
                  <c:v>4.8108319729633225E-2</c:v>
                </c:pt>
                <c:pt idx="4">
                  <c:v>4.6947289584106655E-2</c:v>
                </c:pt>
                <c:pt idx="5">
                  <c:v>4.4925802523168579E-2</c:v>
                </c:pt>
                <c:pt idx="6">
                  <c:v>3.4605184260179389E-2</c:v>
                </c:pt>
                <c:pt idx="7">
                  <c:v>3.3683257941399813E-2</c:v>
                </c:pt>
                <c:pt idx="8">
                  <c:v>2.5867192149515994E-2</c:v>
                </c:pt>
                <c:pt idx="9">
                  <c:v>2.3555539667213798E-2</c:v>
                </c:pt>
                <c:pt idx="10">
                  <c:v>1.8284213110265901E-2</c:v>
                </c:pt>
                <c:pt idx="11">
                  <c:v>1.1928312840930877E-2</c:v>
                </c:pt>
                <c:pt idx="12">
                  <c:v>1.1483180226798395E-2</c:v>
                </c:pt>
                <c:pt idx="13">
                  <c:v>-1.5822696174887241E-3</c:v>
                </c:pt>
                <c:pt idx="14">
                  <c:v>-3.6974913196735626E-3</c:v>
                </c:pt>
                <c:pt idx="15">
                  <c:v>-3.86231091894923E-3</c:v>
                </c:pt>
                <c:pt idx="16">
                  <c:v>-6.0455769124750924E-3</c:v>
                </c:pt>
                <c:pt idx="17">
                  <c:v>-1.1961443287725193E-2</c:v>
                </c:pt>
                <c:pt idx="18">
                  <c:v>-2.1566224905579523E-2</c:v>
                </c:pt>
                <c:pt idx="19">
                  <c:v>-3.6661121376815875E-2</c:v>
                </c:pt>
                <c:pt idx="20">
                  <c:v>-4.0954575533899001E-2</c:v>
                </c:pt>
              </c:numCache>
            </c:numRef>
          </c:val>
          <c:smooth val="0"/>
          <c:extLst>
            <c:ext xmlns:c16="http://schemas.microsoft.com/office/drawing/2014/chart" uri="{C3380CC4-5D6E-409C-BE32-E72D297353CC}">
              <c16:uniqueId val="{00000000-0A39-41B1-BD54-7D95BA72923F}"/>
            </c:ext>
          </c:extLst>
        </c:ser>
        <c:ser>
          <c:idx val="2"/>
          <c:order val="1"/>
          <c:tx>
            <c:strRef>
              <c:f>'1Cross'!$D$328</c:f>
              <c:strCache>
                <c:ptCount val="1"/>
                <c:pt idx="0">
                  <c:v>Difference in relative impact of tax system on Ratio 80:20 after 1% income increase</c:v>
                </c:pt>
              </c:strCache>
            </c:strRef>
          </c:tx>
          <c:spPr>
            <a:ln w="25400" cap="rnd">
              <a:noFill/>
              <a:round/>
            </a:ln>
            <a:effectLst/>
          </c:spPr>
          <c:marker>
            <c:symbol val="circle"/>
            <c:size val="7"/>
            <c:spPr>
              <a:noFill/>
              <a:ln w="19050">
                <a:solidFill>
                  <a:schemeClr val="tx1">
                    <a:lumMod val="65000"/>
                    <a:lumOff val="35000"/>
                  </a:schemeClr>
                </a:solidFill>
              </a:ln>
              <a:effectLst/>
            </c:spPr>
          </c:marker>
          <c:cat>
            <c:strRef>
              <c:extLst>
                <c:ext xmlns:c15="http://schemas.microsoft.com/office/drawing/2012/chart" uri="{02D57815-91ED-43cb-92C2-25804820EDAC}">
                  <c15:fullRef>
                    <c15:sqref>'1Cross'!$A$329:$A$357</c15:sqref>
                  </c15:fullRef>
                </c:ext>
              </c:extLst>
              <c:f>'1Cross'!$A$337:$A$357</c:f>
              <c:strCache>
                <c:ptCount val="21"/>
                <c:pt idx="0">
                  <c:v>CY</c:v>
                </c:pt>
                <c:pt idx="1">
                  <c:v>NL</c:v>
                </c:pt>
                <c:pt idx="2">
                  <c:v>FI</c:v>
                </c:pt>
                <c:pt idx="3">
                  <c:v>HR</c:v>
                </c:pt>
                <c:pt idx="4">
                  <c:v>PT</c:v>
                </c:pt>
                <c:pt idx="5">
                  <c:v>IE</c:v>
                </c:pt>
                <c:pt idx="6">
                  <c:v>ES</c:v>
                </c:pt>
                <c:pt idx="7">
                  <c:v>FR</c:v>
                </c:pt>
                <c:pt idx="8">
                  <c:v>EL</c:v>
                </c:pt>
                <c:pt idx="9">
                  <c:v>LU</c:v>
                </c:pt>
                <c:pt idx="10">
                  <c:v>SI</c:v>
                </c:pt>
                <c:pt idx="11">
                  <c:v>DE</c:v>
                </c:pt>
                <c:pt idx="12">
                  <c:v>MT</c:v>
                </c:pt>
                <c:pt idx="13">
                  <c:v>HU</c:v>
                </c:pt>
                <c:pt idx="14">
                  <c:v>SK</c:v>
                </c:pt>
                <c:pt idx="15">
                  <c:v>IT</c:v>
                </c:pt>
                <c:pt idx="16">
                  <c:v>AT</c:v>
                </c:pt>
                <c:pt idx="17">
                  <c:v>BE</c:v>
                </c:pt>
                <c:pt idx="18">
                  <c:v>LT</c:v>
                </c:pt>
                <c:pt idx="19">
                  <c:v>EE</c:v>
                </c:pt>
                <c:pt idx="20">
                  <c:v>LV</c:v>
                </c:pt>
              </c:strCache>
            </c:strRef>
          </c:cat>
          <c:val>
            <c:numRef>
              <c:extLst>
                <c:ext xmlns:c15="http://schemas.microsoft.com/office/drawing/2012/chart" uri="{02D57815-91ED-43cb-92C2-25804820EDAC}">
                  <c15:fullRef>
                    <c15:sqref>'1Cross'!$D$329:$D$357</c15:sqref>
                  </c15:fullRef>
                </c:ext>
              </c:extLst>
              <c:f>'1Cross'!$D$337:$D$357</c:f>
              <c:numCache>
                <c:formatCode>0.000</c:formatCode>
                <c:ptCount val="21"/>
                <c:pt idx="0">
                  <c:v>0.12147677289755243</c:v>
                </c:pt>
                <c:pt idx="1">
                  <c:v>0.15233751829978326</c:v>
                </c:pt>
                <c:pt idx="2">
                  <c:v>3.7725306705987949E-2</c:v>
                </c:pt>
                <c:pt idx="3">
                  <c:v>8.6806967366206966E-2</c:v>
                </c:pt>
                <c:pt idx="4">
                  <c:v>0.11555085821740307</c:v>
                </c:pt>
                <c:pt idx="5">
                  <c:v>0.11141010483106117</c:v>
                </c:pt>
                <c:pt idx="6">
                  <c:v>0.1153383265602409</c:v>
                </c:pt>
                <c:pt idx="7">
                  <c:v>8.2520802461269471E-2</c:v>
                </c:pt>
                <c:pt idx="8">
                  <c:v>6.2538562428704481E-2</c:v>
                </c:pt>
                <c:pt idx="9">
                  <c:v>7.6068657084354951E-2</c:v>
                </c:pt>
                <c:pt idx="10">
                  <c:v>5.6185967435631867E-2</c:v>
                </c:pt>
                <c:pt idx="11">
                  <c:v>5.9918852131513045E-2</c:v>
                </c:pt>
                <c:pt idx="12">
                  <c:v>6.0271378214940552E-2</c:v>
                </c:pt>
                <c:pt idx="13">
                  <c:v>3.1823953917389791E-3</c:v>
                </c:pt>
                <c:pt idx="14">
                  <c:v>4.0417775776406539E-2</c:v>
                </c:pt>
                <c:pt idx="15">
                  <c:v>7.5584197159794808E-2</c:v>
                </c:pt>
                <c:pt idx="16">
                  <c:v>2.8510267709783155E-2</c:v>
                </c:pt>
                <c:pt idx="17">
                  <c:v>6.4734146526546077E-2</c:v>
                </c:pt>
                <c:pt idx="18">
                  <c:v>2.4089817271455427E-2</c:v>
                </c:pt>
                <c:pt idx="19">
                  <c:v>-1.637019273687812E-2</c:v>
                </c:pt>
                <c:pt idx="20">
                  <c:v>-5.7362412375897009E-2</c:v>
                </c:pt>
              </c:numCache>
            </c:numRef>
          </c:val>
          <c:smooth val="0"/>
          <c:extLst>
            <c:ext xmlns:c16="http://schemas.microsoft.com/office/drawing/2014/chart" uri="{C3380CC4-5D6E-409C-BE32-E72D297353CC}">
              <c16:uniqueId val="{00000002-0A39-41B1-BD54-7D95BA72923F}"/>
            </c:ext>
          </c:extLst>
        </c:ser>
        <c:dLbls>
          <c:showLegendKey val="0"/>
          <c:showVal val="0"/>
          <c:showCatName val="0"/>
          <c:showSerName val="0"/>
          <c:showPercent val="0"/>
          <c:showBubbleSize val="0"/>
        </c:dLbls>
        <c:marker val="1"/>
        <c:smooth val="0"/>
        <c:axId val="709475840"/>
        <c:axId val="605168576"/>
      </c:lineChart>
      <c:lineChart>
        <c:grouping val="standard"/>
        <c:varyColors val="0"/>
        <c:ser>
          <c:idx val="3"/>
          <c:order val="2"/>
          <c:tx>
            <c:strRef>
              <c:f>'1Cross'!$E$328</c:f>
              <c:strCache>
                <c:ptCount val="1"/>
                <c:pt idx="0">
                  <c:v>Change in net-of-tax Gini after 1% income growth (right axis)</c:v>
                </c:pt>
              </c:strCache>
            </c:strRef>
          </c:tx>
          <c:spPr>
            <a:ln w="25400" cap="rnd">
              <a:noFill/>
              <a:round/>
            </a:ln>
            <a:effectLst/>
          </c:spPr>
          <c:marker>
            <c:symbol val="diamond"/>
            <c:size val="7"/>
            <c:spPr>
              <a:solidFill>
                <a:schemeClr val="accent2">
                  <a:lumMod val="75000"/>
                </a:schemeClr>
              </a:solidFill>
              <a:ln w="9525">
                <a:solidFill>
                  <a:schemeClr val="accent2">
                    <a:lumMod val="75000"/>
                  </a:schemeClr>
                </a:solidFill>
              </a:ln>
              <a:effectLst/>
            </c:spPr>
          </c:marker>
          <c:cat>
            <c:strLit>
              <c:ptCount val="21"/>
              <c:pt idx="0">
                <c:v>CY</c:v>
              </c:pt>
              <c:pt idx="1">
                <c:v>NL</c:v>
              </c:pt>
              <c:pt idx="2">
                <c:v>FI</c:v>
              </c:pt>
              <c:pt idx="3">
                <c:v>HR</c:v>
              </c:pt>
              <c:pt idx="4">
                <c:v>PT</c:v>
              </c:pt>
              <c:pt idx="5">
                <c:v>IE</c:v>
              </c:pt>
              <c:pt idx="6">
                <c:v>ES</c:v>
              </c:pt>
              <c:pt idx="7">
                <c:v>FR</c:v>
              </c:pt>
              <c:pt idx="8">
                <c:v>EL</c:v>
              </c:pt>
              <c:pt idx="9">
                <c:v>LU</c:v>
              </c:pt>
              <c:pt idx="10">
                <c:v>SI</c:v>
              </c:pt>
              <c:pt idx="11">
                <c:v>DE</c:v>
              </c:pt>
              <c:pt idx="12">
                <c:v>MT</c:v>
              </c:pt>
              <c:pt idx="13">
                <c:v>HU</c:v>
              </c:pt>
              <c:pt idx="14">
                <c:v>SK</c:v>
              </c:pt>
              <c:pt idx="15">
                <c:v>IT</c:v>
              </c:pt>
              <c:pt idx="16">
                <c:v>AT</c:v>
              </c:pt>
              <c:pt idx="17">
                <c:v>BE</c:v>
              </c:pt>
              <c:pt idx="18">
                <c:v>LT</c:v>
              </c:pt>
              <c:pt idx="19">
                <c:v>EE</c:v>
              </c:pt>
              <c:pt idx="20">
                <c:v>LV</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'1Cross'!$E$329:$E$357</c15:sqref>
                  </c15:fullRef>
                </c:ext>
              </c:extLst>
              <c:f>'1Cross'!$E$337:$E$357</c:f>
              <c:numCache>
                <c:formatCode>0.00000</c:formatCode>
                <c:ptCount val="21"/>
                <c:pt idx="0">
                  <c:v>-2.2684793425403749E-4</c:v>
                </c:pt>
                <c:pt idx="1">
                  <c:v>-2.1098699928001619E-4</c:v>
                </c:pt>
                <c:pt idx="2">
                  <c:v>-1.7231879989004772E-4</c:v>
                </c:pt>
                <c:pt idx="3">
                  <c:v>-1.6969881827999522E-4</c:v>
                </c:pt>
                <c:pt idx="4">
                  <c:v>-1.8467097692498324E-4</c:v>
                </c:pt>
                <c:pt idx="5">
                  <c:v>-1.7813078238398949E-4</c:v>
                </c:pt>
                <c:pt idx="6">
                  <c:v>-1.3113519657698136E-4</c:v>
                </c:pt>
                <c:pt idx="7">
                  <c:v>-1.2514744433900216E-4</c:v>
                </c:pt>
                <c:pt idx="8">
                  <c:v>-9.2989205611015979E-5</c:v>
                </c:pt>
                <c:pt idx="9">
                  <c:v>-8.5064485644992249E-5</c:v>
                </c:pt>
                <c:pt idx="10">
                  <c:v>-5.6511681108983858E-5</c:v>
                </c:pt>
                <c:pt idx="11">
                  <c:v>-4.2274493881999664E-5</c:v>
                </c:pt>
                <c:pt idx="12">
                  <c:v>-4.2200127900959838E-5</c:v>
                </c:pt>
                <c:pt idx="13">
                  <c:v>5.4127838470252598E-6</c:v>
                </c:pt>
                <c:pt idx="14">
                  <c:v>1.4383685056018614E-5</c:v>
                </c:pt>
                <c:pt idx="15">
                  <c:v>9.7955971929963859E-6</c:v>
                </c:pt>
                <c:pt idx="16">
                  <c:v>2.1676367234990668E-5</c:v>
                </c:pt>
                <c:pt idx="17">
                  <c:v>4.0233046807003348E-5</c:v>
                </c:pt>
                <c:pt idx="18">
                  <c:v>1.1694002138001869E-4</c:v>
                </c:pt>
                <c:pt idx="19">
                  <c:v>1.3709351866997288E-4</c:v>
                </c:pt>
                <c:pt idx="20">
                  <c:v>1.6340127108505076E-4</c:v>
                </c:pt>
              </c:numCache>
            </c:numRef>
          </c:val>
          <c:smooth val="0"/>
          <c:extLst>
            <c:ext xmlns:c16="http://schemas.microsoft.com/office/drawing/2014/chart" uri="{C3380CC4-5D6E-409C-BE32-E72D297353CC}">
              <c16:uniqueId val="{00000000-6000-49AE-B21D-A0505F497936}"/>
            </c:ext>
          </c:extLst>
        </c:ser>
        <c:ser>
          <c:idx val="1"/>
          <c:order val="3"/>
          <c:tx>
            <c:strRef>
              <c:f>'1Cross'!$C$328</c:f>
              <c:strCache>
                <c:ptCount val="1"/>
                <c:pt idx="0">
                  <c:v>Change in net-of-tax Ratio 80:20 after 1% income growth, divided by 100 (right axis)</c:v>
                </c:pt>
              </c:strCache>
            </c:strRef>
          </c:tx>
          <c:spPr>
            <a:ln w="25400" cap="rnd">
              <a:noFill/>
              <a:round/>
            </a:ln>
            <a:effectLst/>
          </c:spPr>
          <c:marker>
            <c:symbol val="diamond"/>
            <c:size val="7"/>
            <c:spPr>
              <a:noFill/>
              <a:ln w="22225">
                <a:solidFill>
                  <a:schemeClr val="accent2">
                    <a:lumMod val="75000"/>
                  </a:schemeClr>
                </a:solidFill>
              </a:ln>
              <a:effectLst/>
            </c:spPr>
          </c:marker>
          <c:cat>
            <c:strRef>
              <c:extLst>
                <c:ext xmlns:c15="http://schemas.microsoft.com/office/drawing/2012/chart" uri="{02D57815-91ED-43cb-92C2-25804820EDAC}">
                  <c15:fullRef>
                    <c15:sqref>'1Cross'!$A$329:$A$357</c15:sqref>
                  </c15:fullRef>
                </c:ext>
              </c:extLst>
              <c:f>'1Cross'!$A$337:$A$357</c:f>
              <c:strCache>
                <c:ptCount val="21"/>
                <c:pt idx="0">
                  <c:v>CY</c:v>
                </c:pt>
                <c:pt idx="1">
                  <c:v>NL</c:v>
                </c:pt>
                <c:pt idx="2">
                  <c:v>FI</c:v>
                </c:pt>
                <c:pt idx="3">
                  <c:v>HR</c:v>
                </c:pt>
                <c:pt idx="4">
                  <c:v>PT</c:v>
                </c:pt>
                <c:pt idx="5">
                  <c:v>IE</c:v>
                </c:pt>
                <c:pt idx="6">
                  <c:v>ES</c:v>
                </c:pt>
                <c:pt idx="7">
                  <c:v>FR</c:v>
                </c:pt>
                <c:pt idx="8">
                  <c:v>EL</c:v>
                </c:pt>
                <c:pt idx="9">
                  <c:v>LU</c:v>
                </c:pt>
                <c:pt idx="10">
                  <c:v>SI</c:v>
                </c:pt>
                <c:pt idx="11">
                  <c:v>DE</c:v>
                </c:pt>
                <c:pt idx="12">
                  <c:v>MT</c:v>
                </c:pt>
                <c:pt idx="13">
                  <c:v>HU</c:v>
                </c:pt>
                <c:pt idx="14">
                  <c:v>SK</c:v>
                </c:pt>
                <c:pt idx="15">
                  <c:v>IT</c:v>
                </c:pt>
                <c:pt idx="16">
                  <c:v>AT</c:v>
                </c:pt>
                <c:pt idx="17">
                  <c:v>BE</c:v>
                </c:pt>
                <c:pt idx="18">
                  <c:v>LT</c:v>
                </c:pt>
                <c:pt idx="19">
                  <c:v>EE</c:v>
                </c:pt>
                <c:pt idx="20">
                  <c:v>LV</c:v>
                </c:pt>
              </c:strCache>
            </c:strRef>
          </c:cat>
          <c:val>
            <c:numRef>
              <c:extLst>
                <c:ext xmlns:c15="http://schemas.microsoft.com/office/drawing/2012/chart" uri="{02D57815-91ED-43cb-92C2-25804820EDAC}">
                  <c15:fullRef>
                    <c15:sqref>'1Cross'!$C$329:$C$357</c15:sqref>
                  </c15:fullRef>
                </c:ext>
              </c:extLst>
              <c:f>'1Cross'!$C$337:$C$357</c:f>
              <c:numCache>
                <c:formatCode>0.0000</c:formatCode>
                <c:ptCount val="21"/>
                <c:pt idx="0" formatCode="0.00000">
                  <c:v>-1.0543270809861837E-4</c:v>
                </c:pt>
                <c:pt idx="1" formatCode="0.00000">
                  <c:v>-9.654122363701667E-5</c:v>
                </c:pt>
                <c:pt idx="2" formatCode="0.00000">
                  <c:v>-2.4434462945546186E-5</c:v>
                </c:pt>
                <c:pt idx="3" formatCode="0.00000">
                  <c:v>-6.0807388084720415E-5</c:v>
                </c:pt>
                <c:pt idx="4" formatCode="0.00000">
                  <c:v>-9.1250334155388305E-5</c:v>
                </c:pt>
                <c:pt idx="5" formatCode="0.00000">
                  <c:v>-1.3210679439451311E-4</c:v>
                </c:pt>
                <c:pt idx="6" formatCode="0.00000">
                  <c:v>-1.0603797160978701E-4</c:v>
                </c:pt>
                <c:pt idx="7" formatCode="0.00000">
                  <c:v>-7.3680794276604895E-5</c:v>
                </c:pt>
                <c:pt idx="8" formatCode="0.00000">
                  <c:v>-5.4281859584692783E-5</c:v>
                </c:pt>
                <c:pt idx="9" formatCode="0.00000">
                  <c:v>-5.892277187702355E-5</c:v>
                </c:pt>
                <c:pt idx="10" formatCode="0.00000">
                  <c:v>-2.5770633431254632E-5</c:v>
                </c:pt>
                <c:pt idx="11" formatCode="0.00000">
                  <c:v>-5.6138366601272692E-5</c:v>
                </c:pt>
                <c:pt idx="12" formatCode="0.00000">
                  <c:v>-4.1633816920043641E-5</c:v>
                </c:pt>
                <c:pt idx="13" formatCode="0.00000">
                  <c:v>-2.679928280340249E-6</c:v>
                </c:pt>
                <c:pt idx="14" formatCode="0.00000">
                  <c:v>-1.486286723186936E-4</c:v>
                </c:pt>
                <c:pt idx="15" formatCode="0.00000">
                  <c:v>-1.1320502778989549E-4</c:v>
                </c:pt>
                <c:pt idx="16" formatCode="0.00000">
                  <c:v>-2.3410740962068745E-5</c:v>
                </c:pt>
                <c:pt idx="17" formatCode="0.00000">
                  <c:v>-3.7839826989705118E-5</c:v>
                </c:pt>
                <c:pt idx="18" formatCode="0.00000">
                  <c:v>-2.3173489072988217E-4</c:v>
                </c:pt>
                <c:pt idx="19" formatCode="0.00000">
                  <c:v>1.0713368595451911E-5</c:v>
                </c:pt>
                <c:pt idx="20" formatCode="0.00000">
                  <c:v>4.696657866850806E-5</c:v>
                </c:pt>
              </c:numCache>
            </c:numRef>
          </c:val>
          <c:smooth val="0"/>
          <c:extLst>
            <c:ext xmlns:c16="http://schemas.microsoft.com/office/drawing/2014/chart" uri="{C3380CC4-5D6E-409C-BE32-E72D297353CC}">
              <c16:uniqueId val="{00000001-0A39-41B1-BD54-7D95BA72923F}"/>
            </c:ext>
          </c:extLst>
        </c:ser>
        <c:dLbls>
          <c:showLegendKey val="0"/>
          <c:showVal val="0"/>
          <c:showCatName val="0"/>
          <c:showSerName val="0"/>
          <c:showPercent val="0"/>
          <c:showBubbleSize val="0"/>
        </c:dLbls>
        <c:marker val="1"/>
        <c:smooth val="0"/>
        <c:axId val="1128030224"/>
        <c:axId val="1127945040"/>
      </c:lineChart>
      <c:catAx>
        <c:axId val="709475840"/>
        <c:scaling>
          <c:orientation val="minMax"/>
        </c:scaling>
        <c:delete val="0"/>
        <c:axPos val="b"/>
        <c:numFmt formatCode="General" sourceLinked="1"/>
        <c:majorTickMark val="none"/>
        <c:minorTickMark val="none"/>
        <c:tickLblPos val="low"/>
        <c:spPr>
          <a:noFill/>
          <a:ln w="9525" cap="flat" cmpd="sng" algn="ctr">
            <a:solidFill>
              <a:schemeClr val="tx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mn-cs"/>
              </a:defRPr>
            </a:pPr>
            <a:endParaRPr lang="es-ES_tradnl"/>
          </a:p>
        </c:txPr>
        <c:crossAx val="605168576"/>
        <c:crosses val="autoZero"/>
        <c:auto val="1"/>
        <c:lblAlgn val="ctr"/>
        <c:lblOffset val="100"/>
        <c:noMultiLvlLbl val="0"/>
      </c:catAx>
      <c:valAx>
        <c:axId val="605168576"/>
        <c:scaling>
          <c:orientation val="minMax"/>
          <c:min val="-0.25"/>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s-ES_tradnl" sz="1050">
                    <a:solidFill>
                      <a:sysClr val="windowText" lastClr="000000"/>
                    </a:solidFill>
                    <a:latin typeface="Times New Roman" panose="02020603050405020304" pitchFamily="18" charset="0"/>
                    <a:cs typeface="Times New Roman" panose="02020603050405020304" pitchFamily="18" charset="0"/>
                  </a:rPr>
                  <a:t>Percentage</a:t>
                </a:r>
                <a:r>
                  <a:rPr lang="es-ES_tradnl" sz="1050" baseline="0">
                    <a:solidFill>
                      <a:sysClr val="windowText" lastClr="000000"/>
                    </a:solidFill>
                    <a:latin typeface="Times New Roman" panose="02020603050405020304" pitchFamily="18" charset="0"/>
                    <a:cs typeface="Times New Roman" panose="02020603050405020304" pitchFamily="18" charset="0"/>
                  </a:rPr>
                  <a:t> points</a:t>
                </a:r>
                <a:endParaRPr lang="es-ES_tradnl" sz="1050">
                  <a:solidFill>
                    <a:sysClr val="windowText" lastClr="000000"/>
                  </a:solidFill>
                  <a:latin typeface="Times New Roman" panose="02020603050405020304" pitchFamily="18" charset="0"/>
                  <a:cs typeface="Times New Roman" panose="02020603050405020304" pitchFamily="18" charset="0"/>
                </a:endParaRPr>
              </a:p>
            </c:rich>
          </c:tx>
          <c:overlay val="0"/>
          <c:spPr>
            <a:noFill/>
            <a:ln>
              <a:noFill/>
            </a:ln>
            <a:effectLst/>
          </c:spPr>
          <c:txPr>
            <a:bodyPr rot="-5400000" spcFirstLastPara="1" vertOverflow="ellipsis" vert="horz" wrap="square" anchor="ctr" anchorCtr="1"/>
            <a:lstStyle/>
            <a:p>
              <a:pPr>
                <a:defRPr sz="10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title>
        <c:numFmt formatCode="#,##0.00" sourceLinked="0"/>
        <c:majorTickMark val="out"/>
        <c:minorTickMark val="none"/>
        <c:tickLblPos val="nextTo"/>
        <c:spPr>
          <a:noFill/>
          <a:ln w="6350">
            <a:solidFill>
              <a:schemeClr val="tx1"/>
            </a:solidFill>
            <a:prstDash val="solid"/>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mn-cs"/>
              </a:defRPr>
            </a:pPr>
            <a:endParaRPr lang="es-ES_tradnl"/>
          </a:p>
        </c:txPr>
        <c:crossAx val="709475840"/>
        <c:crosses val="autoZero"/>
        <c:crossBetween val="between"/>
      </c:valAx>
      <c:valAx>
        <c:axId val="1127945040"/>
        <c:scaling>
          <c:orientation val="minMax"/>
          <c:min val="-2.5000000000000011E-4"/>
        </c:scaling>
        <c:delete val="0"/>
        <c:axPos val="r"/>
        <c:numFmt formatCode="0.0000" sourceLinked="0"/>
        <c:majorTickMark val="out"/>
        <c:minorTickMark val="none"/>
        <c:tickLblPos val="nextTo"/>
        <c:spPr>
          <a:noFill/>
          <a:ln w="6350">
            <a:solidFill>
              <a:schemeClr val="tx1"/>
            </a:solid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crossAx val="1128030224"/>
        <c:crosses val="max"/>
        <c:crossBetween val="between"/>
      </c:valAx>
      <c:catAx>
        <c:axId val="1128030224"/>
        <c:scaling>
          <c:orientation val="minMax"/>
        </c:scaling>
        <c:delete val="1"/>
        <c:axPos val="b"/>
        <c:numFmt formatCode="General" sourceLinked="1"/>
        <c:majorTickMark val="out"/>
        <c:minorTickMark val="none"/>
        <c:tickLblPos val="nextTo"/>
        <c:crossAx val="1127945040"/>
        <c:crosses val="autoZero"/>
        <c:auto val="1"/>
        <c:lblAlgn val="ctr"/>
        <c:lblOffset val="100"/>
        <c:noMultiLvlLbl val="0"/>
      </c:catAx>
      <c:spPr>
        <a:noFill/>
        <a:ln>
          <a:noFill/>
        </a:ln>
        <a:effectLst/>
      </c:spPr>
    </c:plotArea>
    <c:legend>
      <c:legendPos val="b"/>
      <c:layout>
        <c:manualLayout>
          <c:xMode val="edge"/>
          <c:yMode val="edge"/>
          <c:x val="5.542609953784236E-2"/>
          <c:y val="0.81868836660974487"/>
          <c:w val="0.9287536573719346"/>
          <c:h val="0.16608313521086637"/>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legend>
    <c:plotVisOnly val="1"/>
    <c:dispBlanksAs val="gap"/>
    <c:showDLblsOverMax val="0"/>
  </c:chart>
  <c:spPr>
    <a:solidFill>
      <a:schemeClr val="bg1"/>
    </a:solidFill>
    <a:ln w="9525" cap="flat" cmpd="sng" algn="ctr">
      <a:noFill/>
      <a:round/>
    </a:ln>
    <a:effectLst/>
  </c:spPr>
  <c:txPr>
    <a:bodyPr/>
    <a:lstStyle/>
    <a:p>
      <a:pPr>
        <a:defRPr/>
      </a:pPr>
      <a:endParaRPr lang="es-ES_tradnl"/>
    </a:p>
  </c:txPr>
  <c:printSettings>
    <c:headerFooter/>
    <c:pageMargins b="0.75" l="0.25" r="0.25" t="0.75" header="0.3" footer="0.3"/>
    <c:pageSetup paperSize="9" orientation="landscape"/>
  </c:printSettings>
</c:chartSpace>
</file>

<file path=xl/charts/chart7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929956023909218"/>
          <c:y val="4.6087571003560986E-2"/>
          <c:w val="0.83085634213589954"/>
          <c:h val="0.72063806048193679"/>
        </c:manualLayout>
      </c:layout>
      <c:lineChart>
        <c:grouping val="standard"/>
        <c:varyColors val="0"/>
        <c:ser>
          <c:idx val="1"/>
          <c:order val="0"/>
          <c:tx>
            <c:strRef>
              <c:f>'1Cross'!$I$328</c:f>
              <c:strCache>
                <c:ptCount val="1"/>
                <c:pt idx="0">
                  <c:v>Difference in Kakwani index after 1% income increase</c:v>
                </c:pt>
              </c:strCache>
            </c:strRef>
          </c:tx>
          <c:spPr>
            <a:ln w="25400" cap="rnd">
              <a:noFill/>
              <a:round/>
            </a:ln>
            <a:effectLst/>
          </c:spPr>
          <c:marker>
            <c:symbol val="circle"/>
            <c:size val="7"/>
            <c:spPr>
              <a:solidFill>
                <a:schemeClr val="tx1">
                  <a:lumMod val="65000"/>
                  <a:lumOff val="35000"/>
                </a:schemeClr>
              </a:solidFill>
              <a:ln w="22225">
                <a:noFill/>
              </a:ln>
              <a:effectLst/>
            </c:spPr>
          </c:marker>
          <c:cat>
            <c:strRef>
              <c:extLst>
                <c:ext xmlns:c15="http://schemas.microsoft.com/office/drawing/2012/chart" uri="{02D57815-91ED-43cb-92C2-25804820EDAC}">
                  <c15:fullRef>
                    <c15:sqref>'1Cross'!$G$329:$G$357</c15:sqref>
                  </c15:fullRef>
                </c:ext>
              </c:extLst>
              <c:f>'1Cross'!$G$337:$G$357</c:f>
              <c:strCache>
                <c:ptCount val="21"/>
                <c:pt idx="0">
                  <c:v>HU</c:v>
                </c:pt>
                <c:pt idx="1">
                  <c:v>FR</c:v>
                </c:pt>
                <c:pt idx="2">
                  <c:v>LT</c:v>
                </c:pt>
                <c:pt idx="3">
                  <c:v>SK</c:v>
                </c:pt>
                <c:pt idx="4">
                  <c:v>EL</c:v>
                </c:pt>
                <c:pt idx="5">
                  <c:v>IE</c:v>
                </c:pt>
                <c:pt idx="6">
                  <c:v>DE</c:v>
                </c:pt>
                <c:pt idx="7">
                  <c:v>LV</c:v>
                </c:pt>
                <c:pt idx="8">
                  <c:v>MT</c:v>
                </c:pt>
                <c:pt idx="9">
                  <c:v>IT</c:v>
                </c:pt>
                <c:pt idx="10">
                  <c:v>SI</c:v>
                </c:pt>
                <c:pt idx="11">
                  <c:v>NL</c:v>
                </c:pt>
                <c:pt idx="12">
                  <c:v>HR</c:v>
                </c:pt>
                <c:pt idx="13">
                  <c:v>CY</c:v>
                </c:pt>
                <c:pt idx="14">
                  <c:v>LU</c:v>
                </c:pt>
                <c:pt idx="15">
                  <c:v>ES</c:v>
                </c:pt>
                <c:pt idx="16">
                  <c:v>EE</c:v>
                </c:pt>
                <c:pt idx="17">
                  <c:v>PT</c:v>
                </c:pt>
                <c:pt idx="18">
                  <c:v>AT</c:v>
                </c:pt>
                <c:pt idx="19">
                  <c:v>BE</c:v>
                </c:pt>
                <c:pt idx="20">
                  <c:v>FI</c:v>
                </c:pt>
              </c:strCache>
            </c:strRef>
          </c:cat>
          <c:val>
            <c:numRef>
              <c:extLst>
                <c:ext xmlns:c15="http://schemas.microsoft.com/office/drawing/2012/chart" uri="{02D57815-91ED-43cb-92C2-25804820EDAC}">
                  <c15:fullRef>
                    <c15:sqref>'1Cross'!$I$329:$I$357</c15:sqref>
                  </c15:fullRef>
                </c:ext>
              </c:extLst>
              <c:f>'1Cross'!$I$337:$I$357</c:f>
              <c:numCache>
                <c:formatCode>General</c:formatCode>
                <c:ptCount val="21"/>
                <c:pt idx="0">
                  <c:v>-2.9999999999999472E-4</c:v>
                </c:pt>
                <c:pt idx="1">
                  <c:v>-3.8505620968498633E-4</c:v>
                </c:pt>
                <c:pt idx="2">
                  <c:v>-8.3616766260699582E-4</c:v>
                </c:pt>
                <c:pt idx="3">
                  <c:v>-1.2886400697579986E-3</c:v>
                </c:pt>
                <c:pt idx="4">
                  <c:v>-1.3834535130070047E-3</c:v>
                </c:pt>
                <c:pt idx="5">
                  <c:v>-1.6282469659590071E-3</c:v>
                </c:pt>
                <c:pt idx="6">
                  <c:v>-1.7069312930330094E-3</c:v>
                </c:pt>
                <c:pt idx="7">
                  <c:v>-1.7754979359100032E-3</c:v>
                </c:pt>
                <c:pt idx="8">
                  <c:v>-2.1569431752989643E-3</c:v>
                </c:pt>
                <c:pt idx="9">
                  <c:v>-2.1589638976710068E-3</c:v>
                </c:pt>
                <c:pt idx="10">
                  <c:v>-2.2098602418850199E-3</c:v>
                </c:pt>
                <c:pt idx="11">
                  <c:v>-2.2786245906209479E-3</c:v>
                </c:pt>
                <c:pt idx="12">
                  <c:v>-2.3232827618610008E-3</c:v>
                </c:pt>
                <c:pt idx="13">
                  <c:v>-2.3413655680110113E-3</c:v>
                </c:pt>
                <c:pt idx="14">
                  <c:v>-2.3579568408479967E-3</c:v>
                </c:pt>
                <c:pt idx="15">
                  <c:v>-2.3628194129430291E-3</c:v>
                </c:pt>
                <c:pt idx="16">
                  <c:v>-2.3814959516549883E-3</c:v>
                </c:pt>
                <c:pt idx="17">
                  <c:v>-2.4485460644640411E-3</c:v>
                </c:pt>
                <c:pt idx="18">
                  <c:v>-2.9310443300579747E-3</c:v>
                </c:pt>
                <c:pt idx="19">
                  <c:v>-3.1797867921439793E-3</c:v>
                </c:pt>
                <c:pt idx="20">
                  <c:v>-3.5808110326400189E-3</c:v>
                </c:pt>
              </c:numCache>
            </c:numRef>
          </c:val>
          <c:smooth val="0"/>
          <c:extLst>
            <c:ext xmlns:c16="http://schemas.microsoft.com/office/drawing/2014/chart" uri="{C3380CC4-5D6E-409C-BE32-E72D297353CC}">
              <c16:uniqueId val="{00000001-7F75-4371-B104-7CDDB4DEA297}"/>
            </c:ext>
          </c:extLst>
        </c:ser>
        <c:dLbls>
          <c:showLegendKey val="0"/>
          <c:showVal val="0"/>
          <c:showCatName val="0"/>
          <c:showSerName val="0"/>
          <c:showPercent val="0"/>
          <c:showBubbleSize val="0"/>
        </c:dLbls>
        <c:marker val="1"/>
        <c:smooth val="0"/>
        <c:axId val="709475840"/>
        <c:axId val="605168576"/>
        <c:extLst>
          <c:ext xmlns:c15="http://schemas.microsoft.com/office/drawing/2012/chart" uri="{02D57815-91ED-43cb-92C2-25804820EDAC}">
            <c15:filteredLineSeries>
              <c15:ser>
                <c:idx val="0"/>
                <c:order val="1"/>
                <c:tx>
                  <c:strRef>
                    <c:extLst>
                      <c:ext uri="{02D57815-91ED-43cb-92C2-25804820EDAC}">
                        <c15:formulaRef>
                          <c15:sqref>'1Cross'!$H$328</c15:sqref>
                        </c15:formulaRef>
                      </c:ext>
                    </c:extLst>
                    <c:strCache>
                      <c:ptCount val="1"/>
                      <c:pt idx="0">
                        <c:v>Kakwani before 1% income increase</c:v>
                      </c:pt>
                    </c:strCache>
                  </c:strRef>
                </c:tx>
                <c:spPr>
                  <a:ln w="25400" cap="rnd">
                    <a:noFill/>
                    <a:round/>
                  </a:ln>
                  <a:effectLst/>
                </c:spPr>
                <c:marker>
                  <c:symbol val="circle"/>
                  <c:size val="6"/>
                  <c:spPr>
                    <a:solidFill>
                      <a:schemeClr val="tx1">
                        <a:lumMod val="65000"/>
                        <a:lumOff val="35000"/>
                      </a:schemeClr>
                    </a:solidFill>
                    <a:ln w="22225">
                      <a:solidFill>
                        <a:schemeClr val="tx1">
                          <a:lumMod val="65000"/>
                          <a:lumOff val="35000"/>
                          <a:alpha val="99000"/>
                        </a:schemeClr>
                      </a:solidFill>
                    </a:ln>
                    <a:effectLst/>
                  </c:spPr>
                </c:marker>
                <c:cat>
                  <c:strRef>
                    <c:extLst>
                      <c:ext uri="{02D57815-91ED-43cb-92C2-25804820EDAC}">
                        <c15:fullRef>
                          <c15:sqref>'1Cross'!$G$329:$G$357</c15:sqref>
                        </c15:fullRef>
                        <c15:formulaRef>
                          <c15:sqref>'1Cross'!$G$337:$G$357</c15:sqref>
                        </c15:formulaRef>
                      </c:ext>
                    </c:extLst>
                    <c:strCache>
                      <c:ptCount val="21"/>
                      <c:pt idx="0">
                        <c:v>HU</c:v>
                      </c:pt>
                      <c:pt idx="1">
                        <c:v>FR</c:v>
                      </c:pt>
                      <c:pt idx="2">
                        <c:v>LT</c:v>
                      </c:pt>
                      <c:pt idx="3">
                        <c:v>SK</c:v>
                      </c:pt>
                      <c:pt idx="4">
                        <c:v>EL</c:v>
                      </c:pt>
                      <c:pt idx="5">
                        <c:v>IE</c:v>
                      </c:pt>
                      <c:pt idx="6">
                        <c:v>DE</c:v>
                      </c:pt>
                      <c:pt idx="7">
                        <c:v>LV</c:v>
                      </c:pt>
                      <c:pt idx="8">
                        <c:v>MT</c:v>
                      </c:pt>
                      <c:pt idx="9">
                        <c:v>IT</c:v>
                      </c:pt>
                      <c:pt idx="10">
                        <c:v>SI</c:v>
                      </c:pt>
                      <c:pt idx="11">
                        <c:v>NL</c:v>
                      </c:pt>
                      <c:pt idx="12">
                        <c:v>HR</c:v>
                      </c:pt>
                      <c:pt idx="13">
                        <c:v>CY</c:v>
                      </c:pt>
                      <c:pt idx="14">
                        <c:v>LU</c:v>
                      </c:pt>
                      <c:pt idx="15">
                        <c:v>ES</c:v>
                      </c:pt>
                      <c:pt idx="16">
                        <c:v>EE</c:v>
                      </c:pt>
                      <c:pt idx="17">
                        <c:v>PT</c:v>
                      </c:pt>
                      <c:pt idx="18">
                        <c:v>AT</c:v>
                      </c:pt>
                      <c:pt idx="19">
                        <c:v>BE</c:v>
                      </c:pt>
                      <c:pt idx="20">
                        <c:v>FI</c:v>
                      </c:pt>
                    </c:strCache>
                  </c:strRef>
                </c:cat>
                <c:val>
                  <c:numRef>
                    <c:extLst>
                      <c:ext uri="{02D57815-91ED-43cb-92C2-25804820EDAC}">
                        <c15:fullRef>
                          <c15:sqref>'1Cross'!$H$329:$H$357</c15:sqref>
                        </c15:fullRef>
                        <c15:formulaRef>
                          <c15:sqref>'1Cross'!$H$337:$H$357</c15:sqref>
                        </c15:formulaRef>
                      </c:ext>
                    </c:extLst>
                    <c:numCache>
                      <c:formatCode>General</c:formatCode>
                      <c:ptCount val="21"/>
                      <c:pt idx="0">
                        <c:v>0.1118</c:v>
                      </c:pt>
                      <c:pt idx="1">
                        <c:v>0.18198792337035299</c:v>
                      </c:pt>
                      <c:pt idx="2">
                        <c:v>6.8769748807886E-2</c:v>
                      </c:pt>
                      <c:pt idx="3">
                        <c:v>0.118107405741447</c:v>
                      </c:pt>
                      <c:pt idx="4">
                        <c:v>0.27381981053198101</c:v>
                      </c:pt>
                      <c:pt idx="5">
                        <c:v>0.24533964473321601</c:v>
                      </c:pt>
                      <c:pt idx="6">
                        <c:v>0.226593369272481</c:v>
                      </c:pt>
                      <c:pt idx="7">
                        <c:v>0.14990669054889</c:v>
                      </c:pt>
                      <c:pt idx="8">
                        <c:v>0.26761424504826198</c:v>
                      </c:pt>
                      <c:pt idx="9">
                        <c:v>0.196394354539802</c:v>
                      </c:pt>
                      <c:pt idx="10">
                        <c:v>0.279900009196414</c:v>
                      </c:pt>
                      <c:pt idx="11">
                        <c:v>0.27451485472389597</c:v>
                      </c:pt>
                      <c:pt idx="12">
                        <c:v>0.387572063897832</c:v>
                      </c:pt>
                      <c:pt idx="13">
                        <c:v>0.39873029251767</c:v>
                      </c:pt>
                      <c:pt idx="14">
                        <c:v>0.25292400154439199</c:v>
                      </c:pt>
                      <c:pt idx="15">
                        <c:v>0.27724546457928501</c:v>
                      </c:pt>
                      <c:pt idx="16">
                        <c:v>0.20256054347733399</c:v>
                      </c:pt>
                      <c:pt idx="17">
                        <c:v>0.32440527394457702</c:v>
                      </c:pt>
                      <c:pt idx="18">
                        <c:v>0.27049579852216199</c:v>
                      </c:pt>
                      <c:pt idx="19">
                        <c:v>0.25452626670974099</c:v>
                      </c:pt>
                      <c:pt idx="20">
                        <c:v>0.39006948599399299</c:v>
                      </c:pt>
                    </c:numCache>
                  </c:numRef>
                </c:val>
                <c:smooth val="0"/>
                <c:extLst>
                  <c:ext xmlns:c16="http://schemas.microsoft.com/office/drawing/2014/chart" uri="{C3380CC4-5D6E-409C-BE32-E72D297353CC}">
                    <c16:uniqueId val="{00000000-7F75-4371-B104-7CDDB4DEA297}"/>
                  </c:ext>
                </c:extLst>
              </c15:ser>
            </c15:filteredLineSeries>
          </c:ext>
        </c:extLst>
      </c:lineChart>
      <c:catAx>
        <c:axId val="709475840"/>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mn-cs"/>
              </a:defRPr>
            </a:pPr>
            <a:endParaRPr lang="es-ES_tradnl"/>
          </a:p>
        </c:txPr>
        <c:crossAx val="605168576"/>
        <c:crosses val="autoZero"/>
        <c:auto val="1"/>
        <c:lblAlgn val="ctr"/>
        <c:lblOffset val="100"/>
        <c:noMultiLvlLbl val="0"/>
      </c:catAx>
      <c:valAx>
        <c:axId val="6051685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s-ES_tradnl" sz="1050">
                    <a:solidFill>
                      <a:sysClr val="windowText" lastClr="000000"/>
                    </a:solidFill>
                    <a:latin typeface="Times New Roman" panose="02020603050405020304" pitchFamily="18" charset="0"/>
                    <a:cs typeface="Times New Roman" panose="02020603050405020304" pitchFamily="18" charset="0"/>
                  </a:rPr>
                  <a:t>Percentage</a:t>
                </a:r>
                <a:r>
                  <a:rPr lang="es-ES_tradnl" sz="1050" baseline="0">
                    <a:solidFill>
                      <a:sysClr val="windowText" lastClr="000000"/>
                    </a:solidFill>
                    <a:latin typeface="Times New Roman" panose="02020603050405020304" pitchFamily="18" charset="0"/>
                    <a:cs typeface="Times New Roman" panose="02020603050405020304" pitchFamily="18" charset="0"/>
                  </a:rPr>
                  <a:t> points</a:t>
                </a:r>
                <a:endParaRPr lang="es-ES_tradnl" sz="1050">
                  <a:solidFill>
                    <a:sysClr val="windowText" lastClr="000000"/>
                  </a:solidFill>
                  <a:latin typeface="Times New Roman" panose="02020603050405020304" pitchFamily="18" charset="0"/>
                  <a:cs typeface="Times New Roman" panose="02020603050405020304" pitchFamily="18" charset="0"/>
                </a:endParaRPr>
              </a:p>
            </c:rich>
          </c:tx>
          <c:overlay val="0"/>
          <c:spPr>
            <a:noFill/>
            <a:ln>
              <a:noFill/>
            </a:ln>
            <a:effectLst/>
          </c:spPr>
          <c:txPr>
            <a:bodyPr rot="-5400000" spcFirstLastPara="1" vertOverflow="ellipsis" vert="horz" wrap="square" anchor="ctr" anchorCtr="1"/>
            <a:lstStyle/>
            <a:p>
              <a:pPr>
                <a:defRPr sz="10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title>
        <c:numFmt formatCode="#,##0.0000" sourceLinked="0"/>
        <c:majorTickMark val="out"/>
        <c:minorTickMark val="none"/>
        <c:tickLblPos val="nextTo"/>
        <c:spPr>
          <a:noFill/>
          <a:ln w="6350">
            <a:solidFill>
              <a:schemeClr val="tx1"/>
            </a:solidFill>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mn-cs"/>
              </a:defRPr>
            </a:pPr>
            <a:endParaRPr lang="es-ES_tradnl"/>
          </a:p>
        </c:txPr>
        <c:crossAx val="709475840"/>
        <c:crosses val="autoZero"/>
        <c:crossBetween val="between"/>
      </c:valAx>
      <c:spPr>
        <a:noFill/>
        <a:ln>
          <a:noFill/>
        </a:ln>
        <a:effectLst/>
      </c:spPr>
    </c:plotArea>
    <c:legend>
      <c:legendPos val="b"/>
      <c:layout>
        <c:manualLayout>
          <c:xMode val="edge"/>
          <c:yMode val="edge"/>
          <c:x val="5.5426178646664596E-2"/>
          <c:y val="0.85811164342933755"/>
          <c:w val="0.86744258631146487"/>
          <c:h val="0.11674968147781099"/>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legend>
    <c:plotVisOnly val="1"/>
    <c:dispBlanksAs val="gap"/>
    <c:showDLblsOverMax val="0"/>
  </c:chart>
  <c:spPr>
    <a:solidFill>
      <a:schemeClr val="bg1"/>
    </a:solidFill>
    <a:ln w="9525" cap="flat" cmpd="sng" algn="ctr">
      <a:noFill/>
      <a:round/>
    </a:ln>
    <a:effectLst/>
  </c:spPr>
  <c:txPr>
    <a:bodyPr/>
    <a:lstStyle/>
    <a:p>
      <a:pPr>
        <a:defRPr/>
      </a:pPr>
      <a:endParaRPr lang="es-ES_tradnl"/>
    </a:p>
  </c:txPr>
  <c:printSettings>
    <c:headerFooter/>
    <c:pageMargins b="0.75" l="0.25" r="0.25" t="0.75" header="0.3" footer="0.3"/>
    <c:pageSetup paperSize="9" orientation="landscape"/>
  </c:printSettings>
</c:chartSpace>
</file>

<file path=xl/charts/chart8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609381405572292"/>
          <c:y val="4.6087571003560986E-2"/>
          <c:w val="0.84406202714258949"/>
          <c:h val="0.72063806048193679"/>
        </c:manualLayout>
      </c:layout>
      <c:lineChart>
        <c:grouping val="standard"/>
        <c:varyColors val="0"/>
        <c:ser>
          <c:idx val="0"/>
          <c:order val="0"/>
          <c:tx>
            <c:strRef>
              <c:f>'1Cross'!$B$364</c:f>
              <c:strCache>
                <c:ptCount val="1"/>
                <c:pt idx="0">
                  <c:v>Max TTB elasticity</c:v>
                </c:pt>
              </c:strCache>
            </c:strRef>
          </c:tx>
          <c:spPr>
            <a:ln w="25400" cap="rnd">
              <a:noFill/>
              <a:round/>
            </a:ln>
            <a:effectLst/>
          </c:spPr>
          <c:marker>
            <c:symbol val="circle"/>
            <c:size val="7"/>
            <c:spPr>
              <a:solidFill>
                <a:schemeClr val="tx1">
                  <a:lumMod val="75000"/>
                  <a:lumOff val="25000"/>
                </a:schemeClr>
              </a:solidFill>
              <a:ln w="9525">
                <a:noFill/>
              </a:ln>
              <a:effectLst/>
            </c:spPr>
          </c:marker>
          <c:cat>
            <c:strRef>
              <c:extLst>
                <c:ext xmlns:c15="http://schemas.microsoft.com/office/drawing/2012/chart" uri="{02D57815-91ED-43cb-92C2-25804820EDAC}">
                  <c15:fullRef>
                    <c15:sqref>'1Cross'!$A$365:$A$393</c15:sqref>
                  </c15:fullRef>
                </c:ext>
              </c:extLst>
              <c:f>'1Cross'!$A$373:$A$393</c:f>
              <c:strCache>
                <c:ptCount val="21"/>
                <c:pt idx="0">
                  <c:v>AT</c:v>
                </c:pt>
                <c:pt idx="1">
                  <c:v>BE</c:v>
                </c:pt>
                <c:pt idx="2">
                  <c:v>CY</c:v>
                </c:pt>
                <c:pt idx="3">
                  <c:v>IT</c:v>
                </c:pt>
                <c:pt idx="4">
                  <c:v>ES</c:v>
                </c:pt>
                <c:pt idx="5">
                  <c:v>EE</c:v>
                </c:pt>
                <c:pt idx="6">
                  <c:v>LU</c:v>
                </c:pt>
                <c:pt idx="7">
                  <c:v>SI</c:v>
                </c:pt>
                <c:pt idx="8">
                  <c:v>IE</c:v>
                </c:pt>
                <c:pt idx="9">
                  <c:v>PT</c:v>
                </c:pt>
                <c:pt idx="10">
                  <c:v>HR</c:v>
                </c:pt>
                <c:pt idx="11">
                  <c:v>LV</c:v>
                </c:pt>
                <c:pt idx="12">
                  <c:v>DE</c:v>
                </c:pt>
                <c:pt idx="13">
                  <c:v>NL</c:v>
                </c:pt>
                <c:pt idx="14">
                  <c:v>SK</c:v>
                </c:pt>
                <c:pt idx="15">
                  <c:v>MT</c:v>
                </c:pt>
                <c:pt idx="16">
                  <c:v>FI</c:v>
                </c:pt>
                <c:pt idx="17">
                  <c:v>LT</c:v>
                </c:pt>
                <c:pt idx="18">
                  <c:v>EL</c:v>
                </c:pt>
                <c:pt idx="19">
                  <c:v>FR</c:v>
                </c:pt>
                <c:pt idx="20">
                  <c:v>HU</c:v>
                </c:pt>
              </c:strCache>
            </c:strRef>
          </c:cat>
          <c:val>
            <c:numRef>
              <c:extLst>
                <c:ext xmlns:c15="http://schemas.microsoft.com/office/drawing/2012/chart" uri="{02D57815-91ED-43cb-92C2-25804820EDAC}">
                  <c15:fullRef>
                    <c15:sqref>'1Cross'!$B$365:$B$393</c15:sqref>
                  </c15:fullRef>
                </c:ext>
              </c:extLst>
              <c:f>'1Cross'!$B$373:$B$393</c:f>
              <c:numCache>
                <c:formatCode>0.000</c:formatCode>
                <c:ptCount val="21"/>
                <c:pt idx="0">
                  <c:v>39.258922395439207</c:v>
                </c:pt>
                <c:pt idx="1">
                  <c:v>34.733873368165071</c:v>
                </c:pt>
                <c:pt idx="2">
                  <c:v>10.642336890791634</c:v>
                </c:pt>
                <c:pt idx="3">
                  <c:v>10.176960036495631</c:v>
                </c:pt>
                <c:pt idx="4">
                  <c:v>8.9742156649527871</c:v>
                </c:pt>
                <c:pt idx="5">
                  <c:v>9.5987096876873075</c:v>
                </c:pt>
                <c:pt idx="6">
                  <c:v>7.5481019628528223</c:v>
                </c:pt>
                <c:pt idx="7">
                  <c:v>9.3316827675070932</c:v>
                </c:pt>
                <c:pt idx="8">
                  <c:v>8.0407309226227213</c:v>
                </c:pt>
                <c:pt idx="9">
                  <c:v>7.4555966275809951</c:v>
                </c:pt>
                <c:pt idx="10">
                  <c:v>4.9162960738622949</c:v>
                </c:pt>
                <c:pt idx="11">
                  <c:v>5.2567288659840612</c:v>
                </c:pt>
                <c:pt idx="12">
                  <c:v>5.0300264705273428</c:v>
                </c:pt>
                <c:pt idx="13">
                  <c:v>3.7580071684706264</c:v>
                </c:pt>
                <c:pt idx="14">
                  <c:v>2.6621378296783695</c:v>
                </c:pt>
                <c:pt idx="15">
                  <c:v>3.9776430315533631</c:v>
                </c:pt>
                <c:pt idx="16">
                  <c:v>3.0954839101514788</c:v>
                </c:pt>
                <c:pt idx="17">
                  <c:v>2.1911868274257578</c:v>
                </c:pt>
                <c:pt idx="18">
                  <c:v>2.6362127014930095</c:v>
                </c:pt>
                <c:pt idx="19">
                  <c:v>2.1150540373862929</c:v>
                </c:pt>
                <c:pt idx="20">
                  <c:v>1.204407618899819</c:v>
                </c:pt>
              </c:numCache>
            </c:numRef>
          </c:val>
          <c:smooth val="0"/>
          <c:extLst>
            <c:ext xmlns:c16="http://schemas.microsoft.com/office/drawing/2014/chart" uri="{C3380CC4-5D6E-409C-BE32-E72D297353CC}">
              <c16:uniqueId val="{00000000-7A22-4EF9-81F5-04F17B96620A}"/>
            </c:ext>
          </c:extLst>
        </c:ser>
        <c:ser>
          <c:idx val="1"/>
          <c:order val="1"/>
          <c:tx>
            <c:strRef>
              <c:f>'1Cross'!$C$364</c:f>
              <c:strCache>
                <c:ptCount val="1"/>
                <c:pt idx="0">
                  <c:v>Min TTB elasticity</c:v>
                </c:pt>
              </c:strCache>
            </c:strRef>
          </c:tx>
          <c:spPr>
            <a:ln w="25400" cap="rnd">
              <a:noFill/>
              <a:round/>
            </a:ln>
            <a:effectLst/>
          </c:spPr>
          <c:marker>
            <c:symbol val="circle"/>
            <c:size val="6"/>
            <c:spPr>
              <a:solidFill>
                <a:schemeClr val="accent2">
                  <a:lumMod val="75000"/>
                </a:schemeClr>
              </a:solidFill>
              <a:ln w="22225">
                <a:noFill/>
              </a:ln>
              <a:effectLst/>
            </c:spPr>
          </c:marker>
          <c:errBars>
            <c:errDir val="y"/>
            <c:errBarType val="plus"/>
            <c:errValType val="cust"/>
            <c:noEndCap val="1"/>
            <c:plus>
              <c:numRef>
                <c:extLst>
                  <c:ext xmlns:c15="http://schemas.microsoft.com/office/drawing/2012/chart" uri="{02D57815-91ED-43cb-92C2-25804820EDAC}">
                    <c15:fullRef>
                      <c15:sqref>'1Cross'!$D$365:$D$393</c15:sqref>
                    </c15:fullRef>
                  </c:ext>
                </c:extLst>
                <c:f>'1Cross'!$D$373:$D$393</c:f>
                <c:numCache>
                  <c:formatCode>General</c:formatCode>
                  <c:ptCount val="21"/>
                  <c:pt idx="0">
                    <c:v>38.704576607837851</c:v>
                  </c:pt>
                  <c:pt idx="1">
                    <c:v>33.334636701558537</c:v>
                  </c:pt>
                  <c:pt idx="2">
                    <c:v>10.642336890791634</c:v>
                  </c:pt>
                  <c:pt idx="3">
                    <c:v>8.8039665374565779</c:v>
                  </c:pt>
                  <c:pt idx="4">
                    <c:v>8.6436228591150961</c:v>
                  </c:pt>
                  <c:pt idx="5">
                    <c:v>8.4748682874170207</c:v>
                  </c:pt>
                  <c:pt idx="6">
                    <c:v>8.2567604004308954</c:v>
                  </c:pt>
                  <c:pt idx="7">
                    <c:v>7.8544522670367076</c:v>
                  </c:pt>
                  <c:pt idx="8">
                    <c:v>6.6273452666639043</c:v>
                  </c:pt>
                  <c:pt idx="9">
                    <c:v>5.9263284630067403</c:v>
                  </c:pt>
                  <c:pt idx="10">
                    <c:v>4.465486020742703</c:v>
                  </c:pt>
                  <c:pt idx="11">
                    <c:v>4.1133658927435501</c:v>
                  </c:pt>
                  <c:pt idx="12">
                    <c:v>3.6733528912113993</c:v>
                  </c:pt>
                  <c:pt idx="13">
                    <c:v>2.9616104229647049</c:v>
                  </c:pt>
                  <c:pt idx="14">
                    <c:v>2.6621378296783695</c:v>
                  </c:pt>
                  <c:pt idx="15">
                    <c:v>2.5767479970977885</c:v>
                  </c:pt>
                  <c:pt idx="16">
                    <c:v>2.3333872553276067</c:v>
                  </c:pt>
                  <c:pt idx="17">
                    <c:v>2.1911868274257578</c:v>
                  </c:pt>
                  <c:pt idx="18">
                    <c:v>1.4488530318442718</c:v>
                  </c:pt>
                  <c:pt idx="19">
                    <c:v>1.2122677420160155</c:v>
                  </c:pt>
                  <c:pt idx="20">
                    <c:v>0.19779829173700536</c:v>
                  </c:pt>
                </c:numCache>
              </c:numRef>
            </c:plus>
            <c:minus>
              <c:numRef>
                <c:extLst>
                  <c:ext xmlns:c15="http://schemas.microsoft.com/office/drawing/2012/chart" uri="{02D57815-91ED-43cb-92C2-25804820EDAC}">
                    <c15:fullRef>
                      <c15:sqref>'1Cross'!$E$365:$E$393</c15:sqref>
                    </c15:fullRef>
                  </c:ext>
                </c:extLst>
                <c:f>'1Cross'!$E$373:$E$393</c:f>
                <c:numCache>
                  <c:formatCode>General</c:formatCode>
                  <c:ptCount val="21"/>
                </c:numCache>
              </c:numRef>
            </c:minus>
            <c:spPr>
              <a:noFill/>
              <a:ln w="9525" cap="flat" cmpd="sng" algn="ctr">
                <a:solidFill>
                  <a:schemeClr val="tx1">
                    <a:lumMod val="65000"/>
                    <a:lumOff val="35000"/>
                  </a:schemeClr>
                </a:solidFill>
                <a:round/>
              </a:ln>
              <a:effectLst/>
            </c:spPr>
          </c:errBars>
          <c:cat>
            <c:strRef>
              <c:extLst>
                <c:ext xmlns:c15="http://schemas.microsoft.com/office/drawing/2012/chart" uri="{02D57815-91ED-43cb-92C2-25804820EDAC}">
                  <c15:fullRef>
                    <c15:sqref>'1Cross'!$A$365:$A$393</c15:sqref>
                  </c15:fullRef>
                </c:ext>
              </c:extLst>
              <c:f>'1Cross'!$A$373:$A$393</c:f>
              <c:strCache>
                <c:ptCount val="21"/>
                <c:pt idx="0">
                  <c:v>AT</c:v>
                </c:pt>
                <c:pt idx="1">
                  <c:v>BE</c:v>
                </c:pt>
                <c:pt idx="2">
                  <c:v>CY</c:v>
                </c:pt>
                <c:pt idx="3">
                  <c:v>IT</c:v>
                </c:pt>
                <c:pt idx="4">
                  <c:v>ES</c:v>
                </c:pt>
                <c:pt idx="5">
                  <c:v>EE</c:v>
                </c:pt>
                <c:pt idx="6">
                  <c:v>LU</c:v>
                </c:pt>
                <c:pt idx="7">
                  <c:v>SI</c:v>
                </c:pt>
                <c:pt idx="8">
                  <c:v>IE</c:v>
                </c:pt>
                <c:pt idx="9">
                  <c:v>PT</c:v>
                </c:pt>
                <c:pt idx="10">
                  <c:v>HR</c:v>
                </c:pt>
                <c:pt idx="11">
                  <c:v>LV</c:v>
                </c:pt>
                <c:pt idx="12">
                  <c:v>DE</c:v>
                </c:pt>
                <c:pt idx="13">
                  <c:v>NL</c:v>
                </c:pt>
                <c:pt idx="14">
                  <c:v>SK</c:v>
                </c:pt>
                <c:pt idx="15">
                  <c:v>MT</c:v>
                </c:pt>
                <c:pt idx="16">
                  <c:v>FI</c:v>
                </c:pt>
                <c:pt idx="17">
                  <c:v>LT</c:v>
                </c:pt>
                <c:pt idx="18">
                  <c:v>EL</c:v>
                </c:pt>
                <c:pt idx="19">
                  <c:v>FR</c:v>
                </c:pt>
                <c:pt idx="20">
                  <c:v>HU</c:v>
                </c:pt>
              </c:strCache>
            </c:strRef>
          </c:cat>
          <c:val>
            <c:numRef>
              <c:extLst>
                <c:ext xmlns:c15="http://schemas.microsoft.com/office/drawing/2012/chart" uri="{02D57815-91ED-43cb-92C2-25804820EDAC}">
                  <c15:fullRef>
                    <c15:sqref>'1Cross'!$C$365:$C$393</c15:sqref>
                  </c15:fullRef>
                </c:ext>
              </c:extLst>
              <c:f>'1Cross'!$C$373:$C$393</c:f>
              <c:numCache>
                <c:formatCode>0.000</c:formatCode>
                <c:ptCount val="21"/>
                <c:pt idx="0">
                  <c:v>0.55434578760135611</c:v>
                </c:pt>
                <c:pt idx="1">
                  <c:v>1.3992366666065328</c:v>
                </c:pt>
                <c:pt idx="2">
                  <c:v>0</c:v>
                </c:pt>
                <c:pt idx="3">
                  <c:v>1.3729934990390535</c:v>
                </c:pt>
                <c:pt idx="4">
                  <c:v>0.33059280583769052</c:v>
                </c:pt>
                <c:pt idx="5">
                  <c:v>1.1238414002702861</c:v>
                </c:pt>
                <c:pt idx="6">
                  <c:v>-0.70865843757807334</c:v>
                </c:pt>
                <c:pt idx="7">
                  <c:v>1.4772305004703854</c:v>
                </c:pt>
                <c:pt idx="8">
                  <c:v>1.4133856559588167</c:v>
                </c:pt>
                <c:pt idx="9">
                  <c:v>1.5292681645742545</c:v>
                </c:pt>
                <c:pt idx="10">
                  <c:v>0.45081005311959216</c:v>
                </c:pt>
                <c:pt idx="11">
                  <c:v>1.1433629732405111</c:v>
                </c:pt>
                <c:pt idx="12">
                  <c:v>1.3566735793159437</c:v>
                </c:pt>
                <c:pt idx="13">
                  <c:v>0.79639674550592165</c:v>
                </c:pt>
                <c:pt idx="14">
                  <c:v>0</c:v>
                </c:pt>
                <c:pt idx="15">
                  <c:v>1.4008950344555744</c:v>
                </c:pt>
                <c:pt idx="16">
                  <c:v>0.76209665482387212</c:v>
                </c:pt>
                <c:pt idx="17">
                  <c:v>0</c:v>
                </c:pt>
                <c:pt idx="18">
                  <c:v>1.1873596696487376</c:v>
                </c:pt>
                <c:pt idx="19">
                  <c:v>0.90278629537027755</c:v>
                </c:pt>
                <c:pt idx="20">
                  <c:v>1.0066093271628136</c:v>
                </c:pt>
              </c:numCache>
            </c:numRef>
          </c:val>
          <c:smooth val="0"/>
          <c:extLst>
            <c:ext xmlns:c16="http://schemas.microsoft.com/office/drawing/2014/chart" uri="{C3380CC4-5D6E-409C-BE32-E72D297353CC}">
              <c16:uniqueId val="{00000001-7A22-4EF9-81F5-04F17B96620A}"/>
            </c:ext>
          </c:extLst>
        </c:ser>
        <c:dLbls>
          <c:showLegendKey val="0"/>
          <c:showVal val="0"/>
          <c:showCatName val="0"/>
          <c:showSerName val="0"/>
          <c:showPercent val="0"/>
          <c:showBubbleSize val="0"/>
        </c:dLbls>
        <c:marker val="1"/>
        <c:smooth val="0"/>
        <c:axId val="709475840"/>
        <c:axId val="605168576"/>
      </c:lineChart>
      <c:catAx>
        <c:axId val="709475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mn-cs"/>
              </a:defRPr>
            </a:pPr>
            <a:endParaRPr lang="es-ES_tradnl"/>
          </a:p>
        </c:txPr>
        <c:crossAx val="605168576"/>
        <c:crosses val="autoZero"/>
        <c:auto val="1"/>
        <c:lblAlgn val="ctr"/>
        <c:lblOffset val="100"/>
        <c:noMultiLvlLbl val="0"/>
      </c:catAx>
      <c:valAx>
        <c:axId val="6051685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s-ES_tradnl" sz="1050">
                    <a:solidFill>
                      <a:sysClr val="windowText" lastClr="000000"/>
                    </a:solidFill>
                    <a:latin typeface="Times New Roman" panose="02020603050405020304" pitchFamily="18" charset="0"/>
                    <a:cs typeface="Times New Roman" panose="02020603050405020304" pitchFamily="18" charset="0"/>
                  </a:rPr>
                  <a:t>Percentage</a:t>
                </a:r>
              </a:p>
            </c:rich>
          </c:tx>
          <c:overlay val="0"/>
          <c:spPr>
            <a:noFill/>
            <a:ln>
              <a:noFill/>
            </a:ln>
            <a:effectLst/>
          </c:spPr>
          <c:txPr>
            <a:bodyPr rot="-5400000" spcFirstLastPara="1" vertOverflow="ellipsis" vert="horz" wrap="square" anchor="ctr" anchorCtr="1"/>
            <a:lstStyle/>
            <a:p>
              <a:pPr>
                <a:defRPr sz="10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mn-cs"/>
              </a:defRPr>
            </a:pPr>
            <a:endParaRPr lang="es-ES_tradnl"/>
          </a:p>
        </c:txPr>
        <c:crossAx val="709475840"/>
        <c:crosses val="autoZero"/>
        <c:crossBetween val="between"/>
      </c:valAx>
      <c:spPr>
        <a:noFill/>
        <a:ln>
          <a:noFill/>
        </a:ln>
        <a:effectLst/>
      </c:spPr>
    </c:plotArea>
    <c:legend>
      <c:legendPos val="b"/>
      <c:layout>
        <c:manualLayout>
          <c:xMode val="edge"/>
          <c:yMode val="edge"/>
          <c:x val="0.18320211805393516"/>
          <c:y val="0.85811164342933755"/>
          <c:w val="0.68916042914225062"/>
          <c:h val="6.6472331292108111E-2"/>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legend>
    <c:plotVisOnly val="1"/>
    <c:dispBlanksAs val="gap"/>
    <c:showDLblsOverMax val="0"/>
  </c:chart>
  <c:spPr>
    <a:solidFill>
      <a:schemeClr val="bg1"/>
    </a:solidFill>
    <a:ln w="9525" cap="flat" cmpd="sng" algn="ctr">
      <a:noFill/>
      <a:round/>
    </a:ln>
    <a:effectLst/>
  </c:spPr>
  <c:txPr>
    <a:bodyPr/>
    <a:lstStyle/>
    <a:p>
      <a:pPr>
        <a:defRPr/>
      </a:pPr>
      <a:endParaRPr lang="es-ES_tradnl"/>
    </a:p>
  </c:txPr>
  <c:printSettings>
    <c:headerFooter/>
    <c:pageMargins b="0.75" l="0.25" r="0.25" t="0.75" header="0.3" footer="0.3"/>
    <c:pageSetup paperSize="9" orientation="landscape"/>
  </c:printSettings>
</c:chartSpace>
</file>

<file path=xl/charts/chart8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19050">
              <a:noFill/>
            </a:ln>
          </c:spPr>
          <c:marker>
            <c:symbol val="circle"/>
            <c:size val="12"/>
            <c:spPr>
              <a:solidFill>
                <a:srgbClr val="2F5597"/>
              </a:solidFill>
              <a:ln>
                <a:noFill/>
              </a:ln>
            </c:spPr>
          </c:marker>
          <c:dPt>
            <c:idx val="2"/>
            <c:marker>
              <c:spPr>
                <a:solidFill>
                  <a:schemeClr val="accent2">
                    <a:lumMod val="75000"/>
                  </a:schemeClr>
                </a:solidFill>
                <a:ln>
                  <a:noFill/>
                </a:ln>
              </c:spPr>
            </c:marker>
            <c:bubble3D val="0"/>
            <c:extLst>
              <c:ext xmlns:c16="http://schemas.microsoft.com/office/drawing/2014/chart" uri="{C3380CC4-5D6E-409C-BE32-E72D297353CC}">
                <c16:uniqueId val="{00000000-A00C-469F-9DD1-FBB35DDA3021}"/>
              </c:ext>
            </c:extLst>
          </c:dPt>
          <c:dPt>
            <c:idx val="9"/>
            <c:marker>
              <c:spPr>
                <a:solidFill>
                  <a:schemeClr val="accent2">
                    <a:lumMod val="75000"/>
                  </a:schemeClr>
                </a:solidFill>
                <a:ln>
                  <a:noFill/>
                </a:ln>
              </c:spPr>
            </c:marker>
            <c:bubble3D val="0"/>
            <c:extLst>
              <c:ext xmlns:c16="http://schemas.microsoft.com/office/drawing/2014/chart" uri="{C3380CC4-5D6E-409C-BE32-E72D297353CC}">
                <c16:uniqueId val="{0000000B-A00C-469F-9DD1-FBB35DDA3021}"/>
              </c:ext>
            </c:extLst>
          </c:dPt>
          <c:dPt>
            <c:idx val="12"/>
            <c:marker>
              <c:spPr>
                <a:solidFill>
                  <a:schemeClr val="accent5">
                    <a:lumMod val="75000"/>
                  </a:schemeClr>
                </a:solidFill>
                <a:ln>
                  <a:noFill/>
                </a:ln>
              </c:spPr>
            </c:marker>
            <c:bubble3D val="0"/>
            <c:extLst>
              <c:ext xmlns:c16="http://schemas.microsoft.com/office/drawing/2014/chart" uri="{C3380CC4-5D6E-409C-BE32-E72D297353CC}">
                <c16:uniqueId val="{00000001-A00C-469F-9DD1-FBB35DDA3021}"/>
              </c:ext>
            </c:extLst>
          </c:dPt>
          <c:dPt>
            <c:idx val="13"/>
            <c:marker>
              <c:spPr>
                <a:solidFill>
                  <a:schemeClr val="accent2">
                    <a:lumMod val="75000"/>
                  </a:schemeClr>
                </a:solidFill>
                <a:ln>
                  <a:noFill/>
                </a:ln>
              </c:spPr>
            </c:marker>
            <c:bubble3D val="0"/>
            <c:extLst>
              <c:ext xmlns:c16="http://schemas.microsoft.com/office/drawing/2014/chart" uri="{C3380CC4-5D6E-409C-BE32-E72D297353CC}">
                <c16:uniqueId val="{00000002-A00C-469F-9DD1-FBB35DDA3021}"/>
              </c:ext>
            </c:extLst>
          </c:dPt>
          <c:dPt>
            <c:idx val="16"/>
            <c:marker>
              <c:spPr>
                <a:solidFill>
                  <a:schemeClr val="accent2">
                    <a:lumMod val="75000"/>
                  </a:schemeClr>
                </a:solidFill>
                <a:ln>
                  <a:noFill/>
                </a:ln>
              </c:spPr>
            </c:marker>
            <c:bubble3D val="0"/>
            <c:extLst>
              <c:ext xmlns:c16="http://schemas.microsoft.com/office/drawing/2014/chart" uri="{C3380CC4-5D6E-409C-BE32-E72D297353CC}">
                <c16:uniqueId val="{00000010-A00C-469F-9DD1-FBB35DDA3021}"/>
              </c:ext>
            </c:extLst>
          </c:dPt>
          <c:dLbls>
            <c:dLbl>
              <c:idx val="0"/>
              <c:tx>
                <c:rich>
                  <a:bodyPr/>
                  <a:lstStyle/>
                  <a:p>
                    <a:fld id="{6DDEEA2B-0457-4919-B19C-DECB88C915B5}" type="CELLRANGE">
                      <a:rPr lang="en-US"/>
                      <a:pPr/>
                      <a:t>[CELLRANGE]</a:t>
                    </a:fld>
                    <a:endParaRPr lang="es-ES_tradnl"/>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A00C-469F-9DD1-FBB35DDA3021}"/>
                </c:ext>
              </c:extLst>
            </c:dLbl>
            <c:dLbl>
              <c:idx val="1"/>
              <c:tx>
                <c:rich>
                  <a:bodyPr/>
                  <a:lstStyle/>
                  <a:p>
                    <a:fld id="{ACE3F2EF-7725-4E3E-B9E7-4870DBA83BCF}" type="CELLRANGE">
                      <a:rPr lang="es-ES_tradnl"/>
                      <a:pPr/>
                      <a:t>[CELLRANGE]</a:t>
                    </a:fld>
                    <a:endParaRPr lang="es-ES_tradnl"/>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A00C-469F-9DD1-FBB35DDA3021}"/>
                </c:ext>
              </c:extLst>
            </c:dLbl>
            <c:dLbl>
              <c:idx val="2"/>
              <c:tx>
                <c:rich>
                  <a:bodyPr/>
                  <a:lstStyle/>
                  <a:p>
                    <a:fld id="{FD49688E-DBA5-44D6-A750-EF2297735A6D}" type="CELLRANGE">
                      <a:rPr lang="es-ES_tradnl"/>
                      <a:pPr/>
                      <a:t>[CELLRANGE]</a:t>
                    </a:fld>
                    <a:endParaRPr lang="es-ES_tradnl"/>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A00C-469F-9DD1-FBB35DDA3021}"/>
                </c:ext>
              </c:extLst>
            </c:dLbl>
            <c:dLbl>
              <c:idx val="3"/>
              <c:tx>
                <c:rich>
                  <a:bodyPr/>
                  <a:lstStyle/>
                  <a:p>
                    <a:fld id="{9E33A119-5847-450B-9691-E9ECD539E831}" type="CELLRANGE">
                      <a:rPr lang="es-ES_tradnl"/>
                      <a:pPr/>
                      <a:t>[CELLRANGE]</a:t>
                    </a:fld>
                    <a:endParaRPr lang="es-ES_tradnl"/>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A00C-469F-9DD1-FBB35DDA3021}"/>
                </c:ext>
              </c:extLst>
            </c:dLbl>
            <c:dLbl>
              <c:idx val="4"/>
              <c:tx>
                <c:rich>
                  <a:bodyPr/>
                  <a:lstStyle/>
                  <a:p>
                    <a:fld id="{75C0C3C3-59C1-451C-A897-400C7198E938}" type="CELLRANGE">
                      <a:rPr lang="es-ES_tradnl"/>
                      <a:pPr/>
                      <a:t>[CELLRANGE]</a:t>
                    </a:fld>
                    <a:endParaRPr lang="es-ES_tradnl"/>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A00C-469F-9DD1-FBB35DDA3021}"/>
                </c:ext>
              </c:extLst>
            </c:dLbl>
            <c:dLbl>
              <c:idx val="5"/>
              <c:tx>
                <c:rich>
                  <a:bodyPr/>
                  <a:lstStyle/>
                  <a:p>
                    <a:fld id="{19D0560E-8EDB-49D7-B2EF-08F94B4F3488}" type="CELLRANGE">
                      <a:rPr lang="es-ES_tradnl"/>
                      <a:pPr/>
                      <a:t>[CELLRANGE]</a:t>
                    </a:fld>
                    <a:endParaRPr lang="es-ES_tradnl"/>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A00C-469F-9DD1-FBB35DDA3021}"/>
                </c:ext>
              </c:extLst>
            </c:dLbl>
            <c:dLbl>
              <c:idx val="6"/>
              <c:tx>
                <c:rich>
                  <a:bodyPr/>
                  <a:lstStyle/>
                  <a:p>
                    <a:fld id="{1C0E4B23-F101-4C51-A7AB-BEB26D993178}" type="CELLRANGE">
                      <a:rPr lang="es-ES_tradnl"/>
                      <a:pPr/>
                      <a:t>[CELLRANGE]</a:t>
                    </a:fld>
                    <a:endParaRPr lang="es-ES_tradnl"/>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A00C-469F-9DD1-FBB35DDA3021}"/>
                </c:ext>
              </c:extLst>
            </c:dLbl>
            <c:dLbl>
              <c:idx val="7"/>
              <c:tx>
                <c:rich>
                  <a:bodyPr/>
                  <a:lstStyle/>
                  <a:p>
                    <a:fld id="{77B1567F-C12D-476E-B105-96D926626B99}" type="CELLRANGE">
                      <a:rPr lang="es-ES_tradnl"/>
                      <a:pPr/>
                      <a:t>[CELLRANGE]</a:t>
                    </a:fld>
                    <a:endParaRPr lang="es-ES_tradnl"/>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A00C-469F-9DD1-FBB35DDA3021}"/>
                </c:ext>
              </c:extLst>
            </c:dLbl>
            <c:dLbl>
              <c:idx val="8"/>
              <c:tx>
                <c:rich>
                  <a:bodyPr/>
                  <a:lstStyle/>
                  <a:p>
                    <a:fld id="{1687DB9F-E4AD-46DF-97E0-4BAD8623FF80}" type="CELLRANGE">
                      <a:rPr lang="es-ES_tradnl"/>
                      <a:pPr/>
                      <a:t>[CELLRANGE]</a:t>
                    </a:fld>
                    <a:endParaRPr lang="es-ES_tradnl"/>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A00C-469F-9DD1-FBB35DDA3021}"/>
                </c:ext>
              </c:extLst>
            </c:dLbl>
            <c:dLbl>
              <c:idx val="9"/>
              <c:tx>
                <c:rich>
                  <a:bodyPr/>
                  <a:lstStyle/>
                  <a:p>
                    <a:fld id="{A2FC1FFC-C113-4D2D-8D5E-813B56F0A64F}" type="CELLRANGE">
                      <a:rPr lang="es-ES_tradnl"/>
                      <a:pPr/>
                      <a:t>[CELLRANGE]</a:t>
                    </a:fld>
                    <a:endParaRPr lang="es-ES_tradnl"/>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A00C-469F-9DD1-FBB35DDA3021}"/>
                </c:ext>
              </c:extLst>
            </c:dLbl>
            <c:dLbl>
              <c:idx val="10"/>
              <c:tx>
                <c:rich>
                  <a:bodyPr/>
                  <a:lstStyle/>
                  <a:p>
                    <a:fld id="{F0E903E1-D0F6-4040-96AB-955DBE012C22}" type="CELLRANGE">
                      <a:rPr lang="es-ES_tradnl"/>
                      <a:pPr/>
                      <a:t>[CELLRANGE]</a:t>
                    </a:fld>
                    <a:endParaRPr lang="es-ES_tradnl"/>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A00C-469F-9DD1-FBB35DDA3021}"/>
                </c:ext>
              </c:extLst>
            </c:dLbl>
            <c:dLbl>
              <c:idx val="11"/>
              <c:tx>
                <c:rich>
                  <a:bodyPr/>
                  <a:lstStyle/>
                  <a:p>
                    <a:fld id="{833E55F5-B751-427B-8DF7-1E158B753221}" type="CELLRANGE">
                      <a:rPr lang="es-ES_tradnl"/>
                      <a:pPr/>
                      <a:t>[CELLRANGE]</a:t>
                    </a:fld>
                    <a:endParaRPr lang="es-ES_tradnl"/>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A00C-469F-9DD1-FBB35DDA3021}"/>
                </c:ext>
              </c:extLst>
            </c:dLbl>
            <c:dLbl>
              <c:idx val="12"/>
              <c:tx>
                <c:rich>
                  <a:bodyPr/>
                  <a:lstStyle/>
                  <a:p>
                    <a:fld id="{C9A9E786-2EA8-4EC1-A74F-55FEC9DA24CB}" type="CELLRANGE">
                      <a:rPr lang="es-ES_tradnl"/>
                      <a:pPr/>
                      <a:t>[CELLRANGE]</a:t>
                    </a:fld>
                    <a:endParaRPr lang="es-ES_tradnl"/>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A00C-469F-9DD1-FBB35DDA3021}"/>
                </c:ext>
              </c:extLst>
            </c:dLbl>
            <c:dLbl>
              <c:idx val="13"/>
              <c:tx>
                <c:rich>
                  <a:bodyPr/>
                  <a:lstStyle/>
                  <a:p>
                    <a:fld id="{5470C6DF-9B8F-4B6E-9472-1020361565DA}" type="CELLRANGE">
                      <a:rPr lang="es-ES_tradnl"/>
                      <a:pPr/>
                      <a:t>[CELLRANGE]</a:t>
                    </a:fld>
                    <a:endParaRPr lang="es-ES_tradnl"/>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A00C-469F-9DD1-FBB35DDA3021}"/>
                </c:ext>
              </c:extLst>
            </c:dLbl>
            <c:dLbl>
              <c:idx val="14"/>
              <c:tx>
                <c:rich>
                  <a:bodyPr/>
                  <a:lstStyle/>
                  <a:p>
                    <a:fld id="{F2A6F50B-90B5-42EB-B3BD-B00598E6907F}" type="CELLRANGE">
                      <a:rPr lang="es-ES_tradnl"/>
                      <a:pPr/>
                      <a:t>[CELLRANGE]</a:t>
                    </a:fld>
                    <a:endParaRPr lang="es-ES_tradnl"/>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A00C-469F-9DD1-FBB35DDA3021}"/>
                </c:ext>
              </c:extLst>
            </c:dLbl>
            <c:dLbl>
              <c:idx val="15"/>
              <c:tx>
                <c:rich>
                  <a:bodyPr/>
                  <a:lstStyle/>
                  <a:p>
                    <a:fld id="{74C0B3F6-5EFD-4ADC-BE99-7DB7A423B833}" type="CELLRANGE">
                      <a:rPr lang="es-ES_tradnl"/>
                      <a:pPr/>
                      <a:t>[CELLRANGE]</a:t>
                    </a:fld>
                    <a:endParaRPr lang="es-ES_tradnl"/>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A00C-469F-9DD1-FBB35DDA3021}"/>
                </c:ext>
              </c:extLst>
            </c:dLbl>
            <c:dLbl>
              <c:idx val="16"/>
              <c:tx>
                <c:rich>
                  <a:bodyPr/>
                  <a:lstStyle/>
                  <a:p>
                    <a:fld id="{F2952793-FDCE-4745-84AD-D473A75E0473}" type="CELLRANGE">
                      <a:rPr lang="es-ES_tradnl"/>
                      <a:pPr/>
                      <a:t>[CELLRANGE]</a:t>
                    </a:fld>
                    <a:endParaRPr lang="es-ES_tradnl"/>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A00C-469F-9DD1-FBB35DDA3021}"/>
                </c:ext>
              </c:extLst>
            </c:dLbl>
            <c:dLbl>
              <c:idx val="17"/>
              <c:tx>
                <c:rich>
                  <a:bodyPr/>
                  <a:lstStyle/>
                  <a:p>
                    <a:fld id="{7624D709-1FDB-4761-AC38-58DC7BC1E410}" type="CELLRANGE">
                      <a:rPr lang="es-ES_tradnl"/>
                      <a:pPr/>
                      <a:t>[CELLRANGE]</a:t>
                    </a:fld>
                    <a:endParaRPr lang="es-ES_tradnl"/>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A00C-469F-9DD1-FBB35DDA3021}"/>
                </c:ext>
              </c:extLst>
            </c:dLbl>
            <c:dLbl>
              <c:idx val="18"/>
              <c:tx>
                <c:rich>
                  <a:bodyPr/>
                  <a:lstStyle/>
                  <a:p>
                    <a:fld id="{A96121CB-3864-41BE-B8B5-629221D6D48F}" type="CELLRANGE">
                      <a:rPr lang="es-ES_tradnl"/>
                      <a:pPr/>
                      <a:t>[CELLRANGE]</a:t>
                    </a:fld>
                    <a:endParaRPr lang="es-ES_tradnl"/>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A00C-469F-9DD1-FBB35DDA3021}"/>
                </c:ext>
              </c:extLst>
            </c:dLbl>
            <c:dLbl>
              <c:idx val="19"/>
              <c:tx>
                <c:rich>
                  <a:bodyPr/>
                  <a:lstStyle/>
                  <a:p>
                    <a:fld id="{014EB960-5B72-4310-8B77-91777F6EE348}" type="CELLRANGE">
                      <a:rPr lang="es-ES_tradnl"/>
                      <a:pPr/>
                      <a:t>[CELLRANGE]</a:t>
                    </a:fld>
                    <a:endParaRPr lang="es-ES_tradnl"/>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A00C-469F-9DD1-FBB35DDA3021}"/>
                </c:ext>
              </c:extLst>
            </c:dLbl>
            <c:dLbl>
              <c:idx val="20"/>
              <c:tx>
                <c:rich>
                  <a:bodyPr/>
                  <a:lstStyle/>
                  <a:p>
                    <a:fld id="{99ED9CE5-74DF-4893-B221-67517C97D4E4}" type="CELLRANGE">
                      <a:rPr lang="es-ES_tradnl"/>
                      <a:pPr/>
                      <a:t>[CELLRANGE]</a:t>
                    </a:fld>
                    <a:endParaRPr lang="es-ES_tradnl"/>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A00C-469F-9DD1-FBB35DDA3021}"/>
                </c:ext>
              </c:extLst>
            </c:dLbl>
            <c:dLbl>
              <c:idx val="21"/>
              <c:tx>
                <c:rich>
                  <a:bodyPr/>
                  <a:lstStyle/>
                  <a:p>
                    <a:fld id="{966E8AD2-DF19-4381-98C7-BA3804B80BAF}" type="CELLRANGE">
                      <a:rPr lang="es-ES_tradnl"/>
                      <a:pPr/>
                      <a:t>[CELLRANGE]</a:t>
                    </a:fld>
                    <a:endParaRPr lang="es-ES_tradnl"/>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A00C-469F-9DD1-FBB35DDA3021}"/>
                </c:ext>
              </c:extLst>
            </c:dLbl>
            <c:dLbl>
              <c:idx val="22"/>
              <c:tx>
                <c:rich>
                  <a:bodyPr/>
                  <a:lstStyle/>
                  <a:p>
                    <a:fld id="{4430ACD8-34A1-4AEA-B0E3-788C659C6860}" type="CELLRANGE">
                      <a:rPr lang="es-ES_tradnl"/>
                      <a:pPr/>
                      <a:t>[CELLRANGE]</a:t>
                    </a:fld>
                    <a:endParaRPr lang="es-ES_tradnl"/>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A00C-469F-9DD1-FBB35DDA3021}"/>
                </c:ext>
              </c:extLst>
            </c:dLbl>
            <c:dLbl>
              <c:idx val="23"/>
              <c:tx>
                <c:rich>
                  <a:bodyPr/>
                  <a:lstStyle/>
                  <a:p>
                    <a:fld id="{B351E42B-1A26-4D45-9957-6589A36ABE7C}" type="CELLRANGE">
                      <a:rPr lang="es-ES_tradnl"/>
                      <a:pPr/>
                      <a:t>[CELLRANGE]</a:t>
                    </a:fld>
                    <a:endParaRPr lang="es-ES_tradnl"/>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A00C-469F-9DD1-FBB35DDA3021}"/>
                </c:ext>
              </c:extLst>
            </c:dLbl>
            <c:dLbl>
              <c:idx val="24"/>
              <c:tx>
                <c:rich>
                  <a:bodyPr/>
                  <a:lstStyle/>
                  <a:p>
                    <a:fld id="{798046F1-69E5-4959-ABA1-769416BA461D}" type="CELLRANGE">
                      <a:rPr lang="es-ES_tradnl"/>
                      <a:pPr/>
                      <a:t>[CELLRANGE]</a:t>
                    </a:fld>
                    <a:endParaRPr lang="es-ES_tradnl"/>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A00C-469F-9DD1-FBB35DDA3021}"/>
                </c:ext>
              </c:extLst>
            </c:dLbl>
            <c:dLbl>
              <c:idx val="25"/>
              <c:tx>
                <c:rich>
                  <a:bodyPr/>
                  <a:lstStyle/>
                  <a:p>
                    <a:fld id="{4106A611-F78A-4393-AC44-E38C929EFDF5}" type="CELLRANGE">
                      <a:rPr lang="es-ES_tradnl"/>
                      <a:pPr/>
                      <a:t>[CELLRANGE]</a:t>
                    </a:fld>
                    <a:endParaRPr lang="es-ES_tradnl"/>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A00C-469F-9DD1-FBB35DDA3021}"/>
                </c:ext>
              </c:extLst>
            </c:dLbl>
            <c:dLbl>
              <c:idx val="26"/>
              <c:tx>
                <c:rich>
                  <a:bodyPr/>
                  <a:lstStyle/>
                  <a:p>
                    <a:fld id="{A4CB3472-2840-43E2-BB2C-C19BBCDCBB7D}" type="CELLRANGE">
                      <a:rPr lang="es-ES_tradnl"/>
                      <a:pPr/>
                      <a:t>[CELLRANGE]</a:t>
                    </a:fld>
                    <a:endParaRPr lang="es-ES_tradnl"/>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A00C-469F-9DD1-FBB35DDA3021}"/>
                </c:ext>
              </c:extLst>
            </c:dLbl>
            <c:dLbl>
              <c:idx val="27"/>
              <c:tx>
                <c:rich>
                  <a:bodyPr/>
                  <a:lstStyle/>
                  <a:p>
                    <a:fld id="{6DE95FF2-49FD-4249-B6A2-F18E93FF9732}" type="CELLRANGE">
                      <a:rPr lang="es-ES_tradnl"/>
                      <a:pPr/>
                      <a:t>[CELLRANGE]</a:t>
                    </a:fld>
                    <a:endParaRPr lang="es-ES_tradnl"/>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E-A00C-469F-9DD1-FBB35DDA3021}"/>
                </c:ext>
              </c:extLst>
            </c:dLbl>
            <c:dLbl>
              <c:idx val="28"/>
              <c:tx>
                <c:rich>
                  <a:bodyPr/>
                  <a:lstStyle/>
                  <a:p>
                    <a:fld id="{3EF3430E-B583-4BF2-97D8-F67F368CC9F0}" type="CELLRANGE">
                      <a:rPr lang="es-ES_tradnl"/>
                      <a:pPr/>
                      <a:t>[CELLRANGE]</a:t>
                    </a:fld>
                    <a:endParaRPr lang="es-ES_tradnl"/>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A00C-469F-9DD1-FBB35DDA3021}"/>
                </c:ext>
              </c:extLst>
            </c:dLbl>
            <c:spPr>
              <a:noFill/>
              <a:ln>
                <a:noFill/>
              </a:ln>
              <a:effectLst/>
            </c:spPr>
            <c:txPr>
              <a:bodyPr wrap="square" lIns="38100" tIns="19050" rIns="38100" bIns="19050" anchor="ctr">
                <a:spAutoFit/>
              </a:bodyPr>
              <a:lstStyle/>
              <a:p>
                <a:pPr>
                  <a:defRPr sz="900">
                    <a:solidFill>
                      <a:schemeClr val="bg1"/>
                    </a:solidFill>
                  </a:defRPr>
                </a:pPr>
                <a:endParaRPr lang="es-ES_tradnl"/>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'1Cross'!$B$113:$B$141</c:f>
              <c:numCache>
                <c:formatCode>0.000</c:formatCode>
                <c:ptCount val="29"/>
                <c:pt idx="0">
                  <c:v>1.97</c:v>
                </c:pt>
                <c:pt idx="1">
                  <c:v>1.62</c:v>
                </c:pt>
                <c:pt idx="2">
                  <c:v>2.2435648143034013</c:v>
                </c:pt>
                <c:pt idx="3">
                  <c:v>1.88</c:v>
                </c:pt>
                <c:pt idx="4">
                  <c:v>1.46</c:v>
                </c:pt>
                <c:pt idx="5">
                  <c:v>2.21</c:v>
                </c:pt>
                <c:pt idx="6">
                  <c:v>1.88</c:v>
                </c:pt>
                <c:pt idx="7">
                  <c:v>1.48</c:v>
                </c:pt>
                <c:pt idx="8">
                  <c:v>1.68</c:v>
                </c:pt>
                <c:pt idx="9">
                  <c:v>2.7450826919490132</c:v>
                </c:pt>
                <c:pt idx="10">
                  <c:v>1.8</c:v>
                </c:pt>
                <c:pt idx="11">
                  <c:v>2.04</c:v>
                </c:pt>
                <c:pt idx="12">
                  <c:v>1.85</c:v>
                </c:pt>
                <c:pt idx="13">
                  <c:v>1.3217813545180088</c:v>
                </c:pt>
                <c:pt idx="14">
                  <c:v>2.2400000000000002</c:v>
                </c:pt>
                <c:pt idx="15">
                  <c:v>1.31</c:v>
                </c:pt>
                <c:pt idx="16">
                  <c:v>1.9839505060927796</c:v>
                </c:pt>
                <c:pt idx="17">
                  <c:v>2</c:v>
                </c:pt>
                <c:pt idx="18">
                  <c:v>2.15</c:v>
                </c:pt>
                <c:pt idx="19">
                  <c:v>2.14</c:v>
                </c:pt>
                <c:pt idx="20">
                  <c:v>2.4300000000000002</c:v>
                </c:pt>
                <c:pt idx="21">
                  <c:v>0</c:v>
                </c:pt>
                <c:pt idx="22">
                  <c:v>0</c:v>
                </c:pt>
                <c:pt idx="23">
                  <c:v>0</c:v>
                </c:pt>
                <c:pt idx="24">
                  <c:v>0</c:v>
                </c:pt>
                <c:pt idx="25">
                  <c:v>0</c:v>
                </c:pt>
                <c:pt idx="26">
                  <c:v>0</c:v>
                </c:pt>
                <c:pt idx="27">
                  <c:v>0</c:v>
                </c:pt>
                <c:pt idx="28">
                  <c:v>0</c:v>
                </c:pt>
              </c:numCache>
            </c:numRef>
          </c:xVal>
          <c:yVal>
            <c:numRef>
              <c:f>'1Cross'!$D$113:$D$141</c:f>
              <c:numCache>
                <c:formatCode>0.000</c:formatCode>
                <c:ptCount val="29"/>
                <c:pt idx="0">
                  <c:v>1.8933826254078019</c:v>
                </c:pt>
                <c:pt idx="1">
                  <c:v>2.0517922219005911</c:v>
                </c:pt>
                <c:pt idx="2">
                  <c:v>2.2435648143034013</c:v>
                </c:pt>
                <c:pt idx="3">
                  <c:v>1.8850935414322816</c:v>
                </c:pt>
                <c:pt idx="4">
                  <c:v>1.749805452964974</c:v>
                </c:pt>
                <c:pt idx="5">
                  <c:v>2.1113042975714551</c:v>
                </c:pt>
                <c:pt idx="6">
                  <c:v>2.0628483961087243</c:v>
                </c:pt>
                <c:pt idx="7">
                  <c:v>1.7219194129619515</c:v>
                </c:pt>
                <c:pt idx="8">
                  <c:v>1.5426456116953331</c:v>
                </c:pt>
                <c:pt idx="9">
                  <c:v>2.7450826919490132</c:v>
                </c:pt>
                <c:pt idx="10">
                  <c:v>1.3548989756827889</c:v>
                </c:pt>
                <c:pt idx="11">
                  <c:v>1.9918082564305868</c:v>
                </c:pt>
                <c:pt idx="12">
                  <c:v>1.8536241066957808</c:v>
                </c:pt>
                <c:pt idx="13">
                  <c:v>1.3217813545180088</c:v>
                </c:pt>
                <c:pt idx="14">
                  <c:v>1.9079718457696586</c:v>
                </c:pt>
                <c:pt idx="15">
                  <c:v>1.4597225848100328</c:v>
                </c:pt>
                <c:pt idx="16">
                  <c:v>1.9839505060927796</c:v>
                </c:pt>
                <c:pt idx="17">
                  <c:v>2.3227113347668173</c:v>
                </c:pt>
                <c:pt idx="18">
                  <c:v>2.1023817837650527</c:v>
                </c:pt>
                <c:pt idx="19">
                  <c:v>2.234647503442206</c:v>
                </c:pt>
                <c:pt idx="20">
                  <c:v>1.8514554439277999</c:v>
                </c:pt>
                <c:pt idx="21">
                  <c:v>0</c:v>
                </c:pt>
                <c:pt idx="22">
                  <c:v>0</c:v>
                </c:pt>
                <c:pt idx="23">
                  <c:v>0</c:v>
                </c:pt>
                <c:pt idx="24">
                  <c:v>0</c:v>
                </c:pt>
                <c:pt idx="25">
                  <c:v>0</c:v>
                </c:pt>
                <c:pt idx="26">
                  <c:v>0</c:v>
                </c:pt>
                <c:pt idx="27">
                  <c:v>0</c:v>
                </c:pt>
                <c:pt idx="28">
                  <c:v>0</c:v>
                </c:pt>
              </c:numCache>
            </c:numRef>
          </c:yVal>
          <c:smooth val="0"/>
          <c:extLst>
            <c:ext xmlns:c15="http://schemas.microsoft.com/office/drawing/2012/chart" uri="{02D57815-91ED-43cb-92C2-25804820EDAC}">
              <c15:datalabelsRange>
                <c15:f>'1Cross'!$A$113:$A$141</c15:f>
                <c15:dlblRangeCache>
                  <c:ptCount val="29"/>
                  <c:pt idx="0">
                    <c:v>AT</c:v>
                  </c:pt>
                  <c:pt idx="1">
                    <c:v>BE</c:v>
                  </c:pt>
                  <c:pt idx="2">
                    <c:v>CY</c:v>
                  </c:pt>
                  <c:pt idx="3">
                    <c:v>DE</c:v>
                  </c:pt>
                  <c:pt idx="4">
                    <c:v>EE</c:v>
                  </c:pt>
                  <c:pt idx="5">
                    <c:v>EL</c:v>
                  </c:pt>
                  <c:pt idx="6">
                    <c:v>ES</c:v>
                  </c:pt>
                  <c:pt idx="7">
                    <c:v>FI</c:v>
                  </c:pt>
                  <c:pt idx="8">
                    <c:v>FR</c:v>
                  </c:pt>
                  <c:pt idx="9">
                    <c:v>HR</c:v>
                  </c:pt>
                  <c:pt idx="10">
                    <c:v>HU</c:v>
                  </c:pt>
                  <c:pt idx="11">
                    <c:v>IE</c:v>
                  </c:pt>
                  <c:pt idx="12">
                    <c:v>IT</c:v>
                  </c:pt>
                  <c:pt idx="13">
                    <c:v>LT</c:v>
                  </c:pt>
                  <c:pt idx="14">
                    <c:v>LU</c:v>
                  </c:pt>
                  <c:pt idx="15">
                    <c:v>LV</c:v>
                  </c:pt>
                  <c:pt idx="16">
                    <c:v>MT</c:v>
                  </c:pt>
                  <c:pt idx="17">
                    <c:v>NL</c:v>
                  </c:pt>
                  <c:pt idx="18">
                    <c:v>PT</c:v>
                  </c:pt>
                  <c:pt idx="19">
                    <c:v>SI</c:v>
                  </c:pt>
                  <c:pt idx="20">
                    <c:v>SK</c:v>
                  </c:pt>
                  <c:pt idx="21">
                    <c:v>BG</c:v>
                  </c:pt>
                  <c:pt idx="22">
                    <c:v>CZ</c:v>
                  </c:pt>
                  <c:pt idx="23">
                    <c:v>DK</c:v>
                  </c:pt>
                  <c:pt idx="24">
                    <c:v>EA</c:v>
                  </c:pt>
                  <c:pt idx="25">
                    <c:v>EA(w)</c:v>
                  </c:pt>
                  <c:pt idx="26">
                    <c:v>PL</c:v>
                  </c:pt>
                  <c:pt idx="27">
                    <c:v>RO</c:v>
                  </c:pt>
                  <c:pt idx="28">
                    <c:v>SE</c:v>
                  </c:pt>
                </c15:dlblRangeCache>
              </c15:datalabelsRange>
            </c:ext>
            <c:ext xmlns:c16="http://schemas.microsoft.com/office/drawing/2014/chart" uri="{C3380CC4-5D6E-409C-BE32-E72D297353CC}">
              <c16:uniqueId val="{00000015-A00C-469F-9DD1-FBB35DDA3021}"/>
            </c:ext>
          </c:extLst>
        </c:ser>
        <c:ser>
          <c:idx val="1"/>
          <c:order val="1"/>
          <c:spPr>
            <a:ln w="19050">
              <a:noFill/>
            </a:ln>
          </c:spPr>
          <c:marker>
            <c:symbol val="none"/>
          </c:marker>
          <c:dLbls>
            <c:delete val="1"/>
          </c:dLbls>
          <c:trendline>
            <c:spPr>
              <a:ln w="22225">
                <a:solidFill>
                  <a:schemeClr val="tx1">
                    <a:lumMod val="65000"/>
                    <a:lumOff val="35000"/>
                    <a:alpha val="80000"/>
                  </a:schemeClr>
                </a:solidFill>
                <a:prstDash val="dash"/>
              </a:ln>
            </c:spPr>
            <c:trendlineType val="linear"/>
            <c:dispRSqr val="0"/>
            <c:dispEq val="0"/>
          </c:trendline>
          <c:xVal>
            <c:numRef>
              <c:f>'1Cross'!$B$113:$B$141</c:f>
              <c:numCache>
                <c:formatCode>0.000</c:formatCode>
                <c:ptCount val="29"/>
                <c:pt idx="0">
                  <c:v>1.97</c:v>
                </c:pt>
                <c:pt idx="1">
                  <c:v>1.62</c:v>
                </c:pt>
                <c:pt idx="2">
                  <c:v>2.2435648143034013</c:v>
                </c:pt>
                <c:pt idx="3">
                  <c:v>1.88</c:v>
                </c:pt>
                <c:pt idx="4">
                  <c:v>1.46</c:v>
                </c:pt>
                <c:pt idx="5">
                  <c:v>2.21</c:v>
                </c:pt>
                <c:pt idx="6">
                  <c:v>1.88</c:v>
                </c:pt>
                <c:pt idx="7">
                  <c:v>1.48</c:v>
                </c:pt>
                <c:pt idx="8">
                  <c:v>1.68</c:v>
                </c:pt>
                <c:pt idx="9">
                  <c:v>2.7450826919490132</c:v>
                </c:pt>
                <c:pt idx="10">
                  <c:v>1.8</c:v>
                </c:pt>
                <c:pt idx="11">
                  <c:v>2.04</c:v>
                </c:pt>
                <c:pt idx="12">
                  <c:v>1.85</c:v>
                </c:pt>
                <c:pt idx="13">
                  <c:v>1.3217813545180088</c:v>
                </c:pt>
                <c:pt idx="14">
                  <c:v>2.2400000000000002</c:v>
                </c:pt>
                <c:pt idx="15">
                  <c:v>1.31</c:v>
                </c:pt>
                <c:pt idx="16">
                  <c:v>1.9839505060927796</c:v>
                </c:pt>
                <c:pt idx="17">
                  <c:v>2</c:v>
                </c:pt>
                <c:pt idx="18">
                  <c:v>2.15</c:v>
                </c:pt>
                <c:pt idx="19">
                  <c:v>2.14</c:v>
                </c:pt>
                <c:pt idx="20">
                  <c:v>2.4300000000000002</c:v>
                </c:pt>
                <c:pt idx="21">
                  <c:v>0</c:v>
                </c:pt>
                <c:pt idx="22">
                  <c:v>0</c:v>
                </c:pt>
                <c:pt idx="23">
                  <c:v>0</c:v>
                </c:pt>
                <c:pt idx="24">
                  <c:v>0</c:v>
                </c:pt>
                <c:pt idx="25">
                  <c:v>0</c:v>
                </c:pt>
                <c:pt idx="26">
                  <c:v>0</c:v>
                </c:pt>
                <c:pt idx="27">
                  <c:v>0</c:v>
                </c:pt>
                <c:pt idx="28">
                  <c:v>0</c:v>
                </c:pt>
              </c:numCache>
            </c:numRef>
          </c:xVal>
          <c:yVal>
            <c:numRef>
              <c:f>'1Cross'!$E$113:$E$141</c:f>
              <c:numCache>
                <c:formatCode>0.000</c:formatCode>
                <c:ptCount val="29"/>
                <c:pt idx="0">
                  <c:v>1.97</c:v>
                </c:pt>
                <c:pt idx="1">
                  <c:v>1.62</c:v>
                </c:pt>
                <c:pt idx="2">
                  <c:v>2.2435648143034013</c:v>
                </c:pt>
                <c:pt idx="3">
                  <c:v>1.88</c:v>
                </c:pt>
                <c:pt idx="4">
                  <c:v>1.46</c:v>
                </c:pt>
                <c:pt idx="5">
                  <c:v>2.21</c:v>
                </c:pt>
                <c:pt idx="6">
                  <c:v>1.88</c:v>
                </c:pt>
                <c:pt idx="7">
                  <c:v>1.48</c:v>
                </c:pt>
                <c:pt idx="8">
                  <c:v>1.68</c:v>
                </c:pt>
                <c:pt idx="9">
                  <c:v>2.7450826919490132</c:v>
                </c:pt>
                <c:pt idx="10">
                  <c:v>1.8</c:v>
                </c:pt>
                <c:pt idx="11">
                  <c:v>2.04</c:v>
                </c:pt>
                <c:pt idx="12">
                  <c:v>1.85</c:v>
                </c:pt>
                <c:pt idx="13">
                  <c:v>1.3217813545180088</c:v>
                </c:pt>
                <c:pt idx="14">
                  <c:v>2.2400000000000002</c:v>
                </c:pt>
                <c:pt idx="15">
                  <c:v>1.31</c:v>
                </c:pt>
                <c:pt idx="16">
                  <c:v>1.9839505060927796</c:v>
                </c:pt>
                <c:pt idx="17">
                  <c:v>2</c:v>
                </c:pt>
                <c:pt idx="18">
                  <c:v>2.15</c:v>
                </c:pt>
                <c:pt idx="19">
                  <c:v>2.14</c:v>
                </c:pt>
                <c:pt idx="20">
                  <c:v>2.4300000000000002</c:v>
                </c:pt>
                <c:pt idx="21">
                  <c:v>0</c:v>
                </c:pt>
                <c:pt idx="22">
                  <c:v>0</c:v>
                </c:pt>
                <c:pt idx="23">
                  <c:v>0</c:v>
                </c:pt>
                <c:pt idx="24">
                  <c:v>0</c:v>
                </c:pt>
                <c:pt idx="25">
                  <c:v>0</c:v>
                </c:pt>
                <c:pt idx="26">
                  <c:v>0</c:v>
                </c:pt>
                <c:pt idx="27">
                  <c:v>0</c:v>
                </c:pt>
                <c:pt idx="28">
                  <c:v>0</c:v>
                </c:pt>
              </c:numCache>
            </c:numRef>
          </c:yVal>
          <c:smooth val="0"/>
          <c:extLst>
            <c:ext xmlns:c16="http://schemas.microsoft.com/office/drawing/2014/chart" uri="{C3380CC4-5D6E-409C-BE32-E72D297353CC}">
              <c16:uniqueId val="{00000017-A00C-469F-9DD1-FBB35DDA3021}"/>
            </c:ext>
          </c:extLst>
        </c:ser>
        <c:dLbls>
          <c:dLblPos val="t"/>
          <c:showLegendKey val="0"/>
          <c:showVal val="1"/>
          <c:showCatName val="0"/>
          <c:showSerName val="0"/>
          <c:showPercent val="0"/>
          <c:showBubbleSize val="0"/>
        </c:dLbls>
        <c:axId val="213695663"/>
        <c:axId val="300820575"/>
      </c:scatterChart>
      <c:valAx>
        <c:axId val="213695663"/>
        <c:scaling>
          <c:orientation val="minMax"/>
          <c:max val="2.75"/>
          <c:min val="1.25"/>
        </c:scaling>
        <c:delete val="0"/>
        <c:axPos val="b"/>
        <c:majorGridlines>
          <c:spPr>
            <a:ln>
              <a:solidFill>
                <a:schemeClr val="bg2">
                  <a:lumMod val="90000"/>
                </a:schemeClr>
              </a:solidFill>
            </a:ln>
          </c:spPr>
        </c:majorGridlines>
        <c:title>
          <c:tx>
            <c:rich>
              <a:bodyPr/>
              <a:lstStyle/>
              <a:p>
                <a:pPr>
                  <a:defRPr/>
                </a:pPr>
                <a:r>
                  <a:rPr lang="es-ES_tradnl"/>
                  <a:t>TTB elasticity</a:t>
                </a:r>
                <a:r>
                  <a:rPr lang="es-ES_tradnl" baseline="0"/>
                  <a:t> (Price at al. 2015)</a:t>
                </a:r>
                <a:endParaRPr lang="es-ES_tradnl"/>
              </a:p>
            </c:rich>
          </c:tx>
          <c:overlay val="0"/>
        </c:title>
        <c:numFmt formatCode="#,##0.00" sourceLinked="0"/>
        <c:majorTickMark val="out"/>
        <c:minorTickMark val="none"/>
        <c:tickLblPos val="nextTo"/>
        <c:spPr>
          <a:ln>
            <a:solidFill>
              <a:schemeClr val="tx1"/>
            </a:solidFill>
          </a:ln>
        </c:spPr>
        <c:crossAx val="300820575"/>
        <c:crosses val="autoZero"/>
        <c:crossBetween val="midCat"/>
        <c:majorUnit val="0.25"/>
      </c:valAx>
      <c:valAx>
        <c:axId val="300820575"/>
        <c:scaling>
          <c:orientation val="minMax"/>
          <c:max val="2.75"/>
          <c:min val="1.25"/>
        </c:scaling>
        <c:delete val="0"/>
        <c:axPos val="l"/>
        <c:majorGridlines>
          <c:spPr>
            <a:ln>
              <a:solidFill>
                <a:schemeClr val="bg2">
                  <a:lumMod val="90000"/>
                </a:schemeClr>
              </a:solidFill>
            </a:ln>
          </c:spPr>
        </c:majorGridlines>
        <c:title>
          <c:tx>
            <c:rich>
              <a:bodyPr/>
              <a:lstStyle/>
              <a:p>
                <a:pPr>
                  <a:defRPr>
                    <a:solidFill>
                      <a:sysClr val="windowText" lastClr="000000"/>
                    </a:solidFill>
                  </a:defRPr>
                </a:pPr>
                <a:r>
                  <a:rPr lang="es-ES_tradnl">
                    <a:solidFill>
                      <a:sysClr val="windowText" lastClr="000000"/>
                    </a:solidFill>
                  </a:rPr>
                  <a:t>2019 TTB elasticties</a:t>
                </a:r>
                <a:r>
                  <a:rPr lang="es-ES_tradnl" baseline="0">
                    <a:solidFill>
                      <a:sysClr val="windowText" lastClr="000000"/>
                    </a:solidFill>
                  </a:rPr>
                  <a:t> (own estimation)</a:t>
                </a:r>
                <a:endParaRPr lang="es-ES_tradnl">
                  <a:solidFill>
                    <a:sysClr val="windowText" lastClr="000000"/>
                  </a:solidFill>
                </a:endParaRPr>
              </a:p>
            </c:rich>
          </c:tx>
          <c:overlay val="0"/>
        </c:title>
        <c:numFmt formatCode="#,##0.00" sourceLinked="0"/>
        <c:majorTickMark val="out"/>
        <c:minorTickMark val="none"/>
        <c:tickLblPos val="nextTo"/>
        <c:spPr>
          <a:ln>
            <a:solidFill>
              <a:schemeClr val="tx1"/>
            </a:solidFill>
          </a:ln>
        </c:spPr>
        <c:crossAx val="213695663"/>
        <c:crosses val="autoZero"/>
        <c:crossBetween val="midCat"/>
        <c:majorUnit val="0.25"/>
      </c:valAx>
      <c:spPr>
        <a:noFill/>
        <a:ln w="25400">
          <a:noFill/>
        </a:ln>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ln>
      <a:noFill/>
    </a:ln>
  </c:spPr>
  <c:txPr>
    <a:bodyPr/>
    <a:lstStyle/>
    <a:p>
      <a:pPr>
        <a:defRPr b="0">
          <a:latin typeface="Times New Roman" panose="02020603050405020304" pitchFamily="18" charset="0"/>
          <a:cs typeface="Times New Roman" panose="02020603050405020304" pitchFamily="18" charset="0"/>
        </a:defRPr>
      </a:pPr>
      <a:endParaRPr lang="es-ES_tradnl"/>
    </a:p>
  </c:txPr>
  <c:printSettings>
    <c:headerFooter/>
    <c:pageMargins b="0.75" l="0.25" r="0.25" t="0.75" header="0.3" footer="0.3"/>
    <c:pageSetup paperSize="9" orientation="landscape"/>
  </c:printSettings>
</c:chartSpace>
</file>

<file path=xl/charts/chart8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609381405572292"/>
          <c:y val="4.6087571003560986E-2"/>
          <c:w val="0.84406202714258949"/>
          <c:h val="0.72063806048193679"/>
        </c:manualLayout>
      </c:layout>
      <c:lineChart>
        <c:grouping val="standard"/>
        <c:varyColors val="0"/>
        <c:ser>
          <c:idx val="0"/>
          <c:order val="0"/>
          <c:tx>
            <c:strRef>
              <c:f>'1Cross'!$G$364</c:f>
              <c:strCache>
                <c:ptCount val="1"/>
                <c:pt idx="0">
                  <c:v>TTB elasticity bottom half</c:v>
                </c:pt>
              </c:strCache>
            </c:strRef>
          </c:tx>
          <c:spPr>
            <a:ln w="25400" cap="rnd">
              <a:noFill/>
              <a:round/>
            </a:ln>
            <a:effectLst/>
          </c:spPr>
          <c:marker>
            <c:symbol val="circle"/>
            <c:size val="7"/>
            <c:spPr>
              <a:solidFill>
                <a:schemeClr val="tx1">
                  <a:lumMod val="75000"/>
                  <a:lumOff val="25000"/>
                </a:schemeClr>
              </a:solidFill>
              <a:ln w="9525">
                <a:solidFill>
                  <a:schemeClr val="tx1">
                    <a:lumMod val="75000"/>
                    <a:lumOff val="25000"/>
                    <a:alpha val="99000"/>
                  </a:schemeClr>
                </a:solidFill>
              </a:ln>
              <a:effectLst/>
            </c:spPr>
          </c:marker>
          <c:cat>
            <c:strRef>
              <c:extLst>
                <c:ext xmlns:c15="http://schemas.microsoft.com/office/drawing/2012/chart" uri="{02D57815-91ED-43cb-92C2-25804820EDAC}">
                  <c15:fullRef>
                    <c15:sqref>'1Cross'!$F$365:$F$393</c15:sqref>
                  </c15:fullRef>
                </c:ext>
              </c:extLst>
              <c:f>'1Cross'!$F$365:$F$385</c:f>
              <c:strCache>
                <c:ptCount val="21"/>
                <c:pt idx="0">
                  <c:v>FR</c:v>
                </c:pt>
                <c:pt idx="1">
                  <c:v>HU</c:v>
                </c:pt>
                <c:pt idx="2">
                  <c:v>LT</c:v>
                </c:pt>
                <c:pt idx="3">
                  <c:v>FI</c:v>
                </c:pt>
                <c:pt idx="4">
                  <c:v>EL</c:v>
                </c:pt>
                <c:pt idx="5">
                  <c:v>SK</c:v>
                </c:pt>
                <c:pt idx="6">
                  <c:v>NL</c:v>
                </c:pt>
                <c:pt idx="7">
                  <c:v>LV</c:v>
                </c:pt>
                <c:pt idx="8">
                  <c:v>DE</c:v>
                </c:pt>
                <c:pt idx="9">
                  <c:v>IT</c:v>
                </c:pt>
                <c:pt idx="10">
                  <c:v>SI</c:v>
                </c:pt>
                <c:pt idx="11">
                  <c:v>IE</c:v>
                </c:pt>
                <c:pt idx="12">
                  <c:v>MT</c:v>
                </c:pt>
                <c:pt idx="13">
                  <c:v>HR</c:v>
                </c:pt>
                <c:pt idx="14">
                  <c:v>EE</c:v>
                </c:pt>
                <c:pt idx="15">
                  <c:v>LU</c:v>
                </c:pt>
                <c:pt idx="16">
                  <c:v>AT</c:v>
                </c:pt>
                <c:pt idx="17">
                  <c:v>BE</c:v>
                </c:pt>
                <c:pt idx="18">
                  <c:v>ES</c:v>
                </c:pt>
                <c:pt idx="19">
                  <c:v>PT</c:v>
                </c:pt>
                <c:pt idx="20">
                  <c:v>CY</c:v>
                </c:pt>
              </c:strCache>
            </c:strRef>
          </c:cat>
          <c:val>
            <c:numRef>
              <c:extLst>
                <c:ext xmlns:c15="http://schemas.microsoft.com/office/drawing/2012/chart" uri="{02D57815-91ED-43cb-92C2-25804820EDAC}">
                  <c15:fullRef>
                    <c15:sqref>'1Cross'!$G$365:$G$393</c15:sqref>
                  </c15:fullRef>
                </c:ext>
              </c:extLst>
              <c:f>'1Cross'!$G$365:$G$385</c:f>
              <c:numCache>
                <c:formatCode>0.000</c:formatCode>
                <c:ptCount val="21"/>
                <c:pt idx="0">
                  <c:v>1.5711183727303635</c:v>
                </c:pt>
                <c:pt idx="1">
                  <c:v>1.1696277288001595</c:v>
                </c:pt>
                <c:pt idx="2">
                  <c:v>1.7626264046682829</c:v>
                </c:pt>
                <c:pt idx="3">
                  <c:v>2.1799294844435311</c:v>
                </c:pt>
                <c:pt idx="4">
                  <c:v>2.3734793654182211</c:v>
                </c:pt>
                <c:pt idx="5">
                  <c:v>2.4389107198055124</c:v>
                </c:pt>
                <c:pt idx="6">
                  <c:v>3.1382840000543819</c:v>
                </c:pt>
                <c:pt idx="7">
                  <c:v>2.490349201709722</c:v>
                </c:pt>
                <c:pt idx="8">
                  <c:v>2.9128939897736141</c:v>
                </c:pt>
                <c:pt idx="9">
                  <c:v>3.2006132967754821</c:v>
                </c:pt>
                <c:pt idx="10">
                  <c:v>3.2369074596856535</c:v>
                </c:pt>
                <c:pt idx="11">
                  <c:v>3.3751118963319837</c:v>
                </c:pt>
                <c:pt idx="12">
                  <c:v>3.3665965824272734</c:v>
                </c:pt>
                <c:pt idx="13">
                  <c:v>4.0264942763445006</c:v>
                </c:pt>
                <c:pt idx="14">
                  <c:v>3.2267575682863545</c:v>
                </c:pt>
                <c:pt idx="15">
                  <c:v>3.4848870959477463</c:v>
                </c:pt>
                <c:pt idx="16">
                  <c:v>3.8740127869042977</c:v>
                </c:pt>
                <c:pt idx="17">
                  <c:v>4.2685307353221953</c:v>
                </c:pt>
                <c:pt idx="18">
                  <c:v>4.7284485946586425</c:v>
                </c:pt>
                <c:pt idx="19">
                  <c:v>5.1303362388078515</c:v>
                </c:pt>
                <c:pt idx="20">
                  <c:v>6.1207285010406522</c:v>
                </c:pt>
              </c:numCache>
            </c:numRef>
          </c:val>
          <c:smooth val="0"/>
          <c:extLst>
            <c:ext xmlns:c16="http://schemas.microsoft.com/office/drawing/2014/chart" uri="{C3380CC4-5D6E-409C-BE32-E72D297353CC}">
              <c16:uniqueId val="{00000000-09E0-4B2F-9EB5-51BB0434C1C4}"/>
            </c:ext>
          </c:extLst>
        </c:ser>
        <c:ser>
          <c:idx val="1"/>
          <c:order val="1"/>
          <c:tx>
            <c:strRef>
              <c:f>'1Cross'!$H$364</c:f>
              <c:strCache>
                <c:ptCount val="1"/>
                <c:pt idx="0">
                  <c:v>TTB elasticity top half</c:v>
                </c:pt>
              </c:strCache>
            </c:strRef>
          </c:tx>
          <c:spPr>
            <a:ln w="25400" cap="rnd">
              <a:noFill/>
              <a:round/>
            </a:ln>
            <a:effectLst/>
          </c:spPr>
          <c:marker>
            <c:symbol val="circle"/>
            <c:size val="6"/>
            <c:spPr>
              <a:noFill/>
              <a:ln w="22225">
                <a:solidFill>
                  <a:schemeClr val="accent2">
                    <a:lumMod val="75000"/>
                  </a:schemeClr>
                </a:solidFill>
              </a:ln>
              <a:effectLst/>
            </c:spPr>
          </c:marker>
          <c:cat>
            <c:strRef>
              <c:extLst>
                <c:ext xmlns:c15="http://schemas.microsoft.com/office/drawing/2012/chart" uri="{02D57815-91ED-43cb-92C2-25804820EDAC}">
                  <c15:fullRef>
                    <c15:sqref>'1Cross'!$F$365:$F$393</c15:sqref>
                  </c15:fullRef>
                </c:ext>
              </c:extLst>
              <c:f>'1Cross'!$F$365:$F$385</c:f>
              <c:strCache>
                <c:ptCount val="21"/>
                <c:pt idx="0">
                  <c:v>FR</c:v>
                </c:pt>
                <c:pt idx="1">
                  <c:v>HU</c:v>
                </c:pt>
                <c:pt idx="2">
                  <c:v>LT</c:v>
                </c:pt>
                <c:pt idx="3">
                  <c:v>FI</c:v>
                </c:pt>
                <c:pt idx="4">
                  <c:v>EL</c:v>
                </c:pt>
                <c:pt idx="5">
                  <c:v>SK</c:v>
                </c:pt>
                <c:pt idx="6">
                  <c:v>NL</c:v>
                </c:pt>
                <c:pt idx="7">
                  <c:v>LV</c:v>
                </c:pt>
                <c:pt idx="8">
                  <c:v>DE</c:v>
                </c:pt>
                <c:pt idx="9">
                  <c:v>IT</c:v>
                </c:pt>
                <c:pt idx="10">
                  <c:v>SI</c:v>
                </c:pt>
                <c:pt idx="11">
                  <c:v>IE</c:v>
                </c:pt>
                <c:pt idx="12">
                  <c:v>MT</c:v>
                </c:pt>
                <c:pt idx="13">
                  <c:v>HR</c:v>
                </c:pt>
                <c:pt idx="14">
                  <c:v>EE</c:v>
                </c:pt>
                <c:pt idx="15">
                  <c:v>LU</c:v>
                </c:pt>
                <c:pt idx="16">
                  <c:v>AT</c:v>
                </c:pt>
                <c:pt idx="17">
                  <c:v>BE</c:v>
                </c:pt>
                <c:pt idx="18">
                  <c:v>ES</c:v>
                </c:pt>
                <c:pt idx="19">
                  <c:v>PT</c:v>
                </c:pt>
                <c:pt idx="20">
                  <c:v>CY</c:v>
                </c:pt>
              </c:strCache>
            </c:strRef>
          </c:cat>
          <c:val>
            <c:numRef>
              <c:extLst>
                <c:ext xmlns:c15="http://schemas.microsoft.com/office/drawing/2012/chart" uri="{02D57815-91ED-43cb-92C2-25804820EDAC}">
                  <c15:fullRef>
                    <c15:sqref>'1Cross'!$H$365:$H$393</c15:sqref>
                  </c15:fullRef>
                </c:ext>
              </c:extLst>
              <c:f>'1Cross'!$H$365:$H$385</c:f>
              <c:numCache>
                <c:formatCode>0.000</c:formatCode>
                <c:ptCount val="21"/>
                <c:pt idx="0">
                  <c:v>1.5365998510353012</c:v>
                </c:pt>
                <c:pt idx="1">
                  <c:v>1.0798359130066222</c:v>
                </c:pt>
                <c:pt idx="2">
                  <c:v>1.2583614785860171</c:v>
                </c:pt>
                <c:pt idx="3">
                  <c:v>1.6461638735706507</c:v>
                </c:pt>
                <c:pt idx="4">
                  <c:v>1.7460870610361479</c:v>
                </c:pt>
                <c:pt idx="5">
                  <c:v>1.7572037742410609</c:v>
                </c:pt>
                <c:pt idx="6">
                  <c:v>2.0834812323025429</c:v>
                </c:pt>
                <c:pt idx="7">
                  <c:v>1.2852223336365924</c:v>
                </c:pt>
                <c:pt idx="8">
                  <c:v>1.5962701506926449</c:v>
                </c:pt>
                <c:pt idx="9">
                  <c:v>1.7225733596419792</c:v>
                </c:pt>
                <c:pt idx="10">
                  <c:v>1.7293612410424326</c:v>
                </c:pt>
                <c:pt idx="11">
                  <c:v>1.7372753970917301</c:v>
                </c:pt>
                <c:pt idx="12">
                  <c:v>1.6773733996595912</c:v>
                </c:pt>
                <c:pt idx="13">
                  <c:v>2.3132114898887077</c:v>
                </c:pt>
                <c:pt idx="14">
                  <c:v>1.4878872650346195</c:v>
                </c:pt>
                <c:pt idx="15">
                  <c:v>1.7251295582798254</c:v>
                </c:pt>
                <c:pt idx="16">
                  <c:v>1.6966341045720612</c:v>
                </c:pt>
                <c:pt idx="17">
                  <c:v>1.7192853223147175</c:v>
                </c:pt>
                <c:pt idx="18">
                  <c:v>1.8634740258943394</c:v>
                </c:pt>
                <c:pt idx="19">
                  <c:v>1.8583132230172896</c:v>
                </c:pt>
                <c:pt idx="20">
                  <c:v>2.2309325145816139</c:v>
                </c:pt>
              </c:numCache>
            </c:numRef>
          </c:val>
          <c:smooth val="0"/>
          <c:extLst>
            <c:ext xmlns:c16="http://schemas.microsoft.com/office/drawing/2014/chart" uri="{C3380CC4-5D6E-409C-BE32-E72D297353CC}">
              <c16:uniqueId val="{00000001-09E0-4B2F-9EB5-51BB0434C1C4}"/>
            </c:ext>
          </c:extLst>
        </c:ser>
        <c:dLbls>
          <c:showLegendKey val="0"/>
          <c:showVal val="0"/>
          <c:showCatName val="0"/>
          <c:showSerName val="0"/>
          <c:showPercent val="0"/>
          <c:showBubbleSize val="0"/>
        </c:dLbls>
        <c:marker val="1"/>
        <c:smooth val="0"/>
        <c:axId val="709475840"/>
        <c:axId val="605168576"/>
      </c:lineChart>
      <c:catAx>
        <c:axId val="709475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mn-cs"/>
              </a:defRPr>
            </a:pPr>
            <a:endParaRPr lang="es-ES_tradnl"/>
          </a:p>
        </c:txPr>
        <c:crossAx val="605168576"/>
        <c:crosses val="autoZero"/>
        <c:auto val="1"/>
        <c:lblAlgn val="ctr"/>
        <c:lblOffset val="100"/>
        <c:noMultiLvlLbl val="0"/>
      </c:catAx>
      <c:valAx>
        <c:axId val="6051685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s-ES_tradnl" sz="1050">
                    <a:solidFill>
                      <a:sysClr val="windowText" lastClr="000000"/>
                    </a:solidFill>
                    <a:latin typeface="Times New Roman" panose="02020603050405020304" pitchFamily="18" charset="0"/>
                    <a:cs typeface="Times New Roman" panose="02020603050405020304" pitchFamily="18" charset="0"/>
                  </a:rPr>
                  <a:t>Percentage</a:t>
                </a:r>
              </a:p>
            </c:rich>
          </c:tx>
          <c:overlay val="0"/>
          <c:spPr>
            <a:noFill/>
            <a:ln>
              <a:noFill/>
            </a:ln>
            <a:effectLst/>
          </c:spPr>
          <c:txPr>
            <a:bodyPr rot="-5400000" spcFirstLastPara="1" vertOverflow="ellipsis" vert="horz" wrap="square" anchor="ctr" anchorCtr="1"/>
            <a:lstStyle/>
            <a:p>
              <a:pPr>
                <a:defRPr sz="10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title>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mn-cs"/>
              </a:defRPr>
            </a:pPr>
            <a:endParaRPr lang="es-ES_tradnl"/>
          </a:p>
        </c:txPr>
        <c:crossAx val="709475840"/>
        <c:crosses val="autoZero"/>
        <c:crossBetween val="between"/>
      </c:valAx>
      <c:spPr>
        <a:noFill/>
        <a:ln>
          <a:noFill/>
        </a:ln>
        <a:effectLst/>
      </c:spPr>
    </c:plotArea>
    <c:legend>
      <c:legendPos val="b"/>
      <c:layout>
        <c:manualLayout>
          <c:xMode val="edge"/>
          <c:yMode val="edge"/>
          <c:x val="0.19826854873046831"/>
          <c:y val="0.90415830635269501"/>
          <c:w val="0.6197910695754042"/>
          <c:h val="7.070301855445361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mn-cs"/>
            </a:defRPr>
          </a:pPr>
          <a:endParaRPr lang="es-ES_tradnl"/>
        </a:p>
      </c:txPr>
    </c:legend>
    <c:plotVisOnly val="1"/>
    <c:dispBlanksAs val="gap"/>
    <c:showDLblsOverMax val="0"/>
  </c:chart>
  <c:spPr>
    <a:solidFill>
      <a:schemeClr val="bg1"/>
    </a:solidFill>
    <a:ln w="9525" cap="flat" cmpd="sng" algn="ctr">
      <a:noFill/>
      <a:round/>
    </a:ln>
    <a:effectLst/>
  </c:spPr>
  <c:txPr>
    <a:bodyPr/>
    <a:lstStyle/>
    <a:p>
      <a:pPr>
        <a:defRPr/>
      </a:pPr>
      <a:endParaRPr lang="es-ES_tradnl"/>
    </a:p>
  </c:txPr>
  <c:printSettings>
    <c:headerFooter/>
    <c:pageMargins b="0.75" l="0.25" r="0.25" t="0.75" header="0.3" footer="0.3"/>
    <c:pageSetup paperSize="9" orientation="landscape"/>
  </c:printSettings>
</c:chartSpace>
</file>

<file path=xl/charts/chart8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19050">
              <a:noFill/>
            </a:ln>
          </c:spPr>
          <c:marker>
            <c:symbol val="circle"/>
            <c:size val="12"/>
            <c:spPr>
              <a:solidFill>
                <a:srgbClr val="2F5597"/>
              </a:solidFill>
              <a:ln>
                <a:noFill/>
              </a:ln>
            </c:spPr>
          </c:marker>
          <c:dPt>
            <c:idx val="2"/>
            <c:marker>
              <c:spPr>
                <a:solidFill>
                  <a:schemeClr val="accent2">
                    <a:lumMod val="75000"/>
                  </a:schemeClr>
                </a:solidFill>
                <a:ln>
                  <a:noFill/>
                </a:ln>
              </c:spPr>
            </c:marker>
            <c:bubble3D val="0"/>
            <c:extLst>
              <c:ext xmlns:c16="http://schemas.microsoft.com/office/drawing/2014/chart" uri="{C3380CC4-5D6E-409C-BE32-E72D297353CC}">
                <c16:uniqueId val="{00000000-87CF-4EE6-B39F-5B3189E098D0}"/>
              </c:ext>
            </c:extLst>
          </c:dPt>
          <c:dPt>
            <c:idx val="9"/>
            <c:marker>
              <c:spPr>
                <a:solidFill>
                  <a:schemeClr val="accent1">
                    <a:lumMod val="50000"/>
                  </a:schemeClr>
                </a:solidFill>
                <a:ln>
                  <a:noFill/>
                </a:ln>
              </c:spPr>
            </c:marker>
            <c:bubble3D val="0"/>
            <c:extLst>
              <c:ext xmlns:c16="http://schemas.microsoft.com/office/drawing/2014/chart" uri="{C3380CC4-5D6E-409C-BE32-E72D297353CC}">
                <c16:uniqueId val="{00000001-87CF-4EE6-B39F-5B3189E098D0}"/>
              </c:ext>
            </c:extLst>
          </c:dPt>
          <c:dPt>
            <c:idx val="12"/>
            <c:marker>
              <c:spPr>
                <a:solidFill>
                  <a:schemeClr val="accent5">
                    <a:lumMod val="75000"/>
                  </a:schemeClr>
                </a:solidFill>
                <a:ln>
                  <a:noFill/>
                </a:ln>
              </c:spPr>
            </c:marker>
            <c:bubble3D val="0"/>
            <c:extLst>
              <c:ext xmlns:c16="http://schemas.microsoft.com/office/drawing/2014/chart" uri="{C3380CC4-5D6E-409C-BE32-E72D297353CC}">
                <c16:uniqueId val="{00000002-87CF-4EE6-B39F-5B3189E098D0}"/>
              </c:ext>
            </c:extLst>
          </c:dPt>
          <c:dPt>
            <c:idx val="13"/>
            <c:marker>
              <c:spPr>
                <a:solidFill>
                  <a:schemeClr val="accent1">
                    <a:lumMod val="50000"/>
                  </a:schemeClr>
                </a:solidFill>
                <a:ln>
                  <a:noFill/>
                </a:ln>
              </c:spPr>
            </c:marker>
            <c:bubble3D val="0"/>
            <c:extLst>
              <c:ext xmlns:c16="http://schemas.microsoft.com/office/drawing/2014/chart" uri="{C3380CC4-5D6E-409C-BE32-E72D297353CC}">
                <c16:uniqueId val="{00000003-87CF-4EE6-B39F-5B3189E098D0}"/>
              </c:ext>
            </c:extLst>
          </c:dPt>
          <c:dPt>
            <c:idx val="16"/>
            <c:marker>
              <c:spPr>
                <a:solidFill>
                  <a:schemeClr val="accent1">
                    <a:lumMod val="50000"/>
                  </a:schemeClr>
                </a:solidFill>
                <a:ln>
                  <a:noFill/>
                </a:ln>
              </c:spPr>
            </c:marker>
            <c:bubble3D val="0"/>
            <c:extLst>
              <c:ext xmlns:c16="http://schemas.microsoft.com/office/drawing/2014/chart" uri="{C3380CC4-5D6E-409C-BE32-E72D297353CC}">
                <c16:uniqueId val="{00000004-87CF-4EE6-B39F-5B3189E098D0}"/>
              </c:ext>
            </c:extLst>
          </c:dPt>
          <c:dLbls>
            <c:dLbl>
              <c:idx val="0"/>
              <c:tx>
                <c:rich>
                  <a:bodyPr/>
                  <a:lstStyle/>
                  <a:p>
                    <a:fld id="{CE8C4F96-7DF5-4976-BF64-33E556BB9E02}" type="CELLRANGE">
                      <a:rPr lang="en-US"/>
                      <a:pPr/>
                      <a:t>[CELLRANGE]</a:t>
                    </a:fld>
                    <a:endParaRPr lang="es-ES_tradnl"/>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87CF-4EE6-B39F-5B3189E098D0}"/>
                </c:ext>
              </c:extLst>
            </c:dLbl>
            <c:dLbl>
              <c:idx val="1"/>
              <c:tx>
                <c:rich>
                  <a:bodyPr/>
                  <a:lstStyle/>
                  <a:p>
                    <a:fld id="{0118FBD6-896B-46FF-A55C-712D0DFD0DAB}" type="CELLRANGE">
                      <a:rPr lang="es-ES_tradnl"/>
                      <a:pPr/>
                      <a:t>[CELLRANGE]</a:t>
                    </a:fld>
                    <a:endParaRPr lang="es-ES_tradnl"/>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87CF-4EE6-B39F-5B3189E098D0}"/>
                </c:ext>
              </c:extLst>
            </c:dLbl>
            <c:dLbl>
              <c:idx val="2"/>
              <c:tx>
                <c:rich>
                  <a:bodyPr/>
                  <a:lstStyle/>
                  <a:p>
                    <a:fld id="{1A80DA2B-4C1B-4AFF-A254-6EF4C822F32E}" type="CELLRANGE">
                      <a:rPr lang="es-ES_tradnl"/>
                      <a:pPr/>
                      <a:t>[CELLRANGE]</a:t>
                    </a:fld>
                    <a:endParaRPr lang="es-ES_tradnl"/>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87CF-4EE6-B39F-5B3189E098D0}"/>
                </c:ext>
              </c:extLst>
            </c:dLbl>
            <c:dLbl>
              <c:idx val="3"/>
              <c:tx>
                <c:rich>
                  <a:bodyPr/>
                  <a:lstStyle/>
                  <a:p>
                    <a:fld id="{93FBF1DA-9311-498C-B820-BF4219071733}" type="CELLRANGE">
                      <a:rPr lang="es-ES_tradnl"/>
                      <a:pPr/>
                      <a:t>[CELLRANGE]</a:t>
                    </a:fld>
                    <a:endParaRPr lang="es-ES_tradnl"/>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87CF-4EE6-B39F-5B3189E098D0}"/>
                </c:ext>
              </c:extLst>
            </c:dLbl>
            <c:dLbl>
              <c:idx val="4"/>
              <c:tx>
                <c:rich>
                  <a:bodyPr/>
                  <a:lstStyle/>
                  <a:p>
                    <a:fld id="{354F8079-826F-477F-9B55-979FE365D84C}" type="CELLRANGE">
                      <a:rPr lang="es-ES_tradnl"/>
                      <a:pPr/>
                      <a:t>[CELLRANGE]</a:t>
                    </a:fld>
                    <a:endParaRPr lang="es-ES_tradnl"/>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87CF-4EE6-B39F-5B3189E098D0}"/>
                </c:ext>
              </c:extLst>
            </c:dLbl>
            <c:dLbl>
              <c:idx val="5"/>
              <c:tx>
                <c:rich>
                  <a:bodyPr/>
                  <a:lstStyle/>
                  <a:p>
                    <a:fld id="{1B42AD23-F8A3-4238-8C96-9C46FEFDE1AB}" type="CELLRANGE">
                      <a:rPr lang="es-ES_tradnl"/>
                      <a:pPr/>
                      <a:t>[CELLRANGE]</a:t>
                    </a:fld>
                    <a:endParaRPr lang="es-ES_tradnl"/>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87CF-4EE6-B39F-5B3189E098D0}"/>
                </c:ext>
              </c:extLst>
            </c:dLbl>
            <c:dLbl>
              <c:idx val="6"/>
              <c:tx>
                <c:rich>
                  <a:bodyPr/>
                  <a:lstStyle/>
                  <a:p>
                    <a:fld id="{F24C76D0-1402-40A6-91C7-AE713C506062}" type="CELLRANGE">
                      <a:rPr lang="es-ES_tradnl"/>
                      <a:pPr/>
                      <a:t>[CELLRANGE]</a:t>
                    </a:fld>
                    <a:endParaRPr lang="es-ES_tradnl"/>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87CF-4EE6-B39F-5B3189E098D0}"/>
                </c:ext>
              </c:extLst>
            </c:dLbl>
            <c:dLbl>
              <c:idx val="7"/>
              <c:tx>
                <c:rich>
                  <a:bodyPr/>
                  <a:lstStyle/>
                  <a:p>
                    <a:fld id="{C5AFFF2F-0662-4680-AEB7-585405A138B5}" type="CELLRANGE">
                      <a:rPr lang="es-ES_tradnl"/>
                      <a:pPr/>
                      <a:t>[CELLRANGE]</a:t>
                    </a:fld>
                    <a:endParaRPr lang="es-ES_tradnl"/>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87CF-4EE6-B39F-5B3189E098D0}"/>
                </c:ext>
              </c:extLst>
            </c:dLbl>
            <c:dLbl>
              <c:idx val="8"/>
              <c:tx>
                <c:rich>
                  <a:bodyPr/>
                  <a:lstStyle/>
                  <a:p>
                    <a:fld id="{714FA612-A972-4778-BDF8-973FC2B74105}" type="CELLRANGE">
                      <a:rPr lang="es-ES_tradnl"/>
                      <a:pPr/>
                      <a:t>[CELLRANGE]</a:t>
                    </a:fld>
                    <a:endParaRPr lang="es-ES_tradnl"/>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87CF-4EE6-B39F-5B3189E098D0}"/>
                </c:ext>
              </c:extLst>
            </c:dLbl>
            <c:dLbl>
              <c:idx val="9"/>
              <c:tx>
                <c:rich>
                  <a:bodyPr/>
                  <a:lstStyle/>
                  <a:p>
                    <a:fld id="{D714239C-800D-42C8-A5FF-41FF207AA5C6}" type="CELLRANGE">
                      <a:rPr lang="es-ES_tradnl"/>
                      <a:pPr/>
                      <a:t>[CELLRANGE]</a:t>
                    </a:fld>
                    <a:endParaRPr lang="es-ES_tradnl"/>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87CF-4EE6-B39F-5B3189E098D0}"/>
                </c:ext>
              </c:extLst>
            </c:dLbl>
            <c:dLbl>
              <c:idx val="10"/>
              <c:tx>
                <c:rich>
                  <a:bodyPr/>
                  <a:lstStyle/>
                  <a:p>
                    <a:fld id="{AB4B29B0-44E9-467A-9974-BCB29D092984}" type="CELLRANGE">
                      <a:rPr lang="es-ES_tradnl"/>
                      <a:pPr/>
                      <a:t>[CELLRANGE]</a:t>
                    </a:fld>
                    <a:endParaRPr lang="es-ES_tradnl"/>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87CF-4EE6-B39F-5B3189E098D0}"/>
                </c:ext>
              </c:extLst>
            </c:dLbl>
            <c:dLbl>
              <c:idx val="11"/>
              <c:tx>
                <c:rich>
                  <a:bodyPr/>
                  <a:lstStyle/>
                  <a:p>
                    <a:fld id="{8C95B19F-49F4-4E7C-8E44-F4C5E37D79CC}" type="CELLRANGE">
                      <a:rPr lang="es-ES_tradnl"/>
                      <a:pPr/>
                      <a:t>[CELLRANGE]</a:t>
                    </a:fld>
                    <a:endParaRPr lang="es-ES_tradnl"/>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87CF-4EE6-B39F-5B3189E098D0}"/>
                </c:ext>
              </c:extLst>
            </c:dLbl>
            <c:dLbl>
              <c:idx val="12"/>
              <c:tx>
                <c:rich>
                  <a:bodyPr/>
                  <a:lstStyle/>
                  <a:p>
                    <a:fld id="{5DA5DFDC-17A4-4E9C-9395-0C8EAE0CBC65}" type="CELLRANGE">
                      <a:rPr lang="es-ES_tradnl"/>
                      <a:pPr/>
                      <a:t>[CELLRANGE]</a:t>
                    </a:fld>
                    <a:endParaRPr lang="es-ES_tradnl"/>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87CF-4EE6-B39F-5B3189E098D0}"/>
                </c:ext>
              </c:extLst>
            </c:dLbl>
            <c:dLbl>
              <c:idx val="13"/>
              <c:tx>
                <c:rich>
                  <a:bodyPr/>
                  <a:lstStyle/>
                  <a:p>
                    <a:fld id="{69D24B39-F1EF-43D4-9B21-01CC31278C7C}" type="CELLRANGE">
                      <a:rPr lang="es-ES_tradnl"/>
                      <a:pPr/>
                      <a:t>[CELLRANGE]</a:t>
                    </a:fld>
                    <a:endParaRPr lang="es-ES_tradnl"/>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87CF-4EE6-B39F-5B3189E098D0}"/>
                </c:ext>
              </c:extLst>
            </c:dLbl>
            <c:dLbl>
              <c:idx val="14"/>
              <c:tx>
                <c:rich>
                  <a:bodyPr/>
                  <a:lstStyle/>
                  <a:p>
                    <a:fld id="{72BA1F28-979B-4097-8F62-EA9D7D014C4C}" type="CELLRANGE">
                      <a:rPr lang="es-ES_tradnl"/>
                      <a:pPr/>
                      <a:t>[CELLRANGE]</a:t>
                    </a:fld>
                    <a:endParaRPr lang="es-ES_tradnl"/>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87CF-4EE6-B39F-5B3189E098D0}"/>
                </c:ext>
              </c:extLst>
            </c:dLbl>
            <c:dLbl>
              <c:idx val="15"/>
              <c:tx>
                <c:rich>
                  <a:bodyPr/>
                  <a:lstStyle/>
                  <a:p>
                    <a:fld id="{4A46F3A8-AEB1-4C19-A817-3653C4309484}" type="CELLRANGE">
                      <a:rPr lang="es-ES_tradnl"/>
                      <a:pPr/>
                      <a:t>[CELLRANGE]</a:t>
                    </a:fld>
                    <a:endParaRPr lang="es-ES_tradnl"/>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87CF-4EE6-B39F-5B3189E098D0}"/>
                </c:ext>
              </c:extLst>
            </c:dLbl>
            <c:dLbl>
              <c:idx val="16"/>
              <c:tx>
                <c:rich>
                  <a:bodyPr/>
                  <a:lstStyle/>
                  <a:p>
                    <a:fld id="{76435EFE-B2CF-4E20-90F8-A025A13A9947}" type="CELLRANGE">
                      <a:rPr lang="es-ES_tradnl"/>
                      <a:pPr/>
                      <a:t>[CELLRANGE]</a:t>
                    </a:fld>
                    <a:endParaRPr lang="es-ES_tradnl"/>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87CF-4EE6-B39F-5B3189E098D0}"/>
                </c:ext>
              </c:extLst>
            </c:dLbl>
            <c:dLbl>
              <c:idx val="17"/>
              <c:tx>
                <c:rich>
                  <a:bodyPr/>
                  <a:lstStyle/>
                  <a:p>
                    <a:fld id="{60475ECE-A586-491A-9F6E-70DF0E0FBE72}" type="CELLRANGE">
                      <a:rPr lang="es-ES_tradnl"/>
                      <a:pPr/>
                      <a:t>[CELLRANGE]</a:t>
                    </a:fld>
                    <a:endParaRPr lang="es-ES_tradnl"/>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87CF-4EE6-B39F-5B3189E098D0}"/>
                </c:ext>
              </c:extLst>
            </c:dLbl>
            <c:dLbl>
              <c:idx val="18"/>
              <c:tx>
                <c:rich>
                  <a:bodyPr/>
                  <a:lstStyle/>
                  <a:p>
                    <a:fld id="{A0EDA8C6-5A5F-4145-B7AD-34E0C95817D0}" type="CELLRANGE">
                      <a:rPr lang="es-ES_tradnl"/>
                      <a:pPr/>
                      <a:t>[CELLRANGE]</a:t>
                    </a:fld>
                    <a:endParaRPr lang="es-ES_tradnl"/>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87CF-4EE6-B39F-5B3189E098D0}"/>
                </c:ext>
              </c:extLst>
            </c:dLbl>
            <c:dLbl>
              <c:idx val="19"/>
              <c:tx>
                <c:rich>
                  <a:bodyPr/>
                  <a:lstStyle/>
                  <a:p>
                    <a:fld id="{6748F528-E021-487E-9672-0FCDB6D0E084}" type="CELLRANGE">
                      <a:rPr lang="es-ES_tradnl"/>
                      <a:pPr/>
                      <a:t>[CELLRANGE]</a:t>
                    </a:fld>
                    <a:endParaRPr lang="es-ES_tradnl"/>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87CF-4EE6-B39F-5B3189E098D0}"/>
                </c:ext>
              </c:extLst>
            </c:dLbl>
            <c:dLbl>
              <c:idx val="20"/>
              <c:tx>
                <c:rich>
                  <a:bodyPr/>
                  <a:lstStyle/>
                  <a:p>
                    <a:fld id="{4130B482-04E9-4109-B7B2-9A62DF4624B3}" type="CELLRANGE">
                      <a:rPr lang="es-ES_tradnl"/>
                      <a:pPr/>
                      <a:t>[CELLRANGE]</a:t>
                    </a:fld>
                    <a:endParaRPr lang="es-ES_tradnl"/>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87CF-4EE6-B39F-5B3189E098D0}"/>
                </c:ext>
              </c:extLst>
            </c:dLbl>
            <c:dLbl>
              <c:idx val="21"/>
              <c:tx>
                <c:rich>
                  <a:bodyPr/>
                  <a:lstStyle/>
                  <a:p>
                    <a:fld id="{21865F0F-A817-41BD-BF9A-50F9DAFE8888}" type="CELLRANGE">
                      <a:rPr lang="es-ES_tradnl"/>
                      <a:pPr/>
                      <a:t>[CELLRANGE]</a:t>
                    </a:fld>
                    <a:endParaRPr lang="es-ES_tradnl"/>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87CF-4EE6-B39F-5B3189E098D0}"/>
                </c:ext>
              </c:extLst>
            </c:dLbl>
            <c:dLbl>
              <c:idx val="22"/>
              <c:tx>
                <c:rich>
                  <a:bodyPr/>
                  <a:lstStyle/>
                  <a:p>
                    <a:fld id="{A6447C43-66BD-4019-9999-28105661E47A}" type="CELLRANGE">
                      <a:rPr lang="es-ES_tradnl"/>
                      <a:pPr/>
                      <a:t>[CELLRANGE]</a:t>
                    </a:fld>
                    <a:endParaRPr lang="es-ES_tradnl"/>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87CF-4EE6-B39F-5B3189E098D0}"/>
                </c:ext>
              </c:extLst>
            </c:dLbl>
            <c:dLbl>
              <c:idx val="23"/>
              <c:tx>
                <c:rich>
                  <a:bodyPr/>
                  <a:lstStyle/>
                  <a:p>
                    <a:fld id="{F8F5A9B9-0688-49D6-BBEB-6FD513AFA6BC}" type="CELLRANGE">
                      <a:rPr lang="es-ES_tradnl"/>
                      <a:pPr/>
                      <a:t>[CELLRANGE]</a:t>
                    </a:fld>
                    <a:endParaRPr lang="es-ES_tradnl"/>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87CF-4EE6-B39F-5B3189E098D0}"/>
                </c:ext>
              </c:extLst>
            </c:dLbl>
            <c:dLbl>
              <c:idx val="24"/>
              <c:tx>
                <c:rich>
                  <a:bodyPr/>
                  <a:lstStyle/>
                  <a:p>
                    <a:fld id="{77A57B7B-2642-4F1D-8689-F511BBAA6634}" type="CELLRANGE">
                      <a:rPr lang="es-ES_tradnl"/>
                      <a:pPr/>
                      <a:t>[CELLRANGE]</a:t>
                    </a:fld>
                    <a:endParaRPr lang="es-ES_tradnl"/>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87CF-4EE6-B39F-5B3189E098D0}"/>
                </c:ext>
              </c:extLst>
            </c:dLbl>
            <c:dLbl>
              <c:idx val="25"/>
              <c:tx>
                <c:rich>
                  <a:bodyPr/>
                  <a:lstStyle/>
                  <a:p>
                    <a:fld id="{257AF774-B4EE-4574-A1AB-8290C08494C8}" type="CELLRANGE">
                      <a:rPr lang="es-ES_tradnl"/>
                      <a:pPr/>
                      <a:t>[CELLRANGE]</a:t>
                    </a:fld>
                    <a:endParaRPr lang="es-ES_tradnl"/>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87CF-4EE6-B39F-5B3189E098D0}"/>
                </c:ext>
              </c:extLst>
            </c:dLbl>
            <c:dLbl>
              <c:idx val="26"/>
              <c:tx>
                <c:rich>
                  <a:bodyPr/>
                  <a:lstStyle/>
                  <a:p>
                    <a:fld id="{DFF746AE-5928-4B41-AAAE-100117BF5B01}" type="CELLRANGE">
                      <a:rPr lang="es-ES_tradnl"/>
                      <a:pPr/>
                      <a:t>[CELLRANGE]</a:t>
                    </a:fld>
                    <a:endParaRPr lang="es-ES_tradnl"/>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87CF-4EE6-B39F-5B3189E098D0}"/>
                </c:ext>
              </c:extLst>
            </c:dLbl>
            <c:dLbl>
              <c:idx val="27"/>
              <c:tx>
                <c:rich>
                  <a:bodyPr/>
                  <a:lstStyle/>
                  <a:p>
                    <a:fld id="{4D5EE097-2A22-439C-AAA6-7B06A9299205}" type="CELLRANGE">
                      <a:rPr lang="es-ES_tradnl"/>
                      <a:pPr/>
                      <a:t>[CELLRANGE]</a:t>
                    </a:fld>
                    <a:endParaRPr lang="es-ES_tradnl"/>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87CF-4EE6-B39F-5B3189E098D0}"/>
                </c:ext>
              </c:extLst>
            </c:dLbl>
            <c:dLbl>
              <c:idx val="28"/>
              <c:tx>
                <c:rich>
                  <a:bodyPr/>
                  <a:lstStyle/>
                  <a:p>
                    <a:fld id="{0B9B1DA1-4308-42B3-992A-5A2DE49C74CB}" type="CELLRANGE">
                      <a:rPr lang="es-ES_tradnl"/>
                      <a:pPr/>
                      <a:t>[CELLRANGE]</a:t>
                    </a:fld>
                    <a:endParaRPr lang="es-ES_tradnl"/>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87CF-4EE6-B39F-5B3189E098D0}"/>
                </c:ext>
              </c:extLst>
            </c:dLbl>
            <c:spPr>
              <a:noFill/>
              <a:ln>
                <a:noFill/>
              </a:ln>
              <a:effectLst/>
            </c:spPr>
            <c:txPr>
              <a:bodyPr wrap="square" lIns="38100" tIns="19050" rIns="38100" bIns="19050" anchor="ctr">
                <a:spAutoFit/>
              </a:bodyPr>
              <a:lstStyle/>
              <a:p>
                <a:pPr>
                  <a:defRPr sz="800">
                    <a:solidFill>
                      <a:schemeClr val="bg1"/>
                    </a:solidFill>
                  </a:defRPr>
                </a:pPr>
                <a:endParaRPr lang="es-ES_tradnl"/>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xVal>
            <c:numRef>
              <c:f>'1Cross'!$G$257:$G$285</c:f>
              <c:numCache>
                <c:formatCode>0.000</c:formatCode>
                <c:ptCount val="29"/>
                <c:pt idx="0">
                  <c:v>0</c:v>
                </c:pt>
                <c:pt idx="1">
                  <c:v>0</c:v>
                </c:pt>
                <c:pt idx="2">
                  <c:v>0</c:v>
                </c:pt>
                <c:pt idx="3">
                  <c:v>0</c:v>
                </c:pt>
                <c:pt idx="4">
                  <c:v>0</c:v>
                </c:pt>
                <c:pt idx="5">
                  <c:v>0</c:v>
                </c:pt>
                <c:pt idx="6">
                  <c:v>0</c:v>
                </c:pt>
                <c:pt idx="7">
                  <c:v>0</c:v>
                </c:pt>
                <c:pt idx="8">
                  <c:v>2.355007449589813</c:v>
                </c:pt>
                <c:pt idx="9">
                  <c:v>2.2980633345266068</c:v>
                </c:pt>
                <c:pt idx="10">
                  <c:v>2.1811011429483584</c:v>
                </c:pt>
                <c:pt idx="11">
                  <c:v>2.0191248605309946</c:v>
                </c:pt>
                <c:pt idx="12">
                  <c:v>1.9912797248057028</c:v>
                </c:pt>
                <c:pt idx="13">
                  <c:v>1.966454320802733</c:v>
                </c:pt>
                <c:pt idx="14">
                  <c:v>1.8863476683839748</c:v>
                </c:pt>
                <c:pt idx="15">
                  <c:v>1.8727964639724985</c:v>
                </c:pt>
                <c:pt idx="16">
                  <c:v>1.8551616744290942</c:v>
                </c:pt>
                <c:pt idx="17">
                  <c:v>1.8866256424887944</c:v>
                </c:pt>
                <c:pt idx="18">
                  <c:v>1.8516723283112846</c:v>
                </c:pt>
                <c:pt idx="19">
                  <c:v>1.8032111978204031</c:v>
                </c:pt>
                <c:pt idx="20">
                  <c:v>1.8138346754056838</c:v>
                </c:pt>
                <c:pt idx="21">
                  <c:v>1.8138953207581621</c:v>
                </c:pt>
                <c:pt idx="22">
                  <c:v>1.7103139797998415</c:v>
                </c:pt>
                <c:pt idx="23">
                  <c:v>1.7423543356823485</c:v>
                </c:pt>
                <c:pt idx="24">
                  <c:v>1.6590608942486251</c:v>
                </c:pt>
                <c:pt idx="25">
                  <c:v>1.5415702152840249</c:v>
                </c:pt>
                <c:pt idx="26">
                  <c:v>1.439871427179074</c:v>
                </c:pt>
                <c:pt idx="27">
                  <c:v>1.3144652982741332</c:v>
                </c:pt>
                <c:pt idx="28">
                  <c:v>1.0958061555302958</c:v>
                </c:pt>
              </c:numCache>
            </c:numRef>
          </c:xVal>
          <c:yVal>
            <c:numRef>
              <c:f>'1Cross'!$H$257:$H$285</c:f>
              <c:numCache>
                <c:formatCode>General</c:formatCode>
                <c:ptCount val="29"/>
                <c:pt idx="0">
                  <c:v>0</c:v>
                </c:pt>
                <c:pt idx="1">
                  <c:v>0</c:v>
                </c:pt>
                <c:pt idx="2">
                  <c:v>0</c:v>
                </c:pt>
                <c:pt idx="3">
                  <c:v>0</c:v>
                </c:pt>
                <c:pt idx="4">
                  <c:v>0</c:v>
                </c:pt>
                <c:pt idx="5">
                  <c:v>0</c:v>
                </c:pt>
                <c:pt idx="6">
                  <c:v>0</c:v>
                </c:pt>
                <c:pt idx="7">
                  <c:v>0</c:v>
                </c:pt>
                <c:pt idx="8" formatCode="0.000">
                  <c:v>2.1197758316458399</c:v>
                </c:pt>
                <c:pt idx="9" formatCode="0.000">
                  <c:v>2.2104423872692003</c:v>
                </c:pt>
                <c:pt idx="10" formatCode="0.000">
                  <c:v>2.1862725625625448</c:v>
                </c:pt>
                <c:pt idx="11" formatCode="0.000">
                  <c:v>1.9786716903751562</c:v>
                </c:pt>
                <c:pt idx="12" formatCode="0.000">
                  <c:v>1.9838769755472168</c:v>
                </c:pt>
                <c:pt idx="13" formatCode="0.000">
                  <c:v>1.8995893777832062</c:v>
                </c:pt>
                <c:pt idx="14" formatCode="0.000">
                  <c:v>1.850006514498143</c:v>
                </c:pt>
                <c:pt idx="15" formatCode="0.000">
                  <c:v>1.9733745399896396</c:v>
                </c:pt>
                <c:pt idx="16" formatCode="0.000">
                  <c:v>1.8069585062535263</c:v>
                </c:pt>
                <c:pt idx="17" formatCode="0.000">
                  <c:v>1.9899027707242172</c:v>
                </c:pt>
                <c:pt idx="18" formatCode="0.000">
                  <c:v>1.9155745818842449</c:v>
                </c:pt>
                <c:pt idx="19" formatCode="0.000">
                  <c:v>1.9909439243321063</c:v>
                </c:pt>
                <c:pt idx="20" formatCode="0.000">
                  <c:v>1.736887552963867</c:v>
                </c:pt>
                <c:pt idx="21" formatCode="0.000">
                  <c:v>1.7898077272934112</c:v>
                </c:pt>
                <c:pt idx="22" formatCode="0.000">
                  <c:v>1.6290295714042031</c:v>
                </c:pt>
                <c:pt idx="23" formatCode="0.000">
                  <c:v>1.7851721953842885</c:v>
                </c:pt>
                <c:pt idx="24" formatCode="0.000">
                  <c:v>1.4994514856426371</c:v>
                </c:pt>
                <c:pt idx="25" formatCode="0.000">
                  <c:v>1.52979171701526</c:v>
                </c:pt>
                <c:pt idx="26" formatCode="0.000">
                  <c:v>1.5520385730066144</c:v>
                </c:pt>
                <c:pt idx="27" formatCode="0.000">
                  <c:v>1.4019447385138655</c:v>
                </c:pt>
                <c:pt idx="28" formatCode="0.000">
                  <c:v>1.0874497494580651</c:v>
                </c:pt>
              </c:numCache>
            </c:numRef>
          </c:yVal>
          <c:smooth val="0"/>
          <c:extLst>
            <c:ext xmlns:c15="http://schemas.microsoft.com/office/drawing/2012/chart" uri="{02D57815-91ED-43cb-92C2-25804820EDAC}">
              <c15:datalabelsRange>
                <c15:f>'1Cross'!$F$257:$F$285</c15:f>
                <c15:dlblRangeCache>
                  <c:ptCount val="29"/>
                  <c:pt idx="0">
                    <c:v>BG</c:v>
                  </c:pt>
                  <c:pt idx="1">
                    <c:v>CZ</c:v>
                  </c:pt>
                  <c:pt idx="2">
                    <c:v>DK</c:v>
                  </c:pt>
                  <c:pt idx="3">
                    <c:v>EA</c:v>
                  </c:pt>
                  <c:pt idx="4">
                    <c:v>EA(w)</c:v>
                  </c:pt>
                  <c:pt idx="5">
                    <c:v>PL</c:v>
                  </c:pt>
                  <c:pt idx="6">
                    <c:v>RO</c:v>
                  </c:pt>
                  <c:pt idx="7">
                    <c:v>SE</c:v>
                  </c:pt>
                  <c:pt idx="8">
                    <c:v>HR</c:v>
                  </c:pt>
                  <c:pt idx="9">
                    <c:v>CY</c:v>
                  </c:pt>
                  <c:pt idx="10">
                    <c:v>NL</c:v>
                  </c:pt>
                  <c:pt idx="11">
                    <c:v>ES</c:v>
                  </c:pt>
                  <c:pt idx="12">
                    <c:v>PT</c:v>
                  </c:pt>
                  <c:pt idx="13">
                    <c:v>BE</c:v>
                  </c:pt>
                  <c:pt idx="14">
                    <c:v>SI</c:v>
                  </c:pt>
                  <c:pt idx="15">
                    <c:v>LU</c:v>
                  </c:pt>
                  <c:pt idx="16">
                    <c:v>IT</c:v>
                  </c:pt>
                  <c:pt idx="17">
                    <c:v>AT</c:v>
                  </c:pt>
                  <c:pt idx="18">
                    <c:v>SK</c:v>
                  </c:pt>
                  <c:pt idx="19">
                    <c:v>EL</c:v>
                  </c:pt>
                  <c:pt idx="20">
                    <c:v>MT</c:v>
                  </c:pt>
                  <c:pt idx="21">
                    <c:v>IE</c:v>
                  </c:pt>
                  <c:pt idx="22">
                    <c:v>DE</c:v>
                  </c:pt>
                  <c:pt idx="23">
                    <c:v>FI</c:v>
                  </c:pt>
                  <c:pt idx="24">
                    <c:v>EE</c:v>
                  </c:pt>
                  <c:pt idx="25">
                    <c:v>FR</c:v>
                  </c:pt>
                  <c:pt idx="26">
                    <c:v>LV</c:v>
                  </c:pt>
                  <c:pt idx="27">
                    <c:v>LT</c:v>
                  </c:pt>
                  <c:pt idx="28">
                    <c:v>HU</c:v>
                  </c:pt>
                </c15:dlblRangeCache>
              </c15:datalabelsRange>
            </c:ext>
            <c:ext xmlns:c16="http://schemas.microsoft.com/office/drawing/2014/chart" uri="{C3380CC4-5D6E-409C-BE32-E72D297353CC}">
              <c16:uniqueId val="{0000001D-87CF-4EE6-B39F-5B3189E098D0}"/>
            </c:ext>
          </c:extLst>
        </c:ser>
        <c:ser>
          <c:idx val="1"/>
          <c:order val="1"/>
          <c:spPr>
            <a:ln w="19050">
              <a:noFill/>
            </a:ln>
          </c:spPr>
          <c:marker>
            <c:symbol val="none"/>
          </c:marker>
          <c:dLbls>
            <c:delete val="1"/>
          </c:dLbls>
          <c:trendline>
            <c:spPr>
              <a:ln w="22225">
                <a:solidFill>
                  <a:schemeClr val="tx1">
                    <a:lumMod val="50000"/>
                    <a:lumOff val="50000"/>
                  </a:schemeClr>
                </a:solidFill>
                <a:prstDash val="dash"/>
              </a:ln>
            </c:spPr>
            <c:trendlineType val="linear"/>
            <c:dispRSqr val="0"/>
            <c:dispEq val="0"/>
          </c:trendline>
          <c:xVal>
            <c:numRef>
              <c:f>'1Cross'!$G$257:$G$285</c:f>
              <c:numCache>
                <c:formatCode>0.000</c:formatCode>
                <c:ptCount val="29"/>
                <c:pt idx="0">
                  <c:v>0</c:v>
                </c:pt>
                <c:pt idx="1">
                  <c:v>0</c:v>
                </c:pt>
                <c:pt idx="2">
                  <c:v>0</c:v>
                </c:pt>
                <c:pt idx="3">
                  <c:v>0</c:v>
                </c:pt>
                <c:pt idx="4">
                  <c:v>0</c:v>
                </c:pt>
                <c:pt idx="5">
                  <c:v>0</c:v>
                </c:pt>
                <c:pt idx="6">
                  <c:v>0</c:v>
                </c:pt>
                <c:pt idx="7">
                  <c:v>0</c:v>
                </c:pt>
                <c:pt idx="8">
                  <c:v>2.355007449589813</c:v>
                </c:pt>
                <c:pt idx="9">
                  <c:v>2.2980633345266068</c:v>
                </c:pt>
                <c:pt idx="10">
                  <c:v>2.1811011429483584</c:v>
                </c:pt>
                <c:pt idx="11">
                  <c:v>2.0191248605309946</c:v>
                </c:pt>
                <c:pt idx="12">
                  <c:v>1.9912797248057028</c:v>
                </c:pt>
                <c:pt idx="13">
                  <c:v>1.966454320802733</c:v>
                </c:pt>
                <c:pt idx="14">
                  <c:v>1.8863476683839748</c:v>
                </c:pt>
                <c:pt idx="15">
                  <c:v>1.8727964639724985</c:v>
                </c:pt>
                <c:pt idx="16">
                  <c:v>1.8551616744290942</c:v>
                </c:pt>
                <c:pt idx="17">
                  <c:v>1.8866256424887944</c:v>
                </c:pt>
                <c:pt idx="18">
                  <c:v>1.8516723283112846</c:v>
                </c:pt>
                <c:pt idx="19">
                  <c:v>1.8032111978204031</c:v>
                </c:pt>
                <c:pt idx="20">
                  <c:v>1.8138346754056838</c:v>
                </c:pt>
                <c:pt idx="21">
                  <c:v>1.8138953207581621</c:v>
                </c:pt>
                <c:pt idx="22">
                  <c:v>1.7103139797998415</c:v>
                </c:pt>
                <c:pt idx="23">
                  <c:v>1.7423543356823485</c:v>
                </c:pt>
                <c:pt idx="24">
                  <c:v>1.6590608942486251</c:v>
                </c:pt>
                <c:pt idx="25">
                  <c:v>1.5415702152840249</c:v>
                </c:pt>
                <c:pt idx="26">
                  <c:v>1.439871427179074</c:v>
                </c:pt>
                <c:pt idx="27">
                  <c:v>1.3144652982741332</c:v>
                </c:pt>
                <c:pt idx="28">
                  <c:v>1.0958061555302958</c:v>
                </c:pt>
              </c:numCache>
            </c:numRef>
          </c:xVal>
          <c:yVal>
            <c:numRef>
              <c:f>'1Cross'!$I$257:$I$285</c:f>
              <c:numCache>
                <c:formatCode>0.000</c:formatCode>
                <c:ptCount val="29"/>
                <c:pt idx="0">
                  <c:v>0</c:v>
                </c:pt>
                <c:pt idx="1">
                  <c:v>0</c:v>
                </c:pt>
                <c:pt idx="2">
                  <c:v>0</c:v>
                </c:pt>
                <c:pt idx="3">
                  <c:v>0</c:v>
                </c:pt>
                <c:pt idx="4">
                  <c:v>0</c:v>
                </c:pt>
                <c:pt idx="5">
                  <c:v>0</c:v>
                </c:pt>
                <c:pt idx="6">
                  <c:v>0</c:v>
                </c:pt>
                <c:pt idx="7">
                  <c:v>0</c:v>
                </c:pt>
                <c:pt idx="8">
                  <c:v>2.355007449589813</c:v>
                </c:pt>
                <c:pt idx="9">
                  <c:v>2.2980633345266068</c:v>
                </c:pt>
                <c:pt idx="10">
                  <c:v>2.1811011429483584</c:v>
                </c:pt>
                <c:pt idx="11">
                  <c:v>2.0191248605309946</c:v>
                </c:pt>
                <c:pt idx="12">
                  <c:v>1.9912797248057028</c:v>
                </c:pt>
                <c:pt idx="13">
                  <c:v>1.966454320802733</c:v>
                </c:pt>
                <c:pt idx="14">
                  <c:v>1.8863476683839748</c:v>
                </c:pt>
                <c:pt idx="15">
                  <c:v>1.8727964639724985</c:v>
                </c:pt>
                <c:pt idx="16">
                  <c:v>1.8551616744290942</c:v>
                </c:pt>
                <c:pt idx="17">
                  <c:v>1.8866256424887944</c:v>
                </c:pt>
                <c:pt idx="18">
                  <c:v>1.8516723283112846</c:v>
                </c:pt>
                <c:pt idx="19">
                  <c:v>1.8032111978204031</c:v>
                </c:pt>
                <c:pt idx="20">
                  <c:v>1.8138346754056838</c:v>
                </c:pt>
                <c:pt idx="21">
                  <c:v>1.8138953207581621</c:v>
                </c:pt>
                <c:pt idx="22">
                  <c:v>1.7103139797998415</c:v>
                </c:pt>
                <c:pt idx="23">
                  <c:v>1.7423543356823485</c:v>
                </c:pt>
                <c:pt idx="24">
                  <c:v>1.6590608942486251</c:v>
                </c:pt>
                <c:pt idx="25">
                  <c:v>1.5415702152840249</c:v>
                </c:pt>
                <c:pt idx="26">
                  <c:v>1.439871427179074</c:v>
                </c:pt>
                <c:pt idx="27">
                  <c:v>1.3144652982741332</c:v>
                </c:pt>
                <c:pt idx="28">
                  <c:v>1.0958061555302958</c:v>
                </c:pt>
              </c:numCache>
            </c:numRef>
          </c:yVal>
          <c:smooth val="0"/>
          <c:extLst>
            <c:ext xmlns:c16="http://schemas.microsoft.com/office/drawing/2014/chart" uri="{C3380CC4-5D6E-409C-BE32-E72D297353CC}">
              <c16:uniqueId val="{0000001F-87CF-4EE6-B39F-5B3189E098D0}"/>
            </c:ext>
          </c:extLst>
        </c:ser>
        <c:dLbls>
          <c:dLblPos val="t"/>
          <c:showLegendKey val="0"/>
          <c:showVal val="1"/>
          <c:showCatName val="0"/>
          <c:showSerName val="0"/>
          <c:showPercent val="0"/>
          <c:showBubbleSize val="0"/>
        </c:dLbls>
        <c:axId val="213695663"/>
        <c:axId val="300820575"/>
      </c:scatterChart>
      <c:valAx>
        <c:axId val="213695663"/>
        <c:scaling>
          <c:orientation val="minMax"/>
          <c:max val="2.4"/>
          <c:min val="1"/>
        </c:scaling>
        <c:delete val="0"/>
        <c:axPos val="b"/>
        <c:majorGridlines>
          <c:spPr>
            <a:ln>
              <a:solidFill>
                <a:schemeClr val="bg2">
                  <a:lumMod val="90000"/>
                </a:schemeClr>
              </a:solidFill>
            </a:ln>
          </c:spPr>
        </c:majorGridlines>
        <c:title>
          <c:tx>
            <c:rich>
              <a:bodyPr/>
              <a:lstStyle/>
              <a:p>
                <a:pPr>
                  <a:defRPr/>
                </a:pPr>
                <a:r>
                  <a:rPr lang="es-ES_tradnl"/>
                  <a:t>2019 TTB elasticities</a:t>
                </a:r>
              </a:p>
            </c:rich>
          </c:tx>
          <c:overlay val="0"/>
        </c:title>
        <c:numFmt formatCode="#,##0.00" sourceLinked="0"/>
        <c:majorTickMark val="out"/>
        <c:minorTickMark val="none"/>
        <c:tickLblPos val="nextTo"/>
        <c:spPr>
          <a:ln>
            <a:solidFill>
              <a:schemeClr val="tx1"/>
            </a:solidFill>
          </a:ln>
        </c:spPr>
        <c:crossAx val="300820575"/>
        <c:crosses val="autoZero"/>
        <c:crossBetween val="midCat"/>
        <c:majorUnit val="0.25"/>
      </c:valAx>
      <c:valAx>
        <c:axId val="300820575"/>
        <c:scaling>
          <c:orientation val="minMax"/>
          <c:max val="2.4"/>
          <c:min val="1"/>
        </c:scaling>
        <c:delete val="0"/>
        <c:axPos val="l"/>
        <c:majorGridlines>
          <c:spPr>
            <a:ln>
              <a:solidFill>
                <a:schemeClr val="bg2">
                  <a:lumMod val="90000"/>
                </a:schemeClr>
              </a:solidFill>
            </a:ln>
          </c:spPr>
        </c:majorGridlines>
        <c:title>
          <c:tx>
            <c:rich>
              <a:bodyPr/>
              <a:lstStyle/>
              <a:p>
                <a:pPr>
                  <a:defRPr>
                    <a:solidFill>
                      <a:sysClr val="windowText" lastClr="000000"/>
                    </a:solidFill>
                  </a:defRPr>
                </a:pPr>
                <a:r>
                  <a:rPr lang="es-ES_tradnl">
                    <a:solidFill>
                      <a:sysClr val="windowText" lastClr="000000"/>
                    </a:solidFill>
                  </a:rPr>
                  <a:t>2023 TTB</a:t>
                </a:r>
                <a:r>
                  <a:rPr lang="es-ES_tradnl" baseline="0">
                    <a:solidFill>
                      <a:sysClr val="windowText" lastClr="000000"/>
                    </a:solidFill>
                  </a:rPr>
                  <a:t> elasticities</a:t>
                </a:r>
                <a:endParaRPr lang="es-ES_tradnl">
                  <a:solidFill>
                    <a:sysClr val="windowText" lastClr="000000"/>
                  </a:solidFill>
                </a:endParaRPr>
              </a:p>
            </c:rich>
          </c:tx>
          <c:overlay val="0"/>
        </c:title>
        <c:numFmt formatCode="#,##0.00" sourceLinked="0"/>
        <c:majorTickMark val="out"/>
        <c:minorTickMark val="none"/>
        <c:tickLblPos val="nextTo"/>
        <c:spPr>
          <a:ln>
            <a:solidFill>
              <a:schemeClr val="tx1"/>
            </a:solidFill>
          </a:ln>
        </c:spPr>
        <c:crossAx val="213695663"/>
        <c:crosses val="autoZero"/>
        <c:crossBetween val="midCat"/>
        <c:majorUnit val="0.25"/>
      </c:valAx>
      <c:spPr>
        <a:noFill/>
        <a:ln w="25400">
          <a:noFill/>
        </a:ln>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ln>
      <a:noFill/>
    </a:ln>
  </c:spPr>
  <c:txPr>
    <a:bodyPr/>
    <a:lstStyle/>
    <a:p>
      <a:pPr>
        <a:defRPr b="0">
          <a:latin typeface="Times New Roman" panose="02020603050405020304" pitchFamily="18" charset="0"/>
          <a:cs typeface="Times New Roman" panose="02020603050405020304" pitchFamily="18" charset="0"/>
        </a:defRPr>
      </a:pPr>
      <a:endParaRPr lang="es-ES_tradnl"/>
    </a:p>
  </c:txPr>
  <c:printSettings>
    <c:headerFooter/>
    <c:pageMargins b="0.75" l="0.25" r="0.25" t="0.75" header="0.3" footer="0.3"/>
    <c:pageSetup paperSize="9" orientation="landscape"/>
  </c:printSettings>
</c:chartSpace>
</file>

<file path=xl/charts/chart8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1"/>
          <c:order val="0"/>
          <c:spPr>
            <a:ln w="19050">
              <a:noFill/>
              <a:prstDash val="solid"/>
            </a:ln>
          </c:spPr>
          <c:marker>
            <c:symbol val="none"/>
          </c:marker>
          <c:dLbls>
            <c:delete val="1"/>
          </c:dLbls>
          <c:trendline>
            <c:spPr>
              <a:ln w="22225">
                <a:solidFill>
                  <a:schemeClr val="tx1">
                    <a:lumMod val="75000"/>
                    <a:lumOff val="25000"/>
                    <a:alpha val="80000"/>
                  </a:schemeClr>
                </a:solidFill>
                <a:prstDash val="sysDash"/>
              </a:ln>
            </c:spPr>
            <c:trendlineType val="linear"/>
            <c:dispRSqr val="0"/>
            <c:dispEq val="0"/>
          </c:trendline>
          <c:xVal>
            <c:numRef>
              <c:f>'2Cross'!$B$113:$B$133</c:f>
              <c:numCache>
                <c:formatCode>0.000</c:formatCode>
                <c:ptCount val="21"/>
                <c:pt idx="0">
                  <c:v>7.9026628754337205</c:v>
                </c:pt>
                <c:pt idx="1">
                  <c:v>12.848019466449855</c:v>
                </c:pt>
                <c:pt idx="2">
                  <c:v>14.44268867893739</c:v>
                </c:pt>
                <c:pt idx="3">
                  <c:v>19.228975648457421</c:v>
                </c:pt>
                <c:pt idx="4">
                  <c:v>8.6754276780268444</c:v>
                </c:pt>
                <c:pt idx="5">
                  <c:v>9.9703561318237792</c:v>
                </c:pt>
                <c:pt idx="6">
                  <c:v>15.170045390908987</c:v>
                </c:pt>
                <c:pt idx="7">
                  <c:v>14.00068594969372</c:v>
                </c:pt>
                <c:pt idx="8">
                  <c:v>20.297213303553796</c:v>
                </c:pt>
                <c:pt idx="9">
                  <c:v>15.605770089485727</c:v>
                </c:pt>
                <c:pt idx="10">
                  <c:v>13.931916457483526</c:v>
                </c:pt>
                <c:pt idx="11">
                  <c:v>20.218944729105125</c:v>
                </c:pt>
                <c:pt idx="12">
                  <c:v>14.472585388708239</c:v>
                </c:pt>
                <c:pt idx="13">
                  <c:v>5.114312040750236</c:v>
                </c:pt>
                <c:pt idx="14">
                  <c:v>9.8157417281948369</c:v>
                </c:pt>
                <c:pt idx="15">
                  <c:v>7.3353862232176814</c:v>
                </c:pt>
                <c:pt idx="16">
                  <c:v>17.90065301033205</c:v>
                </c:pt>
                <c:pt idx="17">
                  <c:v>21.568472135823413</c:v>
                </c:pt>
                <c:pt idx="18">
                  <c:v>12.815526995511552</c:v>
                </c:pt>
                <c:pt idx="19">
                  <c:v>13.148449627181154</c:v>
                </c:pt>
                <c:pt idx="20">
                  <c:v>17.99921793306866</c:v>
                </c:pt>
              </c:numCache>
            </c:numRef>
          </c:xVal>
          <c:yVal>
            <c:numRef>
              <c:f>'2Cross'!$E$113:$E$133</c:f>
              <c:numCache>
                <c:formatCode>0.000</c:formatCode>
                <c:ptCount val="21"/>
                <c:pt idx="0">
                  <c:v>-0.9432650611839799</c:v>
                </c:pt>
                <c:pt idx="1">
                  <c:v>-0.58114607280451835</c:v>
                </c:pt>
                <c:pt idx="2">
                  <c:v>-1.0169277600224849</c:v>
                </c:pt>
                <c:pt idx="3">
                  <c:v>-0.5056556709175517</c:v>
                </c:pt>
                <c:pt idx="4">
                  <c:v>0.24436395182068082</c:v>
                </c:pt>
                <c:pt idx="5">
                  <c:v>-0.26230297613825471</c:v>
                </c:pt>
                <c:pt idx="6">
                  <c:v>0.23924617159384276</c:v>
                </c:pt>
                <c:pt idx="7">
                  <c:v>-1.0649474610221592</c:v>
                </c:pt>
                <c:pt idx="8">
                  <c:v>-0.20025850396917377</c:v>
                </c:pt>
                <c:pt idx="9">
                  <c:v>-0.13106831665295715</c:v>
                </c:pt>
                <c:pt idx="10">
                  <c:v>-0.3669265993612445</c:v>
                </c:pt>
                <c:pt idx="11">
                  <c:v>-0.37327392874333754</c:v>
                </c:pt>
                <c:pt idx="12">
                  <c:v>-0.31040219293845261</c:v>
                </c:pt>
                <c:pt idx="13">
                  <c:v>0.30331428704938546</c:v>
                </c:pt>
                <c:pt idx="14">
                  <c:v>0.27595744660532695</c:v>
                </c:pt>
                <c:pt idx="15">
                  <c:v>0.87607903423243538</c:v>
                </c:pt>
                <c:pt idx="16">
                  <c:v>0.89173883131218545</c:v>
                </c:pt>
                <c:pt idx="17">
                  <c:v>-1.2572097850488859</c:v>
                </c:pt>
                <c:pt idx="18">
                  <c:v>0.80914110992747545</c:v>
                </c:pt>
                <c:pt idx="19">
                  <c:v>0.85462094584496739</c:v>
                </c:pt>
                <c:pt idx="20">
                  <c:v>0.10136354179969587</c:v>
                </c:pt>
              </c:numCache>
            </c:numRef>
          </c:yVal>
          <c:smooth val="0"/>
          <c:extLst>
            <c:ext xmlns:c16="http://schemas.microsoft.com/office/drawing/2014/chart" uri="{C3380CC4-5D6E-409C-BE32-E72D297353CC}">
              <c16:uniqueId val="{00000001-A153-483F-8BD7-CE962F0B1229}"/>
            </c:ext>
          </c:extLst>
        </c:ser>
        <c:ser>
          <c:idx val="0"/>
          <c:order val="1"/>
          <c:spPr>
            <a:ln w="19050">
              <a:noFill/>
            </a:ln>
          </c:spPr>
          <c:marker>
            <c:symbol val="none"/>
          </c:marker>
          <c:dPt>
            <c:idx val="9"/>
            <c:bubble3D val="0"/>
            <c:extLst>
              <c:ext xmlns:c16="http://schemas.microsoft.com/office/drawing/2014/chart" uri="{C3380CC4-5D6E-409C-BE32-E72D297353CC}">
                <c16:uniqueId val="{00000003-A153-483F-8BD7-CE962F0B1229}"/>
              </c:ext>
            </c:extLst>
          </c:dPt>
          <c:dPt>
            <c:idx val="16"/>
            <c:bubble3D val="0"/>
            <c:extLst>
              <c:ext xmlns:c16="http://schemas.microsoft.com/office/drawing/2014/chart" uri="{C3380CC4-5D6E-409C-BE32-E72D297353CC}">
                <c16:uniqueId val="{00000005-A153-483F-8BD7-CE962F0B1229}"/>
              </c:ext>
            </c:extLst>
          </c:dPt>
          <c:dLbls>
            <c:dLbl>
              <c:idx val="0"/>
              <c:tx>
                <c:rich>
                  <a:bodyPr/>
                  <a:lstStyle/>
                  <a:p>
                    <a:fld id="{7C709F81-4447-4E64-B98F-68C3C59680A2}" type="CELLRANGE">
                      <a:rPr lang="en-US" baseline="0"/>
                      <a:pPr/>
                      <a:t>[CELLRANGE]</a:t>
                    </a:fld>
                    <a:r>
                      <a:rPr lang="en-US" baseline="0"/>
                      <a:t>; </a:t>
                    </a:r>
                    <a:fld id="{F144FB9F-2527-40AD-99D1-1A94A6FB8468}" type="YVALUE">
                      <a:rPr lang="en-US" baseline="0"/>
                      <a:pPr/>
                      <a:t>[VALOR DE Y]</a:t>
                    </a:fld>
                    <a:endParaRPr lang="en-US" baseline="0"/>
                  </a:p>
                </c:rich>
              </c:tx>
              <c:dLblPos val="t"/>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A153-483F-8BD7-CE962F0B1229}"/>
                </c:ext>
              </c:extLst>
            </c:dLbl>
            <c:dLbl>
              <c:idx val="1"/>
              <c:tx>
                <c:rich>
                  <a:bodyPr/>
                  <a:lstStyle/>
                  <a:p>
                    <a:fld id="{B550EC65-15E6-452C-A505-8806850872DF}" type="CELLRANGE">
                      <a:rPr lang="en-US"/>
                      <a:pPr/>
                      <a:t>[CELLRANGE]</a:t>
                    </a:fld>
                    <a:r>
                      <a:rPr lang="en-US" baseline="0"/>
                      <a:t>; </a:t>
                    </a:r>
                    <a:fld id="{34E6AC7E-DD59-4D73-AF3B-8C18DF9DFB21}" type="YVALUE">
                      <a:rPr lang="en-US" baseline="0"/>
                      <a:pPr/>
                      <a:t>[VALOR DE Y]</a:t>
                    </a:fld>
                    <a:endParaRPr lang="en-US" baseline="0"/>
                  </a:p>
                </c:rich>
              </c:tx>
              <c:dLblPos val="t"/>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A153-483F-8BD7-CE962F0B1229}"/>
                </c:ext>
              </c:extLst>
            </c:dLbl>
            <c:dLbl>
              <c:idx val="2"/>
              <c:tx>
                <c:rich>
                  <a:bodyPr/>
                  <a:lstStyle/>
                  <a:p>
                    <a:fld id="{0208925E-70D5-430C-AFD7-B96F30F30E78}" type="CELLRANGE">
                      <a:rPr lang="en-US"/>
                      <a:pPr/>
                      <a:t>[CELLRANGE]</a:t>
                    </a:fld>
                    <a:r>
                      <a:rPr lang="en-US" baseline="0"/>
                      <a:t>; </a:t>
                    </a:r>
                    <a:fld id="{2DE63911-4839-4A4C-9515-DE54357FC06F}" type="YVALUE">
                      <a:rPr lang="en-US" baseline="0"/>
                      <a:pPr/>
                      <a:t>[VALOR DE Y]</a:t>
                    </a:fld>
                    <a:endParaRPr lang="en-US" baseline="0"/>
                  </a:p>
                </c:rich>
              </c:tx>
              <c:dLblPos val="t"/>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A153-483F-8BD7-CE962F0B1229}"/>
                </c:ext>
              </c:extLst>
            </c:dLbl>
            <c:dLbl>
              <c:idx val="3"/>
              <c:tx>
                <c:rich>
                  <a:bodyPr/>
                  <a:lstStyle/>
                  <a:p>
                    <a:fld id="{CB12EF1B-269A-4DB2-AABD-137CFD25D238}" type="CELLRANGE">
                      <a:rPr lang="en-US"/>
                      <a:pPr/>
                      <a:t>[CELLRANGE]</a:t>
                    </a:fld>
                    <a:r>
                      <a:rPr lang="en-US" baseline="0"/>
                      <a:t>; </a:t>
                    </a:r>
                    <a:fld id="{BA22ED08-2007-47C5-985F-80BA81FACCA6}" type="YVALUE">
                      <a:rPr lang="en-US" baseline="0"/>
                      <a:pPr/>
                      <a:t>[VALOR DE Y]</a:t>
                    </a:fld>
                    <a:endParaRPr lang="en-US" baseline="0"/>
                  </a:p>
                </c:rich>
              </c:tx>
              <c:dLblPos val="t"/>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A153-483F-8BD7-CE962F0B1229}"/>
                </c:ext>
              </c:extLst>
            </c:dLbl>
            <c:dLbl>
              <c:idx val="4"/>
              <c:tx>
                <c:rich>
                  <a:bodyPr/>
                  <a:lstStyle/>
                  <a:p>
                    <a:fld id="{CB29C111-1CF3-45F6-A8F1-9FB50452EA90}" type="CELLRANGE">
                      <a:rPr lang="en-US"/>
                      <a:pPr/>
                      <a:t>[CELLRANGE]</a:t>
                    </a:fld>
                    <a:r>
                      <a:rPr lang="en-US" baseline="0"/>
                      <a:t>; </a:t>
                    </a:r>
                    <a:fld id="{63652858-0C94-429E-86DE-D2886614DC4F}" type="YVALUE">
                      <a:rPr lang="en-US" baseline="0"/>
                      <a:pPr/>
                      <a:t>[VALOR DE Y]</a:t>
                    </a:fld>
                    <a:endParaRPr lang="en-US" baseline="0"/>
                  </a:p>
                </c:rich>
              </c:tx>
              <c:dLblPos val="t"/>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A153-483F-8BD7-CE962F0B1229}"/>
                </c:ext>
              </c:extLst>
            </c:dLbl>
            <c:dLbl>
              <c:idx val="5"/>
              <c:tx>
                <c:rich>
                  <a:bodyPr/>
                  <a:lstStyle/>
                  <a:p>
                    <a:fld id="{63571B87-9D68-4B4E-8987-A5B1207A65FB}" type="CELLRANGE">
                      <a:rPr lang="en-US"/>
                      <a:pPr/>
                      <a:t>[CELLRANGE]</a:t>
                    </a:fld>
                    <a:endParaRPr lang="es-ES_tradnl"/>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A153-483F-8BD7-CE962F0B1229}"/>
                </c:ext>
              </c:extLst>
            </c:dLbl>
            <c:dLbl>
              <c:idx val="6"/>
              <c:tx>
                <c:rich>
                  <a:bodyPr/>
                  <a:lstStyle/>
                  <a:p>
                    <a:fld id="{058C01E9-97A3-4E29-A98A-BED63666CBAE}" type="CELLRANGE">
                      <a:rPr lang="en-US"/>
                      <a:pPr/>
                      <a:t>[CELLRANGE]</a:t>
                    </a:fld>
                    <a:r>
                      <a:rPr lang="en-US" baseline="0"/>
                      <a:t>; </a:t>
                    </a:r>
                    <a:fld id="{A3326ECA-C488-4429-8175-890E719D086F}" type="YVALUE">
                      <a:rPr lang="en-US" baseline="0"/>
                      <a:pPr/>
                      <a:t>[VALOR DE Y]</a:t>
                    </a:fld>
                    <a:endParaRPr lang="en-US" baseline="0"/>
                  </a:p>
                </c:rich>
              </c:tx>
              <c:dLblPos val="t"/>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A153-483F-8BD7-CE962F0B1229}"/>
                </c:ext>
              </c:extLst>
            </c:dLbl>
            <c:dLbl>
              <c:idx val="7"/>
              <c:tx>
                <c:rich>
                  <a:bodyPr/>
                  <a:lstStyle/>
                  <a:p>
                    <a:fld id="{F8ACC289-5836-44D6-A602-0AE8959D972A}" type="CELLRANGE">
                      <a:rPr lang="en-US"/>
                      <a:pPr/>
                      <a:t>[CELLRANGE]</a:t>
                    </a:fld>
                    <a:r>
                      <a:rPr lang="en-US" baseline="0"/>
                      <a:t>; </a:t>
                    </a:r>
                    <a:fld id="{C84C8614-C2A2-4AC4-BA95-288664CB07B9}" type="YVALUE">
                      <a:rPr lang="en-US" baseline="0"/>
                      <a:pPr/>
                      <a:t>[VALOR DE Y]</a:t>
                    </a:fld>
                    <a:endParaRPr lang="en-US" baseline="0"/>
                  </a:p>
                </c:rich>
              </c:tx>
              <c:dLblPos val="t"/>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A153-483F-8BD7-CE962F0B1229}"/>
                </c:ext>
              </c:extLst>
            </c:dLbl>
            <c:dLbl>
              <c:idx val="8"/>
              <c:tx>
                <c:rich>
                  <a:bodyPr/>
                  <a:lstStyle/>
                  <a:p>
                    <a:fld id="{08A7585E-D9FF-47D3-B12F-950E27F434AB}" type="CELLRANGE">
                      <a:rPr lang="en-US" baseline="0"/>
                      <a:pPr/>
                      <a:t>[CELLRANGE]</a:t>
                    </a:fld>
                    <a:r>
                      <a:rPr lang="en-US" baseline="0"/>
                      <a:t>, </a:t>
                    </a:r>
                    <a:fld id="{93E60E48-C950-4CA2-B521-7D2A6DE07419}" type="YVALUE">
                      <a:rPr lang="en-US" baseline="0"/>
                      <a:pPr/>
                      <a:t>[VALOR DE Y]</a:t>
                    </a:fld>
                    <a:endParaRPr lang="en-US" baseline="0"/>
                  </a:p>
                </c:rich>
              </c:tx>
              <c:dLblPos val="t"/>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D-A153-483F-8BD7-CE962F0B1229}"/>
                </c:ext>
              </c:extLst>
            </c:dLbl>
            <c:dLbl>
              <c:idx val="9"/>
              <c:tx>
                <c:rich>
                  <a:bodyPr/>
                  <a:lstStyle/>
                  <a:p>
                    <a:fld id="{D2E4C7A9-A240-4076-8103-FC10D4E3BDA0}" type="CELLRANGE">
                      <a:rPr lang="en-US"/>
                      <a:pPr/>
                      <a:t>[CELLRANGE]</a:t>
                    </a:fld>
                    <a:r>
                      <a:rPr lang="en-US" baseline="0"/>
                      <a:t>, </a:t>
                    </a:r>
                    <a:fld id="{89C77F5C-EC54-4CCC-BACC-CE969FB81922}" type="YVALUE">
                      <a:rPr lang="en-US" baseline="0"/>
                      <a:pPr/>
                      <a:t>[VALOR DE Y]</a:t>
                    </a:fld>
                    <a:endParaRPr lang="en-US" baseline="0"/>
                  </a:p>
                </c:rich>
              </c:tx>
              <c:dLblPos val="t"/>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A153-483F-8BD7-CE962F0B1229}"/>
                </c:ext>
              </c:extLst>
            </c:dLbl>
            <c:dLbl>
              <c:idx val="10"/>
              <c:tx>
                <c:rich>
                  <a:bodyPr/>
                  <a:lstStyle/>
                  <a:p>
                    <a:fld id="{C96A32B6-B5DD-4797-AEA1-EE7819B7FCBF}" type="CELLRANGE">
                      <a:rPr lang="en-US"/>
                      <a:pPr/>
                      <a:t>[CELLRANGE]</a:t>
                    </a:fld>
                    <a:r>
                      <a:rPr lang="en-US" baseline="0"/>
                      <a:t>, </a:t>
                    </a:r>
                    <a:fld id="{784E0ADD-FC2C-482D-8DAE-75F002177BBE}" type="YVALUE">
                      <a:rPr lang="en-US" baseline="0"/>
                      <a:pPr/>
                      <a:t>[VALOR DE Y]</a:t>
                    </a:fld>
                    <a:endParaRPr lang="en-US" baseline="0"/>
                  </a:p>
                </c:rich>
              </c:tx>
              <c:dLblPos val="t"/>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A153-483F-8BD7-CE962F0B1229}"/>
                </c:ext>
              </c:extLst>
            </c:dLbl>
            <c:dLbl>
              <c:idx val="11"/>
              <c:tx>
                <c:rich>
                  <a:bodyPr/>
                  <a:lstStyle/>
                  <a:p>
                    <a:fld id="{CFE5AABF-9FCA-4B44-A183-9F659D19DD00}" type="CELLRANGE">
                      <a:rPr lang="en-US"/>
                      <a:pPr/>
                      <a:t>[CELLRANGE]</a:t>
                    </a:fld>
                    <a:r>
                      <a:rPr lang="en-US" baseline="0"/>
                      <a:t>; </a:t>
                    </a:r>
                    <a:fld id="{5ABF86DE-5823-46FA-954A-FE1772764ADF}" type="YVALUE">
                      <a:rPr lang="en-US" baseline="0"/>
                      <a:pPr/>
                      <a:t>[VALOR DE Y]</a:t>
                    </a:fld>
                    <a:endParaRPr lang="en-US" baseline="0"/>
                  </a:p>
                </c:rich>
              </c:tx>
              <c:dLblPos val="t"/>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A153-483F-8BD7-CE962F0B1229}"/>
                </c:ext>
              </c:extLst>
            </c:dLbl>
            <c:dLbl>
              <c:idx val="12"/>
              <c:tx>
                <c:rich>
                  <a:bodyPr/>
                  <a:lstStyle/>
                  <a:p>
                    <a:fld id="{F80C36FB-50A9-4D1B-9DFC-8D5534BD78DD}" type="CELLRANGE">
                      <a:rPr lang="en-US"/>
                      <a:pPr/>
                      <a:t>[CELLRANGE]</a:t>
                    </a:fld>
                    <a:r>
                      <a:rPr lang="en-US" baseline="0"/>
                      <a:t>, </a:t>
                    </a:r>
                    <a:fld id="{F89CA3C6-42F1-4143-8B9B-31CD9FB1C457}" type="YVALUE">
                      <a:rPr lang="en-US" baseline="0"/>
                      <a:pPr/>
                      <a:t>[VALOR DE Y]</a:t>
                    </a:fld>
                    <a:endParaRPr lang="en-US" baseline="0"/>
                  </a:p>
                </c:rich>
              </c:tx>
              <c:dLblPos val="t"/>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0-A153-483F-8BD7-CE962F0B1229}"/>
                </c:ext>
              </c:extLst>
            </c:dLbl>
            <c:dLbl>
              <c:idx val="13"/>
              <c:tx>
                <c:rich>
                  <a:bodyPr/>
                  <a:lstStyle/>
                  <a:p>
                    <a:fld id="{9111F1FB-626F-482B-B75F-22F1EE4EB43E}" type="CELLRANGE">
                      <a:rPr lang="en-US"/>
                      <a:pPr/>
                      <a:t>[CELLRANGE]</a:t>
                    </a:fld>
                    <a:r>
                      <a:rPr lang="en-US" baseline="0"/>
                      <a:t>, </a:t>
                    </a:r>
                    <a:fld id="{E992AF2A-E918-47B9-BD63-3C59DB9678C1}" type="YVALUE">
                      <a:rPr lang="en-US" baseline="0"/>
                      <a:pPr/>
                      <a:t>[VALOR DE Y]</a:t>
                    </a:fld>
                    <a:endParaRPr lang="en-US" baseline="0"/>
                  </a:p>
                </c:rich>
              </c:tx>
              <c:dLblPos val="t"/>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A153-483F-8BD7-CE962F0B1229}"/>
                </c:ext>
              </c:extLst>
            </c:dLbl>
            <c:dLbl>
              <c:idx val="14"/>
              <c:tx>
                <c:rich>
                  <a:bodyPr/>
                  <a:lstStyle/>
                  <a:p>
                    <a:fld id="{001FC119-F25C-4BAA-A7CE-ABB26D951581}" type="CELLRANGE">
                      <a:rPr lang="en-US"/>
                      <a:pPr/>
                      <a:t>[CELLRANGE]</a:t>
                    </a:fld>
                    <a:r>
                      <a:rPr lang="en-US" baseline="0"/>
                      <a:t>, </a:t>
                    </a:r>
                    <a:fld id="{C0CB6F03-6FFA-4C55-933C-E9460CFCAB92}" type="YVALUE">
                      <a:rPr lang="en-US" baseline="0"/>
                      <a:pPr/>
                      <a:t>[VALOR DE Y]</a:t>
                    </a:fld>
                    <a:endParaRPr lang="en-US" baseline="0"/>
                  </a:p>
                </c:rich>
              </c:tx>
              <c:dLblPos val="t"/>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1-A153-483F-8BD7-CE962F0B1229}"/>
                </c:ext>
              </c:extLst>
            </c:dLbl>
            <c:dLbl>
              <c:idx val="15"/>
              <c:tx>
                <c:rich>
                  <a:bodyPr/>
                  <a:lstStyle/>
                  <a:p>
                    <a:fld id="{4B31505E-9F90-4E4C-8492-83AA44A3F9AA}" type="CELLRANGE">
                      <a:rPr lang="en-US"/>
                      <a:pPr/>
                      <a:t>[CELLRANGE]</a:t>
                    </a:fld>
                    <a:r>
                      <a:rPr lang="en-US" baseline="0"/>
                      <a:t>, </a:t>
                    </a:r>
                    <a:fld id="{75B32F90-C6F8-4897-B1D7-AD0452C25A9E}" type="YVALUE">
                      <a:rPr lang="en-US" baseline="0"/>
                      <a:pPr/>
                      <a:t>[VALOR DE Y]</a:t>
                    </a:fld>
                    <a:endParaRPr lang="en-US" baseline="0"/>
                  </a:p>
                </c:rich>
              </c:tx>
              <c:dLblPos val="t"/>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2-A153-483F-8BD7-CE962F0B1229}"/>
                </c:ext>
              </c:extLst>
            </c:dLbl>
            <c:dLbl>
              <c:idx val="16"/>
              <c:tx>
                <c:rich>
                  <a:bodyPr/>
                  <a:lstStyle/>
                  <a:p>
                    <a:fld id="{A45578E7-32DA-4256-91E6-A06E99728432}" type="CELLRANGE">
                      <a:rPr lang="en-US"/>
                      <a:pPr/>
                      <a:t>[CELLRANGE]</a:t>
                    </a:fld>
                    <a:r>
                      <a:rPr lang="en-US" baseline="0"/>
                      <a:t>, </a:t>
                    </a:r>
                    <a:fld id="{0AC78D0E-481F-43F2-A6BF-D0892172A840}" type="YVALUE">
                      <a:rPr lang="en-US" baseline="0"/>
                      <a:pPr/>
                      <a:t>[VALOR DE Y]</a:t>
                    </a:fld>
                    <a:endParaRPr lang="en-US" baseline="0"/>
                  </a:p>
                </c:rich>
              </c:tx>
              <c:dLblPos val="t"/>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A153-483F-8BD7-CE962F0B1229}"/>
                </c:ext>
              </c:extLst>
            </c:dLbl>
            <c:dLbl>
              <c:idx val="17"/>
              <c:tx>
                <c:rich>
                  <a:bodyPr/>
                  <a:lstStyle/>
                  <a:p>
                    <a:fld id="{F8C87ACE-E222-44DC-9DEF-3AA2C80B74C3}" type="CELLRANGE">
                      <a:rPr lang="en-US"/>
                      <a:pPr/>
                      <a:t>[CELLRANGE]</a:t>
                    </a:fld>
                    <a:r>
                      <a:rPr lang="en-US" baseline="0"/>
                      <a:t>, </a:t>
                    </a:r>
                    <a:fld id="{8169133B-517C-4632-B40E-283E8A098FDF}" type="YVALUE">
                      <a:rPr lang="en-US" baseline="0"/>
                      <a:pPr/>
                      <a:t>[VALOR DE Y]</a:t>
                    </a:fld>
                    <a:endParaRPr lang="en-US" baseline="0"/>
                  </a:p>
                </c:rich>
              </c:tx>
              <c:dLblPos val="t"/>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3-A153-483F-8BD7-CE962F0B1229}"/>
                </c:ext>
              </c:extLst>
            </c:dLbl>
            <c:dLbl>
              <c:idx val="18"/>
              <c:tx>
                <c:rich>
                  <a:bodyPr/>
                  <a:lstStyle/>
                  <a:p>
                    <a:fld id="{46977793-A157-4752-8209-C4CF0A758323}" type="CELLRANGE">
                      <a:rPr lang="en-US"/>
                      <a:pPr/>
                      <a:t>[CELLRANGE]</a:t>
                    </a:fld>
                    <a:r>
                      <a:rPr lang="en-US" baseline="0"/>
                      <a:t>, </a:t>
                    </a:r>
                    <a:fld id="{2836FEC6-E284-4C98-B99A-5A246C36313E}" type="YVALUE">
                      <a:rPr lang="en-US" baseline="0"/>
                      <a:pPr/>
                      <a:t>[VALOR DE Y]</a:t>
                    </a:fld>
                    <a:endParaRPr lang="en-US" baseline="0"/>
                  </a:p>
                </c:rich>
              </c:tx>
              <c:dLblPos val="t"/>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4-A153-483F-8BD7-CE962F0B1229}"/>
                </c:ext>
              </c:extLst>
            </c:dLbl>
            <c:dLbl>
              <c:idx val="19"/>
              <c:tx>
                <c:rich>
                  <a:bodyPr/>
                  <a:lstStyle/>
                  <a:p>
                    <a:fld id="{6B53EC3C-E99A-45F0-806D-A61CC4BEAA86}" type="CELLRANGE">
                      <a:rPr lang="en-US"/>
                      <a:pPr/>
                      <a:t>[CELLRANGE]</a:t>
                    </a:fld>
                    <a:r>
                      <a:rPr lang="en-US" baseline="0"/>
                      <a:t>; </a:t>
                    </a:r>
                    <a:fld id="{A5324E08-0AF9-493B-8CD0-76EAD03ACC0C}" type="YVALUE">
                      <a:rPr lang="en-US" baseline="0"/>
                      <a:pPr/>
                      <a:t>[VALOR DE Y]</a:t>
                    </a:fld>
                    <a:endParaRPr lang="en-US" baseline="0"/>
                  </a:p>
                </c:rich>
              </c:tx>
              <c:dLblPos val="t"/>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A153-483F-8BD7-CE962F0B1229}"/>
                </c:ext>
              </c:extLst>
            </c:dLbl>
            <c:dLbl>
              <c:idx val="20"/>
              <c:tx>
                <c:rich>
                  <a:bodyPr/>
                  <a:lstStyle/>
                  <a:p>
                    <a:fld id="{E612330D-5AC7-4283-A60E-734E5B22C4AA}" type="CELLRANGE">
                      <a:rPr lang="en-US"/>
                      <a:pPr/>
                      <a:t>[CELLRANGE]</a:t>
                    </a:fld>
                    <a:r>
                      <a:rPr lang="en-US" baseline="0"/>
                      <a:t>, </a:t>
                    </a:r>
                    <a:fld id="{94BBC685-27E5-4FB7-9B5A-EBF56DA0CCFD}" type="YVALUE">
                      <a:rPr lang="en-US" baseline="0"/>
                      <a:pPr/>
                      <a:t>[VALOR DE Y]</a:t>
                    </a:fld>
                    <a:endParaRPr lang="en-US" baseline="0"/>
                  </a:p>
                </c:rich>
              </c:tx>
              <c:dLblPos val="t"/>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6-A153-483F-8BD7-CE962F0B1229}"/>
                </c:ext>
              </c:extLst>
            </c:dLbl>
            <c:spPr>
              <a:noFill/>
              <a:ln>
                <a:noFill/>
              </a:ln>
              <a:effectLst/>
            </c:spPr>
            <c:txPr>
              <a:bodyPr wrap="square" lIns="38100" tIns="19050" rIns="38100" bIns="19050" anchor="ctr">
                <a:spAutoFit/>
              </a:bodyPr>
              <a:lstStyle/>
              <a:p>
                <a:pPr>
                  <a:defRPr sz="850" b="0">
                    <a:solidFill>
                      <a:schemeClr val="bg1"/>
                    </a:solidFill>
                  </a:defRPr>
                </a:pPr>
                <a:endParaRPr lang="es-ES_tradnl"/>
              </a:p>
            </c:txPr>
            <c:dLblPos val="t"/>
            <c:showLegendKey val="0"/>
            <c:showVal val="1"/>
            <c:showCatName val="0"/>
            <c:showSerName val="0"/>
            <c:showPercent val="0"/>
            <c:showBubbleSize val="0"/>
            <c:showLeaderLines val="0"/>
            <c:extLst>
              <c:ext xmlns:c15="http://schemas.microsoft.com/office/drawing/2012/chart" uri="{CE6537A1-D6FC-4f65-9D91-7224C49458BB}">
                <c15:showDataLabelsRange val="1"/>
                <c15:showLeaderLines val="0"/>
              </c:ext>
            </c:extLst>
          </c:dLbls>
          <c:xVal>
            <c:numRef>
              <c:f>'2Cross'!$B$113:$B$133</c:f>
              <c:numCache>
                <c:formatCode>0.000</c:formatCode>
                <c:ptCount val="21"/>
                <c:pt idx="0">
                  <c:v>7.9026628754337205</c:v>
                </c:pt>
                <c:pt idx="1">
                  <c:v>12.848019466449855</c:v>
                </c:pt>
                <c:pt idx="2">
                  <c:v>14.44268867893739</c:v>
                </c:pt>
                <c:pt idx="3">
                  <c:v>19.228975648457421</c:v>
                </c:pt>
                <c:pt idx="4">
                  <c:v>8.6754276780268444</c:v>
                </c:pt>
                <c:pt idx="5">
                  <c:v>9.9703561318237792</c:v>
                </c:pt>
                <c:pt idx="6">
                  <c:v>15.170045390908987</c:v>
                </c:pt>
                <c:pt idx="7">
                  <c:v>14.00068594969372</c:v>
                </c:pt>
                <c:pt idx="8">
                  <c:v>20.297213303553796</c:v>
                </c:pt>
                <c:pt idx="9">
                  <c:v>15.605770089485727</c:v>
                </c:pt>
                <c:pt idx="10">
                  <c:v>13.931916457483526</c:v>
                </c:pt>
                <c:pt idx="11">
                  <c:v>20.218944729105125</c:v>
                </c:pt>
                <c:pt idx="12">
                  <c:v>14.472585388708239</c:v>
                </c:pt>
                <c:pt idx="13">
                  <c:v>5.114312040750236</c:v>
                </c:pt>
                <c:pt idx="14">
                  <c:v>9.8157417281948369</c:v>
                </c:pt>
                <c:pt idx="15">
                  <c:v>7.3353862232176814</c:v>
                </c:pt>
                <c:pt idx="16">
                  <c:v>17.90065301033205</c:v>
                </c:pt>
                <c:pt idx="17">
                  <c:v>21.568472135823413</c:v>
                </c:pt>
                <c:pt idx="18">
                  <c:v>12.815526995511552</c:v>
                </c:pt>
                <c:pt idx="19">
                  <c:v>13.148449627181154</c:v>
                </c:pt>
                <c:pt idx="20">
                  <c:v>17.99921793306866</c:v>
                </c:pt>
              </c:numCache>
            </c:numRef>
          </c:xVal>
          <c:yVal>
            <c:numRef>
              <c:f>'2Cross'!$C$113:$C$133</c:f>
              <c:numCache>
                <c:formatCode>0.000</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yVal>
          <c:smooth val="0"/>
          <c:extLst>
            <c:ext xmlns:c15="http://schemas.microsoft.com/office/drawing/2012/chart" uri="{02D57815-91ED-43cb-92C2-25804820EDAC}">
              <c15:datalabelsRange>
                <c15:f>'2Cross'!$A$113:$A$133</c15:f>
                <c15:dlblRangeCache>
                  <c:ptCount val="21"/>
                  <c:pt idx="0">
                    <c:v>CY</c:v>
                  </c:pt>
                  <c:pt idx="1">
                    <c:v>MT</c:v>
                  </c:pt>
                  <c:pt idx="2">
                    <c:v>ES</c:v>
                  </c:pt>
                  <c:pt idx="3">
                    <c:v>IT</c:v>
                  </c:pt>
                  <c:pt idx="4">
                    <c:v>EL</c:v>
                  </c:pt>
                  <c:pt idx="5">
                    <c:v>HU</c:v>
                  </c:pt>
                  <c:pt idx="6">
                    <c:v>FR</c:v>
                  </c:pt>
                  <c:pt idx="7">
                    <c:v>EE</c:v>
                  </c:pt>
                  <c:pt idx="8">
                    <c:v>FI</c:v>
                  </c:pt>
                  <c:pt idx="9">
                    <c:v>LT</c:v>
                  </c:pt>
                  <c:pt idx="10">
                    <c:v>PT</c:v>
                  </c:pt>
                  <c:pt idx="11">
                    <c:v>IE</c:v>
                  </c:pt>
                  <c:pt idx="12">
                    <c:v>NL</c:v>
                  </c:pt>
                  <c:pt idx="13">
                    <c:v>HR</c:v>
                  </c:pt>
                  <c:pt idx="14">
                    <c:v>SI</c:v>
                  </c:pt>
                  <c:pt idx="15">
                    <c:v>SK</c:v>
                  </c:pt>
                  <c:pt idx="16">
                    <c:v>DE</c:v>
                  </c:pt>
                  <c:pt idx="17">
                    <c:v>BE</c:v>
                  </c:pt>
                  <c:pt idx="18">
                    <c:v>AT</c:v>
                  </c:pt>
                  <c:pt idx="19">
                    <c:v>LV</c:v>
                  </c:pt>
                  <c:pt idx="20">
                    <c:v>LU</c:v>
                  </c:pt>
                </c15:dlblRangeCache>
              </c15:datalabelsRange>
            </c:ext>
            <c:ext xmlns:c16="http://schemas.microsoft.com/office/drawing/2014/chart" uri="{C3380CC4-5D6E-409C-BE32-E72D297353CC}">
              <c16:uniqueId val="{00000017-A153-483F-8BD7-CE962F0B1229}"/>
            </c:ext>
          </c:extLst>
        </c:ser>
        <c:dLbls>
          <c:dLblPos val="t"/>
          <c:showLegendKey val="0"/>
          <c:showVal val="1"/>
          <c:showCatName val="0"/>
          <c:showSerName val="0"/>
          <c:showPercent val="0"/>
          <c:showBubbleSize val="0"/>
        </c:dLbls>
        <c:axId val="213695663"/>
        <c:axId val="300820575"/>
      </c:scatterChart>
      <c:valAx>
        <c:axId val="213695663"/>
        <c:scaling>
          <c:orientation val="minMax"/>
          <c:max val="2.5"/>
          <c:min val="1.25"/>
        </c:scaling>
        <c:delete val="0"/>
        <c:axPos val="b"/>
        <c:majorGridlines>
          <c:spPr>
            <a:ln>
              <a:solidFill>
                <a:schemeClr val="bg2">
                  <a:lumMod val="90000"/>
                </a:schemeClr>
              </a:solidFill>
            </a:ln>
          </c:spPr>
        </c:majorGridlines>
        <c:title>
          <c:tx>
            <c:rich>
              <a:bodyPr/>
              <a:lstStyle/>
              <a:p>
                <a:pPr>
                  <a:defRPr/>
                </a:pPr>
                <a:r>
                  <a:rPr lang="es-ES_tradnl"/>
                  <a:t>ERTI</a:t>
                </a:r>
                <a:r>
                  <a:rPr lang="es-ES_tradnl" baseline="0"/>
                  <a:t> (OECD estimation)</a:t>
                </a:r>
                <a:endParaRPr lang="es-ES_tradnl"/>
              </a:p>
            </c:rich>
          </c:tx>
          <c:overlay val="0"/>
        </c:title>
        <c:numFmt formatCode="#,##0.00" sourceLinked="0"/>
        <c:majorTickMark val="out"/>
        <c:minorTickMark val="none"/>
        <c:tickLblPos val="nextTo"/>
        <c:spPr>
          <a:ln>
            <a:solidFill>
              <a:schemeClr val="tx1"/>
            </a:solidFill>
          </a:ln>
        </c:spPr>
        <c:crossAx val="300820575"/>
        <c:crosses val="autoZero"/>
        <c:crossBetween val="midCat"/>
        <c:majorUnit val="0.25"/>
      </c:valAx>
      <c:valAx>
        <c:axId val="300820575"/>
        <c:scaling>
          <c:orientation val="minMax"/>
          <c:max val="2.5"/>
          <c:min val="1.25"/>
        </c:scaling>
        <c:delete val="0"/>
        <c:axPos val="l"/>
        <c:majorGridlines>
          <c:spPr>
            <a:ln>
              <a:solidFill>
                <a:schemeClr val="bg2">
                  <a:lumMod val="90000"/>
                </a:schemeClr>
              </a:solidFill>
            </a:ln>
          </c:spPr>
        </c:majorGridlines>
        <c:title>
          <c:tx>
            <c:rich>
              <a:bodyPr/>
              <a:lstStyle/>
              <a:p>
                <a:pPr>
                  <a:defRPr>
                    <a:solidFill>
                      <a:sysClr val="windowText" lastClr="000000"/>
                    </a:solidFill>
                  </a:defRPr>
                </a:pPr>
                <a:r>
                  <a:rPr lang="es-ES_tradnl">
                    <a:solidFill>
                      <a:sysClr val="windowText" lastClr="000000"/>
                    </a:solidFill>
                  </a:rPr>
                  <a:t>ERTI</a:t>
                </a:r>
                <a:r>
                  <a:rPr lang="es-ES_tradnl" baseline="0">
                    <a:solidFill>
                      <a:sysClr val="windowText" lastClr="000000"/>
                    </a:solidFill>
                  </a:rPr>
                  <a:t> (own estimation)</a:t>
                </a:r>
                <a:endParaRPr lang="es-ES_tradnl">
                  <a:solidFill>
                    <a:sysClr val="windowText" lastClr="000000"/>
                  </a:solidFill>
                </a:endParaRPr>
              </a:p>
            </c:rich>
          </c:tx>
          <c:overlay val="0"/>
        </c:title>
        <c:numFmt formatCode="#,##0.00" sourceLinked="0"/>
        <c:majorTickMark val="out"/>
        <c:minorTickMark val="none"/>
        <c:tickLblPos val="nextTo"/>
        <c:spPr>
          <a:ln>
            <a:solidFill>
              <a:schemeClr val="tx1"/>
            </a:solidFill>
          </a:ln>
        </c:spPr>
        <c:crossAx val="213695663"/>
        <c:crosses val="autoZero"/>
        <c:crossBetween val="midCat"/>
        <c:majorUnit val="0.25"/>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ln>
      <a:noFill/>
    </a:ln>
  </c:spPr>
  <c:txPr>
    <a:bodyPr/>
    <a:lstStyle/>
    <a:p>
      <a:pPr>
        <a:defRPr b="0">
          <a:latin typeface="Times New Roman" panose="02020603050405020304" pitchFamily="18" charset="0"/>
          <a:cs typeface="Times New Roman" panose="02020603050405020304" pitchFamily="18" charset="0"/>
        </a:defRPr>
      </a:pPr>
      <a:endParaRPr lang="es-ES_tradnl"/>
    </a:p>
  </c:txPr>
  <c:printSettings>
    <c:headerFooter/>
    <c:pageMargins b="0.75" l="0.25" r="0.25" t="0.75" header="0.3" footer="0.3"/>
    <c:pageSetup paperSize="9" orientation="landscape"/>
  </c:printSettings>
</c:chartSpace>
</file>

<file path=xl/charts/chart8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28575" cap="rnd">
            <a:noFill/>
            <a:round/>
          </a:ln>
          <a:effectLst/>
        </c:spPr>
        <c:marker>
          <c:symbol val="dash"/>
          <c:size val="7"/>
          <c:spPr>
            <a:solidFill>
              <a:srgbClr val="3B3838"/>
            </a:solidFill>
            <a:ln w="9525">
              <a:solidFill>
                <a:srgbClr val="3B3838"/>
              </a:solidFill>
            </a:ln>
            <a:effectLst/>
          </c:spPr>
        </c:marker>
        <c:dLbl>
          <c:idx val="0"/>
          <c:delete val="1"/>
          <c:extLst>
            <c:ext xmlns:c15="http://schemas.microsoft.com/office/drawing/2012/chart" uri="{CE6537A1-D6FC-4f65-9D91-7224C49458BB}"/>
          </c:extLst>
        </c:dLbl>
      </c:pivotFmt>
      <c:pivotFmt>
        <c:idx val="1"/>
        <c:spPr>
          <a:solidFill>
            <a:srgbClr val="E7E6E6"/>
          </a:solidFill>
          <a:ln w="25400">
            <a:noFill/>
          </a:ln>
          <a:effectLst/>
        </c:spPr>
        <c:marker>
          <c:symbol val="none"/>
        </c:marker>
        <c:dLbl>
          <c:idx val="0"/>
          <c:delete val="1"/>
          <c:extLst>
            <c:ext xmlns:c15="http://schemas.microsoft.com/office/drawing/2012/chart" uri="{CE6537A1-D6FC-4f65-9D91-7224C49458BB}"/>
          </c:extLst>
        </c:dLbl>
      </c:pivotFmt>
      <c:pivotFmt>
        <c:idx val="2"/>
        <c:spPr>
          <a:solidFill>
            <a:schemeClr val="accent2">
              <a:lumMod val="75000"/>
            </a:schemeClr>
          </a:solidFill>
          <a:ln w="25400">
            <a:noFill/>
          </a:ln>
          <a:effectLst/>
        </c:spPr>
        <c:marker>
          <c:symbol val="none"/>
        </c:marker>
        <c:dLbl>
          <c:idx val="0"/>
          <c:delete val="1"/>
          <c:extLst>
            <c:ext xmlns:c15="http://schemas.microsoft.com/office/drawing/2012/chart" uri="{CE6537A1-D6FC-4f65-9D91-7224C49458BB}"/>
          </c:extLst>
        </c:dLbl>
      </c:pivotFmt>
      <c:pivotFmt>
        <c:idx val="3"/>
        <c:spPr>
          <a:solidFill>
            <a:schemeClr val="accent5">
              <a:lumMod val="75000"/>
            </a:schemeClr>
          </a:solidFill>
          <a:ln w="25400">
            <a:noFill/>
          </a:ln>
          <a:effectLst/>
        </c:spPr>
        <c:marker>
          <c:symbol val="none"/>
        </c:marker>
        <c:dLbl>
          <c:idx val="0"/>
          <c:delete val="1"/>
          <c:extLst>
            <c:ext xmlns:c15="http://schemas.microsoft.com/office/drawing/2012/chart" uri="{CE6537A1-D6FC-4f65-9D91-7224C49458BB}"/>
          </c:extLst>
        </c:dLbl>
      </c:pivotFmt>
      <c:pivotFmt>
        <c:idx val="4"/>
        <c:spPr>
          <a:solidFill>
            <a:schemeClr val="accent5">
              <a:lumMod val="60000"/>
              <a:lumOff val="40000"/>
            </a:schemeClr>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5">
              <a:lumMod val="40000"/>
              <a:lumOff val="60000"/>
            </a:schemeClr>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tx2">
              <a:lumMod val="20000"/>
              <a:lumOff val="80000"/>
            </a:schemeClr>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5">
              <a:lumMod val="20000"/>
              <a:lumOff val="80000"/>
            </a:schemeClr>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w="25400">
            <a:noFill/>
          </a:ln>
          <a:effectLst/>
        </c:spPr>
        <c:marker>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9"/>
        <c:spPr>
          <a:solidFill>
            <a:schemeClr val="accent1"/>
          </a:solidFill>
          <a:ln w="28575" cap="rnd">
            <a:noFill/>
            <a:round/>
          </a:ln>
          <a:effectLst/>
        </c:spPr>
        <c:marker>
          <c:symbol val="dash"/>
          <c:size val="7"/>
          <c:spPr>
            <a:solidFill>
              <a:srgbClr val="3B3838"/>
            </a:solidFill>
            <a:ln w="9525">
              <a:solidFill>
                <a:srgbClr val="3B3838"/>
              </a:solidFill>
            </a:ln>
            <a:effectLst/>
          </c:spPr>
        </c:marker>
      </c:pivotFmt>
      <c:pivotFmt>
        <c:idx val="10"/>
        <c:spPr>
          <a:solidFill>
            <a:srgbClr val="E7E6E6"/>
          </a:solidFill>
          <a:ln w="25400">
            <a:noFill/>
          </a:ln>
          <a:effectLst/>
        </c:spPr>
        <c:marker>
          <c:symbol val="none"/>
        </c:marker>
        <c:dLbl>
          <c:idx val="0"/>
          <c:delete val="1"/>
          <c:extLst>
            <c:ext xmlns:c15="http://schemas.microsoft.com/office/drawing/2012/chart" uri="{CE6537A1-D6FC-4f65-9D91-7224C49458BB}"/>
          </c:extLst>
        </c:dLbl>
      </c:pivotFmt>
      <c:pivotFmt>
        <c:idx val="11"/>
        <c:spPr>
          <a:solidFill>
            <a:schemeClr val="accent2">
              <a:lumMod val="75000"/>
            </a:schemeClr>
          </a:solidFill>
          <a:ln w="25400">
            <a:noFill/>
          </a:ln>
          <a:effectLst/>
        </c:spPr>
        <c:marker>
          <c:symbol val="none"/>
        </c:marker>
        <c:dLbl>
          <c:idx val="0"/>
          <c:delete val="1"/>
          <c:extLst>
            <c:ext xmlns:c15="http://schemas.microsoft.com/office/drawing/2012/chart" uri="{CE6537A1-D6FC-4f65-9D91-7224C49458BB}"/>
          </c:extLst>
        </c:dLbl>
      </c:pivotFmt>
      <c:pivotFmt>
        <c:idx val="12"/>
        <c:spPr>
          <a:solidFill>
            <a:srgbClr val="2F5597"/>
          </a:solidFill>
          <a:ln w="25400">
            <a:noFill/>
          </a:ln>
          <a:effectLst/>
        </c:spPr>
        <c:marker>
          <c:symbol val="none"/>
        </c:marker>
        <c:dLbl>
          <c:idx val="0"/>
          <c:delete val="1"/>
          <c:extLst>
            <c:ext xmlns:c15="http://schemas.microsoft.com/office/drawing/2012/chart" uri="{CE6537A1-D6FC-4f65-9D91-7224C49458BB}"/>
          </c:extLst>
        </c:dLbl>
      </c:pivotFmt>
      <c:pivotFmt>
        <c:idx val="13"/>
        <c:spPr>
          <a:solidFill>
            <a:srgbClr val="8FAADC"/>
          </a:solidFill>
          <a:ln>
            <a:noFill/>
          </a:ln>
          <a:effectLst/>
        </c:spPr>
        <c:marker>
          <c:symbol val="none"/>
        </c:marker>
        <c:dLbl>
          <c:idx val="0"/>
          <c:delete val="1"/>
          <c:extLst>
            <c:ext xmlns:c15="http://schemas.microsoft.com/office/drawing/2012/chart" uri="{CE6537A1-D6FC-4f65-9D91-7224C49458BB}"/>
          </c:extLst>
        </c:dLbl>
      </c:pivotFmt>
      <c:pivotFmt>
        <c:idx val="14"/>
        <c:spPr>
          <a:solidFill>
            <a:srgbClr val="B4C7E7"/>
          </a:solidFill>
          <a:ln>
            <a:noFill/>
          </a:ln>
          <a:effectLst/>
        </c:spPr>
        <c:marker>
          <c:symbol val="none"/>
        </c:marker>
        <c:dLbl>
          <c:idx val="0"/>
          <c:delete val="1"/>
          <c:extLst>
            <c:ext xmlns:c15="http://schemas.microsoft.com/office/drawing/2012/chart" uri="{CE6537A1-D6FC-4f65-9D91-7224C49458BB}"/>
          </c:extLst>
        </c:dLbl>
      </c:pivotFmt>
      <c:pivotFmt>
        <c:idx val="15"/>
        <c:spPr>
          <a:solidFill>
            <a:srgbClr val="DAE3F3"/>
          </a:solidFill>
          <a:ln>
            <a:noFill/>
          </a:ln>
          <a:effectLst/>
        </c:spPr>
        <c:marker>
          <c:symbol val="none"/>
        </c:marker>
        <c:dLbl>
          <c:idx val="0"/>
          <c:delete val="1"/>
          <c:extLst>
            <c:ext xmlns:c15="http://schemas.microsoft.com/office/drawing/2012/chart" uri="{CE6537A1-D6FC-4f65-9D91-7224C49458BB}"/>
          </c:extLst>
        </c:dLbl>
      </c:pivotFmt>
      <c:pivotFmt>
        <c:idx val="16"/>
        <c:spPr>
          <a:solidFill>
            <a:schemeClr val="tx2">
              <a:lumMod val="40000"/>
              <a:lumOff val="60000"/>
            </a:schemeClr>
          </a:solidFill>
          <a:ln>
            <a:noFill/>
          </a:ln>
          <a:effectLst/>
        </c:spPr>
        <c:marker>
          <c:symbol val="none"/>
        </c:marker>
        <c:dLbl>
          <c:idx val="0"/>
          <c:delete val="1"/>
          <c:extLst>
            <c:ext xmlns:c15="http://schemas.microsoft.com/office/drawing/2012/chart" uri="{CE6537A1-D6FC-4f65-9D91-7224C49458BB}"/>
          </c:extLst>
        </c:dLbl>
      </c:pivotFmt>
      <c:pivotFmt>
        <c:idx val="17"/>
        <c:spPr>
          <a:solidFill>
            <a:schemeClr val="accent1"/>
          </a:solidFill>
          <a:ln w="28575" cap="rnd">
            <a:noFill/>
            <a:round/>
          </a:ln>
          <a:effectLst/>
        </c:spPr>
        <c:marker>
          <c:symbol val="dash"/>
          <c:size val="7"/>
          <c:spPr>
            <a:solidFill>
              <a:srgbClr val="3B3838"/>
            </a:solidFill>
            <a:ln w="9525">
              <a:solidFill>
                <a:srgbClr val="3B3838"/>
              </a:solidFill>
            </a:ln>
            <a:effectLst/>
          </c:spPr>
        </c:marker>
        <c:dLbl>
          <c:idx val="0"/>
          <c:delete val="1"/>
          <c:extLst>
            <c:ext xmlns:c15="http://schemas.microsoft.com/office/drawing/2012/chart" uri="{CE6537A1-D6FC-4f65-9D91-7224C49458BB}"/>
          </c:extLst>
        </c:dLbl>
      </c:pivotFmt>
      <c:pivotFmt>
        <c:idx val="18"/>
        <c:spPr>
          <a:solidFill>
            <a:srgbClr val="C55A11"/>
          </a:solidFill>
          <a:ln w="25400">
            <a:noFill/>
          </a:ln>
          <a:effectLst/>
        </c:spPr>
      </c:pivotFmt>
    </c:pivotFmts>
    <c:plotArea>
      <c:layout>
        <c:manualLayout>
          <c:layoutTarget val="inner"/>
          <c:xMode val="edge"/>
          <c:yMode val="edge"/>
          <c:x val="9.3002569987132327E-2"/>
          <c:y val="4.8144708917560494E-2"/>
          <c:w val="0.77758291844291783"/>
          <c:h val="0.63607755923413178"/>
        </c:manualLayout>
      </c:layout>
      <c:barChart>
        <c:barDir val="col"/>
        <c:grouping val="clustered"/>
        <c:varyColors val="0"/>
        <c:ser>
          <c:idx val="2"/>
          <c:order val="3"/>
          <c:tx>
            <c:strRef>
              <c:f>'2Cross'!$E$4</c:f>
              <c:strCache>
                <c:ptCount val="1"/>
                <c:pt idx="0">
                  <c:v>2019 elasticity minus fiscal drag in practice</c:v>
                </c:pt>
              </c:strCache>
            </c:strRef>
          </c:tx>
          <c:invertIfNegative val="0"/>
          <c:cat>
            <c:multiLvlStrRef>
              <c:f>'2Cross'!$A$5:$A$33</c:f>
            </c:multiLvlStrRef>
          </c:cat>
          <c:val>
            <c:numRef>
              <c:f>'2Cross'!$E$5:$E$33</c:f>
            </c:numRef>
          </c:val>
          <c:extLst>
            <c:ext xmlns:c16="http://schemas.microsoft.com/office/drawing/2014/chart" uri="{C3380CC4-5D6E-409C-BE32-E72D297353CC}">
              <c16:uniqueId val="{00000003-329E-4A4C-BDA0-633D12951D69}"/>
            </c:ext>
          </c:extLst>
        </c:ser>
        <c:dLbls>
          <c:showLegendKey val="0"/>
          <c:showVal val="0"/>
          <c:showCatName val="0"/>
          <c:showSerName val="0"/>
          <c:showPercent val="0"/>
          <c:showBubbleSize val="0"/>
        </c:dLbls>
        <c:gapWidth val="50"/>
        <c:axId val="844305855"/>
        <c:axId val="892036479"/>
      </c:barChart>
      <c:lineChart>
        <c:grouping val="standard"/>
        <c:varyColors val="0"/>
        <c:ser>
          <c:idx val="8"/>
          <c:order val="0"/>
          <c:tx>
            <c:strRef>
              <c:f>'2Cross'!$B$4</c:f>
              <c:strCache>
                <c:ptCount val="1"/>
                <c:pt idx="0">
                  <c:v>2019 TTB elasticity</c:v>
                </c:pt>
              </c:strCache>
            </c:strRef>
          </c:tx>
          <c:marker>
            <c:symbol val="circle"/>
            <c:size val="6"/>
            <c:spPr>
              <a:noFill/>
              <a:ln w="15875">
                <a:solidFill>
                  <a:schemeClr val="tx1">
                    <a:lumMod val="85000"/>
                    <a:lumOff val="15000"/>
                  </a:schemeClr>
                </a:solidFill>
              </a:ln>
            </c:spPr>
          </c:marker>
          <c:cat>
            <c:multiLvlStrRef>
              <c:f>'2Cross'!$A$5:$A$33</c:f>
            </c:multiLvlStrRef>
          </c:cat>
          <c:val>
            <c:numRef>
              <c:f>'2Cross'!$B$5:$B$33</c:f>
            </c:numRef>
          </c:val>
          <c:smooth val="0"/>
          <c:extLst>
            <c:ext xmlns:c16="http://schemas.microsoft.com/office/drawing/2014/chart" uri="{C3380CC4-5D6E-409C-BE32-E72D297353CC}">
              <c16:uniqueId val="{00000009-329E-4A4C-BDA0-633D12951D69}"/>
            </c:ext>
          </c:extLst>
        </c:ser>
        <c:ser>
          <c:idx val="0"/>
          <c:order val="1"/>
          <c:tx>
            <c:strRef>
              <c:f>'2Cross'!$C$4</c:f>
              <c:strCache>
                <c:ptCount val="1"/>
                <c:pt idx="0">
                  <c:v>2023 TTB elasticity</c:v>
                </c:pt>
              </c:strCache>
            </c:strRef>
          </c:tx>
          <c:marker>
            <c:symbol val="dash"/>
            <c:size val="11"/>
            <c:spPr>
              <a:noFill/>
              <a:ln w="15875">
                <a:solidFill>
                  <a:schemeClr val="tx1">
                    <a:lumMod val="85000"/>
                    <a:lumOff val="15000"/>
                  </a:schemeClr>
                </a:solidFill>
              </a:ln>
            </c:spPr>
          </c:marker>
          <c:cat>
            <c:multiLvlStrRef>
              <c:f>'2Cross'!$A$5:$A$33</c:f>
            </c:multiLvlStrRef>
          </c:cat>
          <c:val>
            <c:numRef>
              <c:f>'2Cross'!$C$5:$C$33</c:f>
            </c:numRef>
          </c:val>
          <c:smooth val="0"/>
          <c:extLst>
            <c:ext xmlns:c16="http://schemas.microsoft.com/office/drawing/2014/chart" uri="{C3380CC4-5D6E-409C-BE32-E72D297353CC}">
              <c16:uniqueId val="{00000000-329E-4A4C-BDA0-633D12951D69}"/>
            </c:ext>
          </c:extLst>
        </c:ser>
        <c:ser>
          <c:idx val="1"/>
          <c:order val="2"/>
          <c:tx>
            <c:strRef>
              <c:f>'2Cross'!$D$4</c:f>
              <c:strCache>
                <c:ptCount val="1"/>
                <c:pt idx="0">
                  <c:v>Fiscal Drag in practice (2019--2023)</c:v>
                </c:pt>
              </c:strCache>
            </c:strRef>
          </c:tx>
          <c:marker>
            <c:symbol val="circle"/>
            <c:size val="6"/>
            <c:spPr>
              <a:solidFill>
                <a:schemeClr val="tx1"/>
              </a:solidFill>
              <a:ln w="25400">
                <a:solidFill>
                  <a:schemeClr val="tx1"/>
                </a:solidFill>
              </a:ln>
            </c:spPr>
          </c:marker>
          <c:cat>
            <c:multiLvlStrRef>
              <c:f>'2Cross'!$A$5:$A$33</c:f>
            </c:multiLvlStrRef>
          </c:cat>
          <c:val>
            <c:numRef>
              <c:f>'2Cross'!$D$5:$D$33</c:f>
            </c:numRef>
          </c:val>
          <c:smooth val="0"/>
          <c:extLst>
            <c:ext xmlns:c16="http://schemas.microsoft.com/office/drawing/2014/chart" uri="{C3380CC4-5D6E-409C-BE32-E72D297353CC}">
              <c16:uniqueId val="{00000001-329E-4A4C-BDA0-633D12951D69}"/>
            </c:ext>
          </c:extLst>
        </c:ser>
        <c:dLbls>
          <c:showLegendKey val="0"/>
          <c:showVal val="0"/>
          <c:showCatName val="0"/>
          <c:showSerName val="0"/>
          <c:showPercent val="0"/>
          <c:showBubbleSize val="0"/>
        </c:dLbls>
        <c:marker val="1"/>
        <c:smooth val="0"/>
        <c:axId val="844305855"/>
        <c:axId val="892036479"/>
      </c:lineChart>
      <c:catAx>
        <c:axId val="844305855"/>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crossAx val="892036479"/>
        <c:crosses val="autoZero"/>
        <c:auto val="1"/>
        <c:lblAlgn val="ctr"/>
        <c:lblOffset val="100"/>
        <c:noMultiLvlLbl val="0"/>
      </c:catAx>
      <c:valAx>
        <c:axId val="892036479"/>
        <c:scaling>
          <c:orientation val="minMax"/>
          <c:max val="2.5"/>
          <c:min val="3.0000000000000006E-2"/>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s-ES_tradnl" sz="1050"/>
                  <a:t>TTB</a:t>
                </a:r>
                <a:r>
                  <a:rPr lang="es-ES_tradnl" sz="1050" baseline="0"/>
                  <a:t> elasticity</a:t>
                </a:r>
                <a:r>
                  <a:rPr lang="es-ES_tradnl" sz="1050"/>
                  <a:t> (perecentage)</a:t>
                </a:r>
              </a:p>
            </c:rich>
          </c:tx>
          <c:overlay val="0"/>
          <c:spPr>
            <a:noFill/>
            <a:ln>
              <a:noFill/>
            </a:ln>
            <a:effectLst/>
          </c:spPr>
        </c:title>
        <c:numFmt formatCode="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crossAx val="844305855"/>
        <c:crosses val="autoZero"/>
        <c:crossBetween val="between"/>
        <c:majorUnit val="0.5"/>
      </c:valAx>
    </c:plotArea>
    <c:legend>
      <c:legendPos val="b"/>
      <c:layout>
        <c:manualLayout>
          <c:xMode val="edge"/>
          <c:yMode val="edge"/>
          <c:x val="0.11452250289314712"/>
          <c:y val="0.78920476310120558"/>
          <c:w val="0.81336367876831761"/>
          <c:h val="0.20207688896394452"/>
        </c:manualLayout>
      </c:layout>
      <c:overlay val="0"/>
    </c:legend>
    <c:plotVisOnly val="1"/>
    <c:dispBlanksAs val="gap"/>
    <c:showDLblsOverMax val="0"/>
    <c:extLst/>
  </c:chart>
  <c:spPr>
    <a:solidFill>
      <a:schemeClr val="bg1"/>
    </a:solidFill>
    <a:ln w="9525" cap="flat" cmpd="sng" algn="ctr">
      <a:noFill/>
      <a:round/>
    </a:ln>
    <a:effectLst/>
  </c:spPr>
  <c:txPr>
    <a:bodyPr/>
    <a:lstStyle/>
    <a:p>
      <a:pPr>
        <a:defRPr>
          <a:solidFill>
            <a:sysClr val="windowText" lastClr="000000"/>
          </a:solidFill>
          <a:latin typeface="Times New Roman" panose="02020603050405020304" pitchFamily="18" charset="0"/>
          <a:cs typeface="Times New Roman" panose="02020603050405020304" pitchFamily="18" charset="0"/>
        </a:defRPr>
      </a:pPr>
      <a:endParaRPr lang="es-ES_tradnl"/>
    </a:p>
  </c:txPr>
  <c:printSettings>
    <c:headerFooter/>
    <c:pageMargins b="0.75" l="0.25" r="0.25" t="0.75" header="0.3" footer="0.3"/>
    <c:pageSetup paperSize="32767" orientation="landscape"/>
  </c:printSettings>
  <c:extLst/>
</c:chartSpace>
</file>

<file path=xl/charts/chart8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28575" cap="rnd">
            <a:noFill/>
            <a:round/>
          </a:ln>
          <a:effectLst/>
        </c:spPr>
        <c:marker>
          <c:symbol val="dash"/>
          <c:size val="7"/>
          <c:spPr>
            <a:solidFill>
              <a:srgbClr val="3B3838"/>
            </a:solidFill>
            <a:ln w="9525">
              <a:solidFill>
                <a:srgbClr val="3B3838"/>
              </a:solidFill>
            </a:ln>
            <a:effectLst/>
          </c:spPr>
        </c:marker>
        <c:dLbl>
          <c:idx val="0"/>
          <c:delete val="1"/>
          <c:extLst>
            <c:ext xmlns:c15="http://schemas.microsoft.com/office/drawing/2012/chart" uri="{CE6537A1-D6FC-4f65-9D91-7224C49458BB}"/>
          </c:extLst>
        </c:dLbl>
      </c:pivotFmt>
      <c:pivotFmt>
        <c:idx val="1"/>
        <c:spPr>
          <a:solidFill>
            <a:srgbClr val="E7E6E6"/>
          </a:solidFill>
          <a:ln w="25400">
            <a:noFill/>
          </a:ln>
          <a:effectLst/>
        </c:spPr>
        <c:marker>
          <c:symbol val="none"/>
        </c:marker>
        <c:dLbl>
          <c:idx val="0"/>
          <c:delete val="1"/>
          <c:extLst>
            <c:ext xmlns:c15="http://schemas.microsoft.com/office/drawing/2012/chart" uri="{CE6537A1-D6FC-4f65-9D91-7224C49458BB}"/>
          </c:extLst>
        </c:dLbl>
      </c:pivotFmt>
      <c:pivotFmt>
        <c:idx val="2"/>
        <c:spPr>
          <a:solidFill>
            <a:schemeClr val="accent2">
              <a:lumMod val="75000"/>
            </a:schemeClr>
          </a:solidFill>
          <a:ln w="25400">
            <a:noFill/>
          </a:ln>
          <a:effectLst/>
        </c:spPr>
        <c:marker>
          <c:symbol val="none"/>
        </c:marker>
        <c:dLbl>
          <c:idx val="0"/>
          <c:delete val="1"/>
          <c:extLst>
            <c:ext xmlns:c15="http://schemas.microsoft.com/office/drawing/2012/chart" uri="{CE6537A1-D6FC-4f65-9D91-7224C49458BB}"/>
          </c:extLst>
        </c:dLbl>
      </c:pivotFmt>
      <c:pivotFmt>
        <c:idx val="3"/>
        <c:spPr>
          <a:solidFill>
            <a:schemeClr val="accent5">
              <a:lumMod val="75000"/>
            </a:schemeClr>
          </a:solidFill>
          <a:ln w="25400">
            <a:noFill/>
          </a:ln>
          <a:effectLst/>
        </c:spPr>
        <c:marker>
          <c:symbol val="none"/>
        </c:marker>
        <c:dLbl>
          <c:idx val="0"/>
          <c:delete val="1"/>
          <c:extLst>
            <c:ext xmlns:c15="http://schemas.microsoft.com/office/drawing/2012/chart" uri="{CE6537A1-D6FC-4f65-9D91-7224C49458BB}"/>
          </c:extLst>
        </c:dLbl>
      </c:pivotFmt>
      <c:pivotFmt>
        <c:idx val="4"/>
        <c:spPr>
          <a:solidFill>
            <a:schemeClr val="accent5">
              <a:lumMod val="60000"/>
              <a:lumOff val="40000"/>
            </a:schemeClr>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5">
              <a:lumMod val="40000"/>
              <a:lumOff val="60000"/>
            </a:schemeClr>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tx2">
              <a:lumMod val="20000"/>
              <a:lumOff val="80000"/>
            </a:schemeClr>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5">
              <a:lumMod val="20000"/>
              <a:lumOff val="80000"/>
            </a:schemeClr>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w="25400">
            <a:noFill/>
          </a:ln>
          <a:effectLst/>
        </c:spPr>
        <c:marker>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9"/>
        <c:spPr>
          <a:solidFill>
            <a:schemeClr val="accent1"/>
          </a:solidFill>
          <a:ln w="28575" cap="rnd">
            <a:noFill/>
            <a:round/>
          </a:ln>
          <a:effectLst/>
        </c:spPr>
        <c:marker>
          <c:symbol val="dash"/>
          <c:size val="7"/>
          <c:spPr>
            <a:solidFill>
              <a:srgbClr val="3B3838"/>
            </a:solidFill>
            <a:ln w="9525">
              <a:solidFill>
                <a:srgbClr val="3B3838"/>
              </a:solidFill>
            </a:ln>
            <a:effectLst/>
          </c:spPr>
        </c:marker>
      </c:pivotFmt>
      <c:pivotFmt>
        <c:idx val="10"/>
        <c:spPr>
          <a:solidFill>
            <a:srgbClr val="E7E6E6"/>
          </a:solidFill>
          <a:ln w="25400">
            <a:noFill/>
          </a:ln>
          <a:effectLst/>
        </c:spPr>
        <c:marker>
          <c:symbol val="none"/>
        </c:marker>
        <c:dLbl>
          <c:idx val="0"/>
          <c:delete val="1"/>
          <c:extLst>
            <c:ext xmlns:c15="http://schemas.microsoft.com/office/drawing/2012/chart" uri="{CE6537A1-D6FC-4f65-9D91-7224C49458BB}"/>
          </c:extLst>
        </c:dLbl>
      </c:pivotFmt>
      <c:pivotFmt>
        <c:idx val="11"/>
        <c:spPr>
          <a:solidFill>
            <a:schemeClr val="accent2">
              <a:lumMod val="75000"/>
            </a:schemeClr>
          </a:solidFill>
          <a:ln w="25400">
            <a:noFill/>
          </a:ln>
          <a:effectLst/>
        </c:spPr>
        <c:marker>
          <c:symbol val="none"/>
        </c:marker>
        <c:dLbl>
          <c:idx val="0"/>
          <c:delete val="1"/>
          <c:extLst>
            <c:ext xmlns:c15="http://schemas.microsoft.com/office/drawing/2012/chart" uri="{CE6537A1-D6FC-4f65-9D91-7224C49458BB}"/>
          </c:extLst>
        </c:dLbl>
      </c:pivotFmt>
      <c:pivotFmt>
        <c:idx val="12"/>
        <c:spPr>
          <a:solidFill>
            <a:srgbClr val="2F5597"/>
          </a:solidFill>
          <a:ln w="25400">
            <a:noFill/>
          </a:ln>
          <a:effectLst/>
        </c:spPr>
        <c:marker>
          <c:symbol val="none"/>
        </c:marker>
        <c:dLbl>
          <c:idx val="0"/>
          <c:delete val="1"/>
          <c:extLst>
            <c:ext xmlns:c15="http://schemas.microsoft.com/office/drawing/2012/chart" uri="{CE6537A1-D6FC-4f65-9D91-7224C49458BB}"/>
          </c:extLst>
        </c:dLbl>
      </c:pivotFmt>
      <c:pivotFmt>
        <c:idx val="13"/>
        <c:spPr>
          <a:solidFill>
            <a:srgbClr val="8FAADC"/>
          </a:solidFill>
          <a:ln>
            <a:noFill/>
          </a:ln>
          <a:effectLst/>
        </c:spPr>
        <c:marker>
          <c:symbol val="none"/>
        </c:marker>
        <c:dLbl>
          <c:idx val="0"/>
          <c:delete val="1"/>
          <c:extLst>
            <c:ext xmlns:c15="http://schemas.microsoft.com/office/drawing/2012/chart" uri="{CE6537A1-D6FC-4f65-9D91-7224C49458BB}"/>
          </c:extLst>
        </c:dLbl>
      </c:pivotFmt>
      <c:pivotFmt>
        <c:idx val="14"/>
        <c:spPr>
          <a:solidFill>
            <a:srgbClr val="B4C7E7"/>
          </a:solidFill>
          <a:ln>
            <a:noFill/>
          </a:ln>
          <a:effectLst/>
        </c:spPr>
        <c:marker>
          <c:symbol val="none"/>
        </c:marker>
        <c:dLbl>
          <c:idx val="0"/>
          <c:delete val="1"/>
          <c:extLst>
            <c:ext xmlns:c15="http://schemas.microsoft.com/office/drawing/2012/chart" uri="{CE6537A1-D6FC-4f65-9D91-7224C49458BB}"/>
          </c:extLst>
        </c:dLbl>
      </c:pivotFmt>
      <c:pivotFmt>
        <c:idx val="15"/>
        <c:spPr>
          <a:solidFill>
            <a:srgbClr val="DAE3F3"/>
          </a:solidFill>
          <a:ln>
            <a:noFill/>
          </a:ln>
          <a:effectLst/>
        </c:spPr>
        <c:marker>
          <c:symbol val="none"/>
        </c:marker>
        <c:dLbl>
          <c:idx val="0"/>
          <c:delete val="1"/>
          <c:extLst>
            <c:ext xmlns:c15="http://schemas.microsoft.com/office/drawing/2012/chart" uri="{CE6537A1-D6FC-4f65-9D91-7224C49458BB}"/>
          </c:extLst>
        </c:dLbl>
      </c:pivotFmt>
      <c:pivotFmt>
        <c:idx val="16"/>
        <c:spPr>
          <a:solidFill>
            <a:schemeClr val="tx2">
              <a:lumMod val="40000"/>
              <a:lumOff val="60000"/>
            </a:schemeClr>
          </a:solidFill>
          <a:ln>
            <a:noFill/>
          </a:ln>
          <a:effectLst/>
        </c:spPr>
        <c:marker>
          <c:symbol val="none"/>
        </c:marker>
        <c:dLbl>
          <c:idx val="0"/>
          <c:delete val="1"/>
          <c:extLst>
            <c:ext xmlns:c15="http://schemas.microsoft.com/office/drawing/2012/chart" uri="{CE6537A1-D6FC-4f65-9D91-7224C49458BB}"/>
          </c:extLst>
        </c:dLbl>
      </c:pivotFmt>
      <c:pivotFmt>
        <c:idx val="17"/>
        <c:spPr>
          <a:solidFill>
            <a:schemeClr val="accent1"/>
          </a:solidFill>
          <a:ln w="28575" cap="rnd">
            <a:noFill/>
            <a:round/>
          </a:ln>
          <a:effectLst/>
        </c:spPr>
        <c:marker>
          <c:symbol val="dash"/>
          <c:size val="7"/>
          <c:spPr>
            <a:solidFill>
              <a:srgbClr val="3B3838"/>
            </a:solidFill>
            <a:ln w="9525">
              <a:solidFill>
                <a:srgbClr val="3B3838"/>
              </a:solidFill>
            </a:ln>
            <a:effectLst/>
          </c:spPr>
        </c:marker>
        <c:dLbl>
          <c:idx val="0"/>
          <c:delete val="1"/>
          <c:extLst>
            <c:ext xmlns:c15="http://schemas.microsoft.com/office/drawing/2012/chart" uri="{CE6537A1-D6FC-4f65-9D91-7224C49458BB}"/>
          </c:extLst>
        </c:dLbl>
      </c:pivotFmt>
      <c:pivotFmt>
        <c:idx val="18"/>
        <c:spPr>
          <a:solidFill>
            <a:srgbClr val="C55A11"/>
          </a:solidFill>
          <a:ln w="25400">
            <a:noFill/>
          </a:ln>
          <a:effectLst/>
        </c:spPr>
      </c:pivotFmt>
    </c:pivotFmts>
    <c:plotArea>
      <c:layout>
        <c:manualLayout>
          <c:layoutTarget val="inner"/>
          <c:xMode val="edge"/>
          <c:yMode val="edge"/>
          <c:x val="9.3002569987132327E-2"/>
          <c:y val="4.8144708917560494E-2"/>
          <c:w val="0.77758291844291783"/>
          <c:h val="0.63607755923413178"/>
        </c:manualLayout>
      </c:layout>
      <c:barChart>
        <c:barDir val="col"/>
        <c:grouping val="clustered"/>
        <c:varyColors val="0"/>
        <c:ser>
          <c:idx val="0"/>
          <c:order val="0"/>
          <c:tx>
            <c:strRef>
              <c:f>'2Cross'!$I$4</c:f>
              <c:strCache>
                <c:ptCount val="1"/>
                <c:pt idx="0">
                  <c:v>2019 elasticity minus fiscal drag in practice</c:v>
                </c:pt>
              </c:strCache>
            </c:strRef>
          </c:tx>
          <c:invertIfNegative val="0"/>
          <c:cat>
            <c:multiLvlStrRef>
              <c:f>'2Cross'!$A$5:$A$33</c:f>
            </c:multiLvlStrRef>
          </c:cat>
          <c:val>
            <c:numRef>
              <c:f>'2Cross'!$I$5:$I$33</c:f>
            </c:numRef>
          </c:val>
          <c:extLst>
            <c:ext xmlns:c16="http://schemas.microsoft.com/office/drawing/2014/chart" uri="{C3380CC4-5D6E-409C-BE32-E72D297353CC}">
              <c16:uniqueId val="{00000003-D79D-444D-B541-60BC38EAA610}"/>
            </c:ext>
          </c:extLst>
        </c:ser>
        <c:dLbls>
          <c:showLegendKey val="0"/>
          <c:showVal val="0"/>
          <c:showCatName val="0"/>
          <c:showSerName val="0"/>
          <c:showPercent val="0"/>
          <c:showBubbleSize val="0"/>
        </c:dLbls>
        <c:gapWidth val="50"/>
        <c:axId val="844305855"/>
        <c:axId val="892036479"/>
      </c:barChart>
      <c:catAx>
        <c:axId val="844305855"/>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crossAx val="892036479"/>
        <c:crosses val="autoZero"/>
        <c:auto val="1"/>
        <c:lblAlgn val="ctr"/>
        <c:lblOffset val="100"/>
        <c:noMultiLvlLbl val="0"/>
      </c:catAx>
      <c:valAx>
        <c:axId val="892036479"/>
        <c:scaling>
          <c:orientation val="minMax"/>
          <c:max val="1"/>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s-ES_tradnl" sz="1050"/>
                  <a:t>Percentage</a:t>
                </a:r>
                <a:r>
                  <a:rPr lang="es-ES_tradnl" sz="1050" baseline="0"/>
                  <a:t> points</a:t>
                </a:r>
                <a:endParaRPr lang="es-ES_tradnl" sz="1050"/>
              </a:p>
            </c:rich>
          </c:tx>
          <c:overlay val="0"/>
          <c:spPr>
            <a:noFill/>
            <a:ln>
              <a:noFill/>
            </a:ln>
            <a:effectLst/>
          </c:spPr>
        </c:title>
        <c:numFmt formatCode="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crossAx val="844305855"/>
        <c:crosses val="autoZero"/>
        <c:crossBetween val="between"/>
        <c:majorUnit val="0.25"/>
      </c:valAx>
    </c:plotArea>
    <c:plotVisOnly val="1"/>
    <c:dispBlanksAs val="gap"/>
    <c:showDLblsOverMax val="0"/>
    <c:extLst/>
  </c:chart>
  <c:spPr>
    <a:solidFill>
      <a:schemeClr val="bg1"/>
    </a:solidFill>
    <a:ln w="9525" cap="flat" cmpd="sng" algn="ctr">
      <a:noFill/>
      <a:round/>
    </a:ln>
    <a:effectLst/>
  </c:spPr>
  <c:txPr>
    <a:bodyPr/>
    <a:lstStyle/>
    <a:p>
      <a:pPr>
        <a:defRPr>
          <a:solidFill>
            <a:sysClr val="windowText" lastClr="000000"/>
          </a:solidFill>
          <a:latin typeface="Times New Roman" panose="02020603050405020304" pitchFamily="18" charset="0"/>
          <a:cs typeface="Times New Roman" panose="02020603050405020304" pitchFamily="18" charset="0"/>
        </a:defRPr>
      </a:pPr>
      <a:endParaRPr lang="es-ES_tradnl"/>
    </a:p>
  </c:txPr>
  <c:printSettings>
    <c:headerFooter/>
    <c:pageMargins b="0.75" l="0.25" r="0.25" t="0.75" header="0.3" footer="0.3"/>
    <c:pageSetup paperSize="32767" orientation="landscape"/>
  </c:printSettings>
  <c:extLst/>
</c:chartSpace>
</file>

<file path=xl/charts/chart8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457409308717575"/>
          <c:y val="4.6087571003560986E-2"/>
          <c:w val="0.82558175067451101"/>
          <c:h val="0.64272676146640684"/>
        </c:manualLayout>
      </c:layout>
      <c:lineChart>
        <c:grouping val="standard"/>
        <c:varyColors val="0"/>
        <c:ser>
          <c:idx val="4"/>
          <c:order val="1"/>
          <c:tx>
            <c:strRef>
              <c:f>'2Cross'!$D$76</c:f>
              <c:strCache>
                <c:ptCount val="1"/>
                <c:pt idx="0">
                  <c:v>With unchanged tax legislation  2019</c:v>
                </c:pt>
              </c:strCache>
            </c:strRef>
          </c:tx>
          <c:spPr>
            <a:ln w="25400" cap="rnd">
              <a:noFill/>
              <a:round/>
            </a:ln>
            <a:effectLst/>
          </c:spPr>
          <c:marker>
            <c:symbol val="circle"/>
            <c:size val="6"/>
            <c:spPr>
              <a:noFill/>
              <a:ln w="25400">
                <a:solidFill>
                  <a:srgbClr val="C00000"/>
                </a:solidFill>
              </a:ln>
              <a:effectLst/>
            </c:spPr>
          </c:marker>
          <c:cat>
            <c:strRef>
              <c:extLst>
                <c:ext xmlns:c15="http://schemas.microsoft.com/office/drawing/2012/chart" uri="{02D57815-91ED-43cb-92C2-25804820EDAC}">
                  <c15:fullRef>
                    <c15:sqref>'2Cross'!$A$77:$A$105</c15:sqref>
                  </c15:fullRef>
                </c:ext>
              </c:extLst>
              <c:f>'2Cross'!$A$77:$A$97</c:f>
              <c:strCache>
                <c:ptCount val="21"/>
                <c:pt idx="0">
                  <c:v>CY</c:v>
                </c:pt>
                <c:pt idx="1">
                  <c:v>MT</c:v>
                </c:pt>
                <c:pt idx="2">
                  <c:v>ES</c:v>
                </c:pt>
                <c:pt idx="3">
                  <c:v>IT</c:v>
                </c:pt>
                <c:pt idx="4">
                  <c:v>IE</c:v>
                </c:pt>
                <c:pt idx="5">
                  <c:v>HU</c:v>
                </c:pt>
                <c:pt idx="6">
                  <c:v>EL</c:v>
                </c:pt>
                <c:pt idx="7">
                  <c:v>EE</c:v>
                </c:pt>
                <c:pt idx="8">
                  <c:v>LT</c:v>
                </c:pt>
                <c:pt idx="9">
                  <c:v>FR</c:v>
                </c:pt>
                <c:pt idx="10">
                  <c:v>PT</c:v>
                </c:pt>
                <c:pt idx="11">
                  <c:v>FI</c:v>
                </c:pt>
                <c:pt idx="12">
                  <c:v>NL</c:v>
                </c:pt>
                <c:pt idx="13">
                  <c:v>SI</c:v>
                </c:pt>
                <c:pt idx="14">
                  <c:v>DE</c:v>
                </c:pt>
                <c:pt idx="15">
                  <c:v>SK</c:v>
                </c:pt>
                <c:pt idx="16">
                  <c:v>HR</c:v>
                </c:pt>
                <c:pt idx="17">
                  <c:v>BE</c:v>
                </c:pt>
                <c:pt idx="18">
                  <c:v>LV</c:v>
                </c:pt>
                <c:pt idx="19">
                  <c:v>LU</c:v>
                </c:pt>
                <c:pt idx="20">
                  <c:v>AT</c:v>
                </c:pt>
              </c:strCache>
            </c:strRef>
          </c:cat>
          <c:val>
            <c:numRef>
              <c:extLst>
                <c:ext xmlns:c15="http://schemas.microsoft.com/office/drawing/2012/chart" uri="{02D57815-91ED-43cb-92C2-25804820EDAC}">
                  <c15:fullRef>
                    <c15:sqref>'2Cross'!$D$77:$D$105</c15:sqref>
                  </c15:fullRef>
                </c:ext>
              </c:extLst>
              <c:f>'2Cross'!$D$77:$D$97</c:f>
              <c:numCache>
                <c:formatCode>0.0%</c:formatCode>
                <c:ptCount val="21"/>
                <c:pt idx="0">
                  <c:v>1.0665120426277541E-3</c:v>
                </c:pt>
                <c:pt idx="1">
                  <c:v>2.3128603621246219E-3</c:v>
                </c:pt>
                <c:pt idx="2">
                  <c:v>2.9564564703044444E-3</c:v>
                </c:pt>
                <c:pt idx="3">
                  <c:v>3.2273043822781539E-3</c:v>
                </c:pt>
                <c:pt idx="4">
                  <c:v>5.6259164001632167E-3</c:v>
                </c:pt>
                <c:pt idx="5">
                  <c:v>5.7015711999476026E-3</c:v>
                </c:pt>
                <c:pt idx="6">
                  <c:v>6.1422027103807883E-3</c:v>
                </c:pt>
                <c:pt idx="7">
                  <c:v>6.2489978733787921E-3</c:v>
                </c:pt>
                <c:pt idx="8">
                  <c:v>7.4420729384738482E-3</c:v>
                </c:pt>
                <c:pt idx="9">
                  <c:v>7.1628728799708608E-3</c:v>
                </c:pt>
                <c:pt idx="10">
                  <c:v>8.0578140700476447E-3</c:v>
                </c:pt>
                <c:pt idx="11">
                  <c:v>9.153923518838869E-3</c:v>
                </c:pt>
                <c:pt idx="12">
                  <c:v>1.138301899847001E-2</c:v>
                </c:pt>
                <c:pt idx="13">
                  <c:v>1.1449980111183762E-2</c:v>
                </c:pt>
                <c:pt idx="14">
                  <c:v>1.1846787462113484E-2</c:v>
                </c:pt>
                <c:pt idx="15">
                  <c:v>1.2214261987079048E-2</c:v>
                </c:pt>
                <c:pt idx="16">
                  <c:v>1.2289258447890451E-2</c:v>
                </c:pt>
                <c:pt idx="17">
                  <c:v>1.2888408949918398E-2</c:v>
                </c:pt>
                <c:pt idx="18">
                  <c:v>1.2922527077210297E-2</c:v>
                </c:pt>
                <c:pt idx="19">
                  <c:v>1.3149804187766734E-2</c:v>
                </c:pt>
                <c:pt idx="20">
                  <c:v>1.6579182633315509E-2</c:v>
                </c:pt>
              </c:numCache>
            </c:numRef>
          </c:val>
          <c:smooth val="0"/>
          <c:extLst>
            <c:ext xmlns:c16="http://schemas.microsoft.com/office/drawing/2014/chart" uri="{C3380CC4-5D6E-409C-BE32-E72D297353CC}">
              <c16:uniqueId val="{00000003-8471-4E28-B986-72B448E287D3}"/>
            </c:ext>
          </c:extLst>
        </c:ser>
        <c:ser>
          <c:idx val="5"/>
          <c:order val="2"/>
          <c:tx>
            <c:strRef>
              <c:f>'2Cross'!$E$76</c:f>
              <c:strCache>
                <c:ptCount val="1"/>
                <c:pt idx="0">
                  <c:v>With full indexation on tax base growth</c:v>
                </c:pt>
              </c:strCache>
            </c:strRef>
          </c:tx>
          <c:spPr>
            <a:ln w="25400" cap="rnd">
              <a:noFill/>
              <a:round/>
            </a:ln>
            <a:effectLst/>
          </c:spPr>
          <c:marker>
            <c:symbol val="square"/>
            <c:size val="5"/>
            <c:spPr>
              <a:noFill/>
              <a:ln w="25400">
                <a:solidFill>
                  <a:schemeClr val="accent6">
                    <a:lumMod val="75000"/>
                  </a:schemeClr>
                </a:solidFill>
              </a:ln>
              <a:effectLst/>
            </c:spPr>
          </c:marker>
          <c:cat>
            <c:strRef>
              <c:extLst>
                <c:ext xmlns:c15="http://schemas.microsoft.com/office/drawing/2012/chart" uri="{02D57815-91ED-43cb-92C2-25804820EDAC}">
                  <c15:fullRef>
                    <c15:sqref>'2Cross'!$A$77:$A$105</c15:sqref>
                  </c15:fullRef>
                </c:ext>
              </c:extLst>
              <c:f>'2Cross'!$A$77:$A$97</c:f>
              <c:strCache>
                <c:ptCount val="21"/>
                <c:pt idx="0">
                  <c:v>CY</c:v>
                </c:pt>
                <c:pt idx="1">
                  <c:v>MT</c:v>
                </c:pt>
                <c:pt idx="2">
                  <c:v>ES</c:v>
                </c:pt>
                <c:pt idx="3">
                  <c:v>IT</c:v>
                </c:pt>
                <c:pt idx="4">
                  <c:v>IE</c:v>
                </c:pt>
                <c:pt idx="5">
                  <c:v>HU</c:v>
                </c:pt>
                <c:pt idx="6">
                  <c:v>EL</c:v>
                </c:pt>
                <c:pt idx="7">
                  <c:v>EE</c:v>
                </c:pt>
                <c:pt idx="8">
                  <c:v>LT</c:v>
                </c:pt>
                <c:pt idx="9">
                  <c:v>FR</c:v>
                </c:pt>
                <c:pt idx="10">
                  <c:v>PT</c:v>
                </c:pt>
                <c:pt idx="11">
                  <c:v>FI</c:v>
                </c:pt>
                <c:pt idx="12">
                  <c:v>NL</c:v>
                </c:pt>
                <c:pt idx="13">
                  <c:v>SI</c:v>
                </c:pt>
                <c:pt idx="14">
                  <c:v>DE</c:v>
                </c:pt>
                <c:pt idx="15">
                  <c:v>SK</c:v>
                </c:pt>
                <c:pt idx="16">
                  <c:v>HR</c:v>
                </c:pt>
                <c:pt idx="17">
                  <c:v>BE</c:v>
                </c:pt>
                <c:pt idx="18">
                  <c:v>LV</c:v>
                </c:pt>
                <c:pt idx="19">
                  <c:v>LU</c:v>
                </c:pt>
                <c:pt idx="20">
                  <c:v>AT</c:v>
                </c:pt>
              </c:strCache>
            </c:strRef>
          </c:cat>
          <c:val>
            <c:numRef>
              <c:extLst>
                <c:ext xmlns:c15="http://schemas.microsoft.com/office/drawing/2012/chart" uri="{02D57815-91ED-43cb-92C2-25804820EDAC}">
                  <c15:fullRef>
                    <c15:sqref>'2Cross'!$E$77:$E$105</c15:sqref>
                  </c15:fullRef>
                </c:ext>
              </c:extLst>
              <c:f>'2Cross'!$E$77:$E$97</c:f>
              <c:numCache>
                <c:formatCode>0.0%</c:formatCode>
                <c:ptCount val="21"/>
                <c:pt idx="0">
                  <c:v>-4.4727780017074573E-3</c:v>
                </c:pt>
                <c:pt idx="1">
                  <c:v>-3.3266527789429096E-3</c:v>
                </c:pt>
                <c:pt idx="2">
                  <c:v>-6.3169157454160824E-3</c:v>
                </c:pt>
                <c:pt idx="3">
                  <c:v>-2.5569915519135233E-3</c:v>
                </c:pt>
                <c:pt idx="4">
                  <c:v>-1.2019343403708166E-3</c:v>
                </c:pt>
                <c:pt idx="5">
                  <c:v>-1.4002014958773082E-3</c:v>
                </c:pt>
                <c:pt idx="6">
                  <c:v>1.6741802482358598E-3</c:v>
                </c:pt>
                <c:pt idx="7">
                  <c:v>-4.7618894699371986E-3</c:v>
                </c:pt>
                <c:pt idx="8">
                  <c:v>-6.4987080950386356E-4</c:v>
                </c:pt>
                <c:pt idx="9">
                  <c:v>1.4677703076042825E-3</c:v>
                </c:pt>
                <c:pt idx="10">
                  <c:v>-1.8217317128223498E-3</c:v>
                </c:pt>
                <c:pt idx="11">
                  <c:v>-1.2557772212362095E-3</c:v>
                </c:pt>
                <c:pt idx="12">
                  <c:v>-1.9174152581161175E-3</c:v>
                </c:pt>
                <c:pt idx="13">
                  <c:v>1.4252245922740797E-3</c:v>
                </c:pt>
                <c:pt idx="14">
                  <c:v>4.4611650975252271E-3</c:v>
                </c:pt>
                <c:pt idx="15">
                  <c:v>4.5301357141342355E-3</c:v>
                </c:pt>
                <c:pt idx="16">
                  <c:v>1.8682788628334793E-3</c:v>
                </c:pt>
                <c:pt idx="17">
                  <c:v>-6.7764004583272391E-3</c:v>
                </c:pt>
                <c:pt idx="18">
                  <c:v>4.1956597766575621E-3</c:v>
                </c:pt>
                <c:pt idx="19">
                  <c:v>4.9176320274188501E-4</c:v>
                </c:pt>
                <c:pt idx="20">
                  <c:v>5.400409778014828E-3</c:v>
                </c:pt>
              </c:numCache>
            </c:numRef>
          </c:val>
          <c:smooth val="0"/>
          <c:extLst>
            <c:ext xmlns:c16="http://schemas.microsoft.com/office/drawing/2014/chart" uri="{C3380CC4-5D6E-409C-BE32-E72D297353CC}">
              <c16:uniqueId val="{00000004-8471-4E28-B986-72B448E287D3}"/>
            </c:ext>
          </c:extLst>
        </c:ser>
        <c:ser>
          <c:idx val="6"/>
          <c:order val="3"/>
          <c:tx>
            <c:strRef>
              <c:f>'2Cross'!$F$76</c:f>
              <c:strCache>
                <c:ptCount val="1"/>
                <c:pt idx="0">
                  <c:v>With full indexation on lagged HICP</c:v>
                </c:pt>
              </c:strCache>
            </c:strRef>
          </c:tx>
          <c:spPr>
            <a:ln w="25400" cap="rnd">
              <a:noFill/>
              <a:round/>
            </a:ln>
            <a:effectLst/>
          </c:spPr>
          <c:marker>
            <c:symbol val="diamond"/>
            <c:size val="6"/>
            <c:spPr>
              <a:noFill/>
              <a:ln w="25400">
                <a:solidFill>
                  <a:schemeClr val="accent4"/>
                </a:solidFill>
              </a:ln>
              <a:effectLst/>
            </c:spPr>
          </c:marker>
          <c:cat>
            <c:strRef>
              <c:extLst>
                <c:ext xmlns:c15="http://schemas.microsoft.com/office/drawing/2012/chart" uri="{02D57815-91ED-43cb-92C2-25804820EDAC}">
                  <c15:fullRef>
                    <c15:sqref>'2Cross'!$A$77:$A$105</c15:sqref>
                  </c15:fullRef>
                </c:ext>
              </c:extLst>
              <c:f>'2Cross'!$A$77:$A$97</c:f>
              <c:strCache>
                <c:ptCount val="21"/>
                <c:pt idx="0">
                  <c:v>CY</c:v>
                </c:pt>
                <c:pt idx="1">
                  <c:v>MT</c:v>
                </c:pt>
                <c:pt idx="2">
                  <c:v>ES</c:v>
                </c:pt>
                <c:pt idx="3">
                  <c:v>IT</c:v>
                </c:pt>
                <c:pt idx="4">
                  <c:v>IE</c:v>
                </c:pt>
                <c:pt idx="5">
                  <c:v>HU</c:v>
                </c:pt>
                <c:pt idx="6">
                  <c:v>EL</c:v>
                </c:pt>
                <c:pt idx="7">
                  <c:v>EE</c:v>
                </c:pt>
                <c:pt idx="8">
                  <c:v>LT</c:v>
                </c:pt>
                <c:pt idx="9">
                  <c:v>FR</c:v>
                </c:pt>
                <c:pt idx="10">
                  <c:v>PT</c:v>
                </c:pt>
                <c:pt idx="11">
                  <c:v>FI</c:v>
                </c:pt>
                <c:pt idx="12">
                  <c:v>NL</c:v>
                </c:pt>
                <c:pt idx="13">
                  <c:v>SI</c:v>
                </c:pt>
                <c:pt idx="14">
                  <c:v>DE</c:v>
                </c:pt>
                <c:pt idx="15">
                  <c:v>SK</c:v>
                </c:pt>
                <c:pt idx="16">
                  <c:v>HR</c:v>
                </c:pt>
                <c:pt idx="17">
                  <c:v>BE</c:v>
                </c:pt>
                <c:pt idx="18">
                  <c:v>LV</c:v>
                </c:pt>
                <c:pt idx="19">
                  <c:v>LU</c:v>
                </c:pt>
                <c:pt idx="20">
                  <c:v>AT</c:v>
                </c:pt>
              </c:strCache>
            </c:strRef>
          </c:cat>
          <c:val>
            <c:numRef>
              <c:extLst>
                <c:ext xmlns:c15="http://schemas.microsoft.com/office/drawing/2012/chart" uri="{02D57815-91ED-43cb-92C2-25804820EDAC}">
                  <c15:fullRef>
                    <c15:sqref>'2Cross'!$F$77:$F$105</c15:sqref>
                  </c15:fullRef>
                </c:ext>
              </c:extLst>
              <c:f>'2Cross'!$F$77:$F$97</c:f>
              <c:numCache>
                <c:formatCode>0.0%</c:formatCode>
                <c:ptCount val="21"/>
                <c:pt idx="0">
                  <c:v>-2.8261080985317391E-3</c:v>
                </c:pt>
                <c:pt idx="1">
                  <c:v>-2.6983658511017944E-3</c:v>
                </c:pt>
                <c:pt idx="2">
                  <c:v>-6.261447337755785E-3</c:v>
                </c:pt>
                <c:pt idx="3">
                  <c:v>-4.9645289577985724E-3</c:v>
                </c:pt>
                <c:pt idx="4">
                  <c:v>4.4715013968162076E-4</c:v>
                </c:pt>
                <c:pt idx="5">
                  <c:v>-1.2593507218053648E-3</c:v>
                </c:pt>
                <c:pt idx="6">
                  <c:v>1.000494852354053E-3</c:v>
                </c:pt>
                <c:pt idx="7">
                  <c:v>-1.6110229638474083E-3</c:v>
                </c:pt>
                <c:pt idx="8">
                  <c:v>2.7042095341792832E-3</c:v>
                </c:pt>
                <c:pt idx="9">
                  <c:v>7.4638426815236414E-4</c:v>
                </c:pt>
                <c:pt idx="10">
                  <c:v>2.5517052887810282E-3</c:v>
                </c:pt>
                <c:pt idx="11">
                  <c:v>-5.0494694879654745E-4</c:v>
                </c:pt>
                <c:pt idx="12">
                  <c:v>-5.0168011210460495E-3</c:v>
                </c:pt>
                <c:pt idx="13">
                  <c:v>6.0999893933372032E-3</c:v>
                </c:pt>
                <c:pt idx="14">
                  <c:v>4.4464458643297261E-3</c:v>
                </c:pt>
                <c:pt idx="15">
                  <c:v>7.0494828271060531E-3</c:v>
                </c:pt>
                <c:pt idx="16">
                  <c:v>5.9595415386044584E-3</c:v>
                </c:pt>
                <c:pt idx="17">
                  <c:v>-1.846924491924487E-3</c:v>
                </c:pt>
                <c:pt idx="18">
                  <c:v>7.4701254827421598E-3</c:v>
                </c:pt>
                <c:pt idx="19">
                  <c:v>3.4371985555995827E-3</c:v>
                </c:pt>
                <c:pt idx="20">
                  <c:v>5.8163225198031993E-3</c:v>
                </c:pt>
              </c:numCache>
            </c:numRef>
          </c:val>
          <c:smooth val="0"/>
          <c:extLst>
            <c:ext xmlns:c16="http://schemas.microsoft.com/office/drawing/2014/chart" uri="{C3380CC4-5D6E-409C-BE32-E72D297353CC}">
              <c16:uniqueId val="{00000005-8471-4E28-B986-72B448E287D3}"/>
            </c:ext>
          </c:extLst>
        </c:ser>
        <c:ser>
          <c:idx val="7"/>
          <c:order val="4"/>
          <c:tx>
            <c:strRef>
              <c:f>'2Cross'!$G$76</c:f>
              <c:strCache>
                <c:ptCount val="1"/>
                <c:pt idx="0">
                  <c:v>With full indexation on concurrent HICP</c:v>
                </c:pt>
              </c:strCache>
            </c:strRef>
          </c:tx>
          <c:spPr>
            <a:ln w="25400" cap="rnd">
              <a:noFill/>
              <a:round/>
            </a:ln>
            <a:effectLst/>
          </c:spPr>
          <c:marker>
            <c:symbol val="triangle"/>
            <c:size val="6"/>
            <c:spPr>
              <a:noFill/>
              <a:ln w="25400">
                <a:solidFill>
                  <a:schemeClr val="accent5">
                    <a:lumMod val="75000"/>
                  </a:schemeClr>
                </a:solidFill>
              </a:ln>
              <a:effectLst/>
            </c:spPr>
          </c:marker>
          <c:cat>
            <c:strRef>
              <c:extLst>
                <c:ext xmlns:c15="http://schemas.microsoft.com/office/drawing/2012/chart" uri="{02D57815-91ED-43cb-92C2-25804820EDAC}">
                  <c15:fullRef>
                    <c15:sqref>'2Cross'!$A$77:$A$105</c15:sqref>
                  </c15:fullRef>
                </c:ext>
              </c:extLst>
              <c:f>'2Cross'!$A$77:$A$97</c:f>
              <c:strCache>
                <c:ptCount val="21"/>
                <c:pt idx="0">
                  <c:v>CY</c:v>
                </c:pt>
                <c:pt idx="1">
                  <c:v>MT</c:v>
                </c:pt>
                <c:pt idx="2">
                  <c:v>ES</c:v>
                </c:pt>
                <c:pt idx="3">
                  <c:v>IT</c:v>
                </c:pt>
                <c:pt idx="4">
                  <c:v>IE</c:v>
                </c:pt>
                <c:pt idx="5">
                  <c:v>HU</c:v>
                </c:pt>
                <c:pt idx="6">
                  <c:v>EL</c:v>
                </c:pt>
                <c:pt idx="7">
                  <c:v>EE</c:v>
                </c:pt>
                <c:pt idx="8">
                  <c:v>LT</c:v>
                </c:pt>
                <c:pt idx="9">
                  <c:v>FR</c:v>
                </c:pt>
                <c:pt idx="10">
                  <c:v>PT</c:v>
                </c:pt>
                <c:pt idx="11">
                  <c:v>FI</c:v>
                </c:pt>
                <c:pt idx="12">
                  <c:v>NL</c:v>
                </c:pt>
                <c:pt idx="13">
                  <c:v>SI</c:v>
                </c:pt>
                <c:pt idx="14">
                  <c:v>DE</c:v>
                </c:pt>
                <c:pt idx="15">
                  <c:v>SK</c:v>
                </c:pt>
                <c:pt idx="16">
                  <c:v>HR</c:v>
                </c:pt>
                <c:pt idx="17">
                  <c:v>BE</c:v>
                </c:pt>
                <c:pt idx="18">
                  <c:v>LV</c:v>
                </c:pt>
                <c:pt idx="19">
                  <c:v>LU</c:v>
                </c:pt>
                <c:pt idx="20">
                  <c:v>AT</c:v>
                </c:pt>
              </c:strCache>
            </c:strRef>
          </c:cat>
          <c:val>
            <c:numRef>
              <c:extLst>
                <c:ext xmlns:c15="http://schemas.microsoft.com/office/drawing/2012/chart" uri="{02D57815-91ED-43cb-92C2-25804820EDAC}">
                  <c15:fullRef>
                    <c15:sqref>'2Cross'!$G$77:$G$105</c15:sqref>
                  </c15:fullRef>
                </c:ext>
              </c:extLst>
              <c:f>'2Cross'!$G$77:$G$97</c:f>
              <c:numCache>
                <c:formatCode>0.0%</c:formatCode>
                <c:ptCount val="21"/>
                <c:pt idx="0">
                  <c:v>-4.3566123646347349E-3</c:v>
                </c:pt>
                <c:pt idx="1">
                  <c:v>-4.8513010644648108E-3</c:v>
                </c:pt>
                <c:pt idx="2">
                  <c:v>-8.3090300040578741E-3</c:v>
                </c:pt>
                <c:pt idx="3">
                  <c:v>-8.8820574721416995E-3</c:v>
                </c:pt>
                <c:pt idx="4">
                  <c:v>-1.6079472385603782E-3</c:v>
                </c:pt>
                <c:pt idx="5">
                  <c:v>-1.9078705873435547E-3</c:v>
                </c:pt>
                <c:pt idx="6">
                  <c:v>-1.0302610615006355E-3</c:v>
                </c:pt>
                <c:pt idx="7">
                  <c:v>-4.0172170261498427E-3</c:v>
                </c:pt>
                <c:pt idx="8">
                  <c:v>1.3603839276366825E-3</c:v>
                </c:pt>
                <c:pt idx="9">
                  <c:v>-1.3269901047418819E-3</c:v>
                </c:pt>
                <c:pt idx="10">
                  <c:v>-3.9568628830494168E-4</c:v>
                </c:pt>
                <c:pt idx="11">
                  <c:v>-3.4116647134367351E-3</c:v>
                </c:pt>
                <c:pt idx="12">
                  <c:v>-6.2550914162356475E-3</c:v>
                </c:pt>
                <c:pt idx="13">
                  <c:v>3.7916151455068339E-3</c:v>
                </c:pt>
                <c:pt idx="14">
                  <c:v>1.9134819003851916E-3</c:v>
                </c:pt>
                <c:pt idx="15">
                  <c:v>4.7771280759555251E-3</c:v>
                </c:pt>
                <c:pt idx="16">
                  <c:v>2.777307225658443E-3</c:v>
                </c:pt>
                <c:pt idx="17">
                  <c:v>-2.8712991577998365E-3</c:v>
                </c:pt>
                <c:pt idx="18">
                  <c:v>5.7970326891652463E-3</c:v>
                </c:pt>
                <c:pt idx="19">
                  <c:v>2.4778779517178467E-3</c:v>
                </c:pt>
                <c:pt idx="20">
                  <c:v>1.1187542179375981E-3</c:v>
                </c:pt>
              </c:numCache>
            </c:numRef>
          </c:val>
          <c:smooth val="0"/>
          <c:extLst>
            <c:ext xmlns:c16="http://schemas.microsoft.com/office/drawing/2014/chart" uri="{C3380CC4-5D6E-409C-BE32-E72D297353CC}">
              <c16:uniqueId val="{00000006-8471-4E28-B986-72B448E287D3}"/>
            </c:ext>
          </c:extLst>
        </c:ser>
        <c:dLbls>
          <c:showLegendKey val="0"/>
          <c:showVal val="0"/>
          <c:showCatName val="0"/>
          <c:showSerName val="0"/>
          <c:showPercent val="0"/>
          <c:showBubbleSize val="0"/>
        </c:dLbls>
        <c:marker val="1"/>
        <c:smooth val="0"/>
        <c:axId val="709475840"/>
        <c:axId val="605168576"/>
        <c:extLst>
          <c:ext xmlns:c15="http://schemas.microsoft.com/office/drawing/2012/chart" uri="{02D57815-91ED-43cb-92C2-25804820EDAC}">
            <c15:filteredLineSeries>
              <c15:ser>
                <c:idx val="3"/>
                <c:order val="0"/>
                <c:tx>
                  <c:strRef>
                    <c:extLst>
                      <c:ext uri="{02D57815-91ED-43cb-92C2-25804820EDAC}">
                        <c15:formulaRef>
                          <c15:sqref>'2Cross'!$C$76</c15:sqref>
                        </c15:formulaRef>
                      </c:ext>
                    </c:extLst>
                    <c:strCache>
                      <c:ptCount val="1"/>
                      <c:pt idx="0">
                        <c:v>Revenue in baseline scenario (set to zero)</c:v>
                      </c:pt>
                    </c:strCache>
                  </c:strRef>
                </c:tx>
                <c:spPr>
                  <a:ln w="25400" cap="rnd">
                    <a:noFill/>
                    <a:round/>
                  </a:ln>
                  <a:effectLst/>
                </c:spPr>
                <c:marker>
                  <c:symbol val="circle"/>
                  <c:size val="7"/>
                  <c:spPr>
                    <a:solidFill>
                      <a:schemeClr val="tx1"/>
                    </a:solidFill>
                    <a:ln w="9525">
                      <a:solidFill>
                        <a:schemeClr val="tx1"/>
                      </a:solidFill>
                    </a:ln>
                    <a:effectLst/>
                  </c:spPr>
                </c:marker>
                <c:cat>
                  <c:strRef>
                    <c:extLst>
                      <c:ext uri="{02D57815-91ED-43cb-92C2-25804820EDAC}">
                        <c15:fullRef>
                          <c15:sqref>'2Cross'!$A$77:$A$105</c15:sqref>
                        </c15:fullRef>
                        <c15:formulaRef>
                          <c15:sqref>'2Cross'!$A$77:$A$97</c15:sqref>
                        </c15:formulaRef>
                      </c:ext>
                    </c:extLst>
                    <c:strCache>
                      <c:ptCount val="21"/>
                      <c:pt idx="0">
                        <c:v>CY</c:v>
                      </c:pt>
                      <c:pt idx="1">
                        <c:v>MT</c:v>
                      </c:pt>
                      <c:pt idx="2">
                        <c:v>ES</c:v>
                      </c:pt>
                      <c:pt idx="3">
                        <c:v>IT</c:v>
                      </c:pt>
                      <c:pt idx="4">
                        <c:v>IE</c:v>
                      </c:pt>
                      <c:pt idx="5">
                        <c:v>HU</c:v>
                      </c:pt>
                      <c:pt idx="6">
                        <c:v>EL</c:v>
                      </c:pt>
                      <c:pt idx="7">
                        <c:v>EE</c:v>
                      </c:pt>
                      <c:pt idx="8">
                        <c:v>LT</c:v>
                      </c:pt>
                      <c:pt idx="9">
                        <c:v>FR</c:v>
                      </c:pt>
                      <c:pt idx="10">
                        <c:v>PT</c:v>
                      </c:pt>
                      <c:pt idx="11">
                        <c:v>FI</c:v>
                      </c:pt>
                      <c:pt idx="12">
                        <c:v>NL</c:v>
                      </c:pt>
                      <c:pt idx="13">
                        <c:v>SI</c:v>
                      </c:pt>
                      <c:pt idx="14">
                        <c:v>DE</c:v>
                      </c:pt>
                      <c:pt idx="15">
                        <c:v>SK</c:v>
                      </c:pt>
                      <c:pt idx="16">
                        <c:v>HR</c:v>
                      </c:pt>
                      <c:pt idx="17">
                        <c:v>BE</c:v>
                      </c:pt>
                      <c:pt idx="18">
                        <c:v>LV</c:v>
                      </c:pt>
                      <c:pt idx="19">
                        <c:v>LU</c:v>
                      </c:pt>
                      <c:pt idx="20">
                        <c:v>AT</c:v>
                      </c:pt>
                    </c:strCache>
                  </c:strRef>
                </c:cat>
                <c:val>
                  <c:numRef>
                    <c:extLst>
                      <c:ext uri="{02D57815-91ED-43cb-92C2-25804820EDAC}">
                        <c15:fullRef>
                          <c15:sqref>'2Cross'!$C$77:$C$105</c15:sqref>
                        </c15:fullRef>
                        <c15:formulaRef>
                          <c15:sqref>'2Cross'!$C$77:$C$97</c15:sqref>
                        </c15:formulaRef>
                      </c:ext>
                    </c:extLst>
                    <c:numCache>
                      <c:formatCode>0.0%</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val>
                <c:smooth val="0"/>
                <c:extLst>
                  <c:ext xmlns:c16="http://schemas.microsoft.com/office/drawing/2014/chart" uri="{C3380CC4-5D6E-409C-BE32-E72D297353CC}">
                    <c16:uniqueId val="{00000002-8471-4E28-B986-72B448E287D3}"/>
                  </c:ext>
                </c:extLst>
              </c15:ser>
            </c15:filteredLineSeries>
          </c:ext>
        </c:extLst>
      </c:lineChart>
      <c:catAx>
        <c:axId val="709475840"/>
        <c:scaling>
          <c:orientation val="minMax"/>
        </c:scaling>
        <c:delete val="0"/>
        <c:axPos val="b"/>
        <c:numFmt formatCode="General" sourceLinked="1"/>
        <c:majorTickMark val="out"/>
        <c:minorTickMark val="none"/>
        <c:tickLblPos val="low"/>
        <c:spPr>
          <a:noFill/>
          <a:ln w="6350" cap="flat" cmpd="sng" algn="ctr">
            <a:solidFill>
              <a:schemeClr val="tx1"/>
            </a:solidFill>
            <a:round/>
          </a:ln>
          <a:effectLst/>
        </c:spPr>
        <c:txPr>
          <a:bodyPr rot="-60000000" spcFirstLastPara="1" vertOverflow="ellipsis" vert="horz" wrap="square" anchor="ctr" anchorCtr="1"/>
          <a:lstStyle/>
          <a:p>
            <a:pPr>
              <a:defRPr sz="950" b="0" i="0" u="none" strike="noStrike" kern="1200" baseline="0">
                <a:solidFill>
                  <a:schemeClr val="tx1"/>
                </a:solidFill>
                <a:latin typeface="Times New Roman" panose="02020603050405020304" pitchFamily="18" charset="0"/>
                <a:ea typeface="+mn-ea"/>
                <a:cs typeface="+mn-cs"/>
              </a:defRPr>
            </a:pPr>
            <a:endParaRPr lang="es-ES_tradnl"/>
          </a:p>
        </c:txPr>
        <c:crossAx val="605168576"/>
        <c:crosses val="autoZero"/>
        <c:auto val="1"/>
        <c:lblAlgn val="ctr"/>
        <c:lblOffset val="100"/>
        <c:noMultiLvlLbl val="0"/>
      </c:catAx>
      <c:valAx>
        <c:axId val="6051685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s-ES_tradnl" sz="1050">
                    <a:solidFill>
                      <a:sysClr val="windowText" lastClr="000000"/>
                    </a:solidFill>
                    <a:latin typeface="Times New Roman" panose="02020603050405020304" pitchFamily="18" charset="0"/>
                    <a:cs typeface="Times New Roman" panose="02020603050405020304" pitchFamily="18" charset="0"/>
                  </a:rPr>
                  <a:t>Tax revenue difference (%</a:t>
                </a:r>
                <a:r>
                  <a:rPr lang="es-ES_tradnl" sz="1050" baseline="0">
                    <a:solidFill>
                      <a:sysClr val="windowText" lastClr="000000"/>
                    </a:solidFill>
                    <a:latin typeface="Times New Roman" panose="02020603050405020304" pitchFamily="18" charset="0"/>
                    <a:cs typeface="Times New Roman" panose="02020603050405020304" pitchFamily="18" charset="0"/>
                  </a:rPr>
                  <a:t> GDP)</a:t>
                </a:r>
                <a:endParaRPr lang="es-ES_tradnl" sz="1050">
                  <a:solidFill>
                    <a:sysClr val="windowText" lastClr="000000"/>
                  </a:solidFill>
                  <a:latin typeface="Times New Roman" panose="02020603050405020304" pitchFamily="18" charset="0"/>
                  <a:cs typeface="Times New Roman" panose="02020603050405020304" pitchFamily="18" charset="0"/>
                </a:endParaRPr>
              </a:p>
            </c:rich>
          </c:tx>
          <c:layout>
            <c:manualLayout>
              <c:xMode val="edge"/>
              <c:yMode val="edge"/>
              <c:x val="1.3602236018574602E-2"/>
              <c:y val="4.522749921294477E-2"/>
            </c:manualLayout>
          </c:layout>
          <c:overlay val="0"/>
          <c:spPr>
            <a:noFill/>
            <a:ln>
              <a:noFill/>
            </a:ln>
            <a:effectLst/>
          </c:spPr>
          <c:txPr>
            <a:bodyPr rot="-5400000" spcFirstLastPara="1" vertOverflow="ellipsis" vert="horz" wrap="square" anchor="ctr" anchorCtr="1"/>
            <a:lstStyle/>
            <a:p>
              <a:pPr>
                <a:defRPr sz="10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title>
        <c:numFmt formatCode="0.0%" sourceLinked="0"/>
        <c:majorTickMark val="out"/>
        <c:minorTickMark val="none"/>
        <c:tickLblPos val="nextTo"/>
        <c:spPr>
          <a:noFill/>
          <a:ln w="6350">
            <a:solidFill>
              <a:schemeClr val="tx1">
                <a:lumMod val="65000"/>
                <a:lumOff val="35000"/>
              </a:schemeClr>
            </a:solidFill>
          </a:ln>
          <a:effectLst/>
        </c:spPr>
        <c:txPr>
          <a:bodyPr rot="-60000000" spcFirstLastPara="1" vertOverflow="ellipsis" vert="horz" wrap="square" anchor="ctr" anchorCtr="1"/>
          <a:lstStyle/>
          <a:p>
            <a:pPr>
              <a:defRPr sz="950" b="0" i="0" u="none" strike="noStrike" kern="1200" baseline="0">
                <a:solidFill>
                  <a:schemeClr val="tx1"/>
                </a:solidFill>
                <a:latin typeface="Times New Roman" panose="02020603050405020304" pitchFamily="18" charset="0"/>
                <a:ea typeface="+mn-ea"/>
                <a:cs typeface="+mn-cs"/>
              </a:defRPr>
            </a:pPr>
            <a:endParaRPr lang="es-ES_tradnl"/>
          </a:p>
        </c:txPr>
        <c:crossAx val="709475840"/>
        <c:crosses val="autoZero"/>
        <c:crossBetween val="between"/>
      </c:valAx>
      <c:spPr>
        <a:noFill/>
        <a:ln>
          <a:noFill/>
        </a:ln>
        <a:effectLst/>
      </c:spPr>
    </c:plotArea>
    <c:legend>
      <c:legendPos val="b"/>
      <c:layout>
        <c:manualLayout>
          <c:xMode val="edge"/>
          <c:yMode val="edge"/>
          <c:x val="0"/>
          <c:y val="0.80216919724736635"/>
          <c:w val="1"/>
          <c:h val="0.16015018086911459"/>
        </c:manualLayout>
      </c:layout>
      <c:overlay val="0"/>
      <c:spPr>
        <a:noFill/>
        <a:ln>
          <a:noFill/>
        </a:ln>
        <a:effectLst/>
      </c:spPr>
      <c:txPr>
        <a:bodyPr rot="0" spcFirstLastPara="1" vertOverflow="ellipsis" vert="horz" wrap="square" anchor="ctr" anchorCtr="1"/>
        <a:lstStyle/>
        <a:p>
          <a:pPr>
            <a:defRPr sz="9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legend>
    <c:plotVisOnly val="1"/>
    <c:dispBlanksAs val="gap"/>
    <c:showDLblsOverMax val="0"/>
  </c:chart>
  <c:spPr>
    <a:solidFill>
      <a:schemeClr val="bg1"/>
    </a:solidFill>
    <a:ln w="9525" cap="flat" cmpd="sng" algn="ctr">
      <a:noFill/>
      <a:round/>
    </a:ln>
    <a:effectLst/>
  </c:spPr>
  <c:txPr>
    <a:bodyPr/>
    <a:lstStyle/>
    <a:p>
      <a:pPr>
        <a:defRPr/>
      </a:pPr>
      <a:endParaRPr lang="es-ES_tradnl"/>
    </a:p>
  </c:txPr>
  <c:printSettings>
    <c:headerFooter/>
    <c:pageMargins b="0.75" l="0.25" r="0.25" t="0.75" header="0.3" footer="0.3"/>
    <c:pageSetup paperSize="9" orientation="landscape"/>
  </c:printSettings>
</c:chartSpace>
</file>

<file path=xl/charts/chart8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457409308717575"/>
          <c:y val="4.6087571003560986E-2"/>
          <c:w val="0.82558175067451101"/>
          <c:h val="0.64272676146640684"/>
        </c:manualLayout>
      </c:layout>
      <c:lineChart>
        <c:grouping val="standard"/>
        <c:varyColors val="0"/>
        <c:ser>
          <c:idx val="4"/>
          <c:order val="1"/>
          <c:tx>
            <c:strRef>
              <c:f>'2Cross'!$D$112</c:f>
              <c:strCache>
                <c:ptCount val="1"/>
                <c:pt idx="0">
                  <c:v>With unchanged tax legislation  2023/2019</c:v>
                </c:pt>
              </c:strCache>
            </c:strRef>
          </c:tx>
          <c:spPr>
            <a:ln w="25400" cap="rnd">
              <a:noFill/>
              <a:round/>
            </a:ln>
            <a:effectLst/>
          </c:spPr>
          <c:marker>
            <c:symbol val="circle"/>
            <c:size val="6"/>
            <c:spPr>
              <a:noFill/>
              <a:ln w="25400">
                <a:solidFill>
                  <a:srgbClr val="C00000"/>
                </a:solidFill>
              </a:ln>
              <a:effectLst/>
            </c:spPr>
          </c:marker>
          <c:cat>
            <c:strRef>
              <c:extLst>
                <c:ext xmlns:c15="http://schemas.microsoft.com/office/drawing/2012/chart" uri="{02D57815-91ED-43cb-92C2-25804820EDAC}">
                  <c15:fullRef>
                    <c15:sqref>'2Cross'!$A$113:$A$141</c15:sqref>
                  </c15:fullRef>
                </c:ext>
              </c:extLst>
              <c:f>'2Cross'!$A$113:$A$133</c:f>
              <c:strCache>
                <c:ptCount val="21"/>
                <c:pt idx="0">
                  <c:v>CY</c:v>
                </c:pt>
                <c:pt idx="1">
                  <c:v>MT</c:v>
                </c:pt>
                <c:pt idx="2">
                  <c:v>ES</c:v>
                </c:pt>
                <c:pt idx="3">
                  <c:v>IT</c:v>
                </c:pt>
                <c:pt idx="4">
                  <c:v>EL</c:v>
                </c:pt>
                <c:pt idx="5">
                  <c:v>HU</c:v>
                </c:pt>
                <c:pt idx="6">
                  <c:v>FR</c:v>
                </c:pt>
                <c:pt idx="7">
                  <c:v>EE</c:v>
                </c:pt>
                <c:pt idx="8">
                  <c:v>FI</c:v>
                </c:pt>
                <c:pt idx="9">
                  <c:v>LT</c:v>
                </c:pt>
                <c:pt idx="10">
                  <c:v>PT</c:v>
                </c:pt>
                <c:pt idx="11">
                  <c:v>IE</c:v>
                </c:pt>
                <c:pt idx="12">
                  <c:v>NL</c:v>
                </c:pt>
                <c:pt idx="13">
                  <c:v>HR</c:v>
                </c:pt>
                <c:pt idx="14">
                  <c:v>SI</c:v>
                </c:pt>
                <c:pt idx="15">
                  <c:v>SK</c:v>
                </c:pt>
                <c:pt idx="16">
                  <c:v>DE</c:v>
                </c:pt>
                <c:pt idx="17">
                  <c:v>BE</c:v>
                </c:pt>
                <c:pt idx="18">
                  <c:v>AT</c:v>
                </c:pt>
                <c:pt idx="19">
                  <c:v>LV</c:v>
                </c:pt>
                <c:pt idx="20">
                  <c:v>LU</c:v>
                </c:pt>
              </c:strCache>
            </c:strRef>
          </c:cat>
          <c:val>
            <c:numRef>
              <c:extLst>
                <c:ext xmlns:c15="http://schemas.microsoft.com/office/drawing/2012/chart" uri="{02D57815-91ED-43cb-92C2-25804820EDAC}">
                  <c15:fullRef>
                    <c15:sqref>'2Cross'!$D$113:$D$141</c15:sqref>
                  </c15:fullRef>
                </c:ext>
              </c:extLst>
              <c:f>'2Cross'!$D$113:$D$133</c:f>
              <c:numCache>
                <c:formatCode>0.000</c:formatCode>
                <c:ptCount val="21"/>
                <c:pt idx="0">
                  <c:v>0.22491694127423312</c:v>
                </c:pt>
                <c:pt idx="1">
                  <c:v>0.40404268365545448</c:v>
                </c:pt>
                <c:pt idx="2">
                  <c:v>0.47594471370500102</c:v>
                </c:pt>
                <c:pt idx="3">
                  <c:v>0.63821280968049265</c:v>
                </c:pt>
                <c:pt idx="4">
                  <c:v>0.89651811910570345</c:v>
                </c:pt>
                <c:pt idx="5">
                  <c:v>1.0680884849886425</c:v>
                </c:pt>
                <c:pt idx="6">
                  <c:v>1.1675463832917448</c:v>
                </c:pt>
                <c:pt idx="7">
                  <c:v>1.3975239159163841</c:v>
                </c:pt>
                <c:pt idx="8">
                  <c:v>1.4597740732439242</c:v>
                </c:pt>
                <c:pt idx="9">
                  <c:v>1.5009444310923747</c:v>
                </c:pt>
                <c:pt idx="10">
                  <c:v>1.6229757072336177</c:v>
                </c:pt>
                <c:pt idx="11">
                  <c:v>1.7471902140865865</c:v>
                </c:pt>
                <c:pt idx="12">
                  <c:v>1.8427484836313823</c:v>
                </c:pt>
                <c:pt idx="13">
                  <c:v>1.9951559366433544</c:v>
                </c:pt>
                <c:pt idx="14">
                  <c:v>2.2169890221459259</c:v>
                </c:pt>
                <c:pt idx="15">
                  <c:v>2.3621055793352044</c:v>
                </c:pt>
                <c:pt idx="16">
                  <c:v>2.3680451575596884</c:v>
                </c:pt>
                <c:pt idx="17">
                  <c:v>2.39115647683386</c:v>
                </c:pt>
                <c:pt idx="18">
                  <c:v>2.4840519125462492</c:v>
                </c:pt>
                <c:pt idx="19">
                  <c:v>2.632211118469348</c:v>
                </c:pt>
                <c:pt idx="20">
                  <c:v>2.7104726807795636</c:v>
                </c:pt>
              </c:numCache>
            </c:numRef>
          </c:val>
          <c:smooth val="0"/>
          <c:extLst>
            <c:ext xmlns:c16="http://schemas.microsoft.com/office/drawing/2014/chart" uri="{C3380CC4-5D6E-409C-BE32-E72D297353CC}">
              <c16:uniqueId val="{00000001-BC34-4213-9E6F-649A7B8BDE52}"/>
            </c:ext>
          </c:extLst>
        </c:ser>
        <c:ser>
          <c:idx val="5"/>
          <c:order val="2"/>
          <c:tx>
            <c:strRef>
              <c:f>'2Cross'!$E$112</c:f>
              <c:strCache>
                <c:ptCount val="1"/>
                <c:pt idx="0">
                  <c:v>With full indexation on tax base growth</c:v>
                </c:pt>
              </c:strCache>
            </c:strRef>
          </c:tx>
          <c:spPr>
            <a:ln w="25400" cap="rnd">
              <a:noFill/>
              <a:round/>
            </a:ln>
            <a:effectLst/>
          </c:spPr>
          <c:marker>
            <c:symbol val="square"/>
            <c:size val="5"/>
            <c:spPr>
              <a:noFill/>
              <a:ln w="25400">
                <a:solidFill>
                  <a:schemeClr val="accent6">
                    <a:lumMod val="75000"/>
                  </a:schemeClr>
                </a:solidFill>
              </a:ln>
              <a:effectLst/>
            </c:spPr>
          </c:marker>
          <c:cat>
            <c:strRef>
              <c:extLst>
                <c:ext xmlns:c15="http://schemas.microsoft.com/office/drawing/2012/chart" uri="{02D57815-91ED-43cb-92C2-25804820EDAC}">
                  <c15:fullRef>
                    <c15:sqref>'2Cross'!$A$113:$A$141</c15:sqref>
                  </c15:fullRef>
                </c:ext>
              </c:extLst>
              <c:f>'2Cross'!$A$113:$A$133</c:f>
              <c:strCache>
                <c:ptCount val="21"/>
                <c:pt idx="0">
                  <c:v>CY</c:v>
                </c:pt>
                <c:pt idx="1">
                  <c:v>MT</c:v>
                </c:pt>
                <c:pt idx="2">
                  <c:v>ES</c:v>
                </c:pt>
                <c:pt idx="3">
                  <c:v>IT</c:v>
                </c:pt>
                <c:pt idx="4">
                  <c:v>EL</c:v>
                </c:pt>
                <c:pt idx="5">
                  <c:v>HU</c:v>
                </c:pt>
                <c:pt idx="6">
                  <c:v>FR</c:v>
                </c:pt>
                <c:pt idx="7">
                  <c:v>EE</c:v>
                </c:pt>
                <c:pt idx="8">
                  <c:v>FI</c:v>
                </c:pt>
                <c:pt idx="9">
                  <c:v>LT</c:v>
                </c:pt>
                <c:pt idx="10">
                  <c:v>PT</c:v>
                </c:pt>
                <c:pt idx="11">
                  <c:v>IE</c:v>
                </c:pt>
                <c:pt idx="12">
                  <c:v>NL</c:v>
                </c:pt>
                <c:pt idx="13">
                  <c:v>HR</c:v>
                </c:pt>
                <c:pt idx="14">
                  <c:v>SI</c:v>
                </c:pt>
                <c:pt idx="15">
                  <c:v>SK</c:v>
                </c:pt>
                <c:pt idx="16">
                  <c:v>DE</c:v>
                </c:pt>
                <c:pt idx="17">
                  <c:v>BE</c:v>
                </c:pt>
                <c:pt idx="18">
                  <c:v>AT</c:v>
                </c:pt>
                <c:pt idx="19">
                  <c:v>LV</c:v>
                </c:pt>
                <c:pt idx="20">
                  <c:v>LU</c:v>
                </c:pt>
              </c:strCache>
            </c:strRef>
          </c:cat>
          <c:val>
            <c:numRef>
              <c:extLst>
                <c:ext xmlns:c15="http://schemas.microsoft.com/office/drawing/2012/chart" uri="{02D57815-91ED-43cb-92C2-25804820EDAC}">
                  <c15:fullRef>
                    <c15:sqref>'2Cross'!$E$113:$E$141</c15:sqref>
                  </c15:fullRef>
                </c:ext>
              </c:extLst>
              <c:f>'2Cross'!$E$113:$E$133</c:f>
              <c:numCache>
                <c:formatCode>0.000</c:formatCode>
                <c:ptCount val="21"/>
                <c:pt idx="0">
                  <c:v>-0.9432650611839799</c:v>
                </c:pt>
                <c:pt idx="1">
                  <c:v>-0.58114607280451835</c:v>
                </c:pt>
                <c:pt idx="2">
                  <c:v>-1.0169277600224849</c:v>
                </c:pt>
                <c:pt idx="3">
                  <c:v>-0.5056556709175517</c:v>
                </c:pt>
                <c:pt idx="4">
                  <c:v>0.24436395182068082</c:v>
                </c:pt>
                <c:pt idx="5">
                  <c:v>-0.26230297613825471</c:v>
                </c:pt>
                <c:pt idx="6">
                  <c:v>0.23924617159384276</c:v>
                </c:pt>
                <c:pt idx="7">
                  <c:v>-1.0649474610221592</c:v>
                </c:pt>
                <c:pt idx="8">
                  <c:v>-0.20025850396917377</c:v>
                </c:pt>
                <c:pt idx="9">
                  <c:v>-0.13106831665295715</c:v>
                </c:pt>
                <c:pt idx="10">
                  <c:v>-0.3669265993612445</c:v>
                </c:pt>
                <c:pt idx="11">
                  <c:v>-0.37327392874333754</c:v>
                </c:pt>
                <c:pt idx="12">
                  <c:v>-0.31040219293845261</c:v>
                </c:pt>
                <c:pt idx="13">
                  <c:v>0.30331428704938546</c:v>
                </c:pt>
                <c:pt idx="14">
                  <c:v>0.27595744660532695</c:v>
                </c:pt>
                <c:pt idx="15">
                  <c:v>0.87607903423243538</c:v>
                </c:pt>
                <c:pt idx="16">
                  <c:v>0.89173883131218545</c:v>
                </c:pt>
                <c:pt idx="17">
                  <c:v>-1.2572097850488859</c:v>
                </c:pt>
                <c:pt idx="18">
                  <c:v>0.80914110992747545</c:v>
                </c:pt>
                <c:pt idx="19">
                  <c:v>0.85462094584496739</c:v>
                </c:pt>
                <c:pt idx="20">
                  <c:v>0.10136354179969587</c:v>
                </c:pt>
              </c:numCache>
            </c:numRef>
          </c:val>
          <c:smooth val="0"/>
          <c:extLst>
            <c:ext xmlns:c16="http://schemas.microsoft.com/office/drawing/2014/chart" uri="{C3380CC4-5D6E-409C-BE32-E72D297353CC}">
              <c16:uniqueId val="{00000002-BC34-4213-9E6F-649A7B8BDE52}"/>
            </c:ext>
          </c:extLst>
        </c:ser>
        <c:ser>
          <c:idx val="6"/>
          <c:order val="3"/>
          <c:tx>
            <c:strRef>
              <c:f>'2Cross'!$F$112</c:f>
              <c:strCache>
                <c:ptCount val="1"/>
                <c:pt idx="0">
                  <c:v>With full indexation on lagged HICP</c:v>
                </c:pt>
              </c:strCache>
            </c:strRef>
          </c:tx>
          <c:spPr>
            <a:ln w="25400" cap="rnd">
              <a:noFill/>
              <a:round/>
            </a:ln>
            <a:effectLst/>
          </c:spPr>
          <c:marker>
            <c:symbol val="diamond"/>
            <c:size val="6"/>
            <c:spPr>
              <a:noFill/>
              <a:ln w="25400">
                <a:solidFill>
                  <a:schemeClr val="accent4"/>
                </a:solidFill>
              </a:ln>
              <a:effectLst/>
            </c:spPr>
          </c:marker>
          <c:cat>
            <c:strRef>
              <c:extLst>
                <c:ext xmlns:c15="http://schemas.microsoft.com/office/drawing/2012/chart" uri="{02D57815-91ED-43cb-92C2-25804820EDAC}">
                  <c15:fullRef>
                    <c15:sqref>'2Cross'!$A$113:$A$141</c15:sqref>
                  </c15:fullRef>
                </c:ext>
              </c:extLst>
              <c:f>'2Cross'!$A$113:$A$133</c:f>
              <c:strCache>
                <c:ptCount val="21"/>
                <c:pt idx="0">
                  <c:v>CY</c:v>
                </c:pt>
                <c:pt idx="1">
                  <c:v>MT</c:v>
                </c:pt>
                <c:pt idx="2">
                  <c:v>ES</c:v>
                </c:pt>
                <c:pt idx="3">
                  <c:v>IT</c:v>
                </c:pt>
                <c:pt idx="4">
                  <c:v>EL</c:v>
                </c:pt>
                <c:pt idx="5">
                  <c:v>HU</c:v>
                </c:pt>
                <c:pt idx="6">
                  <c:v>FR</c:v>
                </c:pt>
                <c:pt idx="7">
                  <c:v>EE</c:v>
                </c:pt>
                <c:pt idx="8">
                  <c:v>FI</c:v>
                </c:pt>
                <c:pt idx="9">
                  <c:v>LT</c:v>
                </c:pt>
                <c:pt idx="10">
                  <c:v>PT</c:v>
                </c:pt>
                <c:pt idx="11">
                  <c:v>IE</c:v>
                </c:pt>
                <c:pt idx="12">
                  <c:v>NL</c:v>
                </c:pt>
                <c:pt idx="13">
                  <c:v>HR</c:v>
                </c:pt>
                <c:pt idx="14">
                  <c:v>SI</c:v>
                </c:pt>
                <c:pt idx="15">
                  <c:v>SK</c:v>
                </c:pt>
                <c:pt idx="16">
                  <c:v>DE</c:v>
                </c:pt>
                <c:pt idx="17">
                  <c:v>BE</c:v>
                </c:pt>
                <c:pt idx="18">
                  <c:v>AT</c:v>
                </c:pt>
                <c:pt idx="19">
                  <c:v>LV</c:v>
                </c:pt>
                <c:pt idx="20">
                  <c:v>LU</c:v>
                </c:pt>
              </c:strCache>
            </c:strRef>
          </c:cat>
          <c:val>
            <c:numRef>
              <c:extLst>
                <c:ext xmlns:c15="http://schemas.microsoft.com/office/drawing/2012/chart" uri="{02D57815-91ED-43cb-92C2-25804820EDAC}">
                  <c15:fullRef>
                    <c15:sqref>'2Cross'!$F$113:$F$141</c15:sqref>
                  </c15:fullRef>
                </c:ext>
              </c:extLst>
              <c:f>'2Cross'!$F$113:$F$133</c:f>
              <c:numCache>
                <c:formatCode>0.000</c:formatCode>
                <c:ptCount val="21"/>
                <c:pt idx="0">
                  <c:v>-0.59599851087097111</c:v>
                </c:pt>
                <c:pt idx="1">
                  <c:v>-0.47138815547077506</c:v>
                </c:pt>
                <c:pt idx="2">
                  <c:v>-1.0079981865047518</c:v>
                </c:pt>
                <c:pt idx="3">
                  <c:v>-0.98175616539156607</c:v>
                </c:pt>
                <c:pt idx="4">
                  <c:v>0.14603258887751558</c:v>
                </c:pt>
                <c:pt idx="5">
                  <c:v>-0.23591707572375853</c:v>
                </c:pt>
                <c:pt idx="6">
                  <c:v>0.12166043812726102</c:v>
                </c:pt>
                <c:pt idx="7">
                  <c:v>-0.3602886681492663</c:v>
                </c:pt>
                <c:pt idx="8">
                  <c:v>-8.0523773516340214E-2</c:v>
                </c:pt>
                <c:pt idx="9">
                  <c:v>0.54539484823507678</c:v>
                </c:pt>
                <c:pt idx="10">
                  <c:v>0.51395523149452238</c:v>
                </c:pt>
                <c:pt idx="11">
                  <c:v>0.13886739380921043</c:v>
                </c:pt>
                <c:pt idx="12">
                  <c:v>-0.81214857497210424</c:v>
                </c:pt>
                <c:pt idx="13">
                  <c:v>0.96752906050734122</c:v>
                </c:pt>
                <c:pt idx="14">
                  <c:v>1.1811033197364225</c:v>
                </c:pt>
                <c:pt idx="15">
                  <c:v>1.3632933970918559</c:v>
                </c:pt>
                <c:pt idx="16">
                  <c:v>0.8887966152048179</c:v>
                </c:pt>
                <c:pt idx="17">
                  <c:v>-0.34265559684279268</c:v>
                </c:pt>
                <c:pt idx="18">
                  <c:v>0.87145713988758011</c:v>
                </c:pt>
                <c:pt idx="19">
                  <c:v>1.5216023332396009</c:v>
                </c:pt>
                <c:pt idx="20">
                  <c:v>0.70848452572660392</c:v>
                </c:pt>
              </c:numCache>
            </c:numRef>
          </c:val>
          <c:smooth val="0"/>
          <c:extLst>
            <c:ext xmlns:c16="http://schemas.microsoft.com/office/drawing/2014/chart" uri="{C3380CC4-5D6E-409C-BE32-E72D297353CC}">
              <c16:uniqueId val="{00000003-BC34-4213-9E6F-649A7B8BDE52}"/>
            </c:ext>
          </c:extLst>
        </c:ser>
        <c:ser>
          <c:idx val="7"/>
          <c:order val="4"/>
          <c:tx>
            <c:strRef>
              <c:f>'2Cross'!$G$112</c:f>
              <c:strCache>
                <c:ptCount val="1"/>
                <c:pt idx="0">
                  <c:v>With full indexation on concurrent HICP</c:v>
                </c:pt>
              </c:strCache>
            </c:strRef>
          </c:tx>
          <c:spPr>
            <a:ln w="25400" cap="rnd">
              <a:noFill/>
              <a:round/>
            </a:ln>
            <a:effectLst/>
          </c:spPr>
          <c:marker>
            <c:symbol val="triangle"/>
            <c:size val="6"/>
            <c:spPr>
              <a:noFill/>
              <a:ln w="25400">
                <a:solidFill>
                  <a:schemeClr val="accent5">
                    <a:lumMod val="75000"/>
                  </a:schemeClr>
                </a:solidFill>
              </a:ln>
              <a:effectLst/>
            </c:spPr>
          </c:marker>
          <c:cat>
            <c:strRef>
              <c:extLst>
                <c:ext xmlns:c15="http://schemas.microsoft.com/office/drawing/2012/chart" uri="{02D57815-91ED-43cb-92C2-25804820EDAC}">
                  <c15:fullRef>
                    <c15:sqref>'2Cross'!$A$113:$A$141</c15:sqref>
                  </c15:fullRef>
                </c:ext>
              </c:extLst>
              <c:f>'2Cross'!$A$113:$A$133</c:f>
              <c:strCache>
                <c:ptCount val="21"/>
                <c:pt idx="0">
                  <c:v>CY</c:v>
                </c:pt>
                <c:pt idx="1">
                  <c:v>MT</c:v>
                </c:pt>
                <c:pt idx="2">
                  <c:v>ES</c:v>
                </c:pt>
                <c:pt idx="3">
                  <c:v>IT</c:v>
                </c:pt>
                <c:pt idx="4">
                  <c:v>EL</c:v>
                </c:pt>
                <c:pt idx="5">
                  <c:v>HU</c:v>
                </c:pt>
                <c:pt idx="6">
                  <c:v>FR</c:v>
                </c:pt>
                <c:pt idx="7">
                  <c:v>EE</c:v>
                </c:pt>
                <c:pt idx="8">
                  <c:v>FI</c:v>
                </c:pt>
                <c:pt idx="9">
                  <c:v>LT</c:v>
                </c:pt>
                <c:pt idx="10">
                  <c:v>PT</c:v>
                </c:pt>
                <c:pt idx="11">
                  <c:v>IE</c:v>
                </c:pt>
                <c:pt idx="12">
                  <c:v>NL</c:v>
                </c:pt>
                <c:pt idx="13">
                  <c:v>HR</c:v>
                </c:pt>
                <c:pt idx="14">
                  <c:v>SI</c:v>
                </c:pt>
                <c:pt idx="15">
                  <c:v>SK</c:v>
                </c:pt>
                <c:pt idx="16">
                  <c:v>DE</c:v>
                </c:pt>
                <c:pt idx="17">
                  <c:v>BE</c:v>
                </c:pt>
                <c:pt idx="18">
                  <c:v>AT</c:v>
                </c:pt>
                <c:pt idx="19">
                  <c:v>LV</c:v>
                </c:pt>
                <c:pt idx="20">
                  <c:v>LU</c:v>
                </c:pt>
              </c:strCache>
            </c:strRef>
          </c:cat>
          <c:val>
            <c:numRef>
              <c:extLst>
                <c:ext xmlns:c15="http://schemas.microsoft.com/office/drawing/2012/chart" uri="{02D57815-91ED-43cb-92C2-25804820EDAC}">
                  <c15:fullRef>
                    <c15:sqref>'2Cross'!$G$113:$G$141</c15:sqref>
                  </c15:fullRef>
                </c:ext>
              </c:extLst>
              <c:f>'2Cross'!$G$113:$G$133</c:f>
              <c:numCache>
                <c:formatCode>0.000</c:formatCode>
                <c:ptCount val="21"/>
                <c:pt idx="0">
                  <c:v>-0.91876686638892213</c:v>
                </c:pt>
                <c:pt idx="1">
                  <c:v>-0.84749288517630639</c:v>
                </c:pt>
                <c:pt idx="2">
                  <c:v>-1.337627983421779</c:v>
                </c:pt>
                <c:pt idx="3">
                  <c:v>-1.7564636562225004</c:v>
                </c:pt>
                <c:pt idx="4">
                  <c:v>-0.15037727548186375</c:v>
                </c:pt>
                <c:pt idx="5">
                  <c:v>-0.35740579810858009</c:v>
                </c:pt>
                <c:pt idx="6">
                  <c:v>-0.21629903579436949</c:v>
                </c:pt>
                <c:pt idx="7">
                  <c:v>-0.89840915027153656</c:v>
                </c:pt>
                <c:pt idx="8">
                  <c:v>-0.54405738534156356</c:v>
                </c:pt>
                <c:pt idx="9">
                  <c:v>0.27436719543259258</c:v>
                </c:pt>
                <c:pt idx="10">
                  <c:v>-7.9697698162517483E-2</c:v>
                </c:pt>
                <c:pt idx="11">
                  <c:v>-0.49936569976381762</c:v>
                </c:pt>
                <c:pt idx="12">
                  <c:v>-1.0126101189669612</c:v>
                </c:pt>
                <c:pt idx="13">
                  <c:v>0.45089465915708793</c:v>
                </c:pt>
                <c:pt idx="14">
                  <c:v>0.73414705284774584</c:v>
                </c:pt>
                <c:pt idx="15">
                  <c:v>0.92384467382068269</c:v>
                </c:pt>
                <c:pt idx="16">
                  <c:v>0.38248441299181835</c:v>
                </c:pt>
                <c:pt idx="17">
                  <c:v>-0.53270544136048059</c:v>
                </c:pt>
                <c:pt idx="18">
                  <c:v>0.16762247067311264</c:v>
                </c:pt>
                <c:pt idx="19">
                  <c:v>1.180807268375645</c:v>
                </c:pt>
                <c:pt idx="20">
                  <c:v>0.51074680645703552</c:v>
                </c:pt>
              </c:numCache>
            </c:numRef>
          </c:val>
          <c:smooth val="0"/>
          <c:extLst>
            <c:ext xmlns:c16="http://schemas.microsoft.com/office/drawing/2014/chart" uri="{C3380CC4-5D6E-409C-BE32-E72D297353CC}">
              <c16:uniqueId val="{00000004-BC34-4213-9E6F-649A7B8BDE52}"/>
            </c:ext>
          </c:extLst>
        </c:ser>
        <c:dLbls>
          <c:showLegendKey val="0"/>
          <c:showVal val="0"/>
          <c:showCatName val="0"/>
          <c:showSerName val="0"/>
          <c:showPercent val="0"/>
          <c:showBubbleSize val="0"/>
        </c:dLbls>
        <c:marker val="1"/>
        <c:smooth val="0"/>
        <c:axId val="709475840"/>
        <c:axId val="605168576"/>
        <c:extLst>
          <c:ext xmlns:c15="http://schemas.microsoft.com/office/drawing/2012/chart" uri="{02D57815-91ED-43cb-92C2-25804820EDAC}">
            <c15:filteredLineSeries>
              <c15:ser>
                <c:idx val="3"/>
                <c:order val="0"/>
                <c:tx>
                  <c:strRef>
                    <c:extLst>
                      <c:ext uri="{02D57815-91ED-43cb-92C2-25804820EDAC}">
                        <c15:formulaRef>
                          <c15:sqref>'2Cross'!$C$112</c15:sqref>
                        </c15:formulaRef>
                      </c:ext>
                    </c:extLst>
                    <c:strCache>
                      <c:ptCount val="1"/>
                      <c:pt idx="0">
                        <c:v>Average effective tax rate in baseline scenario (set to zero)</c:v>
                      </c:pt>
                    </c:strCache>
                  </c:strRef>
                </c:tx>
                <c:spPr>
                  <a:ln w="25400" cap="rnd">
                    <a:noFill/>
                    <a:round/>
                  </a:ln>
                  <a:effectLst/>
                </c:spPr>
                <c:marker>
                  <c:symbol val="circle"/>
                  <c:size val="7"/>
                  <c:spPr>
                    <a:solidFill>
                      <a:schemeClr val="tx1"/>
                    </a:solidFill>
                    <a:ln w="9525">
                      <a:solidFill>
                        <a:schemeClr val="tx1"/>
                      </a:solidFill>
                    </a:ln>
                    <a:effectLst/>
                  </c:spPr>
                </c:marker>
                <c:cat>
                  <c:strRef>
                    <c:extLst>
                      <c:ext uri="{02D57815-91ED-43cb-92C2-25804820EDAC}">
                        <c15:fullRef>
                          <c15:sqref>'2Cross'!$A$113:$A$141</c15:sqref>
                        </c15:fullRef>
                        <c15:formulaRef>
                          <c15:sqref>'2Cross'!$A$113:$A$133</c15:sqref>
                        </c15:formulaRef>
                      </c:ext>
                    </c:extLst>
                    <c:strCache>
                      <c:ptCount val="21"/>
                      <c:pt idx="0">
                        <c:v>CY</c:v>
                      </c:pt>
                      <c:pt idx="1">
                        <c:v>MT</c:v>
                      </c:pt>
                      <c:pt idx="2">
                        <c:v>ES</c:v>
                      </c:pt>
                      <c:pt idx="3">
                        <c:v>IT</c:v>
                      </c:pt>
                      <c:pt idx="4">
                        <c:v>EL</c:v>
                      </c:pt>
                      <c:pt idx="5">
                        <c:v>HU</c:v>
                      </c:pt>
                      <c:pt idx="6">
                        <c:v>FR</c:v>
                      </c:pt>
                      <c:pt idx="7">
                        <c:v>EE</c:v>
                      </c:pt>
                      <c:pt idx="8">
                        <c:v>FI</c:v>
                      </c:pt>
                      <c:pt idx="9">
                        <c:v>LT</c:v>
                      </c:pt>
                      <c:pt idx="10">
                        <c:v>PT</c:v>
                      </c:pt>
                      <c:pt idx="11">
                        <c:v>IE</c:v>
                      </c:pt>
                      <c:pt idx="12">
                        <c:v>NL</c:v>
                      </c:pt>
                      <c:pt idx="13">
                        <c:v>HR</c:v>
                      </c:pt>
                      <c:pt idx="14">
                        <c:v>SI</c:v>
                      </c:pt>
                      <c:pt idx="15">
                        <c:v>SK</c:v>
                      </c:pt>
                      <c:pt idx="16">
                        <c:v>DE</c:v>
                      </c:pt>
                      <c:pt idx="17">
                        <c:v>BE</c:v>
                      </c:pt>
                      <c:pt idx="18">
                        <c:v>AT</c:v>
                      </c:pt>
                      <c:pt idx="19">
                        <c:v>LV</c:v>
                      </c:pt>
                      <c:pt idx="20">
                        <c:v>LU</c:v>
                      </c:pt>
                    </c:strCache>
                  </c:strRef>
                </c:cat>
                <c:val>
                  <c:numRef>
                    <c:extLst>
                      <c:ext uri="{02D57815-91ED-43cb-92C2-25804820EDAC}">
                        <c15:fullRef>
                          <c15:sqref>'2Cross'!$C$113:$C$141</c15:sqref>
                        </c15:fullRef>
                        <c15:formulaRef>
                          <c15:sqref>'2Cross'!$C$113:$C$133</c15:sqref>
                        </c15:formulaRef>
                      </c:ext>
                    </c:extLst>
                    <c:numCache>
                      <c:formatCode>0.000</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val>
                <c:smooth val="0"/>
                <c:extLst>
                  <c:ext xmlns:c16="http://schemas.microsoft.com/office/drawing/2014/chart" uri="{C3380CC4-5D6E-409C-BE32-E72D297353CC}">
                    <c16:uniqueId val="{00000000-BC34-4213-9E6F-649A7B8BDE52}"/>
                  </c:ext>
                </c:extLst>
              </c15:ser>
            </c15:filteredLineSeries>
          </c:ext>
        </c:extLst>
      </c:lineChart>
      <c:catAx>
        <c:axId val="709475840"/>
        <c:scaling>
          <c:orientation val="minMax"/>
        </c:scaling>
        <c:delete val="0"/>
        <c:axPos val="b"/>
        <c:numFmt formatCode="General" sourceLinked="1"/>
        <c:majorTickMark val="out"/>
        <c:minorTickMark val="none"/>
        <c:tickLblPos val="low"/>
        <c:spPr>
          <a:noFill/>
          <a:ln w="6350" cap="flat" cmpd="sng" algn="ctr">
            <a:solidFill>
              <a:schemeClr val="tx1"/>
            </a:solidFill>
            <a:round/>
          </a:ln>
          <a:effectLst/>
        </c:spPr>
        <c:txPr>
          <a:bodyPr rot="-60000000" spcFirstLastPara="1" vertOverflow="ellipsis" vert="horz" wrap="square" anchor="ctr" anchorCtr="1"/>
          <a:lstStyle/>
          <a:p>
            <a:pPr>
              <a:defRPr sz="950" b="0" i="0" u="none" strike="noStrike" kern="1200" baseline="0">
                <a:solidFill>
                  <a:schemeClr val="tx1"/>
                </a:solidFill>
                <a:latin typeface="Times New Roman" panose="02020603050405020304" pitchFamily="18" charset="0"/>
                <a:ea typeface="+mn-ea"/>
                <a:cs typeface="+mn-cs"/>
              </a:defRPr>
            </a:pPr>
            <a:endParaRPr lang="es-ES_tradnl"/>
          </a:p>
        </c:txPr>
        <c:crossAx val="605168576"/>
        <c:crosses val="autoZero"/>
        <c:auto val="1"/>
        <c:lblAlgn val="ctr"/>
        <c:lblOffset val="100"/>
        <c:noMultiLvlLbl val="0"/>
      </c:catAx>
      <c:valAx>
        <c:axId val="6051685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s-ES_tradnl" sz="1050">
                    <a:solidFill>
                      <a:sysClr val="windowText" lastClr="000000"/>
                    </a:solidFill>
                    <a:latin typeface="Times New Roman" panose="02020603050405020304" pitchFamily="18" charset="0"/>
                    <a:cs typeface="Times New Roman" panose="02020603050405020304" pitchFamily="18" charset="0"/>
                  </a:rPr>
                  <a:t>Tax rate difference wrt observed (pp)</a:t>
                </a:r>
              </a:p>
            </c:rich>
          </c:tx>
          <c:layout>
            <c:manualLayout>
              <c:xMode val="edge"/>
              <c:yMode val="edge"/>
              <c:x val="1.9046976270823288E-2"/>
              <c:y val="5.1961670846232738E-2"/>
            </c:manualLayout>
          </c:layout>
          <c:overlay val="0"/>
          <c:spPr>
            <a:noFill/>
            <a:ln>
              <a:noFill/>
            </a:ln>
            <a:effectLst/>
          </c:spPr>
          <c:txPr>
            <a:bodyPr rot="-5400000" spcFirstLastPara="1" vertOverflow="ellipsis" vert="horz" wrap="square" anchor="ctr" anchorCtr="1"/>
            <a:lstStyle/>
            <a:p>
              <a:pPr>
                <a:defRPr sz="10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title>
        <c:numFmt formatCode="#,##0.0" sourceLinked="0"/>
        <c:majorTickMark val="out"/>
        <c:minorTickMark val="none"/>
        <c:tickLblPos val="nextTo"/>
        <c:spPr>
          <a:noFill/>
          <a:ln w="6350">
            <a:solidFill>
              <a:schemeClr val="tx1">
                <a:lumMod val="65000"/>
                <a:lumOff val="35000"/>
              </a:schemeClr>
            </a:solidFill>
          </a:ln>
          <a:effectLst/>
        </c:spPr>
        <c:txPr>
          <a:bodyPr rot="-60000000" spcFirstLastPara="1" vertOverflow="ellipsis" vert="horz" wrap="square" anchor="ctr" anchorCtr="1"/>
          <a:lstStyle/>
          <a:p>
            <a:pPr>
              <a:defRPr sz="950" b="0" i="0" u="none" strike="noStrike" kern="1200" baseline="0">
                <a:solidFill>
                  <a:schemeClr val="tx1"/>
                </a:solidFill>
                <a:latin typeface="Times New Roman" panose="02020603050405020304" pitchFamily="18" charset="0"/>
                <a:ea typeface="+mn-ea"/>
                <a:cs typeface="+mn-cs"/>
              </a:defRPr>
            </a:pPr>
            <a:endParaRPr lang="es-ES_tradnl"/>
          </a:p>
        </c:txPr>
        <c:crossAx val="709475840"/>
        <c:crosses val="autoZero"/>
        <c:crossBetween val="between"/>
      </c:valAx>
      <c:spPr>
        <a:noFill/>
        <a:ln>
          <a:noFill/>
        </a:ln>
        <a:effectLst/>
      </c:spPr>
    </c:plotArea>
    <c:legend>
      <c:legendPos val="b"/>
      <c:layout>
        <c:manualLayout>
          <c:xMode val="edge"/>
          <c:yMode val="edge"/>
          <c:x val="0"/>
          <c:y val="0.80216919724736635"/>
          <c:w val="1"/>
          <c:h val="0.16433688961824799"/>
        </c:manualLayout>
      </c:layout>
      <c:overlay val="0"/>
      <c:spPr>
        <a:noFill/>
        <a:ln>
          <a:noFill/>
        </a:ln>
        <a:effectLst/>
      </c:spPr>
      <c:txPr>
        <a:bodyPr rot="0" spcFirstLastPara="1" vertOverflow="ellipsis" vert="horz" wrap="square" anchor="ctr" anchorCtr="1"/>
        <a:lstStyle/>
        <a:p>
          <a:pPr>
            <a:defRPr sz="9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legend>
    <c:plotVisOnly val="1"/>
    <c:dispBlanksAs val="gap"/>
    <c:showDLblsOverMax val="0"/>
  </c:chart>
  <c:spPr>
    <a:solidFill>
      <a:schemeClr val="bg1"/>
    </a:solidFill>
    <a:ln w="9525" cap="flat" cmpd="sng" algn="ctr">
      <a:noFill/>
      <a:round/>
    </a:ln>
    <a:effectLst/>
  </c:spPr>
  <c:txPr>
    <a:bodyPr/>
    <a:lstStyle/>
    <a:p>
      <a:pPr>
        <a:defRPr/>
      </a:pPr>
      <a:endParaRPr lang="es-ES_tradnl"/>
    </a:p>
  </c:txPr>
  <c:printSettings>
    <c:headerFooter/>
    <c:pageMargins b="0.75" l="0.25" r="0.25" t="0.75" header="0.3" footer="0.3"/>
    <c:pageSetup paperSize="9" orientation="landscape"/>
  </c:printSettings>
</c:chartSpace>
</file>

<file path=xl/charts/chart8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1"/>
          <c:order val="0"/>
          <c:spPr>
            <a:ln w="19050">
              <a:noFill/>
              <a:prstDash val="solid"/>
            </a:ln>
          </c:spPr>
          <c:marker>
            <c:symbol val="none"/>
          </c:marker>
          <c:dLbls>
            <c:delete val="1"/>
          </c:dLbls>
          <c:trendline>
            <c:spPr>
              <a:ln w="22225">
                <a:solidFill>
                  <a:schemeClr val="tx1">
                    <a:lumMod val="75000"/>
                    <a:lumOff val="25000"/>
                    <a:alpha val="80000"/>
                  </a:schemeClr>
                </a:solidFill>
                <a:prstDash val="sysDash"/>
              </a:ln>
            </c:spPr>
            <c:trendlineType val="linear"/>
            <c:dispRSqr val="0"/>
            <c:dispEq val="0"/>
          </c:trendline>
          <c:xVal>
            <c:numRef>
              <c:f>'2Cross'!$B$113:$B$133</c:f>
              <c:numCache>
                <c:formatCode>0.000</c:formatCode>
                <c:ptCount val="21"/>
                <c:pt idx="0">
                  <c:v>7.9026628754337205</c:v>
                </c:pt>
                <c:pt idx="1">
                  <c:v>12.848019466449855</c:v>
                </c:pt>
                <c:pt idx="2">
                  <c:v>14.44268867893739</c:v>
                </c:pt>
                <c:pt idx="3">
                  <c:v>19.228975648457421</c:v>
                </c:pt>
                <c:pt idx="4">
                  <c:v>8.6754276780268444</c:v>
                </c:pt>
                <c:pt idx="5">
                  <c:v>9.9703561318237792</c:v>
                </c:pt>
                <c:pt idx="6">
                  <c:v>15.170045390908987</c:v>
                </c:pt>
                <c:pt idx="7">
                  <c:v>14.00068594969372</c:v>
                </c:pt>
                <c:pt idx="8">
                  <c:v>20.297213303553796</c:v>
                </c:pt>
                <c:pt idx="9">
                  <c:v>15.605770089485727</c:v>
                </c:pt>
                <c:pt idx="10">
                  <c:v>13.931916457483526</c:v>
                </c:pt>
                <c:pt idx="11">
                  <c:v>20.218944729105125</c:v>
                </c:pt>
                <c:pt idx="12">
                  <c:v>14.472585388708239</c:v>
                </c:pt>
                <c:pt idx="13">
                  <c:v>5.114312040750236</c:v>
                </c:pt>
                <c:pt idx="14">
                  <c:v>9.8157417281948369</c:v>
                </c:pt>
                <c:pt idx="15">
                  <c:v>7.3353862232176814</c:v>
                </c:pt>
                <c:pt idx="16">
                  <c:v>17.90065301033205</c:v>
                </c:pt>
                <c:pt idx="17">
                  <c:v>21.568472135823413</c:v>
                </c:pt>
                <c:pt idx="18">
                  <c:v>12.815526995511552</c:v>
                </c:pt>
                <c:pt idx="19">
                  <c:v>13.148449627181154</c:v>
                </c:pt>
                <c:pt idx="20">
                  <c:v>17.99921793306866</c:v>
                </c:pt>
              </c:numCache>
            </c:numRef>
          </c:xVal>
          <c:yVal>
            <c:numRef>
              <c:f>'2Cross'!$E$113:$E$133</c:f>
              <c:numCache>
                <c:formatCode>0.000</c:formatCode>
                <c:ptCount val="21"/>
                <c:pt idx="0">
                  <c:v>-0.9432650611839799</c:v>
                </c:pt>
                <c:pt idx="1">
                  <c:v>-0.58114607280451835</c:v>
                </c:pt>
                <c:pt idx="2">
                  <c:v>-1.0169277600224849</c:v>
                </c:pt>
                <c:pt idx="3">
                  <c:v>-0.5056556709175517</c:v>
                </c:pt>
                <c:pt idx="4">
                  <c:v>0.24436395182068082</c:v>
                </c:pt>
                <c:pt idx="5">
                  <c:v>-0.26230297613825471</c:v>
                </c:pt>
                <c:pt idx="6">
                  <c:v>0.23924617159384276</c:v>
                </c:pt>
                <c:pt idx="7">
                  <c:v>-1.0649474610221592</c:v>
                </c:pt>
                <c:pt idx="8">
                  <c:v>-0.20025850396917377</c:v>
                </c:pt>
                <c:pt idx="9">
                  <c:v>-0.13106831665295715</c:v>
                </c:pt>
                <c:pt idx="10">
                  <c:v>-0.3669265993612445</c:v>
                </c:pt>
                <c:pt idx="11">
                  <c:v>-0.37327392874333754</c:v>
                </c:pt>
                <c:pt idx="12">
                  <c:v>-0.31040219293845261</c:v>
                </c:pt>
                <c:pt idx="13">
                  <c:v>0.30331428704938546</c:v>
                </c:pt>
                <c:pt idx="14">
                  <c:v>0.27595744660532695</c:v>
                </c:pt>
                <c:pt idx="15">
                  <c:v>0.87607903423243538</c:v>
                </c:pt>
                <c:pt idx="16">
                  <c:v>0.89173883131218545</c:v>
                </c:pt>
                <c:pt idx="17">
                  <c:v>-1.2572097850488859</c:v>
                </c:pt>
                <c:pt idx="18">
                  <c:v>0.80914110992747545</c:v>
                </c:pt>
                <c:pt idx="19">
                  <c:v>0.85462094584496739</c:v>
                </c:pt>
                <c:pt idx="20">
                  <c:v>0.10136354179969587</c:v>
                </c:pt>
              </c:numCache>
            </c:numRef>
          </c:yVal>
          <c:smooth val="0"/>
          <c:extLst>
            <c:ext xmlns:c16="http://schemas.microsoft.com/office/drawing/2014/chart" uri="{C3380CC4-5D6E-409C-BE32-E72D297353CC}">
              <c16:uniqueId val="{00000001-CD11-427A-B358-83DC05F92D63}"/>
            </c:ext>
          </c:extLst>
        </c:ser>
        <c:ser>
          <c:idx val="0"/>
          <c:order val="1"/>
          <c:spPr>
            <a:ln w="19050">
              <a:noFill/>
            </a:ln>
          </c:spPr>
          <c:marker>
            <c:symbol val="none"/>
          </c:marker>
          <c:dPt>
            <c:idx val="9"/>
            <c:bubble3D val="0"/>
            <c:extLst>
              <c:ext xmlns:c16="http://schemas.microsoft.com/office/drawing/2014/chart" uri="{C3380CC4-5D6E-409C-BE32-E72D297353CC}">
                <c16:uniqueId val="{0000000D-CD11-427A-B358-83DC05F92D63}"/>
              </c:ext>
            </c:extLst>
          </c:dPt>
          <c:dPt>
            <c:idx val="16"/>
            <c:bubble3D val="0"/>
            <c:extLst>
              <c:ext xmlns:c16="http://schemas.microsoft.com/office/drawing/2014/chart" uri="{C3380CC4-5D6E-409C-BE32-E72D297353CC}">
                <c16:uniqueId val="{00000012-CD11-427A-B358-83DC05F92D63}"/>
              </c:ext>
            </c:extLst>
          </c:dPt>
          <c:dLbls>
            <c:dLbl>
              <c:idx val="0"/>
              <c:tx>
                <c:rich>
                  <a:bodyPr/>
                  <a:lstStyle/>
                  <a:p>
                    <a:fld id="{2B65FA30-FE0C-40BB-AB51-9DE164822A2A}" type="CELLRANGE">
                      <a:rPr lang="en-US" baseline="0"/>
                      <a:pPr/>
                      <a:t>[CELLRANGE]</a:t>
                    </a:fld>
                    <a:r>
                      <a:rPr lang="en-US" baseline="0"/>
                      <a:t>; </a:t>
                    </a:r>
                    <a:fld id="{1F56EBD9-C0DA-4C72-B6A4-550439477F5F}" type="YVALUE">
                      <a:rPr lang="en-US" baseline="0"/>
                      <a:pPr/>
                      <a:t>[VALOR DE Y]</a:t>
                    </a:fld>
                    <a:endParaRPr lang="en-US" baseline="0"/>
                  </a:p>
                </c:rich>
              </c:tx>
              <c:dLblPos val="t"/>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CD11-427A-B358-83DC05F92D63}"/>
                </c:ext>
              </c:extLst>
            </c:dLbl>
            <c:dLbl>
              <c:idx val="1"/>
              <c:tx>
                <c:rich>
                  <a:bodyPr/>
                  <a:lstStyle/>
                  <a:p>
                    <a:fld id="{431D8E97-004F-44CC-A1C6-7807D59367B1}" type="CELLRANGE">
                      <a:rPr lang="en-US"/>
                      <a:pPr/>
                      <a:t>[CELLRANGE]</a:t>
                    </a:fld>
                    <a:r>
                      <a:rPr lang="en-US" baseline="0"/>
                      <a:t>; </a:t>
                    </a:r>
                    <a:fld id="{1548B6EC-6897-4E80-945A-34B318FA1899}" type="YVALUE">
                      <a:rPr lang="en-US" baseline="0"/>
                      <a:pPr/>
                      <a:t>[VALOR DE Y]</a:t>
                    </a:fld>
                    <a:endParaRPr lang="en-US" baseline="0"/>
                  </a:p>
                </c:rich>
              </c:tx>
              <c:dLblPos val="t"/>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CD11-427A-B358-83DC05F92D63}"/>
                </c:ext>
              </c:extLst>
            </c:dLbl>
            <c:dLbl>
              <c:idx val="2"/>
              <c:tx>
                <c:rich>
                  <a:bodyPr/>
                  <a:lstStyle/>
                  <a:p>
                    <a:fld id="{40F10BCE-3684-48C8-9F5E-A6A0F1ED5E44}" type="CELLRANGE">
                      <a:rPr lang="en-US"/>
                      <a:pPr/>
                      <a:t>[CELLRANGE]</a:t>
                    </a:fld>
                    <a:r>
                      <a:rPr lang="en-US" baseline="0"/>
                      <a:t>; </a:t>
                    </a:r>
                    <a:fld id="{B2BF92E9-50F7-43F6-8EF9-359BEC62E91D}" type="YVALUE">
                      <a:rPr lang="en-US" baseline="0"/>
                      <a:pPr/>
                      <a:t>[VALOR DE Y]</a:t>
                    </a:fld>
                    <a:endParaRPr lang="en-US" baseline="0"/>
                  </a:p>
                </c:rich>
              </c:tx>
              <c:dLblPos val="t"/>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CD11-427A-B358-83DC05F92D63}"/>
                </c:ext>
              </c:extLst>
            </c:dLbl>
            <c:dLbl>
              <c:idx val="3"/>
              <c:tx>
                <c:rich>
                  <a:bodyPr/>
                  <a:lstStyle/>
                  <a:p>
                    <a:fld id="{B9C9899C-397F-4C04-AC11-0A51E74B9620}" type="CELLRANGE">
                      <a:rPr lang="en-US"/>
                      <a:pPr/>
                      <a:t>[CELLRANGE]</a:t>
                    </a:fld>
                    <a:r>
                      <a:rPr lang="en-US" baseline="0"/>
                      <a:t>; </a:t>
                    </a:r>
                    <a:fld id="{A3F441B4-8D6B-4725-80D7-6621E6FD6CBA}" type="YVALUE">
                      <a:rPr lang="en-US" baseline="0"/>
                      <a:pPr/>
                      <a:t>[VALOR DE Y]</a:t>
                    </a:fld>
                    <a:endParaRPr lang="en-US" baseline="0"/>
                  </a:p>
                </c:rich>
              </c:tx>
              <c:dLblPos val="t"/>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CD11-427A-B358-83DC05F92D63}"/>
                </c:ext>
              </c:extLst>
            </c:dLbl>
            <c:dLbl>
              <c:idx val="4"/>
              <c:tx>
                <c:rich>
                  <a:bodyPr/>
                  <a:lstStyle/>
                  <a:p>
                    <a:fld id="{C0D23743-9B78-4B27-A6C8-25F281DECBF6}" type="CELLRANGE">
                      <a:rPr lang="en-US"/>
                      <a:pPr/>
                      <a:t>[CELLRANGE]</a:t>
                    </a:fld>
                    <a:r>
                      <a:rPr lang="en-US" baseline="0"/>
                      <a:t>; </a:t>
                    </a:r>
                    <a:fld id="{FF221F47-BD8F-4FF3-9DA1-81395DA07557}" type="YVALUE">
                      <a:rPr lang="en-US" baseline="0"/>
                      <a:pPr/>
                      <a:t>[VALOR DE Y]</a:t>
                    </a:fld>
                    <a:endParaRPr lang="en-US" baseline="0"/>
                  </a:p>
                </c:rich>
              </c:tx>
              <c:dLblPos val="t"/>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CD11-427A-B358-83DC05F92D63}"/>
                </c:ext>
              </c:extLst>
            </c:dLbl>
            <c:dLbl>
              <c:idx val="5"/>
              <c:tx>
                <c:rich>
                  <a:bodyPr/>
                  <a:lstStyle/>
                  <a:p>
                    <a:fld id="{873678EE-6990-49F5-8F2D-40D71550DB28}" type="CELLRANGE">
                      <a:rPr lang="en-US"/>
                      <a:pPr/>
                      <a:t>[CELLRANGE]</a:t>
                    </a:fld>
                    <a:endParaRPr lang="es-ES_tradnl"/>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CD11-427A-B358-83DC05F92D63}"/>
                </c:ext>
              </c:extLst>
            </c:dLbl>
            <c:dLbl>
              <c:idx val="6"/>
              <c:tx>
                <c:rich>
                  <a:bodyPr/>
                  <a:lstStyle/>
                  <a:p>
                    <a:fld id="{6F1469BA-1C72-44AE-972E-0BBDA8C185AD}" type="CELLRANGE">
                      <a:rPr lang="en-US"/>
                      <a:pPr/>
                      <a:t>[CELLRANGE]</a:t>
                    </a:fld>
                    <a:r>
                      <a:rPr lang="en-US" baseline="0"/>
                      <a:t>; </a:t>
                    </a:r>
                    <a:fld id="{8783C812-7F68-455D-8C58-01982E381C79}" type="YVALUE">
                      <a:rPr lang="en-US" baseline="0"/>
                      <a:pPr/>
                      <a:t>[VALOR DE Y]</a:t>
                    </a:fld>
                    <a:endParaRPr lang="en-US" baseline="0"/>
                  </a:p>
                </c:rich>
              </c:tx>
              <c:dLblPos val="t"/>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CD11-427A-B358-83DC05F92D63}"/>
                </c:ext>
              </c:extLst>
            </c:dLbl>
            <c:dLbl>
              <c:idx val="7"/>
              <c:tx>
                <c:rich>
                  <a:bodyPr/>
                  <a:lstStyle/>
                  <a:p>
                    <a:fld id="{D306A85A-2C28-4043-9C6B-1F2024FAFACE}" type="CELLRANGE">
                      <a:rPr lang="en-US"/>
                      <a:pPr/>
                      <a:t>[CELLRANGE]</a:t>
                    </a:fld>
                    <a:r>
                      <a:rPr lang="en-US" baseline="0"/>
                      <a:t>; </a:t>
                    </a:r>
                    <a:fld id="{3F2A0DAD-D7D1-424D-9D13-5620B82E2A4C}" type="YVALUE">
                      <a:rPr lang="en-US" baseline="0"/>
                      <a:pPr/>
                      <a:t>[VALOR DE Y]</a:t>
                    </a:fld>
                    <a:endParaRPr lang="en-US" baseline="0"/>
                  </a:p>
                </c:rich>
              </c:tx>
              <c:dLblPos val="t"/>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CD11-427A-B358-83DC05F92D63}"/>
                </c:ext>
              </c:extLst>
            </c:dLbl>
            <c:dLbl>
              <c:idx val="8"/>
              <c:tx>
                <c:rich>
                  <a:bodyPr/>
                  <a:lstStyle/>
                  <a:p>
                    <a:fld id="{F5003FB7-C84D-4844-8E21-2761C577F19A}" type="CELLRANGE">
                      <a:rPr lang="en-US" baseline="0"/>
                      <a:pPr/>
                      <a:t>[CELLRANGE]</a:t>
                    </a:fld>
                    <a:r>
                      <a:rPr lang="en-US" baseline="0"/>
                      <a:t>, </a:t>
                    </a:r>
                    <a:fld id="{FEC267E9-466D-425F-9F4B-65A8421F87C8}" type="YVALUE">
                      <a:rPr lang="en-US" baseline="0"/>
                      <a:pPr/>
                      <a:t>[VALOR DE Y]</a:t>
                    </a:fld>
                    <a:endParaRPr lang="en-US" baseline="0"/>
                  </a:p>
                </c:rich>
              </c:tx>
              <c:dLblPos val="t"/>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C-CD11-427A-B358-83DC05F92D63}"/>
                </c:ext>
              </c:extLst>
            </c:dLbl>
            <c:dLbl>
              <c:idx val="9"/>
              <c:tx>
                <c:rich>
                  <a:bodyPr/>
                  <a:lstStyle/>
                  <a:p>
                    <a:fld id="{1D9435F3-7299-44FD-800B-E8BE4B35625E}" type="CELLRANGE">
                      <a:rPr lang="en-US"/>
                      <a:pPr/>
                      <a:t>[CELLRANGE]</a:t>
                    </a:fld>
                    <a:r>
                      <a:rPr lang="en-US" baseline="0"/>
                      <a:t>, </a:t>
                    </a:r>
                    <a:fld id="{818C056D-BB16-442B-A1C1-5699C5411729}" type="YVALUE">
                      <a:rPr lang="en-US" baseline="0"/>
                      <a:pPr/>
                      <a:t>[VALOR DE Y]</a:t>
                    </a:fld>
                    <a:endParaRPr lang="en-US" baseline="0"/>
                  </a:p>
                </c:rich>
              </c:tx>
              <c:dLblPos val="t"/>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D-CD11-427A-B358-83DC05F92D63}"/>
                </c:ext>
              </c:extLst>
            </c:dLbl>
            <c:dLbl>
              <c:idx val="10"/>
              <c:tx>
                <c:rich>
                  <a:bodyPr/>
                  <a:lstStyle/>
                  <a:p>
                    <a:fld id="{5FE8691A-B7FA-4989-98B3-25E44E6EB663}" type="CELLRANGE">
                      <a:rPr lang="en-US"/>
                      <a:pPr/>
                      <a:t>[CELLRANGE]</a:t>
                    </a:fld>
                    <a:r>
                      <a:rPr lang="en-US" baseline="0"/>
                      <a:t>, </a:t>
                    </a:r>
                    <a:fld id="{B1E26A31-5815-42CD-8455-F267EE685D69}" type="YVALUE">
                      <a:rPr lang="en-US" baseline="0"/>
                      <a:pPr/>
                      <a:t>[VALOR DE Y]</a:t>
                    </a:fld>
                    <a:endParaRPr lang="en-US" baseline="0"/>
                  </a:p>
                </c:rich>
              </c:tx>
              <c:dLblPos val="t"/>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CD11-427A-B358-83DC05F92D63}"/>
                </c:ext>
              </c:extLst>
            </c:dLbl>
            <c:dLbl>
              <c:idx val="11"/>
              <c:tx>
                <c:rich>
                  <a:bodyPr/>
                  <a:lstStyle/>
                  <a:p>
                    <a:fld id="{BF081BD5-0A24-427F-83F8-38AD889EBBBB}" type="CELLRANGE">
                      <a:rPr lang="en-US"/>
                      <a:pPr/>
                      <a:t>[CELLRANGE]</a:t>
                    </a:fld>
                    <a:r>
                      <a:rPr lang="en-US" baseline="0"/>
                      <a:t>; </a:t>
                    </a:r>
                    <a:fld id="{84C54574-F8AB-4F84-87A5-E438C0CC6AC8}" type="YVALUE">
                      <a:rPr lang="en-US" baseline="0"/>
                      <a:pPr/>
                      <a:t>[VALOR DE Y]</a:t>
                    </a:fld>
                    <a:endParaRPr lang="en-US" baseline="0"/>
                  </a:p>
                </c:rich>
              </c:tx>
              <c:dLblPos val="t"/>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CD11-427A-B358-83DC05F92D63}"/>
                </c:ext>
              </c:extLst>
            </c:dLbl>
            <c:dLbl>
              <c:idx val="12"/>
              <c:tx>
                <c:rich>
                  <a:bodyPr/>
                  <a:lstStyle/>
                  <a:p>
                    <a:fld id="{FF420DDF-6669-487D-9186-2DA0E33B8042}" type="CELLRANGE">
                      <a:rPr lang="en-US"/>
                      <a:pPr/>
                      <a:t>[CELLRANGE]</a:t>
                    </a:fld>
                    <a:r>
                      <a:rPr lang="en-US" baseline="0"/>
                      <a:t>, </a:t>
                    </a:r>
                    <a:fld id="{608D10E2-A31C-4B63-A0BD-078BD6CAAE28}" type="YVALUE">
                      <a:rPr lang="en-US" baseline="0"/>
                      <a:pPr/>
                      <a:t>[VALOR DE Y]</a:t>
                    </a:fld>
                    <a:endParaRPr lang="en-US" baseline="0"/>
                  </a:p>
                </c:rich>
              </c:tx>
              <c:dLblPos val="t"/>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F-CD11-427A-B358-83DC05F92D63}"/>
                </c:ext>
              </c:extLst>
            </c:dLbl>
            <c:dLbl>
              <c:idx val="13"/>
              <c:tx>
                <c:rich>
                  <a:bodyPr/>
                  <a:lstStyle/>
                  <a:p>
                    <a:fld id="{EF964B13-710B-49EE-A859-012315F02C1D}" type="CELLRANGE">
                      <a:rPr lang="en-US"/>
                      <a:pPr/>
                      <a:t>[CELLRANGE]</a:t>
                    </a:fld>
                    <a:r>
                      <a:rPr lang="en-US" baseline="0"/>
                      <a:t>, </a:t>
                    </a:r>
                    <a:fld id="{8DD5E44F-0C52-417E-A855-584848159366}" type="YVALUE">
                      <a:rPr lang="en-US" baseline="0"/>
                      <a:pPr/>
                      <a:t>[VALOR DE Y]</a:t>
                    </a:fld>
                    <a:endParaRPr lang="en-US" baseline="0"/>
                  </a:p>
                </c:rich>
              </c:tx>
              <c:dLblPos val="t"/>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0-CD11-427A-B358-83DC05F92D63}"/>
                </c:ext>
              </c:extLst>
            </c:dLbl>
            <c:dLbl>
              <c:idx val="14"/>
              <c:tx>
                <c:rich>
                  <a:bodyPr/>
                  <a:lstStyle/>
                  <a:p>
                    <a:fld id="{C41D5194-3AA7-4B2D-BECB-8CD769B5961A}" type="CELLRANGE">
                      <a:rPr lang="en-US"/>
                      <a:pPr/>
                      <a:t>[CELLRANGE]</a:t>
                    </a:fld>
                    <a:r>
                      <a:rPr lang="en-US" baseline="0"/>
                      <a:t>, </a:t>
                    </a:r>
                    <a:fld id="{4909AA39-AD09-44D7-9763-0F341349EFB3}" type="YVALUE">
                      <a:rPr lang="en-US" baseline="0"/>
                      <a:pPr/>
                      <a:t>[VALOR DE Y]</a:t>
                    </a:fld>
                    <a:endParaRPr lang="en-US" baseline="0"/>
                  </a:p>
                </c:rich>
              </c:tx>
              <c:dLblPos val="t"/>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1-CD11-427A-B358-83DC05F92D63}"/>
                </c:ext>
              </c:extLst>
            </c:dLbl>
            <c:dLbl>
              <c:idx val="15"/>
              <c:tx>
                <c:rich>
                  <a:bodyPr/>
                  <a:lstStyle/>
                  <a:p>
                    <a:fld id="{C88C1829-3A14-4B52-97A4-FFA1660E3636}" type="CELLRANGE">
                      <a:rPr lang="en-US"/>
                      <a:pPr/>
                      <a:t>[CELLRANGE]</a:t>
                    </a:fld>
                    <a:r>
                      <a:rPr lang="en-US" baseline="0"/>
                      <a:t>, </a:t>
                    </a:r>
                    <a:fld id="{9A74AC98-80DE-470E-A1C1-FF5AAD93E3D9}" type="YVALUE">
                      <a:rPr lang="en-US" baseline="0"/>
                      <a:pPr/>
                      <a:t>[VALOR DE Y]</a:t>
                    </a:fld>
                    <a:endParaRPr lang="en-US" baseline="0"/>
                  </a:p>
                </c:rich>
              </c:tx>
              <c:dLblPos val="t"/>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CD11-427A-B358-83DC05F92D63}"/>
                </c:ext>
              </c:extLst>
            </c:dLbl>
            <c:dLbl>
              <c:idx val="16"/>
              <c:tx>
                <c:rich>
                  <a:bodyPr/>
                  <a:lstStyle/>
                  <a:p>
                    <a:fld id="{082BC05F-A722-446C-BB96-9D7B31D2BD2A}" type="CELLRANGE">
                      <a:rPr lang="en-US"/>
                      <a:pPr/>
                      <a:t>[CELLRANGE]</a:t>
                    </a:fld>
                    <a:r>
                      <a:rPr lang="en-US" baseline="0"/>
                      <a:t>, </a:t>
                    </a:r>
                    <a:fld id="{1DB8A275-8A66-4ADB-AE3D-5F824140052F}" type="YVALUE">
                      <a:rPr lang="en-US" baseline="0"/>
                      <a:pPr/>
                      <a:t>[VALOR DE Y]</a:t>
                    </a:fld>
                    <a:endParaRPr lang="en-US" baseline="0"/>
                  </a:p>
                </c:rich>
              </c:tx>
              <c:dLblPos val="t"/>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2-CD11-427A-B358-83DC05F92D63}"/>
                </c:ext>
              </c:extLst>
            </c:dLbl>
            <c:dLbl>
              <c:idx val="17"/>
              <c:tx>
                <c:rich>
                  <a:bodyPr/>
                  <a:lstStyle/>
                  <a:p>
                    <a:fld id="{C5B520EB-5F34-4D35-80B0-EAFBFA2F4FB8}" type="CELLRANGE">
                      <a:rPr lang="en-US"/>
                      <a:pPr/>
                      <a:t>[CELLRANGE]</a:t>
                    </a:fld>
                    <a:r>
                      <a:rPr lang="en-US" baseline="0"/>
                      <a:t>, </a:t>
                    </a:r>
                    <a:fld id="{AD7B5183-6A1F-4C0F-AA11-D6A2A8643FE7}" type="YVALUE">
                      <a:rPr lang="en-US" baseline="0"/>
                      <a:pPr/>
                      <a:t>[VALOR DE Y]</a:t>
                    </a:fld>
                    <a:endParaRPr lang="en-US" baseline="0"/>
                  </a:p>
                </c:rich>
              </c:tx>
              <c:dLblPos val="t"/>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3-CD11-427A-B358-83DC05F92D63}"/>
                </c:ext>
              </c:extLst>
            </c:dLbl>
            <c:dLbl>
              <c:idx val="18"/>
              <c:tx>
                <c:rich>
                  <a:bodyPr/>
                  <a:lstStyle/>
                  <a:p>
                    <a:fld id="{8B75AF89-468E-4224-B4F1-5CA7F9DA6162}" type="CELLRANGE">
                      <a:rPr lang="en-US"/>
                      <a:pPr/>
                      <a:t>[CELLRANGE]</a:t>
                    </a:fld>
                    <a:r>
                      <a:rPr lang="en-US" baseline="0"/>
                      <a:t>, </a:t>
                    </a:r>
                    <a:fld id="{8B427D12-64AE-4E35-A991-490EB697D55D}" type="YVALUE">
                      <a:rPr lang="en-US" baseline="0"/>
                      <a:pPr/>
                      <a:t>[VALOR DE Y]</a:t>
                    </a:fld>
                    <a:endParaRPr lang="en-US" baseline="0"/>
                  </a:p>
                </c:rich>
              </c:tx>
              <c:dLblPos val="t"/>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4-CD11-427A-B358-83DC05F92D63}"/>
                </c:ext>
              </c:extLst>
            </c:dLbl>
            <c:dLbl>
              <c:idx val="19"/>
              <c:tx>
                <c:rich>
                  <a:bodyPr/>
                  <a:lstStyle/>
                  <a:p>
                    <a:fld id="{3031D066-5C5A-4EA1-B9F5-FA34323DAE6C}" type="CELLRANGE">
                      <a:rPr lang="en-US"/>
                      <a:pPr/>
                      <a:t>[CELLRANGE]</a:t>
                    </a:fld>
                    <a:r>
                      <a:rPr lang="en-US" baseline="0"/>
                      <a:t>; </a:t>
                    </a:r>
                    <a:fld id="{52C87FD8-CDDB-4CA6-81DB-7C36308108E6}" type="YVALUE">
                      <a:rPr lang="en-US" baseline="0"/>
                      <a:pPr/>
                      <a:t>[VALOR DE Y]</a:t>
                    </a:fld>
                    <a:endParaRPr lang="en-US" baseline="0"/>
                  </a:p>
                </c:rich>
              </c:tx>
              <c:dLblPos val="t"/>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CD11-427A-B358-83DC05F92D63}"/>
                </c:ext>
              </c:extLst>
            </c:dLbl>
            <c:dLbl>
              <c:idx val="20"/>
              <c:tx>
                <c:rich>
                  <a:bodyPr/>
                  <a:lstStyle/>
                  <a:p>
                    <a:fld id="{C03F73A2-9186-4C9E-8CED-0E2A28094A39}" type="CELLRANGE">
                      <a:rPr lang="en-US"/>
                      <a:pPr/>
                      <a:t>[CELLRANGE]</a:t>
                    </a:fld>
                    <a:r>
                      <a:rPr lang="en-US" baseline="0"/>
                      <a:t>, </a:t>
                    </a:r>
                    <a:fld id="{191ED194-E83C-461B-A34B-E708242DDC00}" type="YVALUE">
                      <a:rPr lang="en-US" baseline="0"/>
                      <a:pPr/>
                      <a:t>[VALOR DE Y]</a:t>
                    </a:fld>
                    <a:endParaRPr lang="en-US" baseline="0"/>
                  </a:p>
                </c:rich>
              </c:tx>
              <c:dLblPos val="t"/>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6-CD11-427A-B358-83DC05F92D63}"/>
                </c:ext>
              </c:extLst>
            </c:dLbl>
            <c:spPr>
              <a:noFill/>
              <a:ln>
                <a:noFill/>
              </a:ln>
              <a:effectLst/>
            </c:spPr>
            <c:txPr>
              <a:bodyPr wrap="square" lIns="38100" tIns="19050" rIns="38100" bIns="19050" anchor="ctr">
                <a:spAutoFit/>
              </a:bodyPr>
              <a:lstStyle/>
              <a:p>
                <a:pPr>
                  <a:defRPr sz="850" b="0">
                    <a:solidFill>
                      <a:schemeClr val="bg1"/>
                    </a:solidFill>
                  </a:defRPr>
                </a:pPr>
                <a:endParaRPr lang="es-ES_tradnl"/>
              </a:p>
            </c:txPr>
            <c:dLblPos val="t"/>
            <c:showLegendKey val="0"/>
            <c:showVal val="1"/>
            <c:showCatName val="0"/>
            <c:showSerName val="0"/>
            <c:showPercent val="0"/>
            <c:showBubbleSize val="0"/>
            <c:showLeaderLines val="0"/>
            <c:extLst>
              <c:ext xmlns:c15="http://schemas.microsoft.com/office/drawing/2012/chart" uri="{CE6537A1-D6FC-4f65-9D91-7224C49458BB}">
                <c15:showDataLabelsRange val="1"/>
                <c15:showLeaderLines val="0"/>
              </c:ext>
            </c:extLst>
          </c:dLbls>
          <c:xVal>
            <c:numRef>
              <c:f>'2Cross'!$B$113:$B$133</c:f>
              <c:numCache>
                <c:formatCode>0.000</c:formatCode>
                <c:ptCount val="21"/>
                <c:pt idx="0">
                  <c:v>7.9026628754337205</c:v>
                </c:pt>
                <c:pt idx="1">
                  <c:v>12.848019466449855</c:v>
                </c:pt>
                <c:pt idx="2">
                  <c:v>14.44268867893739</c:v>
                </c:pt>
                <c:pt idx="3">
                  <c:v>19.228975648457421</c:v>
                </c:pt>
                <c:pt idx="4">
                  <c:v>8.6754276780268444</c:v>
                </c:pt>
                <c:pt idx="5">
                  <c:v>9.9703561318237792</c:v>
                </c:pt>
                <c:pt idx="6">
                  <c:v>15.170045390908987</c:v>
                </c:pt>
                <c:pt idx="7">
                  <c:v>14.00068594969372</c:v>
                </c:pt>
                <c:pt idx="8">
                  <c:v>20.297213303553796</c:v>
                </c:pt>
                <c:pt idx="9">
                  <c:v>15.605770089485727</c:v>
                </c:pt>
                <c:pt idx="10">
                  <c:v>13.931916457483526</c:v>
                </c:pt>
                <c:pt idx="11">
                  <c:v>20.218944729105125</c:v>
                </c:pt>
                <c:pt idx="12">
                  <c:v>14.472585388708239</c:v>
                </c:pt>
                <c:pt idx="13">
                  <c:v>5.114312040750236</c:v>
                </c:pt>
                <c:pt idx="14">
                  <c:v>9.8157417281948369</c:v>
                </c:pt>
                <c:pt idx="15">
                  <c:v>7.3353862232176814</c:v>
                </c:pt>
                <c:pt idx="16">
                  <c:v>17.90065301033205</c:v>
                </c:pt>
                <c:pt idx="17">
                  <c:v>21.568472135823413</c:v>
                </c:pt>
                <c:pt idx="18">
                  <c:v>12.815526995511552</c:v>
                </c:pt>
                <c:pt idx="19">
                  <c:v>13.148449627181154</c:v>
                </c:pt>
                <c:pt idx="20">
                  <c:v>17.99921793306866</c:v>
                </c:pt>
              </c:numCache>
            </c:numRef>
          </c:xVal>
          <c:yVal>
            <c:numRef>
              <c:f>'2Cross'!$C$113:$C$133</c:f>
              <c:numCache>
                <c:formatCode>0.000</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yVal>
          <c:smooth val="0"/>
          <c:extLst>
            <c:ext xmlns:c15="http://schemas.microsoft.com/office/drawing/2012/chart" uri="{02D57815-91ED-43cb-92C2-25804820EDAC}">
              <c15:datalabelsRange>
                <c15:f>'2Cross'!$A$113:$A$133</c15:f>
                <c15:dlblRangeCache>
                  <c:ptCount val="21"/>
                  <c:pt idx="0">
                    <c:v>CY</c:v>
                  </c:pt>
                  <c:pt idx="1">
                    <c:v>MT</c:v>
                  </c:pt>
                  <c:pt idx="2">
                    <c:v>ES</c:v>
                  </c:pt>
                  <c:pt idx="3">
                    <c:v>IT</c:v>
                  </c:pt>
                  <c:pt idx="4">
                    <c:v>EL</c:v>
                  </c:pt>
                  <c:pt idx="5">
                    <c:v>HU</c:v>
                  </c:pt>
                  <c:pt idx="6">
                    <c:v>FR</c:v>
                  </c:pt>
                  <c:pt idx="7">
                    <c:v>EE</c:v>
                  </c:pt>
                  <c:pt idx="8">
                    <c:v>FI</c:v>
                  </c:pt>
                  <c:pt idx="9">
                    <c:v>LT</c:v>
                  </c:pt>
                  <c:pt idx="10">
                    <c:v>PT</c:v>
                  </c:pt>
                  <c:pt idx="11">
                    <c:v>IE</c:v>
                  </c:pt>
                  <c:pt idx="12">
                    <c:v>NL</c:v>
                  </c:pt>
                  <c:pt idx="13">
                    <c:v>HR</c:v>
                  </c:pt>
                  <c:pt idx="14">
                    <c:v>SI</c:v>
                  </c:pt>
                  <c:pt idx="15">
                    <c:v>SK</c:v>
                  </c:pt>
                  <c:pt idx="16">
                    <c:v>DE</c:v>
                  </c:pt>
                  <c:pt idx="17">
                    <c:v>BE</c:v>
                  </c:pt>
                  <c:pt idx="18">
                    <c:v>AT</c:v>
                  </c:pt>
                  <c:pt idx="19">
                    <c:v>LV</c:v>
                  </c:pt>
                  <c:pt idx="20">
                    <c:v>LU</c:v>
                  </c:pt>
                </c15:dlblRangeCache>
              </c15:datalabelsRange>
            </c:ext>
            <c:ext xmlns:c16="http://schemas.microsoft.com/office/drawing/2014/chart" uri="{C3380CC4-5D6E-409C-BE32-E72D297353CC}">
              <c16:uniqueId val="{00000017-CD11-427A-B358-83DC05F92D63}"/>
            </c:ext>
          </c:extLst>
        </c:ser>
        <c:dLbls>
          <c:dLblPos val="t"/>
          <c:showLegendKey val="0"/>
          <c:showVal val="1"/>
          <c:showCatName val="0"/>
          <c:showSerName val="0"/>
          <c:showPercent val="0"/>
          <c:showBubbleSize val="0"/>
        </c:dLbls>
        <c:axId val="213695663"/>
        <c:axId val="300820575"/>
      </c:scatterChart>
      <c:valAx>
        <c:axId val="213695663"/>
        <c:scaling>
          <c:orientation val="minMax"/>
          <c:max val="2.5"/>
          <c:min val="1.25"/>
        </c:scaling>
        <c:delete val="0"/>
        <c:axPos val="b"/>
        <c:majorGridlines>
          <c:spPr>
            <a:ln>
              <a:solidFill>
                <a:schemeClr val="bg2">
                  <a:lumMod val="90000"/>
                </a:schemeClr>
              </a:solidFill>
            </a:ln>
          </c:spPr>
        </c:majorGridlines>
        <c:title>
          <c:tx>
            <c:rich>
              <a:bodyPr/>
              <a:lstStyle/>
              <a:p>
                <a:pPr>
                  <a:defRPr/>
                </a:pPr>
                <a:r>
                  <a:rPr lang="es-ES_tradnl"/>
                  <a:t>ERTI</a:t>
                </a:r>
                <a:r>
                  <a:rPr lang="es-ES_tradnl" baseline="0"/>
                  <a:t> (OECD estimation)</a:t>
                </a:r>
                <a:endParaRPr lang="es-ES_tradnl"/>
              </a:p>
            </c:rich>
          </c:tx>
          <c:overlay val="0"/>
        </c:title>
        <c:numFmt formatCode="#,##0.00" sourceLinked="0"/>
        <c:majorTickMark val="out"/>
        <c:minorTickMark val="none"/>
        <c:tickLblPos val="nextTo"/>
        <c:spPr>
          <a:ln>
            <a:solidFill>
              <a:schemeClr val="tx1"/>
            </a:solidFill>
          </a:ln>
        </c:spPr>
        <c:crossAx val="300820575"/>
        <c:crosses val="autoZero"/>
        <c:crossBetween val="midCat"/>
        <c:majorUnit val="0.25"/>
      </c:valAx>
      <c:valAx>
        <c:axId val="300820575"/>
        <c:scaling>
          <c:orientation val="minMax"/>
          <c:max val="2.5"/>
          <c:min val="1.25"/>
        </c:scaling>
        <c:delete val="0"/>
        <c:axPos val="l"/>
        <c:majorGridlines>
          <c:spPr>
            <a:ln>
              <a:solidFill>
                <a:schemeClr val="bg2">
                  <a:lumMod val="90000"/>
                </a:schemeClr>
              </a:solidFill>
            </a:ln>
          </c:spPr>
        </c:majorGridlines>
        <c:title>
          <c:tx>
            <c:rich>
              <a:bodyPr/>
              <a:lstStyle/>
              <a:p>
                <a:pPr>
                  <a:defRPr>
                    <a:solidFill>
                      <a:sysClr val="windowText" lastClr="000000"/>
                    </a:solidFill>
                  </a:defRPr>
                </a:pPr>
                <a:r>
                  <a:rPr lang="es-ES_tradnl">
                    <a:solidFill>
                      <a:sysClr val="windowText" lastClr="000000"/>
                    </a:solidFill>
                  </a:rPr>
                  <a:t>ERTI</a:t>
                </a:r>
                <a:r>
                  <a:rPr lang="es-ES_tradnl" baseline="0">
                    <a:solidFill>
                      <a:sysClr val="windowText" lastClr="000000"/>
                    </a:solidFill>
                  </a:rPr>
                  <a:t> (own estimation)</a:t>
                </a:r>
                <a:endParaRPr lang="es-ES_tradnl">
                  <a:solidFill>
                    <a:sysClr val="windowText" lastClr="000000"/>
                  </a:solidFill>
                </a:endParaRPr>
              </a:p>
            </c:rich>
          </c:tx>
          <c:overlay val="0"/>
        </c:title>
        <c:numFmt formatCode="#,##0.00" sourceLinked="0"/>
        <c:majorTickMark val="out"/>
        <c:minorTickMark val="none"/>
        <c:tickLblPos val="nextTo"/>
        <c:spPr>
          <a:ln>
            <a:solidFill>
              <a:schemeClr val="tx1"/>
            </a:solidFill>
          </a:ln>
        </c:spPr>
        <c:crossAx val="213695663"/>
        <c:crosses val="autoZero"/>
        <c:crossBetween val="midCat"/>
        <c:majorUnit val="0.25"/>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ln>
      <a:noFill/>
    </a:ln>
  </c:spPr>
  <c:txPr>
    <a:bodyPr/>
    <a:lstStyle/>
    <a:p>
      <a:pPr>
        <a:defRPr b="0">
          <a:latin typeface="Times New Roman" panose="02020603050405020304" pitchFamily="18" charset="0"/>
          <a:cs typeface="Times New Roman" panose="02020603050405020304" pitchFamily="18" charset="0"/>
        </a:defRPr>
      </a:pPr>
      <a:endParaRPr lang="es-ES_tradnl"/>
    </a:p>
  </c:txPr>
  <c:printSettings>
    <c:headerFooter/>
    <c:pageMargins b="0.75" l="0.25" r="0.25" t="0.75" header="0.3" footer="0.3"/>
    <c:pageSetup paperSize="9" orientation="landscape"/>
  </c:printSettings>
</c:chartSpace>
</file>

<file path=xl/charts/chart9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457409308717575"/>
          <c:y val="4.6087571003560986E-2"/>
          <c:w val="0.82558175067451101"/>
          <c:h val="0.64272676146640684"/>
        </c:manualLayout>
      </c:layout>
      <c:lineChart>
        <c:grouping val="standard"/>
        <c:varyColors val="0"/>
        <c:ser>
          <c:idx val="3"/>
          <c:order val="0"/>
          <c:tx>
            <c:strRef>
              <c:f>'2Cross'!$C$148</c:f>
              <c:strCache>
                <c:ptCount val="1"/>
                <c:pt idx="0">
                  <c:v>Average effective tax rate in 2023</c:v>
                </c:pt>
              </c:strCache>
            </c:strRef>
          </c:tx>
          <c:spPr>
            <a:ln w="25400" cap="rnd">
              <a:noFill/>
              <a:round/>
            </a:ln>
            <a:effectLst/>
          </c:spPr>
          <c:marker>
            <c:symbol val="circle"/>
            <c:size val="7"/>
            <c:spPr>
              <a:solidFill>
                <a:schemeClr val="tx1"/>
              </a:solidFill>
              <a:ln w="9525">
                <a:solidFill>
                  <a:schemeClr val="tx1"/>
                </a:solidFill>
              </a:ln>
              <a:effectLst/>
            </c:spPr>
          </c:marker>
          <c:cat>
            <c:strRef>
              <c:extLst>
                <c:ext xmlns:c15="http://schemas.microsoft.com/office/drawing/2012/chart" uri="{02D57815-91ED-43cb-92C2-25804820EDAC}">
                  <c15:fullRef>
                    <c15:sqref>'2Cross'!$A$149:$A$177</c15:sqref>
                  </c15:fullRef>
                </c:ext>
              </c:extLst>
              <c:f>'2Cross'!$A$157:$A$177</c:f>
              <c:strCache>
                <c:ptCount val="21"/>
                <c:pt idx="0">
                  <c:v>BE</c:v>
                </c:pt>
                <c:pt idx="1">
                  <c:v>EE</c:v>
                </c:pt>
                <c:pt idx="2">
                  <c:v>CY</c:v>
                </c:pt>
                <c:pt idx="3">
                  <c:v>ES</c:v>
                </c:pt>
                <c:pt idx="4">
                  <c:v>IE</c:v>
                </c:pt>
                <c:pt idx="5">
                  <c:v>PT</c:v>
                </c:pt>
                <c:pt idx="6">
                  <c:v>MT</c:v>
                </c:pt>
                <c:pt idx="7">
                  <c:v>IT</c:v>
                </c:pt>
                <c:pt idx="8">
                  <c:v>NL</c:v>
                </c:pt>
                <c:pt idx="9">
                  <c:v>LT</c:v>
                </c:pt>
                <c:pt idx="10">
                  <c:v>FI</c:v>
                </c:pt>
                <c:pt idx="11">
                  <c:v>HR</c:v>
                </c:pt>
                <c:pt idx="12">
                  <c:v>EL</c:v>
                </c:pt>
                <c:pt idx="13">
                  <c:v>FR</c:v>
                </c:pt>
                <c:pt idx="14">
                  <c:v>LU</c:v>
                </c:pt>
                <c:pt idx="15">
                  <c:v>SI</c:v>
                </c:pt>
                <c:pt idx="16">
                  <c:v>HU</c:v>
                </c:pt>
                <c:pt idx="17">
                  <c:v>AT</c:v>
                </c:pt>
                <c:pt idx="18">
                  <c:v>SK</c:v>
                </c:pt>
                <c:pt idx="19">
                  <c:v>LV</c:v>
                </c:pt>
                <c:pt idx="20">
                  <c:v>DE</c:v>
                </c:pt>
              </c:strCache>
            </c:strRef>
          </c:cat>
          <c:val>
            <c:numRef>
              <c:extLst>
                <c:ext xmlns:c15="http://schemas.microsoft.com/office/drawing/2012/chart" uri="{02D57815-91ED-43cb-92C2-25804820EDAC}">
                  <c15:fullRef>
                    <c15:sqref>'2Cross'!$C$149:$C$177</c15:sqref>
                  </c15:fullRef>
                </c:ext>
              </c:extLst>
              <c:f>'2Cross'!$C$157:$C$177</c:f>
              <c:numCache>
                <c:formatCode>0.000</c:formatCode>
                <c:ptCount val="21"/>
                <c:pt idx="0">
                  <c:v>1.3228956506501639</c:v>
                </c:pt>
                <c:pt idx="1">
                  <c:v>1.0814484756745522</c:v>
                </c:pt>
                <c:pt idx="2">
                  <c:v>0.97591142656488916</c:v>
                </c:pt>
                <c:pt idx="3">
                  <c:v>0.94176905341306139</c:v>
                </c:pt>
                <c:pt idx="4">
                  <c:v>0.63927350953640527</c:v>
                </c:pt>
                <c:pt idx="5">
                  <c:v>0.53989918683523896</c:v>
                </c:pt>
                <c:pt idx="6">
                  <c:v>0.47468044567409784</c:v>
                </c:pt>
                <c:pt idx="7">
                  <c:v>0.31523834647935089</c:v>
                </c:pt>
                <c:pt idx="8">
                  <c:v>0.29038104880364202</c:v>
                </c:pt>
                <c:pt idx="9">
                  <c:v>0.19884042208712494</c:v>
                </c:pt>
                <c:pt idx="10">
                  <c:v>0.12513393260969607</c:v>
                </c:pt>
                <c:pt idx="11">
                  <c:v>1.8039298228226031E-2</c:v>
                </c:pt>
                <c:pt idx="12">
                  <c:v>-0.14503569832510799</c:v>
                </c:pt>
                <c:pt idx="13">
                  <c:v>-0.15150475055579982</c:v>
                </c:pt>
                <c:pt idx="14">
                  <c:v>-0.17613072071786107</c:v>
                </c:pt>
                <c:pt idx="15">
                  <c:v>-0.20094048845940549</c:v>
                </c:pt>
                <c:pt idx="16">
                  <c:v>-0.34008451319621003</c:v>
                </c:pt>
                <c:pt idx="17">
                  <c:v>-0.57876019985385874</c:v>
                </c:pt>
                <c:pt idx="18">
                  <c:v>-0.6582040803616529</c:v>
                </c:pt>
                <c:pt idx="19">
                  <c:v>-0.86443414123779938</c:v>
                </c:pt>
                <c:pt idx="20">
                  <c:v>-0.95792482079231078</c:v>
                </c:pt>
              </c:numCache>
            </c:numRef>
          </c:val>
          <c:smooth val="0"/>
          <c:extLst xmlns:c15="http://schemas.microsoft.com/office/drawing/2012/chart">
            <c:ext xmlns:c16="http://schemas.microsoft.com/office/drawing/2014/chart" uri="{C3380CC4-5D6E-409C-BE32-E72D297353CC}">
              <c16:uniqueId val="{00000000-39C7-4C59-A5FF-8C27B00E4241}"/>
            </c:ext>
          </c:extLst>
        </c:ser>
        <c:ser>
          <c:idx val="4"/>
          <c:order val="1"/>
          <c:tx>
            <c:strRef>
              <c:f>'2Cross'!$D$148</c:f>
              <c:strCache>
                <c:ptCount val="1"/>
                <c:pt idx="0">
                  <c:v>With unchanged tax legislation since 2019</c:v>
                </c:pt>
              </c:strCache>
            </c:strRef>
          </c:tx>
          <c:spPr>
            <a:ln w="25400" cap="rnd">
              <a:noFill/>
              <a:round/>
            </a:ln>
            <a:effectLst/>
          </c:spPr>
          <c:marker>
            <c:symbol val="circle"/>
            <c:size val="6"/>
            <c:spPr>
              <a:noFill/>
              <a:ln w="25400">
                <a:solidFill>
                  <a:srgbClr val="C00000"/>
                </a:solidFill>
              </a:ln>
              <a:effectLst/>
            </c:spPr>
          </c:marker>
          <c:cat>
            <c:strRef>
              <c:extLst>
                <c:ext xmlns:c15="http://schemas.microsoft.com/office/drawing/2012/chart" uri="{02D57815-91ED-43cb-92C2-25804820EDAC}">
                  <c15:fullRef>
                    <c15:sqref>'2Cross'!$A$149:$A$177</c15:sqref>
                  </c15:fullRef>
                </c:ext>
              </c:extLst>
              <c:f>'2Cross'!$A$157:$A$177</c:f>
              <c:strCache>
                <c:ptCount val="21"/>
                <c:pt idx="0">
                  <c:v>BE</c:v>
                </c:pt>
                <c:pt idx="1">
                  <c:v>EE</c:v>
                </c:pt>
                <c:pt idx="2">
                  <c:v>CY</c:v>
                </c:pt>
                <c:pt idx="3">
                  <c:v>ES</c:v>
                </c:pt>
                <c:pt idx="4">
                  <c:v>IE</c:v>
                </c:pt>
                <c:pt idx="5">
                  <c:v>PT</c:v>
                </c:pt>
                <c:pt idx="6">
                  <c:v>MT</c:v>
                </c:pt>
                <c:pt idx="7">
                  <c:v>IT</c:v>
                </c:pt>
                <c:pt idx="8">
                  <c:v>NL</c:v>
                </c:pt>
                <c:pt idx="9">
                  <c:v>LT</c:v>
                </c:pt>
                <c:pt idx="10">
                  <c:v>FI</c:v>
                </c:pt>
                <c:pt idx="11">
                  <c:v>HR</c:v>
                </c:pt>
                <c:pt idx="12">
                  <c:v>EL</c:v>
                </c:pt>
                <c:pt idx="13">
                  <c:v>FR</c:v>
                </c:pt>
                <c:pt idx="14">
                  <c:v>LU</c:v>
                </c:pt>
                <c:pt idx="15">
                  <c:v>SI</c:v>
                </c:pt>
                <c:pt idx="16">
                  <c:v>HU</c:v>
                </c:pt>
                <c:pt idx="17">
                  <c:v>AT</c:v>
                </c:pt>
                <c:pt idx="18">
                  <c:v>SK</c:v>
                </c:pt>
                <c:pt idx="19">
                  <c:v>LV</c:v>
                </c:pt>
                <c:pt idx="20">
                  <c:v>DE</c:v>
                </c:pt>
              </c:strCache>
            </c:strRef>
          </c:cat>
          <c:val>
            <c:numRef>
              <c:extLst>
                <c:ext xmlns:c15="http://schemas.microsoft.com/office/drawing/2012/chart" uri="{02D57815-91ED-43cb-92C2-25804820EDAC}">
                  <c15:fullRef>
                    <c15:sqref>'2Cross'!$D$149:$D$177</c15:sqref>
                  </c15:fullRef>
                </c:ext>
              </c:extLst>
              <c:f>'2Cross'!$D$157:$D$177</c:f>
              <c:numCache>
                <c:formatCode>0.000</c:formatCode>
                <c:ptCount val="21"/>
                <c:pt idx="0">
                  <c:v>3.7140521274840239</c:v>
                </c:pt>
                <c:pt idx="1">
                  <c:v>2.4789723915909363</c:v>
                </c:pt>
                <c:pt idx="2">
                  <c:v>1.2008283678391223</c:v>
                </c:pt>
                <c:pt idx="3">
                  <c:v>1.4177137671180624</c:v>
                </c:pt>
                <c:pt idx="4">
                  <c:v>2.3864637236229918</c:v>
                </c:pt>
                <c:pt idx="5">
                  <c:v>2.1628748940688567</c:v>
                </c:pt>
                <c:pt idx="6">
                  <c:v>0.87872312932955232</c:v>
                </c:pt>
                <c:pt idx="7">
                  <c:v>0.95345115615984355</c:v>
                </c:pt>
                <c:pt idx="8">
                  <c:v>2.1331295324350243</c:v>
                </c:pt>
                <c:pt idx="9">
                  <c:v>1.6997848531794997</c:v>
                </c:pt>
                <c:pt idx="10">
                  <c:v>1.5849080058536202</c:v>
                </c:pt>
                <c:pt idx="11">
                  <c:v>2.0131952348715805</c:v>
                </c:pt>
                <c:pt idx="12">
                  <c:v>0.75148242078059546</c:v>
                </c:pt>
                <c:pt idx="13">
                  <c:v>1.0160416327359449</c:v>
                </c:pt>
                <c:pt idx="14">
                  <c:v>2.5343419600617025</c:v>
                </c:pt>
                <c:pt idx="15">
                  <c:v>2.0160485336865204</c:v>
                </c:pt>
                <c:pt idx="16">
                  <c:v>0.72800397179243248</c:v>
                </c:pt>
                <c:pt idx="17">
                  <c:v>1.9052917126923905</c:v>
                </c:pt>
                <c:pt idx="18">
                  <c:v>1.7039014989735515</c:v>
                </c:pt>
                <c:pt idx="19">
                  <c:v>1.7677769772315486</c:v>
                </c:pt>
                <c:pt idx="20">
                  <c:v>1.4101203367673776</c:v>
                </c:pt>
              </c:numCache>
            </c:numRef>
          </c:val>
          <c:smooth val="0"/>
          <c:extLst>
            <c:ext xmlns:c16="http://schemas.microsoft.com/office/drawing/2014/chart" uri="{C3380CC4-5D6E-409C-BE32-E72D297353CC}">
              <c16:uniqueId val="{00000001-39C7-4C59-A5FF-8C27B00E4241}"/>
            </c:ext>
          </c:extLst>
        </c:ser>
        <c:ser>
          <c:idx val="5"/>
          <c:order val="2"/>
          <c:tx>
            <c:strRef>
              <c:f>'2Cross'!$E$148</c:f>
              <c:strCache>
                <c:ptCount val="1"/>
                <c:pt idx="0">
                  <c:v>With full indexation on tax base growth</c:v>
                </c:pt>
              </c:strCache>
            </c:strRef>
          </c:tx>
          <c:spPr>
            <a:ln w="25400" cap="rnd">
              <a:noFill/>
              <a:round/>
            </a:ln>
            <a:effectLst/>
          </c:spPr>
          <c:marker>
            <c:symbol val="square"/>
            <c:size val="5"/>
            <c:spPr>
              <a:noFill/>
              <a:ln w="25400">
                <a:solidFill>
                  <a:schemeClr val="accent6">
                    <a:lumMod val="75000"/>
                  </a:schemeClr>
                </a:solidFill>
              </a:ln>
              <a:effectLst/>
            </c:spPr>
          </c:marker>
          <c:cat>
            <c:strRef>
              <c:extLst>
                <c:ext xmlns:c15="http://schemas.microsoft.com/office/drawing/2012/chart" uri="{02D57815-91ED-43cb-92C2-25804820EDAC}">
                  <c15:fullRef>
                    <c15:sqref>'2Cross'!$A$149:$A$177</c15:sqref>
                  </c15:fullRef>
                </c:ext>
              </c:extLst>
              <c:f>'2Cross'!$A$157:$A$177</c:f>
              <c:strCache>
                <c:ptCount val="21"/>
                <c:pt idx="0">
                  <c:v>BE</c:v>
                </c:pt>
                <c:pt idx="1">
                  <c:v>EE</c:v>
                </c:pt>
                <c:pt idx="2">
                  <c:v>CY</c:v>
                </c:pt>
                <c:pt idx="3">
                  <c:v>ES</c:v>
                </c:pt>
                <c:pt idx="4">
                  <c:v>IE</c:v>
                </c:pt>
                <c:pt idx="5">
                  <c:v>PT</c:v>
                </c:pt>
                <c:pt idx="6">
                  <c:v>MT</c:v>
                </c:pt>
                <c:pt idx="7">
                  <c:v>IT</c:v>
                </c:pt>
                <c:pt idx="8">
                  <c:v>NL</c:v>
                </c:pt>
                <c:pt idx="9">
                  <c:v>LT</c:v>
                </c:pt>
                <c:pt idx="10">
                  <c:v>FI</c:v>
                </c:pt>
                <c:pt idx="11">
                  <c:v>HR</c:v>
                </c:pt>
                <c:pt idx="12">
                  <c:v>EL</c:v>
                </c:pt>
                <c:pt idx="13">
                  <c:v>FR</c:v>
                </c:pt>
                <c:pt idx="14">
                  <c:v>LU</c:v>
                </c:pt>
                <c:pt idx="15">
                  <c:v>SI</c:v>
                </c:pt>
                <c:pt idx="16">
                  <c:v>HU</c:v>
                </c:pt>
                <c:pt idx="17">
                  <c:v>AT</c:v>
                </c:pt>
                <c:pt idx="18">
                  <c:v>SK</c:v>
                </c:pt>
                <c:pt idx="19">
                  <c:v>LV</c:v>
                </c:pt>
                <c:pt idx="20">
                  <c:v>DE</c:v>
                </c:pt>
              </c:strCache>
            </c:strRef>
          </c:cat>
          <c:val>
            <c:numRef>
              <c:extLst>
                <c:ext xmlns:c15="http://schemas.microsoft.com/office/drawing/2012/chart" uri="{02D57815-91ED-43cb-92C2-25804820EDAC}">
                  <c15:fullRef>
                    <c15:sqref>'2Cross'!$E$149:$E$177</c15:sqref>
                  </c15:fullRef>
                </c:ext>
              </c:extLst>
              <c:f>'2Cross'!$E$157:$E$177</c:f>
              <c:numCache>
                <c:formatCode>0.000</c:formatCode>
                <c:ptCount val="21"/>
                <c:pt idx="0">
                  <c:v>6.5685865601277982E-2</c:v>
                </c:pt>
                <c:pt idx="1">
                  <c:v>1.6501014652392954E-2</c:v>
                </c:pt>
                <c:pt idx="2">
                  <c:v>3.2646365380909259E-2</c:v>
                </c:pt>
                <c:pt idx="3">
                  <c:v>-7.5158706609423476E-2</c:v>
                </c:pt>
                <c:pt idx="4">
                  <c:v>0.26599958079306774</c:v>
                </c:pt>
                <c:pt idx="5">
                  <c:v>0.17297258747399447</c:v>
                </c:pt>
                <c:pt idx="6">
                  <c:v>-0.10646562713042051</c:v>
                </c:pt>
                <c:pt idx="7">
                  <c:v>-0.19041732443820081</c:v>
                </c:pt>
                <c:pt idx="8">
                  <c:v>-2.0021144134810598E-2</c:v>
                </c:pt>
                <c:pt idx="9">
                  <c:v>6.7772105434167784E-2</c:v>
                </c:pt>
                <c:pt idx="10">
                  <c:v>-7.5124571359477699E-2</c:v>
                </c:pt>
                <c:pt idx="11">
                  <c:v>0.32135358527761149</c:v>
                </c:pt>
                <c:pt idx="12">
                  <c:v>9.9328253495572838E-2</c:v>
                </c:pt>
                <c:pt idx="13">
                  <c:v>8.7741421038042944E-2</c:v>
                </c:pt>
                <c:pt idx="14">
                  <c:v>-7.47671789181652E-2</c:v>
                </c:pt>
                <c:pt idx="15">
                  <c:v>7.5016958145921464E-2</c:v>
                </c:pt>
                <c:pt idx="16">
                  <c:v>-0.60238748933446473</c:v>
                </c:pt>
                <c:pt idx="17">
                  <c:v>0.23038091007361672</c:v>
                </c:pt>
                <c:pt idx="18">
                  <c:v>0.21787495387078248</c:v>
                </c:pt>
                <c:pt idx="19">
                  <c:v>-9.8131953928319859E-3</c:v>
                </c:pt>
                <c:pt idx="20">
                  <c:v>-6.6185989480125329E-2</c:v>
                </c:pt>
              </c:numCache>
            </c:numRef>
          </c:val>
          <c:smooth val="0"/>
          <c:extLst>
            <c:ext xmlns:c16="http://schemas.microsoft.com/office/drawing/2014/chart" uri="{C3380CC4-5D6E-409C-BE32-E72D297353CC}">
              <c16:uniqueId val="{00000002-39C7-4C59-A5FF-8C27B00E4241}"/>
            </c:ext>
          </c:extLst>
        </c:ser>
        <c:ser>
          <c:idx val="6"/>
          <c:order val="3"/>
          <c:tx>
            <c:strRef>
              <c:f>'2Cross'!$F$148</c:f>
              <c:strCache>
                <c:ptCount val="1"/>
                <c:pt idx="0">
                  <c:v>With full indexation on lagged HICP</c:v>
                </c:pt>
              </c:strCache>
            </c:strRef>
          </c:tx>
          <c:spPr>
            <a:ln w="25400" cap="rnd">
              <a:noFill/>
              <a:round/>
            </a:ln>
            <a:effectLst/>
          </c:spPr>
          <c:marker>
            <c:symbol val="diamond"/>
            <c:size val="6"/>
            <c:spPr>
              <a:noFill/>
              <a:ln w="25400">
                <a:solidFill>
                  <a:schemeClr val="accent4"/>
                </a:solidFill>
              </a:ln>
              <a:effectLst/>
            </c:spPr>
          </c:marker>
          <c:cat>
            <c:strRef>
              <c:extLst>
                <c:ext xmlns:c15="http://schemas.microsoft.com/office/drawing/2012/chart" uri="{02D57815-91ED-43cb-92C2-25804820EDAC}">
                  <c15:fullRef>
                    <c15:sqref>'2Cross'!$A$149:$A$177</c15:sqref>
                  </c15:fullRef>
                </c:ext>
              </c:extLst>
              <c:f>'2Cross'!$A$157:$A$177</c:f>
              <c:strCache>
                <c:ptCount val="21"/>
                <c:pt idx="0">
                  <c:v>BE</c:v>
                </c:pt>
                <c:pt idx="1">
                  <c:v>EE</c:v>
                </c:pt>
                <c:pt idx="2">
                  <c:v>CY</c:v>
                </c:pt>
                <c:pt idx="3">
                  <c:v>ES</c:v>
                </c:pt>
                <c:pt idx="4">
                  <c:v>IE</c:v>
                </c:pt>
                <c:pt idx="5">
                  <c:v>PT</c:v>
                </c:pt>
                <c:pt idx="6">
                  <c:v>MT</c:v>
                </c:pt>
                <c:pt idx="7">
                  <c:v>IT</c:v>
                </c:pt>
                <c:pt idx="8">
                  <c:v>NL</c:v>
                </c:pt>
                <c:pt idx="9">
                  <c:v>LT</c:v>
                </c:pt>
                <c:pt idx="10">
                  <c:v>FI</c:v>
                </c:pt>
                <c:pt idx="11">
                  <c:v>HR</c:v>
                </c:pt>
                <c:pt idx="12">
                  <c:v>EL</c:v>
                </c:pt>
                <c:pt idx="13">
                  <c:v>FR</c:v>
                </c:pt>
                <c:pt idx="14">
                  <c:v>LU</c:v>
                </c:pt>
                <c:pt idx="15">
                  <c:v>SI</c:v>
                </c:pt>
                <c:pt idx="16">
                  <c:v>HU</c:v>
                </c:pt>
                <c:pt idx="17">
                  <c:v>AT</c:v>
                </c:pt>
                <c:pt idx="18">
                  <c:v>SK</c:v>
                </c:pt>
                <c:pt idx="19">
                  <c:v>LV</c:v>
                </c:pt>
                <c:pt idx="20">
                  <c:v>DE</c:v>
                </c:pt>
              </c:strCache>
            </c:strRef>
          </c:cat>
          <c:val>
            <c:numRef>
              <c:extLst>
                <c:ext xmlns:c15="http://schemas.microsoft.com/office/drawing/2012/chart" uri="{02D57815-91ED-43cb-92C2-25804820EDAC}">
                  <c15:fullRef>
                    <c15:sqref>'2Cross'!$F$149:$F$177</c15:sqref>
                  </c15:fullRef>
                </c:ext>
              </c:extLst>
              <c:f>'2Cross'!$F$157:$F$177</c:f>
              <c:numCache>
                <c:formatCode>0.000</c:formatCode>
                <c:ptCount val="21"/>
                <c:pt idx="0">
                  <c:v>0.98024005380737123</c:v>
                </c:pt>
                <c:pt idx="1">
                  <c:v>0.72115980752528586</c:v>
                </c:pt>
                <c:pt idx="2">
                  <c:v>0.37991291569391805</c:v>
                </c:pt>
                <c:pt idx="3">
                  <c:v>-6.6229133091690429E-2</c:v>
                </c:pt>
                <c:pt idx="4">
                  <c:v>0.7781409033456157</c:v>
                </c:pt>
                <c:pt idx="5">
                  <c:v>1.0538544183297613</c:v>
                </c:pt>
                <c:pt idx="6">
                  <c:v>3.2922902033227786E-3</c:v>
                </c:pt>
                <c:pt idx="7">
                  <c:v>-0.66651781891221518</c:v>
                </c:pt>
                <c:pt idx="8">
                  <c:v>-0.52176752616846223</c:v>
                </c:pt>
                <c:pt idx="9">
                  <c:v>0.74423527032220171</c:v>
                </c:pt>
                <c:pt idx="10">
                  <c:v>4.4610159093355861E-2</c:v>
                </c:pt>
                <c:pt idx="11">
                  <c:v>0.98556835873556725</c:v>
                </c:pt>
                <c:pt idx="12">
                  <c:v>9.9689055240759217E-4</c:v>
                </c:pt>
                <c:pt idx="13">
                  <c:v>-2.98443124285388E-2</c:v>
                </c:pt>
                <c:pt idx="14">
                  <c:v>0.53235380500874285</c:v>
                </c:pt>
                <c:pt idx="15">
                  <c:v>0.98016283127701698</c:v>
                </c:pt>
                <c:pt idx="16">
                  <c:v>-0.57600158891996855</c:v>
                </c:pt>
                <c:pt idx="17">
                  <c:v>0.29269694003372138</c:v>
                </c:pt>
                <c:pt idx="18">
                  <c:v>0.70508931673020303</c:v>
                </c:pt>
                <c:pt idx="19">
                  <c:v>0.65716819200180154</c:v>
                </c:pt>
                <c:pt idx="20">
                  <c:v>-6.9128205587492886E-2</c:v>
                </c:pt>
              </c:numCache>
            </c:numRef>
          </c:val>
          <c:smooth val="0"/>
          <c:extLst>
            <c:ext xmlns:c16="http://schemas.microsoft.com/office/drawing/2014/chart" uri="{C3380CC4-5D6E-409C-BE32-E72D297353CC}">
              <c16:uniqueId val="{00000003-39C7-4C59-A5FF-8C27B00E4241}"/>
            </c:ext>
          </c:extLst>
        </c:ser>
        <c:ser>
          <c:idx val="7"/>
          <c:order val="4"/>
          <c:tx>
            <c:strRef>
              <c:f>'2Cross'!$G$148</c:f>
              <c:strCache>
                <c:ptCount val="1"/>
                <c:pt idx="0">
                  <c:v>With full indexation on concurrent HICP</c:v>
                </c:pt>
              </c:strCache>
            </c:strRef>
          </c:tx>
          <c:spPr>
            <a:ln w="25400" cap="rnd">
              <a:noFill/>
              <a:round/>
            </a:ln>
            <a:effectLst/>
          </c:spPr>
          <c:marker>
            <c:symbol val="triangle"/>
            <c:size val="6"/>
            <c:spPr>
              <a:noFill/>
              <a:ln w="25400">
                <a:solidFill>
                  <a:schemeClr val="accent5">
                    <a:lumMod val="75000"/>
                  </a:schemeClr>
                </a:solidFill>
              </a:ln>
              <a:effectLst/>
            </c:spPr>
          </c:marker>
          <c:cat>
            <c:strRef>
              <c:extLst>
                <c:ext xmlns:c15="http://schemas.microsoft.com/office/drawing/2012/chart" uri="{02D57815-91ED-43cb-92C2-25804820EDAC}">
                  <c15:fullRef>
                    <c15:sqref>'2Cross'!$A$149:$A$177</c15:sqref>
                  </c15:fullRef>
                </c:ext>
              </c:extLst>
              <c:f>'2Cross'!$A$157:$A$177</c:f>
              <c:strCache>
                <c:ptCount val="21"/>
                <c:pt idx="0">
                  <c:v>BE</c:v>
                </c:pt>
                <c:pt idx="1">
                  <c:v>EE</c:v>
                </c:pt>
                <c:pt idx="2">
                  <c:v>CY</c:v>
                </c:pt>
                <c:pt idx="3">
                  <c:v>ES</c:v>
                </c:pt>
                <c:pt idx="4">
                  <c:v>IE</c:v>
                </c:pt>
                <c:pt idx="5">
                  <c:v>PT</c:v>
                </c:pt>
                <c:pt idx="6">
                  <c:v>MT</c:v>
                </c:pt>
                <c:pt idx="7">
                  <c:v>IT</c:v>
                </c:pt>
                <c:pt idx="8">
                  <c:v>NL</c:v>
                </c:pt>
                <c:pt idx="9">
                  <c:v>LT</c:v>
                </c:pt>
                <c:pt idx="10">
                  <c:v>FI</c:v>
                </c:pt>
                <c:pt idx="11">
                  <c:v>HR</c:v>
                </c:pt>
                <c:pt idx="12">
                  <c:v>EL</c:v>
                </c:pt>
                <c:pt idx="13">
                  <c:v>FR</c:v>
                </c:pt>
                <c:pt idx="14">
                  <c:v>LU</c:v>
                </c:pt>
                <c:pt idx="15">
                  <c:v>SI</c:v>
                </c:pt>
                <c:pt idx="16">
                  <c:v>HU</c:v>
                </c:pt>
                <c:pt idx="17">
                  <c:v>AT</c:v>
                </c:pt>
                <c:pt idx="18">
                  <c:v>SK</c:v>
                </c:pt>
                <c:pt idx="19">
                  <c:v>LV</c:v>
                </c:pt>
                <c:pt idx="20">
                  <c:v>DE</c:v>
                </c:pt>
              </c:strCache>
            </c:strRef>
          </c:cat>
          <c:val>
            <c:numRef>
              <c:extLst>
                <c:ext xmlns:c15="http://schemas.microsoft.com/office/drawing/2012/chart" uri="{02D57815-91ED-43cb-92C2-25804820EDAC}">
                  <c15:fullRef>
                    <c15:sqref>'2Cross'!$G$149:$G$177</c15:sqref>
                  </c15:fullRef>
                </c:ext>
              </c:extLst>
              <c:f>'2Cross'!$G$157:$G$177</c:f>
              <c:numCache>
                <c:formatCode>0.000</c:formatCode>
                <c:ptCount val="21"/>
                <c:pt idx="0">
                  <c:v>0.79019020928968331</c:v>
                </c:pt>
                <c:pt idx="1">
                  <c:v>0.1830393254030156</c:v>
                </c:pt>
                <c:pt idx="2">
                  <c:v>5.714456017596703E-2</c:v>
                </c:pt>
                <c:pt idx="3">
                  <c:v>-0.39585893000871764</c:v>
                </c:pt>
                <c:pt idx="4">
                  <c:v>0.13990780977258765</c:v>
                </c:pt>
                <c:pt idx="5">
                  <c:v>0.46020148867272148</c:v>
                </c:pt>
                <c:pt idx="6">
                  <c:v>-0.37281243950220855</c:v>
                </c:pt>
                <c:pt idx="7">
                  <c:v>-1.4412253097431496</c:v>
                </c:pt>
                <c:pt idx="8">
                  <c:v>-0.72222907016331916</c:v>
                </c:pt>
                <c:pt idx="9">
                  <c:v>0.47320761751971752</c:v>
                </c:pt>
                <c:pt idx="10">
                  <c:v>-0.41892345273186748</c:v>
                </c:pt>
                <c:pt idx="11">
                  <c:v>0.46893395738531396</c:v>
                </c:pt>
                <c:pt idx="12">
                  <c:v>-0.29541297380697173</c:v>
                </c:pt>
                <c:pt idx="13">
                  <c:v>-0.3678037863501693</c:v>
                </c:pt>
                <c:pt idx="14">
                  <c:v>0.33461608573917445</c:v>
                </c:pt>
                <c:pt idx="15">
                  <c:v>0.53320656438834035</c:v>
                </c:pt>
                <c:pt idx="16">
                  <c:v>-0.69749031130479011</c:v>
                </c:pt>
                <c:pt idx="17">
                  <c:v>-0.41113772918074609</c:v>
                </c:pt>
                <c:pt idx="18">
                  <c:v>0.26564059345902979</c:v>
                </c:pt>
                <c:pt idx="19">
                  <c:v>0.3163731271378456</c:v>
                </c:pt>
                <c:pt idx="20">
                  <c:v>-0.57544040780049244</c:v>
                </c:pt>
              </c:numCache>
            </c:numRef>
          </c:val>
          <c:smooth val="0"/>
          <c:extLst>
            <c:ext xmlns:c16="http://schemas.microsoft.com/office/drawing/2014/chart" uri="{C3380CC4-5D6E-409C-BE32-E72D297353CC}">
              <c16:uniqueId val="{00000004-39C7-4C59-A5FF-8C27B00E4241}"/>
            </c:ext>
          </c:extLst>
        </c:ser>
        <c:dLbls>
          <c:showLegendKey val="0"/>
          <c:showVal val="0"/>
          <c:showCatName val="0"/>
          <c:showSerName val="0"/>
          <c:showPercent val="0"/>
          <c:showBubbleSize val="0"/>
        </c:dLbls>
        <c:marker val="1"/>
        <c:smooth val="0"/>
        <c:axId val="709475840"/>
        <c:axId val="605168576"/>
        <c:extLst/>
      </c:lineChart>
      <c:catAx>
        <c:axId val="709475840"/>
        <c:scaling>
          <c:orientation val="minMax"/>
        </c:scaling>
        <c:delete val="0"/>
        <c:axPos val="b"/>
        <c:numFmt formatCode="General" sourceLinked="1"/>
        <c:majorTickMark val="out"/>
        <c:minorTickMark val="none"/>
        <c:tickLblPos val="low"/>
        <c:spPr>
          <a:noFill/>
          <a:ln w="6350" cap="flat" cmpd="sng" algn="ctr">
            <a:solidFill>
              <a:schemeClr val="tx1"/>
            </a:solidFill>
            <a:round/>
          </a:ln>
          <a:effectLst/>
        </c:spPr>
        <c:txPr>
          <a:bodyPr rot="-60000000" spcFirstLastPara="1" vertOverflow="ellipsis" vert="horz" wrap="square" anchor="ctr" anchorCtr="1"/>
          <a:lstStyle/>
          <a:p>
            <a:pPr>
              <a:defRPr sz="950" b="0" i="0" u="none" strike="noStrike" kern="1200" baseline="0">
                <a:solidFill>
                  <a:schemeClr val="tx1"/>
                </a:solidFill>
                <a:latin typeface="Times New Roman" panose="02020603050405020304" pitchFamily="18" charset="0"/>
                <a:ea typeface="+mn-ea"/>
                <a:cs typeface="+mn-cs"/>
              </a:defRPr>
            </a:pPr>
            <a:endParaRPr lang="es-ES_tradnl"/>
          </a:p>
        </c:txPr>
        <c:crossAx val="605168576"/>
        <c:crosses val="autoZero"/>
        <c:auto val="1"/>
        <c:lblAlgn val="ctr"/>
        <c:lblOffset val="100"/>
        <c:noMultiLvlLbl val="0"/>
      </c:catAx>
      <c:valAx>
        <c:axId val="6051685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s-ES_tradnl" sz="1050">
                    <a:solidFill>
                      <a:sysClr val="windowText" lastClr="000000"/>
                    </a:solidFill>
                    <a:latin typeface="Times New Roman" panose="02020603050405020304" pitchFamily="18" charset="0"/>
                    <a:cs typeface="Times New Roman" panose="02020603050405020304" pitchFamily="18" charset="0"/>
                  </a:rPr>
                  <a:t>Tax rate difference wrt 2019 (pp)</a:t>
                </a:r>
              </a:p>
            </c:rich>
          </c:tx>
          <c:layout>
            <c:manualLayout>
              <c:xMode val="edge"/>
              <c:yMode val="edge"/>
              <c:x val="1.3554705902146847E-2"/>
              <c:y val="7.2895188223529847E-2"/>
            </c:manualLayout>
          </c:layout>
          <c:overlay val="0"/>
          <c:spPr>
            <a:noFill/>
            <a:ln>
              <a:noFill/>
            </a:ln>
            <a:effectLst/>
          </c:spPr>
          <c:txPr>
            <a:bodyPr rot="-5400000" spcFirstLastPara="1" vertOverflow="ellipsis" vert="horz" wrap="square" anchor="ctr" anchorCtr="1"/>
            <a:lstStyle/>
            <a:p>
              <a:pPr>
                <a:defRPr sz="10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title>
        <c:numFmt formatCode="#,##0.0" sourceLinked="0"/>
        <c:majorTickMark val="out"/>
        <c:minorTickMark val="none"/>
        <c:tickLblPos val="nextTo"/>
        <c:spPr>
          <a:noFill/>
          <a:ln w="6350">
            <a:solidFill>
              <a:schemeClr val="tx1">
                <a:lumMod val="65000"/>
                <a:lumOff val="35000"/>
              </a:schemeClr>
            </a:solidFill>
          </a:ln>
          <a:effectLst/>
        </c:spPr>
        <c:txPr>
          <a:bodyPr rot="-60000000" spcFirstLastPara="1" vertOverflow="ellipsis" vert="horz" wrap="square" anchor="ctr" anchorCtr="1"/>
          <a:lstStyle/>
          <a:p>
            <a:pPr>
              <a:defRPr sz="950" b="0" i="0" u="none" strike="noStrike" kern="1200" baseline="0">
                <a:solidFill>
                  <a:schemeClr val="tx1"/>
                </a:solidFill>
                <a:latin typeface="Times New Roman" panose="02020603050405020304" pitchFamily="18" charset="0"/>
                <a:ea typeface="+mn-ea"/>
                <a:cs typeface="+mn-cs"/>
              </a:defRPr>
            </a:pPr>
            <a:endParaRPr lang="es-ES_tradnl"/>
          </a:p>
        </c:txPr>
        <c:crossAx val="709475840"/>
        <c:crosses val="autoZero"/>
        <c:crossBetween val="between"/>
      </c:valAx>
      <c:spPr>
        <a:noFill/>
        <a:ln>
          <a:noFill/>
        </a:ln>
        <a:effectLst/>
      </c:spPr>
    </c:plotArea>
    <c:legend>
      <c:legendPos val="b"/>
      <c:layout>
        <c:manualLayout>
          <c:xMode val="edge"/>
          <c:yMode val="edge"/>
          <c:x val="0"/>
          <c:y val="0.80216911072657859"/>
          <c:w val="1"/>
          <c:h val="0.15596347211998121"/>
        </c:manualLayout>
      </c:layout>
      <c:overlay val="0"/>
      <c:spPr>
        <a:noFill/>
        <a:ln>
          <a:noFill/>
        </a:ln>
        <a:effectLst/>
      </c:spPr>
      <c:txPr>
        <a:bodyPr rot="0" spcFirstLastPara="1" vertOverflow="ellipsis" vert="horz" wrap="square" anchor="ctr" anchorCtr="1"/>
        <a:lstStyle/>
        <a:p>
          <a:pPr>
            <a:defRPr sz="9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legend>
    <c:plotVisOnly val="1"/>
    <c:dispBlanksAs val="gap"/>
    <c:showDLblsOverMax val="0"/>
  </c:chart>
  <c:spPr>
    <a:solidFill>
      <a:schemeClr val="bg1"/>
    </a:solidFill>
    <a:ln w="9525" cap="flat" cmpd="sng" algn="ctr">
      <a:noFill/>
      <a:round/>
    </a:ln>
    <a:effectLst/>
  </c:spPr>
  <c:txPr>
    <a:bodyPr/>
    <a:lstStyle/>
    <a:p>
      <a:pPr>
        <a:defRPr/>
      </a:pPr>
      <a:endParaRPr lang="es-ES_tradnl"/>
    </a:p>
  </c:txPr>
  <c:printSettings>
    <c:headerFooter/>
    <c:pageMargins b="0.75" l="0.25" r="0.25" t="0.75" header="0.3" footer="0.3"/>
    <c:pageSetup paperSize="9" orientation="landscape"/>
  </c:printSettings>
</c:chartSpace>
</file>

<file path=xl/charts/chart9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28575" cap="rnd">
            <a:noFill/>
            <a:round/>
          </a:ln>
          <a:effectLst/>
        </c:spPr>
        <c:marker>
          <c:symbol val="dash"/>
          <c:size val="7"/>
          <c:spPr>
            <a:solidFill>
              <a:srgbClr val="3B3838"/>
            </a:solidFill>
            <a:ln w="9525">
              <a:solidFill>
                <a:srgbClr val="3B3838"/>
              </a:solidFill>
            </a:ln>
            <a:effectLst/>
          </c:spPr>
        </c:marker>
        <c:dLbl>
          <c:idx val="0"/>
          <c:delete val="1"/>
          <c:extLst>
            <c:ext xmlns:c15="http://schemas.microsoft.com/office/drawing/2012/chart" uri="{CE6537A1-D6FC-4f65-9D91-7224C49458BB}"/>
          </c:extLst>
        </c:dLbl>
      </c:pivotFmt>
      <c:pivotFmt>
        <c:idx val="1"/>
        <c:spPr>
          <a:solidFill>
            <a:srgbClr val="E7E6E6"/>
          </a:solidFill>
          <a:ln w="25400">
            <a:noFill/>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2"/>
        <c:spPr>
          <a:solidFill>
            <a:srgbClr val="ED7D31"/>
          </a:solidFill>
          <a:ln w="25400">
            <a:noFill/>
          </a:ln>
          <a:effectLst/>
        </c:spPr>
        <c:marker>
          <c:symbol val="circle"/>
          <c:size val="5"/>
          <c:spPr>
            <a:solidFill>
              <a:schemeClr val="accent3"/>
            </a:solidFill>
            <a:ln w="9525">
              <a:solidFill>
                <a:schemeClr val="accent3"/>
              </a:solidFill>
            </a:ln>
            <a:effectLst/>
          </c:spPr>
        </c:marker>
        <c:dLbl>
          <c:idx val="0"/>
          <c:delete val="1"/>
          <c:extLst>
            <c:ext xmlns:c15="http://schemas.microsoft.com/office/drawing/2012/chart" uri="{CE6537A1-D6FC-4f65-9D91-7224C49458BB}"/>
          </c:extLst>
        </c:dLbl>
      </c:pivotFmt>
      <c:pivotFmt>
        <c:idx val="3"/>
        <c:spPr>
          <a:solidFill>
            <a:srgbClr val="2F5597"/>
          </a:solidFill>
          <a:ln w="25400">
            <a:noFill/>
          </a:ln>
          <a:effectLst/>
        </c:spPr>
        <c:marker>
          <c:symbol val="circle"/>
          <c:size val="5"/>
          <c:spPr>
            <a:solidFill>
              <a:schemeClr val="accent4"/>
            </a:solidFill>
            <a:ln w="9525">
              <a:solidFill>
                <a:schemeClr val="accent4"/>
              </a:solidFill>
            </a:ln>
            <a:effectLst/>
          </c:spPr>
        </c:marker>
        <c:dLbl>
          <c:idx val="0"/>
          <c:delete val="1"/>
          <c:extLst>
            <c:ext xmlns:c15="http://schemas.microsoft.com/office/drawing/2012/chart" uri="{CE6537A1-D6FC-4f65-9D91-7224C49458BB}"/>
          </c:extLst>
        </c:dLbl>
      </c:pivotFmt>
      <c:pivotFmt>
        <c:idx val="4"/>
        <c:spPr>
          <a:solidFill>
            <a:srgbClr val="4472C4"/>
          </a:solidFill>
          <a:ln>
            <a:noFill/>
          </a:ln>
          <a:effectLst/>
        </c:spPr>
        <c:marker>
          <c:symbol val="none"/>
        </c:marker>
        <c:dLbl>
          <c:idx val="0"/>
          <c:delete val="1"/>
          <c:extLst>
            <c:ext xmlns:c15="http://schemas.microsoft.com/office/drawing/2012/chart" uri="{CE6537A1-D6FC-4f65-9D91-7224C49458BB}"/>
          </c:extLst>
        </c:dLbl>
      </c:pivotFmt>
      <c:pivotFmt>
        <c:idx val="5"/>
        <c:spPr>
          <a:solidFill>
            <a:srgbClr val="8FAADC"/>
          </a:solidFill>
          <a:ln>
            <a:noFill/>
          </a:ln>
          <a:effectLst/>
        </c:spPr>
        <c:marker>
          <c:symbol val="none"/>
        </c:marker>
        <c:dLbl>
          <c:idx val="0"/>
          <c:delete val="1"/>
          <c:extLst>
            <c:ext xmlns:c15="http://schemas.microsoft.com/office/drawing/2012/chart" uri="{CE6537A1-D6FC-4f65-9D91-7224C49458BB}"/>
          </c:extLst>
        </c:dLbl>
      </c:pivotFmt>
      <c:pivotFmt>
        <c:idx val="6"/>
        <c:spPr>
          <a:solidFill>
            <a:srgbClr val="DAE3F3"/>
          </a:solidFill>
          <a:ln>
            <a:noFill/>
          </a:ln>
          <a:effectLst/>
        </c:spPr>
        <c:marker>
          <c:symbol val="none"/>
        </c:marker>
        <c:dLbl>
          <c:idx val="0"/>
          <c:delete val="1"/>
          <c:extLst>
            <c:ext xmlns:c15="http://schemas.microsoft.com/office/drawing/2012/chart" uri="{CE6537A1-D6FC-4f65-9D91-7224C49458BB}"/>
          </c:extLst>
        </c:dLbl>
      </c:pivotFmt>
      <c:pivotFmt>
        <c:idx val="7"/>
        <c:spPr>
          <a:solidFill>
            <a:srgbClr val="DAE3F3"/>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w="25400">
            <a:noFill/>
          </a:ln>
          <a:effectLst/>
        </c:spPr>
        <c:marker>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9"/>
        <c:spPr>
          <a:solidFill>
            <a:schemeClr val="accent1"/>
          </a:solidFill>
          <a:ln w="28575" cap="rnd">
            <a:noFill/>
            <a:round/>
          </a:ln>
          <a:effectLst/>
        </c:spPr>
        <c:marker>
          <c:symbol val="dash"/>
          <c:size val="7"/>
          <c:spPr>
            <a:solidFill>
              <a:srgbClr val="3B3838"/>
            </a:solidFill>
            <a:ln w="9525">
              <a:solidFill>
                <a:srgbClr val="3B3838"/>
              </a:solidFill>
            </a:ln>
            <a:effectLst/>
          </c:spPr>
        </c:marker>
      </c:pivotFmt>
      <c:pivotFmt>
        <c:idx val="10"/>
        <c:spPr>
          <a:solidFill>
            <a:srgbClr val="E7E6E6"/>
          </a:solidFill>
          <a:ln w="25400">
            <a:noFill/>
          </a:ln>
          <a:effectLst/>
        </c:spPr>
        <c:marker>
          <c:symbol val="none"/>
        </c:marker>
        <c:dLbl>
          <c:idx val="0"/>
          <c:delete val="1"/>
          <c:extLst>
            <c:ext xmlns:c15="http://schemas.microsoft.com/office/drawing/2012/chart" uri="{CE6537A1-D6FC-4f65-9D91-7224C49458BB}"/>
          </c:extLst>
        </c:dLbl>
      </c:pivotFmt>
      <c:pivotFmt>
        <c:idx val="11"/>
        <c:spPr>
          <a:solidFill>
            <a:srgbClr val="ED7D31"/>
          </a:solidFill>
          <a:ln w="25400">
            <a:noFill/>
          </a:ln>
          <a:effectLst/>
        </c:spPr>
        <c:marker>
          <c:symbol val="none"/>
        </c:marker>
        <c:dLbl>
          <c:idx val="0"/>
          <c:delete val="1"/>
          <c:extLst>
            <c:ext xmlns:c15="http://schemas.microsoft.com/office/drawing/2012/chart" uri="{CE6537A1-D6FC-4f65-9D91-7224C49458BB}"/>
          </c:extLst>
        </c:dLbl>
      </c:pivotFmt>
      <c:pivotFmt>
        <c:idx val="12"/>
        <c:spPr>
          <a:solidFill>
            <a:srgbClr val="2F5597"/>
          </a:solidFill>
          <a:ln w="25400">
            <a:noFill/>
          </a:ln>
          <a:effectLst/>
        </c:spPr>
        <c:marker>
          <c:symbol val="none"/>
        </c:marker>
        <c:dLbl>
          <c:idx val="0"/>
          <c:delete val="1"/>
          <c:extLst>
            <c:ext xmlns:c15="http://schemas.microsoft.com/office/drawing/2012/chart" uri="{CE6537A1-D6FC-4f65-9D91-7224C49458BB}"/>
          </c:extLst>
        </c:dLbl>
      </c:pivotFmt>
      <c:pivotFmt>
        <c:idx val="13"/>
        <c:spPr>
          <a:solidFill>
            <a:srgbClr val="4472C4"/>
          </a:solidFill>
          <a:ln>
            <a:noFill/>
          </a:ln>
          <a:effectLst/>
        </c:spPr>
        <c:marker>
          <c:symbol val="none"/>
        </c:marker>
        <c:dLbl>
          <c:idx val="0"/>
          <c:delete val="1"/>
          <c:extLst>
            <c:ext xmlns:c15="http://schemas.microsoft.com/office/drawing/2012/chart" uri="{CE6537A1-D6FC-4f65-9D91-7224C49458BB}"/>
          </c:extLst>
        </c:dLbl>
      </c:pivotFmt>
      <c:pivotFmt>
        <c:idx val="14"/>
        <c:spPr>
          <a:solidFill>
            <a:srgbClr val="8FAADC"/>
          </a:solidFill>
          <a:ln>
            <a:noFill/>
          </a:ln>
          <a:effectLst/>
        </c:spPr>
        <c:marker>
          <c:symbol val="none"/>
        </c:marker>
        <c:dLbl>
          <c:idx val="0"/>
          <c:delete val="1"/>
          <c:extLst>
            <c:ext xmlns:c15="http://schemas.microsoft.com/office/drawing/2012/chart" uri="{CE6537A1-D6FC-4f65-9D91-7224C49458BB}"/>
          </c:extLst>
        </c:dLbl>
      </c:pivotFmt>
      <c:pivotFmt>
        <c:idx val="15"/>
        <c:spPr>
          <a:solidFill>
            <a:srgbClr val="DAE3F3"/>
          </a:solidFill>
          <a:ln>
            <a:noFill/>
          </a:ln>
          <a:effectLst/>
        </c:spPr>
        <c:marker>
          <c:symbol val="none"/>
        </c:marker>
        <c:dLbl>
          <c:idx val="0"/>
          <c:delete val="1"/>
          <c:extLst>
            <c:ext xmlns:c15="http://schemas.microsoft.com/office/drawing/2012/chart" uri="{CE6537A1-D6FC-4f65-9D91-7224C49458BB}"/>
          </c:extLst>
        </c:dLbl>
      </c:pivotFmt>
      <c:pivotFmt>
        <c:idx val="16"/>
        <c:spPr>
          <a:solidFill>
            <a:srgbClr val="DAE3F3"/>
          </a:solidFill>
          <a:ln>
            <a:noFill/>
          </a:ln>
          <a:effectLst/>
        </c:spPr>
        <c:marker>
          <c:symbol val="none"/>
        </c:marker>
        <c:dLbl>
          <c:idx val="0"/>
          <c:delete val="1"/>
          <c:extLst>
            <c:ext xmlns:c15="http://schemas.microsoft.com/office/drawing/2012/chart" uri="{CE6537A1-D6FC-4f65-9D91-7224C49458BB}"/>
          </c:extLst>
        </c:dLbl>
      </c:pivotFmt>
      <c:pivotFmt>
        <c:idx val="17"/>
        <c:spPr>
          <a:solidFill>
            <a:schemeClr val="accent1"/>
          </a:solidFill>
          <a:ln w="28575" cap="rnd">
            <a:noFill/>
            <a:round/>
          </a:ln>
          <a:effectLst/>
        </c:spPr>
        <c:marker>
          <c:symbol val="dash"/>
          <c:size val="7"/>
          <c:spPr>
            <a:solidFill>
              <a:srgbClr val="3B3838"/>
            </a:solidFill>
            <a:ln w="9525">
              <a:solidFill>
                <a:srgbClr val="3B3838"/>
              </a:solidFill>
            </a:ln>
            <a:effectLst/>
          </c:spPr>
        </c:marker>
        <c:dLbl>
          <c:idx val="0"/>
          <c:delete val="1"/>
          <c:extLst>
            <c:ext xmlns:c15="http://schemas.microsoft.com/office/drawing/2012/chart" uri="{CE6537A1-D6FC-4f65-9D91-7224C49458BB}"/>
          </c:extLst>
        </c:dLbl>
      </c:pivotFmt>
      <c:pivotFmt>
        <c:idx val="18"/>
        <c:spPr>
          <a:solidFill>
            <a:srgbClr val="2F5597"/>
          </a:solidFill>
          <a:ln>
            <a:noFill/>
          </a:ln>
          <a:effectLst/>
        </c:spPr>
        <c:marker>
          <c:symbol val="none"/>
        </c:marker>
        <c:dLbl>
          <c:idx val="0"/>
          <c:delete val="1"/>
          <c:extLst>
            <c:ext xmlns:c15="http://schemas.microsoft.com/office/drawing/2012/chart" uri="{CE6537A1-D6FC-4f65-9D91-7224C49458BB}"/>
          </c:extLst>
        </c:dLbl>
      </c:pivotFmt>
      <c:pivotFmt>
        <c:idx val="19"/>
        <c:spPr>
          <a:solidFill>
            <a:srgbClr val="ED7D31"/>
          </a:solidFill>
          <a:ln>
            <a:noFill/>
          </a:ln>
          <a:effectLst/>
        </c:spPr>
        <c:marker>
          <c:symbol val="none"/>
        </c:marker>
        <c:dLbl>
          <c:idx val="0"/>
          <c:delete val="1"/>
          <c:extLst>
            <c:ext xmlns:c15="http://schemas.microsoft.com/office/drawing/2012/chart" uri="{CE6537A1-D6FC-4f65-9D91-7224C49458BB}"/>
          </c:extLst>
        </c:dLbl>
      </c:pivotFmt>
      <c:pivotFmt>
        <c:idx val="20"/>
        <c:spPr>
          <a:solidFill>
            <a:schemeClr val="accent5">
              <a:lumMod val="40000"/>
              <a:lumOff val="60000"/>
            </a:schemeClr>
          </a:solidFill>
          <a:ln w="9525">
            <a:noFill/>
          </a:ln>
          <a:effectLst/>
        </c:spPr>
        <c:marker>
          <c:symbol val="none"/>
        </c:marker>
        <c:dLbl>
          <c:idx val="0"/>
          <c:delete val="1"/>
          <c:extLst>
            <c:ext xmlns:c15="http://schemas.microsoft.com/office/drawing/2012/chart" uri="{CE6537A1-D6FC-4f65-9D91-7224C49458BB}"/>
          </c:extLst>
        </c:dLbl>
      </c:pivotFmt>
      <c:pivotFmt>
        <c:idx val="21"/>
        <c:spPr>
          <a:solidFill>
            <a:schemeClr val="bg2">
              <a:lumMod val="75000"/>
            </a:schemeClr>
          </a:solidFill>
          <a:ln w="6350">
            <a:noFill/>
          </a:ln>
          <a:effectLst/>
        </c:spPr>
        <c:marker>
          <c:symbol val="none"/>
        </c:marker>
        <c:dLbl>
          <c:idx val="0"/>
          <c:delete val="1"/>
          <c:extLst>
            <c:ext xmlns:c15="http://schemas.microsoft.com/office/drawing/2012/chart" uri="{CE6537A1-D6FC-4f65-9D91-7224C49458BB}"/>
          </c:extLst>
        </c:dLbl>
      </c:pivotFmt>
      <c:pivotFmt>
        <c:idx val="22"/>
        <c:spPr>
          <a:solidFill>
            <a:schemeClr val="bg2">
              <a:lumMod val="75000"/>
            </a:schemeClr>
          </a:solidFill>
          <a:ln w="6350">
            <a:noFill/>
          </a:ln>
          <a:effectLst/>
        </c:spPr>
      </c:pivotFmt>
      <c:pivotFmt>
        <c:idx val="23"/>
        <c:spPr>
          <a:solidFill>
            <a:srgbClr val="2F5597"/>
          </a:solidFill>
          <a:ln>
            <a:noFill/>
          </a:ln>
          <a:effectLst/>
        </c:spPr>
        <c:marker>
          <c:symbol val="none"/>
        </c:marker>
        <c:dLbl>
          <c:idx val="0"/>
          <c:delete val="1"/>
          <c:extLst>
            <c:ext xmlns:c15="http://schemas.microsoft.com/office/drawing/2012/chart" uri="{CE6537A1-D6FC-4f65-9D91-7224C49458BB}"/>
          </c:extLst>
        </c:dLbl>
      </c:pivotFmt>
      <c:pivotFmt>
        <c:idx val="24"/>
        <c:spPr>
          <a:solidFill>
            <a:srgbClr val="ED7D31"/>
          </a:solidFill>
          <a:ln>
            <a:noFill/>
          </a:ln>
          <a:effectLst/>
        </c:spPr>
        <c:marker>
          <c:symbol val="none"/>
        </c:marker>
        <c:dLbl>
          <c:idx val="0"/>
          <c:delete val="1"/>
          <c:extLst>
            <c:ext xmlns:c15="http://schemas.microsoft.com/office/drawing/2012/chart" uri="{CE6537A1-D6FC-4f65-9D91-7224C49458BB}"/>
          </c:extLst>
        </c:dLbl>
      </c:pivotFmt>
      <c:pivotFmt>
        <c:idx val="25"/>
        <c:spPr>
          <a:solidFill>
            <a:schemeClr val="accent5">
              <a:lumMod val="40000"/>
              <a:lumOff val="60000"/>
            </a:schemeClr>
          </a:solidFill>
          <a:ln w="9525">
            <a:noFill/>
          </a:ln>
          <a:effectLst/>
        </c:spPr>
        <c:marker>
          <c:symbol val="none"/>
        </c:marker>
        <c:dLbl>
          <c:idx val="0"/>
          <c:delete val="1"/>
          <c:extLst>
            <c:ext xmlns:c15="http://schemas.microsoft.com/office/drawing/2012/chart" uri="{CE6537A1-D6FC-4f65-9D91-7224C49458BB}"/>
          </c:extLst>
        </c:dLbl>
      </c:pivotFmt>
      <c:pivotFmt>
        <c:idx val="26"/>
        <c:spPr>
          <a:solidFill>
            <a:schemeClr val="bg2">
              <a:lumMod val="75000"/>
            </a:schemeClr>
          </a:solidFill>
          <a:ln w="6350">
            <a:noFill/>
          </a:ln>
          <a:effectLst/>
        </c:spPr>
        <c:marker>
          <c:symbol val="none"/>
        </c:marker>
        <c:dLbl>
          <c:idx val="0"/>
          <c:delete val="1"/>
          <c:extLst>
            <c:ext xmlns:c15="http://schemas.microsoft.com/office/drawing/2012/chart" uri="{CE6537A1-D6FC-4f65-9D91-7224C49458BB}"/>
          </c:extLst>
        </c:dLbl>
      </c:pivotFmt>
      <c:pivotFmt>
        <c:idx val="27"/>
        <c:spPr>
          <a:solidFill>
            <a:schemeClr val="accent1"/>
          </a:solidFill>
          <a:ln w="28575" cap="rnd">
            <a:noFill/>
            <a:round/>
          </a:ln>
          <a:effectLst/>
        </c:spPr>
        <c:marker>
          <c:symbol val="diamond"/>
          <c:size val="6"/>
          <c:spPr>
            <a:solidFill>
              <a:schemeClr val="accent1">
                <a:lumMod val="50000"/>
              </a:schemeClr>
            </a:solidFill>
            <a:ln w="9525">
              <a:solidFill>
                <a:schemeClr val="accent1">
                  <a:lumMod val="50000"/>
                </a:schemeClr>
              </a:solidFill>
            </a:ln>
            <a:effectLst/>
          </c:spPr>
        </c:marker>
        <c:dLbl>
          <c:idx val="0"/>
          <c:delete val="1"/>
          <c:extLst>
            <c:ext xmlns:c15="http://schemas.microsoft.com/office/drawing/2012/chart" uri="{CE6537A1-D6FC-4f65-9D91-7224C49458BB}"/>
          </c:extLst>
        </c:dLbl>
      </c:pivotFmt>
      <c:pivotFmt>
        <c:idx val="28"/>
        <c:spPr>
          <a:solidFill>
            <a:schemeClr val="accent1"/>
          </a:solidFill>
          <a:ln w="28575" cap="rnd">
            <a:noFill/>
            <a:round/>
          </a:ln>
          <a:effectLst/>
        </c:spPr>
        <c:marker>
          <c:symbol val="triangle"/>
          <c:size val="5"/>
          <c:spPr>
            <a:solidFill>
              <a:schemeClr val="accent2">
                <a:lumMod val="75000"/>
              </a:schemeClr>
            </a:solidFill>
            <a:ln w="9525">
              <a:solidFill>
                <a:schemeClr val="accent2">
                  <a:lumMod val="75000"/>
                </a:schemeClr>
              </a:solidFill>
            </a:ln>
            <a:effectLst/>
          </c:spPr>
        </c:marker>
        <c:dLbl>
          <c:idx val="0"/>
          <c:delete val="1"/>
          <c:extLst>
            <c:ext xmlns:c15="http://schemas.microsoft.com/office/drawing/2012/chart" uri="{CE6537A1-D6FC-4f65-9D91-7224C49458BB}"/>
          </c:extLst>
        </c:dLbl>
      </c:pivotFmt>
      <c:pivotFmt>
        <c:idx val="29"/>
        <c:spPr>
          <a:solidFill>
            <a:schemeClr val="accent1"/>
          </a:solidFill>
          <a:ln w="28575" cap="rnd">
            <a:noFill/>
            <a:round/>
          </a:ln>
          <a:effectLst/>
        </c:spPr>
        <c:marker>
          <c:symbol val="circle"/>
          <c:size val="5"/>
          <c:spPr>
            <a:solidFill>
              <a:schemeClr val="accent6">
                <a:lumMod val="75000"/>
              </a:schemeClr>
            </a:solidFill>
            <a:ln w="9525">
              <a:solidFill>
                <a:schemeClr val="accent6">
                  <a:lumMod val="75000"/>
                </a:schemeClr>
              </a:solidFill>
            </a:ln>
            <a:effectLst/>
          </c:spPr>
        </c:marker>
        <c:dLbl>
          <c:idx val="0"/>
          <c:delete val="1"/>
          <c:extLst>
            <c:ext xmlns:c15="http://schemas.microsoft.com/office/drawing/2012/chart" uri="{CE6537A1-D6FC-4f65-9D91-7224C49458BB}"/>
          </c:extLst>
        </c:dLbl>
      </c:pivotFmt>
      <c:pivotFmt>
        <c:idx val="30"/>
        <c:spPr>
          <a:solidFill>
            <a:schemeClr val="accent1"/>
          </a:solidFill>
          <a:ln w="28575" cap="rnd">
            <a:noFill/>
            <a:round/>
          </a:ln>
          <a:effectLst/>
        </c:spPr>
        <c:marker>
          <c:symbol val="square"/>
          <c:size val="5"/>
          <c:spPr>
            <a:solidFill>
              <a:srgbClr val="FFC000"/>
            </a:solidFill>
            <a:ln w="9525">
              <a:solidFill>
                <a:srgbClr val="FFC000"/>
              </a:solidFill>
            </a:ln>
            <a:effectLst/>
          </c:spPr>
        </c:marker>
        <c:dLbl>
          <c:idx val="0"/>
          <c:delete val="1"/>
          <c:extLst>
            <c:ext xmlns:c15="http://schemas.microsoft.com/office/drawing/2012/chart" uri="{CE6537A1-D6FC-4f65-9D91-7224C49458BB}"/>
          </c:extLst>
        </c:dLbl>
      </c:pivotFmt>
    </c:pivotFmts>
    <c:plotArea>
      <c:layout>
        <c:manualLayout>
          <c:layoutTarget val="inner"/>
          <c:xMode val="edge"/>
          <c:yMode val="edge"/>
          <c:x val="0.11863969827883356"/>
          <c:y val="9.0790308745776024E-2"/>
          <c:w val="0.85090620715276022"/>
          <c:h val="0.59008160117542108"/>
        </c:manualLayout>
      </c:layout>
      <c:barChart>
        <c:barDir val="col"/>
        <c:grouping val="stacked"/>
        <c:varyColors val="0"/>
        <c:ser>
          <c:idx val="0"/>
          <c:order val="0"/>
          <c:tx>
            <c:strRef>
              <c:f>'2Cross'!$J$40</c:f>
              <c:strCache>
                <c:ptCount val="1"/>
                <c:pt idx="0">
                  <c:v>Offset through indexation</c:v>
                </c:pt>
              </c:strCache>
            </c:strRef>
          </c:tx>
          <c:spPr>
            <a:solidFill>
              <a:schemeClr val="tx1">
                <a:lumMod val="65000"/>
                <a:lumOff val="35000"/>
              </a:schemeClr>
            </a:solidFill>
            <a:ln>
              <a:noFill/>
            </a:ln>
          </c:spPr>
          <c:invertIfNegative val="0"/>
          <c:cat>
            <c:strRef>
              <c:extLst>
                <c:ext xmlns:c15="http://schemas.microsoft.com/office/drawing/2012/chart" uri="{02D57815-91ED-43cb-92C2-25804820EDAC}">
                  <c15:fullRef>
                    <c15:sqref>'2Cross'!$F$41:$F$69</c15:sqref>
                  </c15:fullRef>
                </c:ext>
              </c:extLst>
              <c:f>'2Cross'!$F$41:$F$61</c:f>
              <c:strCache>
                <c:ptCount val="21"/>
                <c:pt idx="0">
                  <c:v>CY</c:v>
                </c:pt>
                <c:pt idx="1">
                  <c:v>ES</c:v>
                </c:pt>
                <c:pt idx="2">
                  <c:v>MT</c:v>
                </c:pt>
                <c:pt idx="3">
                  <c:v>IT</c:v>
                </c:pt>
                <c:pt idx="4">
                  <c:v>EE</c:v>
                </c:pt>
                <c:pt idx="5">
                  <c:v>NL</c:v>
                </c:pt>
                <c:pt idx="6">
                  <c:v>BE</c:v>
                </c:pt>
                <c:pt idx="7">
                  <c:v>HU</c:v>
                </c:pt>
                <c:pt idx="8">
                  <c:v>FI</c:v>
                </c:pt>
                <c:pt idx="9">
                  <c:v>IE</c:v>
                </c:pt>
                <c:pt idx="10">
                  <c:v>FR</c:v>
                </c:pt>
                <c:pt idx="11">
                  <c:v>PT</c:v>
                </c:pt>
                <c:pt idx="12">
                  <c:v>EL</c:v>
                </c:pt>
                <c:pt idx="13">
                  <c:v>LU</c:v>
                </c:pt>
                <c:pt idx="14">
                  <c:v>LT</c:v>
                </c:pt>
                <c:pt idx="15">
                  <c:v>AT</c:v>
                </c:pt>
                <c:pt idx="16">
                  <c:v>DE</c:v>
                </c:pt>
                <c:pt idx="17">
                  <c:v>HR</c:v>
                </c:pt>
                <c:pt idx="18">
                  <c:v>SI</c:v>
                </c:pt>
                <c:pt idx="19">
                  <c:v>SK</c:v>
                </c:pt>
                <c:pt idx="20">
                  <c:v>LV</c:v>
                </c:pt>
              </c:strCache>
            </c:strRef>
          </c:cat>
          <c:val>
            <c:numRef>
              <c:extLst>
                <c:ext xmlns:c15="http://schemas.microsoft.com/office/drawing/2012/chart" uri="{02D57815-91ED-43cb-92C2-25804820EDAC}">
                  <c15:fullRef>
                    <c15:sqref>'2Cross'!$J$41:$J$69</c15:sqref>
                  </c15:fullRef>
                </c:ext>
              </c:extLst>
              <c:f>'2Cross'!$J$41:$J$61</c:f>
              <c:numCache>
                <c:formatCode>_(* #,##0.00_);_(* \(#,##0.00\);_(* "-"??_);_(@_)</c:formatCode>
                <c:ptCount val="21"/>
                <c:pt idx="0">
                  <c:v>0</c:v>
                </c:pt>
                <c:pt idx="1">
                  <c:v>0.2841241995017641</c:v>
                </c:pt>
                <c:pt idx="2">
                  <c:v>0.1004231273204612</c:v>
                </c:pt>
                <c:pt idx="3">
                  <c:v>1.559077684459056E-2</c:v>
                </c:pt>
                <c:pt idx="4">
                  <c:v>0.26855191630625225</c:v>
                </c:pt>
                <c:pt idx="5">
                  <c:v>0.68591952394863698</c:v>
                </c:pt>
                <c:pt idx="6">
                  <c:v>0.84813621176190768</c:v>
                </c:pt>
                <c:pt idx="7">
                  <c:v>-9.9643718000766259E-5</c:v>
                </c:pt>
                <c:pt idx="8">
                  <c:v>0.64615411480464424</c:v>
                </c:pt>
                <c:pt idx="9">
                  <c:v>0.73189808926329114</c:v>
                </c:pt>
                <c:pt idx="10">
                  <c:v>0.25478991097397813</c:v>
                </c:pt>
                <c:pt idx="11">
                  <c:v>0.14902786868843201</c:v>
                </c:pt>
                <c:pt idx="12">
                  <c:v>1.5892765005039814E-4</c:v>
                </c:pt>
                <c:pt idx="13">
                  <c:v>0.16915598868756943</c:v>
                </c:pt>
                <c:pt idx="14">
                  <c:v>1.3988070403190731</c:v>
                </c:pt>
                <c:pt idx="15">
                  <c:v>0.37710251185008387</c:v>
                </c:pt>
                <c:pt idx="16">
                  <c:v>0.82360386487276627</c:v>
                </c:pt>
                <c:pt idx="17">
                  <c:v>0</c:v>
                </c:pt>
                <c:pt idx="18">
                  <c:v>8.1751485869150875E-2</c:v>
                </c:pt>
                <c:pt idx="19">
                  <c:v>0.54092087737719019</c:v>
                </c:pt>
                <c:pt idx="20">
                  <c:v>0</c:v>
                </c:pt>
              </c:numCache>
            </c:numRef>
          </c:val>
          <c:extLst>
            <c:ext xmlns:c16="http://schemas.microsoft.com/office/drawing/2014/chart" uri="{C3380CC4-5D6E-409C-BE32-E72D297353CC}">
              <c16:uniqueId val="{00000002-2BCD-4E13-BA71-40C643EAA2D0}"/>
            </c:ext>
          </c:extLst>
        </c:ser>
        <c:ser>
          <c:idx val="2"/>
          <c:order val="1"/>
          <c:tx>
            <c:strRef>
              <c:f>'2Cross'!$I$40</c:f>
              <c:strCache>
                <c:ptCount val="1"/>
                <c:pt idx="0">
                  <c:v>Offset through other reforms</c:v>
                </c:pt>
              </c:strCache>
            </c:strRef>
          </c:tx>
          <c:spPr>
            <a:solidFill>
              <a:schemeClr val="bg2">
                <a:lumMod val="75000"/>
              </a:schemeClr>
            </a:solidFill>
            <a:ln>
              <a:noFill/>
            </a:ln>
          </c:spPr>
          <c:invertIfNegative val="0"/>
          <c:cat>
            <c:strLit>
              <c:ptCount val="21"/>
              <c:pt idx="0">
                <c:v>CY</c:v>
              </c:pt>
              <c:pt idx="1">
                <c:v>ES</c:v>
              </c:pt>
              <c:pt idx="2">
                <c:v>MT</c:v>
              </c:pt>
              <c:pt idx="3">
                <c:v>IT</c:v>
              </c:pt>
              <c:pt idx="4">
                <c:v>EE</c:v>
              </c:pt>
              <c:pt idx="5">
                <c:v>NL</c:v>
              </c:pt>
              <c:pt idx="6">
                <c:v>BE</c:v>
              </c:pt>
              <c:pt idx="7">
                <c:v>HU</c:v>
              </c:pt>
              <c:pt idx="8">
                <c:v>FI</c:v>
              </c:pt>
              <c:pt idx="9">
                <c:v>IE</c:v>
              </c:pt>
              <c:pt idx="10">
                <c:v>FR</c:v>
              </c:pt>
              <c:pt idx="11">
                <c:v>PT</c:v>
              </c:pt>
              <c:pt idx="12">
                <c:v>EL</c:v>
              </c:pt>
              <c:pt idx="13">
                <c:v>LU</c:v>
              </c:pt>
              <c:pt idx="14">
                <c:v>LT</c:v>
              </c:pt>
              <c:pt idx="15">
                <c:v>AT</c:v>
              </c:pt>
              <c:pt idx="16">
                <c:v>DE</c:v>
              </c:pt>
              <c:pt idx="17">
                <c:v>HR</c:v>
              </c:pt>
              <c:pt idx="18">
                <c:v>SI</c:v>
              </c:pt>
              <c:pt idx="19">
                <c:v>SK</c:v>
              </c:pt>
              <c:pt idx="20">
                <c:v>LV</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'2Cross'!$I$41:$I$69</c15:sqref>
                  </c15:fullRef>
                </c:ext>
              </c:extLst>
              <c:f>'2Cross'!$I$41:$I$61</c:f>
              <c:numCache>
                <c:formatCode>_(* #,##0.00_);_(* \(#,##0.00\);_(* "-"??_);_(@_)</c:formatCode>
                <c:ptCount val="21"/>
                <c:pt idx="0">
                  <c:v>0.22105967416499941</c:v>
                </c:pt>
                <c:pt idx="1">
                  <c:v>1.6534480092694759E-2</c:v>
                </c:pt>
                <c:pt idx="2">
                  <c:v>0.29774033762950308</c:v>
                </c:pt>
                <c:pt idx="3">
                  <c:v>0.39054979331442541</c:v>
                </c:pt>
                <c:pt idx="4">
                  <c:v>0.38853481617789981</c:v>
                </c:pt>
                <c:pt idx="5">
                  <c:v>4.5846234805671515E-2</c:v>
                </c:pt>
                <c:pt idx="6">
                  <c:v>-6.5512056931793738E-2</c:v>
                </c:pt>
                <c:pt idx="7">
                  <c:v>0.79049844306343386</c:v>
                </c:pt>
                <c:pt idx="8">
                  <c:v>0.20570525352727631</c:v>
                </c:pt>
                <c:pt idx="9">
                  <c:v>0.16411136427974926</c:v>
                </c:pt>
                <c:pt idx="10">
                  <c:v>0.81779174414153943</c:v>
                </c:pt>
                <c:pt idx="11">
                  <c:v>0.92838213804952197</c:v>
                </c:pt>
                <c:pt idx="12">
                  <c:v>1.1417229793993848</c:v>
                </c:pt>
                <c:pt idx="13">
                  <c:v>1.0391529797030623</c:v>
                </c:pt>
                <c:pt idx="14">
                  <c:v>-0.16076037562631718</c:v>
                </c:pt>
                <c:pt idx="15">
                  <c:v>0.98818557249027328</c:v>
                </c:pt>
                <c:pt idx="16">
                  <c:v>0.64223280550311312</c:v>
                </c:pt>
                <c:pt idx="17">
                  <c:v>1.4709264049789919</c:v>
                </c:pt>
                <c:pt idx="18">
                  <c:v>1.5107325211639075</c:v>
                </c:pt>
                <c:pt idx="19">
                  <c:v>1.3246770866191953</c:v>
                </c:pt>
                <c:pt idx="20">
                  <c:v>1.8881328948330414</c:v>
                </c:pt>
              </c:numCache>
            </c:numRef>
          </c:val>
          <c:extLst>
            <c:ext xmlns:c16="http://schemas.microsoft.com/office/drawing/2014/chart" uri="{C3380CC4-5D6E-409C-BE32-E72D297353CC}">
              <c16:uniqueId val="{00000003-2BCD-4E13-BA71-40C643EAA2D0}"/>
            </c:ext>
          </c:extLst>
        </c:ser>
        <c:ser>
          <c:idx val="1"/>
          <c:order val="2"/>
          <c:tx>
            <c:strRef>
              <c:f>'2Cross'!$H$40</c:f>
              <c:strCache>
                <c:ptCount val="1"/>
                <c:pt idx="0">
                  <c:v>Actual Fiscal Drag</c:v>
                </c:pt>
              </c:strCache>
            </c:strRef>
          </c:tx>
          <c:spPr>
            <a:solidFill>
              <a:schemeClr val="accent2">
                <a:lumMod val="75000"/>
              </a:schemeClr>
            </a:solidFill>
            <a:ln w="19050">
              <a:noFill/>
            </a:ln>
          </c:spPr>
          <c:invertIfNegative val="0"/>
          <c:cat>
            <c:strRef>
              <c:extLst>
                <c:ext xmlns:c15="http://schemas.microsoft.com/office/drawing/2012/chart" uri="{02D57815-91ED-43cb-92C2-25804820EDAC}">
                  <c15:fullRef>
                    <c15:sqref>'2Cross'!$F$41:$F$69</c15:sqref>
                  </c15:fullRef>
                </c:ext>
              </c:extLst>
              <c:f>'2Cross'!$F$41:$F$61</c:f>
              <c:strCache>
                <c:ptCount val="21"/>
                <c:pt idx="0">
                  <c:v>CY</c:v>
                </c:pt>
                <c:pt idx="1">
                  <c:v>ES</c:v>
                </c:pt>
                <c:pt idx="2">
                  <c:v>MT</c:v>
                </c:pt>
                <c:pt idx="3">
                  <c:v>IT</c:v>
                </c:pt>
                <c:pt idx="4">
                  <c:v>EE</c:v>
                </c:pt>
                <c:pt idx="5">
                  <c:v>NL</c:v>
                </c:pt>
                <c:pt idx="6">
                  <c:v>BE</c:v>
                </c:pt>
                <c:pt idx="7">
                  <c:v>HU</c:v>
                </c:pt>
                <c:pt idx="8">
                  <c:v>FI</c:v>
                </c:pt>
                <c:pt idx="9">
                  <c:v>IE</c:v>
                </c:pt>
                <c:pt idx="10">
                  <c:v>FR</c:v>
                </c:pt>
                <c:pt idx="11">
                  <c:v>PT</c:v>
                </c:pt>
                <c:pt idx="12">
                  <c:v>EL</c:v>
                </c:pt>
                <c:pt idx="13">
                  <c:v>LU</c:v>
                </c:pt>
                <c:pt idx="14">
                  <c:v>LT</c:v>
                </c:pt>
                <c:pt idx="15">
                  <c:v>AT</c:v>
                </c:pt>
                <c:pt idx="16">
                  <c:v>DE</c:v>
                </c:pt>
                <c:pt idx="17">
                  <c:v>HR</c:v>
                </c:pt>
                <c:pt idx="18">
                  <c:v>SI</c:v>
                </c:pt>
                <c:pt idx="19">
                  <c:v>SK</c:v>
                </c:pt>
                <c:pt idx="20">
                  <c:v>LV</c:v>
                </c:pt>
              </c:strCache>
            </c:strRef>
          </c:cat>
          <c:val>
            <c:numRef>
              <c:extLst>
                <c:ext xmlns:c15="http://schemas.microsoft.com/office/drawing/2012/chart" uri="{02D57815-91ED-43cb-92C2-25804820EDAC}">
                  <c15:fullRef>
                    <c15:sqref>'2Cross'!$H$41:$H$69</c15:sqref>
                  </c15:fullRef>
                </c:ext>
              </c:extLst>
              <c:f>'2Cross'!$H$41:$H$61</c:f>
              <c:numCache>
                <c:formatCode>0.00</c:formatCode>
                <c:ptCount val="21"/>
                <c:pt idx="0">
                  <c:v>0.77894032583500061</c:v>
                </c:pt>
                <c:pt idx="1">
                  <c:v>0.6993413204055412</c:v>
                </c:pt>
                <c:pt idx="2">
                  <c:v>0.60183653505003565</c:v>
                </c:pt>
                <c:pt idx="3">
                  <c:v>0.59385942984098405</c:v>
                </c:pt>
                <c:pt idx="4">
                  <c:v>0.34291326751584794</c:v>
                </c:pt>
                <c:pt idx="5">
                  <c:v>0.26823424124569151</c:v>
                </c:pt>
                <c:pt idx="6">
                  <c:v>0.21737584516988606</c:v>
                </c:pt>
                <c:pt idx="7">
                  <c:v>0.20960120065456689</c:v>
                </c:pt>
                <c:pt idx="8">
                  <c:v>0.14814063166807945</c:v>
                </c:pt>
                <c:pt idx="9">
                  <c:v>0.1039905464569596</c:v>
                </c:pt>
                <c:pt idx="10">
                  <c:v>0</c:v>
                </c:pt>
                <c:pt idx="11">
                  <c:v>0</c:v>
                </c:pt>
                <c:pt idx="12">
                  <c:v>0</c:v>
                </c:pt>
                <c:pt idx="13">
                  <c:v>0</c:v>
                </c:pt>
                <c:pt idx="14">
                  <c:v>0</c:v>
                </c:pt>
                <c:pt idx="15">
                  <c:v>0</c:v>
                </c:pt>
                <c:pt idx="16">
                  <c:v>0</c:v>
                </c:pt>
                <c:pt idx="17">
                  <c:v>0</c:v>
                </c:pt>
                <c:pt idx="18">
                  <c:v>0</c:v>
                </c:pt>
                <c:pt idx="19">
                  <c:v>0</c:v>
                </c:pt>
                <c:pt idx="20">
                  <c:v>0</c:v>
                </c:pt>
              </c:numCache>
            </c:numRef>
          </c:val>
          <c:extLst>
            <c:ext xmlns:c16="http://schemas.microsoft.com/office/drawing/2014/chart" uri="{C3380CC4-5D6E-409C-BE32-E72D297353CC}">
              <c16:uniqueId val="{00000000-2BCD-4E13-BA71-40C643EAA2D0}"/>
            </c:ext>
          </c:extLst>
        </c:ser>
        <c:dLbls>
          <c:showLegendKey val="0"/>
          <c:showVal val="0"/>
          <c:showCatName val="0"/>
          <c:showSerName val="0"/>
          <c:showPercent val="0"/>
          <c:showBubbleSize val="0"/>
        </c:dLbls>
        <c:gapWidth val="50"/>
        <c:overlap val="100"/>
        <c:axId val="844305855"/>
        <c:axId val="892036479"/>
      </c:barChart>
      <c:lineChart>
        <c:grouping val="standard"/>
        <c:varyColors val="0"/>
        <c:ser>
          <c:idx val="3"/>
          <c:order val="3"/>
          <c:tx>
            <c:strRef>
              <c:f>'2Cross'!$G$40</c:f>
              <c:strCache>
                <c:ptCount val="1"/>
                <c:pt idx="0">
                  <c:v>Offset Fiscal Drag</c:v>
                </c:pt>
              </c:strCache>
            </c:strRef>
          </c:tx>
          <c:spPr>
            <a:ln>
              <a:noFill/>
            </a:ln>
          </c:spPr>
          <c:marker>
            <c:symbol val="circle"/>
            <c:size val="6"/>
            <c:spPr>
              <a:solidFill>
                <a:schemeClr val="tx1"/>
              </a:solidFill>
              <a:ln>
                <a:solidFill>
                  <a:schemeClr val="tx1"/>
                </a:solidFill>
              </a:ln>
            </c:spPr>
          </c:marker>
          <c:dLbls>
            <c:dLbl>
              <c:idx val="0"/>
              <c:layout>
                <c:manualLayout>
                  <c:x val="-4.6243284656867979E-2"/>
                  <c:y val="-0.25190507344090762"/>
                </c:manualLayout>
              </c:layout>
              <c:tx>
                <c:rich>
                  <a:bodyPr/>
                  <a:lstStyle/>
                  <a:p>
                    <a:r>
                      <a:rPr lang="en-US"/>
                      <a:t>Full offset of potential fiscal drag</a:t>
                    </a:r>
                  </a:p>
                </c:rich>
              </c:tx>
              <c:showLegendKey val="0"/>
              <c:showVal val="1"/>
              <c:showCatName val="0"/>
              <c:showSerName val="0"/>
              <c:showPercent val="0"/>
              <c:showBubbleSize val="0"/>
              <c:extLst>
                <c:ext xmlns:c15="http://schemas.microsoft.com/office/drawing/2012/chart" uri="{CE6537A1-D6FC-4f65-9D91-7224C49458BB}">
                  <c15:layout>
                    <c:manualLayout>
                      <c:w val="0.39714820940604262"/>
                      <c:h val="6.0877059414886005E-2"/>
                    </c:manualLayout>
                  </c15:layout>
                  <c15:showDataLabelsRange val="0"/>
                </c:ext>
                <c:ext xmlns:c16="http://schemas.microsoft.com/office/drawing/2014/chart" uri="{C3380CC4-5D6E-409C-BE32-E72D297353CC}">
                  <c16:uniqueId val="{00000000-F8D6-43E1-95AC-954ABFD616D2}"/>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cat>
            <c:strLit>
              <c:ptCount val="21"/>
              <c:pt idx="0">
                <c:v>CY</c:v>
              </c:pt>
              <c:pt idx="1">
                <c:v>ES</c:v>
              </c:pt>
              <c:pt idx="2">
                <c:v>MT</c:v>
              </c:pt>
              <c:pt idx="3">
                <c:v>IT</c:v>
              </c:pt>
              <c:pt idx="4">
                <c:v>EE</c:v>
              </c:pt>
              <c:pt idx="5">
                <c:v>NL</c:v>
              </c:pt>
              <c:pt idx="6">
                <c:v>BE</c:v>
              </c:pt>
              <c:pt idx="7">
                <c:v>HU</c:v>
              </c:pt>
              <c:pt idx="8">
                <c:v>FI</c:v>
              </c:pt>
              <c:pt idx="9">
                <c:v>IE</c:v>
              </c:pt>
              <c:pt idx="10">
                <c:v>FR</c:v>
              </c:pt>
              <c:pt idx="11">
                <c:v>PT</c:v>
              </c:pt>
              <c:pt idx="12">
                <c:v>EL</c:v>
              </c:pt>
              <c:pt idx="13">
                <c:v>LU</c:v>
              </c:pt>
              <c:pt idx="14">
                <c:v>LT</c:v>
              </c:pt>
              <c:pt idx="15">
                <c:v>AT</c:v>
              </c:pt>
              <c:pt idx="16">
                <c:v>DE</c:v>
              </c:pt>
              <c:pt idx="17">
                <c:v>HR</c:v>
              </c:pt>
              <c:pt idx="18">
                <c:v>SI</c:v>
              </c:pt>
              <c:pt idx="19">
                <c:v>SK</c:v>
              </c:pt>
              <c:pt idx="20">
                <c:v>LV</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'2Cross'!$G$41:$G$69</c15:sqref>
                  </c15:fullRef>
                </c:ext>
              </c:extLst>
              <c:f>'2Cross'!$G$41:$G$61</c:f>
              <c:numCache>
                <c:formatCode>_(* #,##0.00_);_(* \(#,##0.00\);_(* "-"??_);_(@_)</c:formatCode>
                <c:ptCount val="21"/>
                <c:pt idx="0">
                  <c:v>0.22105967416499941</c:v>
                </c:pt>
                <c:pt idx="1">
                  <c:v>0.30065867959445886</c:v>
                </c:pt>
                <c:pt idx="2">
                  <c:v>0.3981634649499643</c:v>
                </c:pt>
                <c:pt idx="3">
                  <c:v>0.40614057015901595</c:v>
                </c:pt>
                <c:pt idx="4">
                  <c:v>0.65708673248415206</c:v>
                </c:pt>
                <c:pt idx="5">
                  <c:v>0.73176575875430849</c:v>
                </c:pt>
                <c:pt idx="6">
                  <c:v>0.78262415483011394</c:v>
                </c:pt>
                <c:pt idx="7">
                  <c:v>0.79039879934543311</c:v>
                </c:pt>
                <c:pt idx="8">
                  <c:v>0.85185936833192055</c:v>
                </c:pt>
                <c:pt idx="9">
                  <c:v>0.8960094535430404</c:v>
                </c:pt>
                <c:pt idx="10">
                  <c:v>1.0725816551155176</c:v>
                </c:pt>
                <c:pt idx="11">
                  <c:v>1.077410006737954</c:v>
                </c:pt>
                <c:pt idx="12">
                  <c:v>1.1418819070494353</c:v>
                </c:pt>
                <c:pt idx="13">
                  <c:v>1.2083089683906316</c:v>
                </c:pt>
                <c:pt idx="14">
                  <c:v>1.2380466646927559</c:v>
                </c:pt>
                <c:pt idx="15">
                  <c:v>1.3652880843403572</c:v>
                </c:pt>
                <c:pt idx="16">
                  <c:v>1.4658366703758794</c:v>
                </c:pt>
                <c:pt idx="17">
                  <c:v>1.4709264049789919</c:v>
                </c:pt>
                <c:pt idx="18">
                  <c:v>1.5924840070330584</c:v>
                </c:pt>
                <c:pt idx="19">
                  <c:v>1.8655979639963853</c:v>
                </c:pt>
                <c:pt idx="20">
                  <c:v>1.8881328948330414</c:v>
                </c:pt>
              </c:numCache>
            </c:numRef>
          </c:val>
          <c:smooth val="0"/>
          <c:extLst>
            <c:ext xmlns:c16="http://schemas.microsoft.com/office/drawing/2014/chart" uri="{C3380CC4-5D6E-409C-BE32-E72D297353CC}">
              <c16:uniqueId val="{00000000-CF92-42C8-97AF-90A4EDC64129}"/>
            </c:ext>
          </c:extLst>
        </c:ser>
        <c:dLbls>
          <c:showLegendKey val="0"/>
          <c:showVal val="0"/>
          <c:showCatName val="0"/>
          <c:showSerName val="0"/>
          <c:showPercent val="0"/>
          <c:showBubbleSize val="0"/>
        </c:dLbls>
        <c:marker val="1"/>
        <c:smooth val="0"/>
        <c:axId val="844305855"/>
        <c:axId val="892036479"/>
      </c:lineChart>
      <c:catAx>
        <c:axId val="844305855"/>
        <c:scaling>
          <c:orientation val="minMax"/>
        </c:scaling>
        <c:delete val="0"/>
        <c:axPos val="b"/>
        <c:numFmt formatCode="General" sourceLinked="1"/>
        <c:majorTickMark val="none"/>
        <c:minorTickMark val="none"/>
        <c:tickLblPos val="low"/>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crossAx val="892036479"/>
        <c:crossesAt val="0"/>
        <c:auto val="1"/>
        <c:lblAlgn val="ctr"/>
        <c:lblOffset val="100"/>
        <c:noMultiLvlLbl val="0"/>
      </c:catAx>
      <c:valAx>
        <c:axId val="892036479"/>
        <c:scaling>
          <c:orientation val="minMax"/>
          <c:max val="1.9"/>
          <c:min val="-0.2"/>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s-ES_tradnl" sz="1050"/>
                  <a:t>100 = potential fiscal drag</a:t>
                </a:r>
              </a:p>
            </c:rich>
          </c:tx>
          <c:overlay val="0"/>
          <c:spPr>
            <a:noFill/>
            <a:ln>
              <a:noFill/>
            </a:ln>
            <a:effectLst/>
          </c:sp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crossAx val="844305855"/>
        <c:crosses val="autoZero"/>
        <c:crossBetween val="between"/>
        <c:majorUnit val="0.2"/>
      </c:valAx>
    </c:plotArea>
    <c:legend>
      <c:legendPos val="b"/>
      <c:layout>
        <c:manualLayout>
          <c:xMode val="edge"/>
          <c:yMode val="edge"/>
          <c:x val="1.3189472197954077E-2"/>
          <c:y val="0.80686064386488099"/>
          <c:w val="0.91394771560121346"/>
          <c:h val="0.13498098020876481"/>
        </c:manualLayout>
      </c:layout>
      <c:overlay val="0"/>
      <c:spPr>
        <a:noFill/>
        <a:ln>
          <a:noFill/>
        </a:ln>
        <a:effectLst/>
      </c:spPr>
      <c:txPr>
        <a:bodyPr rot="0" spcFirstLastPara="1" vertOverflow="ellipsis" vert="horz" wrap="square" anchor="ctr" anchorCtr="1"/>
        <a:lstStyle/>
        <a:p>
          <a:pPr>
            <a:defRPr sz="9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legend>
    <c:plotVisOnly val="1"/>
    <c:dispBlanksAs val="gap"/>
    <c:showDLblsOverMax val="0"/>
    <c:extLst/>
  </c:chart>
  <c:spPr>
    <a:solidFill>
      <a:schemeClr val="bg1"/>
    </a:solidFill>
    <a:ln w="9525" cap="flat" cmpd="sng" algn="ctr">
      <a:noFill/>
      <a:round/>
    </a:ln>
    <a:effectLst/>
  </c:spPr>
  <c:txPr>
    <a:bodyPr/>
    <a:lstStyle/>
    <a:p>
      <a:pPr>
        <a:defRPr>
          <a:solidFill>
            <a:sysClr val="windowText" lastClr="000000"/>
          </a:solidFill>
          <a:latin typeface="Times New Roman" panose="02020603050405020304" pitchFamily="18" charset="0"/>
          <a:cs typeface="Times New Roman" panose="02020603050405020304" pitchFamily="18" charset="0"/>
        </a:defRPr>
      </a:pPr>
      <a:endParaRPr lang="es-ES_tradnl"/>
    </a:p>
  </c:txPr>
  <c:printSettings>
    <c:headerFooter/>
    <c:pageMargins b="0.75" l="0.25" r="0.25" t="0.75" header="0.3" footer="0.3"/>
    <c:pageSetup paperSize="9" orientation="landscape"/>
  </c:printSettings>
  <c:userShapes r:id="rId1"/>
  <c:extLst/>
</c:chartSpace>
</file>

<file path=xl/charts/chart9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28575" cap="rnd">
            <a:noFill/>
            <a:round/>
          </a:ln>
          <a:effectLst/>
        </c:spPr>
        <c:marker>
          <c:symbol val="dash"/>
          <c:size val="7"/>
          <c:spPr>
            <a:solidFill>
              <a:srgbClr val="3B3838"/>
            </a:solidFill>
            <a:ln w="9525">
              <a:solidFill>
                <a:srgbClr val="3B3838"/>
              </a:solidFill>
            </a:ln>
            <a:effectLst/>
          </c:spPr>
        </c:marker>
        <c:dLbl>
          <c:idx val="0"/>
          <c:delete val="1"/>
          <c:extLst>
            <c:ext xmlns:c15="http://schemas.microsoft.com/office/drawing/2012/chart" uri="{CE6537A1-D6FC-4f65-9D91-7224C49458BB}"/>
          </c:extLst>
        </c:dLbl>
      </c:pivotFmt>
      <c:pivotFmt>
        <c:idx val="1"/>
        <c:spPr>
          <a:solidFill>
            <a:srgbClr val="E7E6E6"/>
          </a:solidFill>
          <a:ln w="25400">
            <a:noFill/>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2"/>
        <c:spPr>
          <a:solidFill>
            <a:srgbClr val="ED7D31"/>
          </a:solidFill>
          <a:ln w="25400">
            <a:noFill/>
          </a:ln>
          <a:effectLst/>
        </c:spPr>
        <c:marker>
          <c:symbol val="circle"/>
          <c:size val="5"/>
          <c:spPr>
            <a:solidFill>
              <a:schemeClr val="accent3"/>
            </a:solidFill>
            <a:ln w="9525">
              <a:solidFill>
                <a:schemeClr val="accent3"/>
              </a:solidFill>
            </a:ln>
            <a:effectLst/>
          </c:spPr>
        </c:marker>
        <c:dLbl>
          <c:idx val="0"/>
          <c:delete val="1"/>
          <c:extLst>
            <c:ext xmlns:c15="http://schemas.microsoft.com/office/drawing/2012/chart" uri="{CE6537A1-D6FC-4f65-9D91-7224C49458BB}"/>
          </c:extLst>
        </c:dLbl>
      </c:pivotFmt>
      <c:pivotFmt>
        <c:idx val="3"/>
        <c:spPr>
          <a:solidFill>
            <a:srgbClr val="2F5597"/>
          </a:solidFill>
          <a:ln w="25400">
            <a:noFill/>
          </a:ln>
          <a:effectLst/>
        </c:spPr>
        <c:marker>
          <c:symbol val="circle"/>
          <c:size val="5"/>
          <c:spPr>
            <a:solidFill>
              <a:schemeClr val="accent4"/>
            </a:solidFill>
            <a:ln w="9525">
              <a:solidFill>
                <a:schemeClr val="accent4"/>
              </a:solidFill>
            </a:ln>
            <a:effectLst/>
          </c:spPr>
        </c:marker>
        <c:dLbl>
          <c:idx val="0"/>
          <c:delete val="1"/>
          <c:extLst>
            <c:ext xmlns:c15="http://schemas.microsoft.com/office/drawing/2012/chart" uri="{CE6537A1-D6FC-4f65-9D91-7224C49458BB}"/>
          </c:extLst>
        </c:dLbl>
      </c:pivotFmt>
      <c:pivotFmt>
        <c:idx val="4"/>
        <c:spPr>
          <a:solidFill>
            <a:srgbClr val="4472C4"/>
          </a:solidFill>
          <a:ln>
            <a:noFill/>
          </a:ln>
          <a:effectLst/>
        </c:spPr>
        <c:marker>
          <c:symbol val="none"/>
        </c:marker>
        <c:dLbl>
          <c:idx val="0"/>
          <c:delete val="1"/>
          <c:extLst>
            <c:ext xmlns:c15="http://schemas.microsoft.com/office/drawing/2012/chart" uri="{CE6537A1-D6FC-4f65-9D91-7224C49458BB}"/>
          </c:extLst>
        </c:dLbl>
      </c:pivotFmt>
      <c:pivotFmt>
        <c:idx val="5"/>
        <c:spPr>
          <a:solidFill>
            <a:srgbClr val="8FAADC"/>
          </a:solidFill>
          <a:ln>
            <a:noFill/>
          </a:ln>
          <a:effectLst/>
        </c:spPr>
        <c:marker>
          <c:symbol val="none"/>
        </c:marker>
        <c:dLbl>
          <c:idx val="0"/>
          <c:delete val="1"/>
          <c:extLst>
            <c:ext xmlns:c15="http://schemas.microsoft.com/office/drawing/2012/chart" uri="{CE6537A1-D6FC-4f65-9D91-7224C49458BB}"/>
          </c:extLst>
        </c:dLbl>
      </c:pivotFmt>
      <c:pivotFmt>
        <c:idx val="6"/>
        <c:spPr>
          <a:solidFill>
            <a:srgbClr val="DAE3F3"/>
          </a:solidFill>
          <a:ln>
            <a:noFill/>
          </a:ln>
          <a:effectLst/>
        </c:spPr>
        <c:marker>
          <c:symbol val="none"/>
        </c:marker>
        <c:dLbl>
          <c:idx val="0"/>
          <c:delete val="1"/>
          <c:extLst>
            <c:ext xmlns:c15="http://schemas.microsoft.com/office/drawing/2012/chart" uri="{CE6537A1-D6FC-4f65-9D91-7224C49458BB}"/>
          </c:extLst>
        </c:dLbl>
      </c:pivotFmt>
      <c:pivotFmt>
        <c:idx val="7"/>
        <c:spPr>
          <a:solidFill>
            <a:srgbClr val="DAE3F3"/>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w="25400">
            <a:noFill/>
          </a:ln>
          <a:effectLst/>
        </c:spPr>
        <c:marker>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9"/>
        <c:spPr>
          <a:solidFill>
            <a:schemeClr val="accent1"/>
          </a:solidFill>
          <a:ln w="28575" cap="rnd">
            <a:noFill/>
            <a:round/>
          </a:ln>
          <a:effectLst/>
        </c:spPr>
        <c:marker>
          <c:symbol val="dash"/>
          <c:size val="7"/>
          <c:spPr>
            <a:solidFill>
              <a:srgbClr val="3B3838"/>
            </a:solidFill>
            <a:ln w="9525">
              <a:solidFill>
                <a:srgbClr val="3B3838"/>
              </a:solidFill>
            </a:ln>
            <a:effectLst/>
          </c:spPr>
        </c:marker>
      </c:pivotFmt>
      <c:pivotFmt>
        <c:idx val="10"/>
        <c:spPr>
          <a:solidFill>
            <a:srgbClr val="E7E6E6"/>
          </a:solidFill>
          <a:ln w="25400">
            <a:noFill/>
          </a:ln>
          <a:effectLst/>
        </c:spPr>
        <c:marker>
          <c:symbol val="none"/>
        </c:marker>
        <c:dLbl>
          <c:idx val="0"/>
          <c:delete val="1"/>
          <c:extLst>
            <c:ext xmlns:c15="http://schemas.microsoft.com/office/drawing/2012/chart" uri="{CE6537A1-D6FC-4f65-9D91-7224C49458BB}"/>
          </c:extLst>
        </c:dLbl>
      </c:pivotFmt>
      <c:pivotFmt>
        <c:idx val="11"/>
        <c:spPr>
          <a:solidFill>
            <a:srgbClr val="ED7D31"/>
          </a:solidFill>
          <a:ln w="25400">
            <a:noFill/>
          </a:ln>
          <a:effectLst/>
        </c:spPr>
        <c:marker>
          <c:symbol val="none"/>
        </c:marker>
        <c:dLbl>
          <c:idx val="0"/>
          <c:delete val="1"/>
          <c:extLst>
            <c:ext xmlns:c15="http://schemas.microsoft.com/office/drawing/2012/chart" uri="{CE6537A1-D6FC-4f65-9D91-7224C49458BB}"/>
          </c:extLst>
        </c:dLbl>
      </c:pivotFmt>
      <c:pivotFmt>
        <c:idx val="12"/>
        <c:spPr>
          <a:solidFill>
            <a:srgbClr val="2F5597"/>
          </a:solidFill>
          <a:ln w="25400">
            <a:noFill/>
          </a:ln>
          <a:effectLst/>
        </c:spPr>
        <c:marker>
          <c:symbol val="none"/>
        </c:marker>
        <c:dLbl>
          <c:idx val="0"/>
          <c:delete val="1"/>
          <c:extLst>
            <c:ext xmlns:c15="http://schemas.microsoft.com/office/drawing/2012/chart" uri="{CE6537A1-D6FC-4f65-9D91-7224C49458BB}"/>
          </c:extLst>
        </c:dLbl>
      </c:pivotFmt>
      <c:pivotFmt>
        <c:idx val="13"/>
        <c:spPr>
          <a:solidFill>
            <a:srgbClr val="4472C4"/>
          </a:solidFill>
          <a:ln>
            <a:noFill/>
          </a:ln>
          <a:effectLst/>
        </c:spPr>
        <c:marker>
          <c:symbol val="none"/>
        </c:marker>
        <c:dLbl>
          <c:idx val="0"/>
          <c:delete val="1"/>
          <c:extLst>
            <c:ext xmlns:c15="http://schemas.microsoft.com/office/drawing/2012/chart" uri="{CE6537A1-D6FC-4f65-9D91-7224C49458BB}"/>
          </c:extLst>
        </c:dLbl>
      </c:pivotFmt>
      <c:pivotFmt>
        <c:idx val="14"/>
        <c:spPr>
          <a:solidFill>
            <a:srgbClr val="8FAADC"/>
          </a:solidFill>
          <a:ln>
            <a:noFill/>
          </a:ln>
          <a:effectLst/>
        </c:spPr>
        <c:marker>
          <c:symbol val="none"/>
        </c:marker>
        <c:dLbl>
          <c:idx val="0"/>
          <c:delete val="1"/>
          <c:extLst>
            <c:ext xmlns:c15="http://schemas.microsoft.com/office/drawing/2012/chart" uri="{CE6537A1-D6FC-4f65-9D91-7224C49458BB}"/>
          </c:extLst>
        </c:dLbl>
      </c:pivotFmt>
      <c:pivotFmt>
        <c:idx val="15"/>
        <c:spPr>
          <a:solidFill>
            <a:srgbClr val="DAE3F3"/>
          </a:solidFill>
          <a:ln>
            <a:noFill/>
          </a:ln>
          <a:effectLst/>
        </c:spPr>
        <c:marker>
          <c:symbol val="none"/>
        </c:marker>
        <c:dLbl>
          <c:idx val="0"/>
          <c:delete val="1"/>
          <c:extLst>
            <c:ext xmlns:c15="http://schemas.microsoft.com/office/drawing/2012/chart" uri="{CE6537A1-D6FC-4f65-9D91-7224C49458BB}"/>
          </c:extLst>
        </c:dLbl>
      </c:pivotFmt>
      <c:pivotFmt>
        <c:idx val="16"/>
        <c:spPr>
          <a:solidFill>
            <a:srgbClr val="DAE3F3"/>
          </a:solidFill>
          <a:ln>
            <a:noFill/>
          </a:ln>
          <a:effectLst/>
        </c:spPr>
        <c:marker>
          <c:symbol val="none"/>
        </c:marker>
        <c:dLbl>
          <c:idx val="0"/>
          <c:delete val="1"/>
          <c:extLst>
            <c:ext xmlns:c15="http://schemas.microsoft.com/office/drawing/2012/chart" uri="{CE6537A1-D6FC-4f65-9D91-7224C49458BB}"/>
          </c:extLst>
        </c:dLbl>
      </c:pivotFmt>
      <c:pivotFmt>
        <c:idx val="17"/>
        <c:spPr>
          <a:solidFill>
            <a:schemeClr val="accent1"/>
          </a:solidFill>
          <a:ln w="28575" cap="rnd">
            <a:noFill/>
            <a:round/>
          </a:ln>
          <a:effectLst/>
        </c:spPr>
        <c:marker>
          <c:symbol val="dash"/>
          <c:size val="7"/>
          <c:spPr>
            <a:solidFill>
              <a:srgbClr val="3B3838"/>
            </a:solidFill>
            <a:ln w="9525">
              <a:solidFill>
                <a:srgbClr val="3B3838"/>
              </a:solidFill>
            </a:ln>
            <a:effectLst/>
          </c:spPr>
        </c:marker>
        <c:dLbl>
          <c:idx val="0"/>
          <c:delete val="1"/>
          <c:extLst>
            <c:ext xmlns:c15="http://schemas.microsoft.com/office/drawing/2012/chart" uri="{CE6537A1-D6FC-4f65-9D91-7224C49458BB}"/>
          </c:extLst>
        </c:dLbl>
      </c:pivotFmt>
      <c:pivotFmt>
        <c:idx val="18"/>
        <c:spPr>
          <a:solidFill>
            <a:srgbClr val="2F5597"/>
          </a:solidFill>
          <a:ln>
            <a:noFill/>
          </a:ln>
          <a:effectLst/>
        </c:spPr>
        <c:marker>
          <c:symbol val="none"/>
        </c:marker>
        <c:dLbl>
          <c:idx val="0"/>
          <c:delete val="1"/>
          <c:extLst>
            <c:ext xmlns:c15="http://schemas.microsoft.com/office/drawing/2012/chart" uri="{CE6537A1-D6FC-4f65-9D91-7224C49458BB}"/>
          </c:extLst>
        </c:dLbl>
      </c:pivotFmt>
      <c:pivotFmt>
        <c:idx val="19"/>
        <c:spPr>
          <a:solidFill>
            <a:srgbClr val="ED7D31"/>
          </a:solidFill>
          <a:ln>
            <a:noFill/>
          </a:ln>
          <a:effectLst/>
        </c:spPr>
        <c:marker>
          <c:symbol val="none"/>
        </c:marker>
        <c:dLbl>
          <c:idx val="0"/>
          <c:delete val="1"/>
          <c:extLst>
            <c:ext xmlns:c15="http://schemas.microsoft.com/office/drawing/2012/chart" uri="{CE6537A1-D6FC-4f65-9D91-7224C49458BB}"/>
          </c:extLst>
        </c:dLbl>
      </c:pivotFmt>
      <c:pivotFmt>
        <c:idx val="20"/>
        <c:spPr>
          <a:solidFill>
            <a:schemeClr val="accent5">
              <a:lumMod val="40000"/>
              <a:lumOff val="60000"/>
            </a:schemeClr>
          </a:solidFill>
          <a:ln w="9525">
            <a:noFill/>
          </a:ln>
          <a:effectLst/>
        </c:spPr>
        <c:marker>
          <c:symbol val="none"/>
        </c:marker>
        <c:dLbl>
          <c:idx val="0"/>
          <c:delete val="1"/>
          <c:extLst>
            <c:ext xmlns:c15="http://schemas.microsoft.com/office/drawing/2012/chart" uri="{CE6537A1-D6FC-4f65-9D91-7224C49458BB}"/>
          </c:extLst>
        </c:dLbl>
      </c:pivotFmt>
      <c:pivotFmt>
        <c:idx val="21"/>
        <c:spPr>
          <a:solidFill>
            <a:schemeClr val="bg2">
              <a:lumMod val="75000"/>
            </a:schemeClr>
          </a:solidFill>
          <a:ln w="6350">
            <a:noFill/>
          </a:ln>
          <a:effectLst/>
        </c:spPr>
        <c:marker>
          <c:symbol val="none"/>
        </c:marker>
        <c:dLbl>
          <c:idx val="0"/>
          <c:delete val="1"/>
          <c:extLst>
            <c:ext xmlns:c15="http://schemas.microsoft.com/office/drawing/2012/chart" uri="{CE6537A1-D6FC-4f65-9D91-7224C49458BB}"/>
          </c:extLst>
        </c:dLbl>
      </c:pivotFmt>
      <c:pivotFmt>
        <c:idx val="22"/>
        <c:spPr>
          <a:solidFill>
            <a:schemeClr val="bg2">
              <a:lumMod val="75000"/>
            </a:schemeClr>
          </a:solidFill>
          <a:ln w="6350">
            <a:noFill/>
          </a:ln>
          <a:effectLst/>
        </c:spPr>
      </c:pivotFmt>
      <c:pivotFmt>
        <c:idx val="23"/>
        <c:spPr>
          <a:solidFill>
            <a:srgbClr val="2F5597"/>
          </a:solidFill>
          <a:ln>
            <a:noFill/>
          </a:ln>
          <a:effectLst/>
        </c:spPr>
        <c:marker>
          <c:symbol val="none"/>
        </c:marker>
        <c:dLbl>
          <c:idx val="0"/>
          <c:delete val="1"/>
          <c:extLst>
            <c:ext xmlns:c15="http://schemas.microsoft.com/office/drawing/2012/chart" uri="{CE6537A1-D6FC-4f65-9D91-7224C49458BB}"/>
          </c:extLst>
        </c:dLbl>
      </c:pivotFmt>
      <c:pivotFmt>
        <c:idx val="24"/>
        <c:spPr>
          <a:solidFill>
            <a:srgbClr val="ED7D31"/>
          </a:solidFill>
          <a:ln>
            <a:noFill/>
          </a:ln>
          <a:effectLst/>
        </c:spPr>
        <c:marker>
          <c:symbol val="none"/>
        </c:marker>
        <c:dLbl>
          <c:idx val="0"/>
          <c:delete val="1"/>
          <c:extLst>
            <c:ext xmlns:c15="http://schemas.microsoft.com/office/drawing/2012/chart" uri="{CE6537A1-D6FC-4f65-9D91-7224C49458BB}"/>
          </c:extLst>
        </c:dLbl>
      </c:pivotFmt>
      <c:pivotFmt>
        <c:idx val="25"/>
        <c:spPr>
          <a:solidFill>
            <a:schemeClr val="accent5">
              <a:lumMod val="40000"/>
              <a:lumOff val="60000"/>
            </a:schemeClr>
          </a:solidFill>
          <a:ln w="9525">
            <a:noFill/>
          </a:ln>
          <a:effectLst/>
        </c:spPr>
        <c:marker>
          <c:symbol val="none"/>
        </c:marker>
        <c:dLbl>
          <c:idx val="0"/>
          <c:delete val="1"/>
          <c:extLst>
            <c:ext xmlns:c15="http://schemas.microsoft.com/office/drawing/2012/chart" uri="{CE6537A1-D6FC-4f65-9D91-7224C49458BB}"/>
          </c:extLst>
        </c:dLbl>
      </c:pivotFmt>
      <c:pivotFmt>
        <c:idx val="26"/>
        <c:spPr>
          <a:solidFill>
            <a:schemeClr val="bg2">
              <a:lumMod val="75000"/>
            </a:schemeClr>
          </a:solidFill>
          <a:ln w="6350">
            <a:noFill/>
          </a:ln>
          <a:effectLst/>
        </c:spPr>
        <c:marker>
          <c:symbol val="none"/>
        </c:marker>
        <c:dLbl>
          <c:idx val="0"/>
          <c:delete val="1"/>
          <c:extLst>
            <c:ext xmlns:c15="http://schemas.microsoft.com/office/drawing/2012/chart" uri="{CE6537A1-D6FC-4f65-9D91-7224C49458BB}"/>
          </c:extLst>
        </c:dLbl>
      </c:pivotFmt>
      <c:pivotFmt>
        <c:idx val="27"/>
        <c:spPr>
          <a:solidFill>
            <a:schemeClr val="accent1"/>
          </a:solidFill>
          <a:ln w="28575" cap="rnd">
            <a:noFill/>
            <a:round/>
          </a:ln>
          <a:effectLst/>
        </c:spPr>
        <c:marker>
          <c:symbol val="diamond"/>
          <c:size val="6"/>
          <c:spPr>
            <a:solidFill>
              <a:schemeClr val="accent1">
                <a:lumMod val="50000"/>
              </a:schemeClr>
            </a:solidFill>
            <a:ln w="9525">
              <a:solidFill>
                <a:schemeClr val="accent1">
                  <a:lumMod val="50000"/>
                </a:schemeClr>
              </a:solidFill>
            </a:ln>
            <a:effectLst/>
          </c:spPr>
        </c:marker>
        <c:dLbl>
          <c:idx val="0"/>
          <c:delete val="1"/>
          <c:extLst>
            <c:ext xmlns:c15="http://schemas.microsoft.com/office/drawing/2012/chart" uri="{CE6537A1-D6FC-4f65-9D91-7224C49458BB}"/>
          </c:extLst>
        </c:dLbl>
      </c:pivotFmt>
      <c:pivotFmt>
        <c:idx val="28"/>
        <c:spPr>
          <a:solidFill>
            <a:schemeClr val="accent1"/>
          </a:solidFill>
          <a:ln w="28575" cap="rnd">
            <a:noFill/>
            <a:round/>
          </a:ln>
          <a:effectLst/>
        </c:spPr>
        <c:marker>
          <c:symbol val="triangle"/>
          <c:size val="5"/>
          <c:spPr>
            <a:solidFill>
              <a:schemeClr val="accent2">
                <a:lumMod val="75000"/>
              </a:schemeClr>
            </a:solidFill>
            <a:ln w="9525">
              <a:solidFill>
                <a:schemeClr val="accent2">
                  <a:lumMod val="75000"/>
                </a:schemeClr>
              </a:solidFill>
            </a:ln>
            <a:effectLst/>
          </c:spPr>
        </c:marker>
        <c:dLbl>
          <c:idx val="0"/>
          <c:delete val="1"/>
          <c:extLst>
            <c:ext xmlns:c15="http://schemas.microsoft.com/office/drawing/2012/chart" uri="{CE6537A1-D6FC-4f65-9D91-7224C49458BB}"/>
          </c:extLst>
        </c:dLbl>
      </c:pivotFmt>
      <c:pivotFmt>
        <c:idx val="29"/>
        <c:spPr>
          <a:solidFill>
            <a:schemeClr val="accent1"/>
          </a:solidFill>
          <a:ln w="28575" cap="rnd">
            <a:noFill/>
            <a:round/>
          </a:ln>
          <a:effectLst/>
        </c:spPr>
        <c:marker>
          <c:symbol val="circle"/>
          <c:size val="5"/>
          <c:spPr>
            <a:solidFill>
              <a:schemeClr val="accent6">
                <a:lumMod val="75000"/>
              </a:schemeClr>
            </a:solidFill>
            <a:ln w="9525">
              <a:solidFill>
                <a:schemeClr val="accent6">
                  <a:lumMod val="75000"/>
                </a:schemeClr>
              </a:solidFill>
            </a:ln>
            <a:effectLst/>
          </c:spPr>
        </c:marker>
        <c:dLbl>
          <c:idx val="0"/>
          <c:delete val="1"/>
          <c:extLst>
            <c:ext xmlns:c15="http://schemas.microsoft.com/office/drawing/2012/chart" uri="{CE6537A1-D6FC-4f65-9D91-7224C49458BB}"/>
          </c:extLst>
        </c:dLbl>
      </c:pivotFmt>
      <c:pivotFmt>
        <c:idx val="30"/>
        <c:spPr>
          <a:solidFill>
            <a:schemeClr val="accent1"/>
          </a:solidFill>
          <a:ln w="28575" cap="rnd">
            <a:noFill/>
            <a:round/>
          </a:ln>
          <a:effectLst/>
        </c:spPr>
        <c:marker>
          <c:symbol val="square"/>
          <c:size val="5"/>
          <c:spPr>
            <a:solidFill>
              <a:srgbClr val="FFC000"/>
            </a:solidFill>
            <a:ln w="9525">
              <a:solidFill>
                <a:srgbClr val="FFC000"/>
              </a:solidFill>
            </a:ln>
            <a:effectLst/>
          </c:spPr>
        </c:marker>
        <c:dLbl>
          <c:idx val="0"/>
          <c:delete val="1"/>
          <c:extLst>
            <c:ext xmlns:c15="http://schemas.microsoft.com/office/drawing/2012/chart" uri="{CE6537A1-D6FC-4f65-9D91-7224C49458BB}"/>
          </c:extLst>
        </c:dLbl>
      </c:pivotFmt>
    </c:pivotFmts>
    <c:plotArea>
      <c:layout>
        <c:manualLayout>
          <c:layoutTarget val="inner"/>
          <c:xMode val="edge"/>
          <c:yMode val="edge"/>
          <c:x val="0.11863969827883356"/>
          <c:y val="9.0790308745776024E-2"/>
          <c:w val="0.85090620715276022"/>
          <c:h val="0.59008160117542108"/>
        </c:manualLayout>
      </c:layout>
      <c:barChart>
        <c:barDir val="col"/>
        <c:grouping val="stacked"/>
        <c:varyColors val="0"/>
        <c:ser>
          <c:idx val="2"/>
          <c:order val="0"/>
          <c:tx>
            <c:strRef>
              <c:f>'2Cross'!$I$184</c:f>
              <c:strCache>
                <c:ptCount val="1"/>
                <c:pt idx="0">
                  <c:v>Offset through other reforms</c:v>
                </c:pt>
              </c:strCache>
            </c:strRef>
          </c:tx>
          <c:invertIfNegative val="0"/>
          <c:cat>
            <c:strRef>
              <c:extLst>
                <c:ext xmlns:c15="http://schemas.microsoft.com/office/drawing/2012/chart" uri="{02D57815-91ED-43cb-92C2-25804820EDAC}">
                  <c15:fullRef>
                    <c15:sqref>'2Cross'!$F$185:$F$213</c15:sqref>
                  </c15:fullRef>
                </c:ext>
              </c:extLst>
              <c:f>'2Cross'!$F$185:$F$205</c:f>
              <c:strCache>
                <c:ptCount val="21"/>
                <c:pt idx="0">
                  <c:v>CY</c:v>
                </c:pt>
                <c:pt idx="1">
                  <c:v>ES</c:v>
                </c:pt>
                <c:pt idx="2">
                  <c:v>MT</c:v>
                </c:pt>
                <c:pt idx="3">
                  <c:v>IT</c:v>
                </c:pt>
                <c:pt idx="4">
                  <c:v>EE</c:v>
                </c:pt>
                <c:pt idx="5">
                  <c:v>BE</c:v>
                </c:pt>
                <c:pt idx="6">
                  <c:v>HU</c:v>
                </c:pt>
                <c:pt idx="7">
                  <c:v>PT</c:v>
                </c:pt>
                <c:pt idx="8">
                  <c:v>IE</c:v>
                </c:pt>
                <c:pt idx="9">
                  <c:v>NL</c:v>
                </c:pt>
                <c:pt idx="10">
                  <c:v>FI</c:v>
                </c:pt>
                <c:pt idx="11">
                  <c:v>LT</c:v>
                </c:pt>
                <c:pt idx="12">
                  <c:v>LU</c:v>
                </c:pt>
                <c:pt idx="13">
                  <c:v>SI</c:v>
                </c:pt>
                <c:pt idx="14">
                  <c:v>HR</c:v>
                </c:pt>
                <c:pt idx="15">
                  <c:v>FR</c:v>
                </c:pt>
                <c:pt idx="16">
                  <c:v>EL</c:v>
                </c:pt>
                <c:pt idx="17">
                  <c:v>LV</c:v>
                </c:pt>
                <c:pt idx="18">
                  <c:v>AT</c:v>
                </c:pt>
                <c:pt idx="19">
                  <c:v>SK</c:v>
                </c:pt>
                <c:pt idx="20">
                  <c:v>DE</c:v>
                </c:pt>
              </c:strCache>
            </c:strRef>
          </c:cat>
          <c:val>
            <c:numRef>
              <c:extLst>
                <c:ext xmlns:c15="http://schemas.microsoft.com/office/drawing/2012/chart" uri="{02D57815-91ED-43cb-92C2-25804820EDAC}">
                  <c15:fullRef>
                    <c15:sqref>'2Cross'!$I$185:$I$213</c15:sqref>
                  </c15:fullRef>
                </c:ext>
              </c:extLst>
              <c:f>'2Cross'!$I$185:$I$205</c:f>
              <c:numCache>
                <c:formatCode>_(* #,##0.00_);_(* \(#,##0.00\);_(* "-"??_);_(@_)</c:formatCode>
                <c:ptCount val="21"/>
                <c:pt idx="0">
                  <c:v>0.19253587266448174</c:v>
                </c:pt>
                <c:pt idx="1">
                  <c:v>1.7532772390466911E-2</c:v>
                </c:pt>
                <c:pt idx="2">
                  <c:v>0.30667902201478364</c:v>
                </c:pt>
                <c:pt idx="3">
                  <c:v>0.53652438048523987</c:v>
                </c:pt>
                <c:pt idx="4">
                  <c:v>0.33557940595636926</c:v>
                </c:pt>
                <c:pt idx="5">
                  <c:v>-5.4862747613617757E-2</c:v>
                </c:pt>
                <c:pt idx="6">
                  <c:v>0.8029389601519924</c:v>
                </c:pt>
                <c:pt idx="7">
                  <c:v>0.70279074739010428</c:v>
                </c:pt>
                <c:pt idx="8">
                  <c:v>0.15091601178343461</c:v>
                </c:pt>
                <c:pt idx="9">
                  <c:v>5.3619558088367825E-2</c:v>
                </c:pt>
                <c:pt idx="10">
                  <c:v>0.21234718810892228</c:v>
                </c:pt>
                <c:pt idx="11">
                  <c:v>-0.11942164931371058</c:v>
                </c:pt>
                <c:pt idx="12">
                  <c:v>0.89341713295556091</c:v>
                </c:pt>
                <c:pt idx="13">
                  <c:v>1.0835362394038901</c:v>
                </c:pt>
                <c:pt idx="14">
                  <c:v>1.1792805414869518</c:v>
                </c:pt>
                <c:pt idx="15">
                  <c:v>0.95895460833619983</c:v>
                </c:pt>
                <c:pt idx="16">
                  <c:v>1.3745114058421153</c:v>
                </c:pt>
                <c:pt idx="17">
                  <c:v>1.4807750172151488</c:v>
                </c:pt>
                <c:pt idx="18">
                  <c:v>1.0734533928232994</c:v>
                </c:pt>
                <c:pt idx="19">
                  <c:v>1.1286640785843103</c:v>
                </c:pt>
                <c:pt idx="20">
                  <c:v>0.70278163293587936</c:v>
                </c:pt>
              </c:numCache>
            </c:numRef>
          </c:val>
          <c:extLst>
            <c:ext xmlns:c16="http://schemas.microsoft.com/office/drawing/2014/chart" uri="{C3380CC4-5D6E-409C-BE32-E72D297353CC}">
              <c16:uniqueId val="{00000003-A75C-4C2D-A47E-B73B4BA038CC}"/>
            </c:ext>
          </c:extLst>
        </c:ser>
        <c:ser>
          <c:idx val="0"/>
          <c:order val="1"/>
          <c:tx>
            <c:strRef>
              <c:f>'2Cross'!$J$184</c:f>
              <c:strCache>
                <c:ptCount val="1"/>
                <c:pt idx="0">
                  <c:v>Offset through indexation</c:v>
                </c:pt>
              </c:strCache>
            </c:strRef>
          </c:tx>
          <c:spPr>
            <a:solidFill>
              <a:schemeClr val="tx1">
                <a:lumMod val="65000"/>
                <a:lumOff val="35000"/>
              </a:schemeClr>
            </a:solidFill>
          </c:spPr>
          <c:invertIfNegative val="0"/>
          <c:cat>
            <c:strRef>
              <c:extLst>
                <c:ext xmlns:c15="http://schemas.microsoft.com/office/drawing/2012/chart" uri="{02D57815-91ED-43cb-92C2-25804820EDAC}">
                  <c15:fullRef>
                    <c15:sqref>'2Cross'!$F$185:$F$213</c15:sqref>
                  </c15:fullRef>
                </c:ext>
              </c:extLst>
              <c:f>'2Cross'!$F$185:$F$205</c:f>
              <c:strCache>
                <c:ptCount val="21"/>
                <c:pt idx="0">
                  <c:v>CY</c:v>
                </c:pt>
                <c:pt idx="1">
                  <c:v>ES</c:v>
                </c:pt>
                <c:pt idx="2">
                  <c:v>MT</c:v>
                </c:pt>
                <c:pt idx="3">
                  <c:v>IT</c:v>
                </c:pt>
                <c:pt idx="4">
                  <c:v>EE</c:v>
                </c:pt>
                <c:pt idx="5">
                  <c:v>BE</c:v>
                </c:pt>
                <c:pt idx="6">
                  <c:v>HU</c:v>
                </c:pt>
                <c:pt idx="7">
                  <c:v>PT</c:v>
                </c:pt>
                <c:pt idx="8">
                  <c:v>IE</c:v>
                </c:pt>
                <c:pt idx="9">
                  <c:v>NL</c:v>
                </c:pt>
                <c:pt idx="10">
                  <c:v>FI</c:v>
                </c:pt>
                <c:pt idx="11">
                  <c:v>LT</c:v>
                </c:pt>
                <c:pt idx="12">
                  <c:v>LU</c:v>
                </c:pt>
                <c:pt idx="13">
                  <c:v>SI</c:v>
                </c:pt>
                <c:pt idx="14">
                  <c:v>HR</c:v>
                </c:pt>
                <c:pt idx="15">
                  <c:v>FR</c:v>
                </c:pt>
                <c:pt idx="16">
                  <c:v>EL</c:v>
                </c:pt>
                <c:pt idx="17">
                  <c:v>LV</c:v>
                </c:pt>
                <c:pt idx="18">
                  <c:v>AT</c:v>
                </c:pt>
                <c:pt idx="19">
                  <c:v>SK</c:v>
                </c:pt>
                <c:pt idx="20">
                  <c:v>DE</c:v>
                </c:pt>
              </c:strCache>
            </c:strRef>
          </c:cat>
          <c:val>
            <c:numRef>
              <c:extLst>
                <c:ext xmlns:c15="http://schemas.microsoft.com/office/drawing/2012/chart" uri="{02D57815-91ED-43cb-92C2-25804820EDAC}">
                  <c15:fullRef>
                    <c15:sqref>'2Cross'!$J$185:$J$213</c15:sqref>
                  </c15:fullRef>
                </c:ext>
              </c:extLst>
              <c:f>'2Cross'!$J$185:$J$205</c:f>
              <c:numCache>
                <c:formatCode>_(* #,##0.00_);_(* \(#,##0.00\);_(* "-"??_);_(@_)</c:formatCode>
                <c:ptCount val="21"/>
                <c:pt idx="0">
                  <c:v>0</c:v>
                </c:pt>
                <c:pt idx="1">
                  <c:v>0.3012785943411046</c:v>
                </c:pt>
                <c:pt idx="2">
                  <c:v>0.10343800480480618</c:v>
                </c:pt>
                <c:pt idx="3">
                  <c:v>2.1418093239376473E-2</c:v>
                </c:pt>
                <c:pt idx="4">
                  <c:v>0.23194959316395722</c:v>
                </c:pt>
                <c:pt idx="5">
                  <c:v>0.71026746994538748</c:v>
                </c:pt>
                <c:pt idx="6">
                  <c:v>-1.0121186704322626E-4</c:v>
                </c:pt>
                <c:pt idx="7">
                  <c:v>0.11281497448619662</c:v>
                </c:pt>
                <c:pt idx="8">
                  <c:v>0.67304992038971012</c:v>
                </c:pt>
                <c:pt idx="9">
                  <c:v>0.80221858816113067</c:v>
                </c:pt>
                <c:pt idx="10">
                  <c:v>0.66701752634422695</c:v>
                </c:pt>
                <c:pt idx="11">
                  <c:v>1.0391108080938527</c:v>
                </c:pt>
                <c:pt idx="12">
                  <c:v>0.14543273356988884</c:v>
                </c:pt>
                <c:pt idx="13">
                  <c:v>5.8634269351728226E-2</c:v>
                </c:pt>
                <c:pt idx="14">
                  <c:v>0</c:v>
                </c:pt>
                <c:pt idx="15">
                  <c:v>0.2987703911618097</c:v>
                </c:pt>
                <c:pt idx="16">
                  <c:v>1.913317605404362E-4</c:v>
                </c:pt>
                <c:pt idx="17">
                  <c:v>0</c:v>
                </c:pt>
                <c:pt idx="18">
                  <c:v>0.40964165239484457</c:v>
                </c:pt>
                <c:pt idx="19">
                  <c:v>0.46088059483997745</c:v>
                </c:pt>
                <c:pt idx="20">
                  <c:v>0.90125210684955959</c:v>
                </c:pt>
              </c:numCache>
            </c:numRef>
          </c:val>
          <c:extLst>
            <c:ext xmlns:c16="http://schemas.microsoft.com/office/drawing/2014/chart" uri="{C3380CC4-5D6E-409C-BE32-E72D297353CC}">
              <c16:uniqueId val="{00000001-A75C-4C2D-A47E-B73B4BA038CC}"/>
            </c:ext>
          </c:extLst>
        </c:ser>
        <c:ser>
          <c:idx val="1"/>
          <c:order val="3"/>
          <c:tx>
            <c:strRef>
              <c:f>'2Cross'!$H$184</c:f>
              <c:strCache>
                <c:ptCount val="1"/>
                <c:pt idx="0">
                  <c:v>Actual Fiscal Drag</c:v>
                </c:pt>
              </c:strCache>
            </c:strRef>
          </c:tx>
          <c:spPr>
            <a:solidFill>
              <a:schemeClr val="accent2">
                <a:lumMod val="75000"/>
              </a:schemeClr>
            </a:solidFill>
            <a:ln>
              <a:noFill/>
            </a:ln>
          </c:spPr>
          <c:invertIfNegative val="0"/>
          <c:cat>
            <c:strRef>
              <c:extLst>
                <c:ext xmlns:c15="http://schemas.microsoft.com/office/drawing/2012/chart" uri="{02D57815-91ED-43cb-92C2-25804820EDAC}">
                  <c15:fullRef>
                    <c15:sqref>'2Cross'!$F$185:$F$213</c15:sqref>
                  </c15:fullRef>
                </c:ext>
              </c:extLst>
              <c:f>'2Cross'!$F$185:$F$205</c:f>
              <c:strCache>
                <c:ptCount val="21"/>
                <c:pt idx="0">
                  <c:v>CY</c:v>
                </c:pt>
                <c:pt idx="1">
                  <c:v>ES</c:v>
                </c:pt>
                <c:pt idx="2">
                  <c:v>MT</c:v>
                </c:pt>
                <c:pt idx="3">
                  <c:v>IT</c:v>
                </c:pt>
                <c:pt idx="4">
                  <c:v>EE</c:v>
                </c:pt>
                <c:pt idx="5">
                  <c:v>BE</c:v>
                </c:pt>
                <c:pt idx="6">
                  <c:v>HU</c:v>
                </c:pt>
                <c:pt idx="7">
                  <c:v>PT</c:v>
                </c:pt>
                <c:pt idx="8">
                  <c:v>IE</c:v>
                </c:pt>
                <c:pt idx="9">
                  <c:v>NL</c:v>
                </c:pt>
                <c:pt idx="10">
                  <c:v>FI</c:v>
                </c:pt>
                <c:pt idx="11">
                  <c:v>LT</c:v>
                </c:pt>
                <c:pt idx="12">
                  <c:v>LU</c:v>
                </c:pt>
                <c:pt idx="13">
                  <c:v>SI</c:v>
                </c:pt>
                <c:pt idx="14">
                  <c:v>HR</c:v>
                </c:pt>
                <c:pt idx="15">
                  <c:v>FR</c:v>
                </c:pt>
                <c:pt idx="16">
                  <c:v>EL</c:v>
                </c:pt>
                <c:pt idx="17">
                  <c:v>LV</c:v>
                </c:pt>
                <c:pt idx="18">
                  <c:v>AT</c:v>
                </c:pt>
                <c:pt idx="19">
                  <c:v>SK</c:v>
                </c:pt>
                <c:pt idx="20">
                  <c:v>DE</c:v>
                </c:pt>
              </c:strCache>
            </c:strRef>
          </c:cat>
          <c:val>
            <c:numRef>
              <c:extLst>
                <c:ext xmlns:c15="http://schemas.microsoft.com/office/drawing/2012/chart" uri="{02D57815-91ED-43cb-92C2-25804820EDAC}">
                  <c15:fullRef>
                    <c15:sqref>'2Cross'!$H$185:$H$213</c15:sqref>
                  </c15:fullRef>
                </c:ext>
              </c:extLst>
              <c:f>'2Cross'!$H$185:$H$205</c:f>
              <c:numCache>
                <c:formatCode>0.00</c:formatCode>
                <c:ptCount val="21"/>
                <c:pt idx="0">
                  <c:v>0.80746412733551831</c:v>
                </c:pt>
                <c:pt idx="1">
                  <c:v>0.68118863326842849</c:v>
                </c:pt>
                <c:pt idx="2">
                  <c:v>0.58988297318041016</c:v>
                </c:pt>
                <c:pt idx="3">
                  <c:v>0.44205752627538364</c:v>
                </c:pt>
                <c:pt idx="4">
                  <c:v>0.4324710008796735</c:v>
                </c:pt>
                <c:pt idx="5">
                  <c:v>0.34459527766823028</c:v>
                </c:pt>
                <c:pt idx="6">
                  <c:v>0.19716225171505086</c:v>
                </c:pt>
                <c:pt idx="7">
                  <c:v>0.18439427812369913</c:v>
                </c:pt>
                <c:pt idx="8">
                  <c:v>0.17603406782685527</c:v>
                </c:pt>
                <c:pt idx="9">
                  <c:v>0.1441618537505015</c:v>
                </c:pt>
                <c:pt idx="10">
                  <c:v>0.12063528554685077</c:v>
                </c:pt>
                <c:pt idx="11">
                  <c:v>8.0310841219857876E-2</c:v>
                </c:pt>
                <c:pt idx="12">
                  <c:v>0</c:v>
                </c:pt>
                <c:pt idx="13">
                  <c:v>0</c:v>
                </c:pt>
                <c:pt idx="14">
                  <c:v>0</c:v>
                </c:pt>
                <c:pt idx="15">
                  <c:v>0</c:v>
                </c:pt>
                <c:pt idx="16">
                  <c:v>0</c:v>
                </c:pt>
                <c:pt idx="17">
                  <c:v>0</c:v>
                </c:pt>
                <c:pt idx="18">
                  <c:v>0</c:v>
                </c:pt>
                <c:pt idx="19">
                  <c:v>0</c:v>
                </c:pt>
                <c:pt idx="20">
                  <c:v>0</c:v>
                </c:pt>
              </c:numCache>
            </c:numRef>
          </c:val>
          <c:extLst>
            <c:ext xmlns:c16="http://schemas.microsoft.com/office/drawing/2014/chart" uri="{C3380CC4-5D6E-409C-BE32-E72D297353CC}">
              <c16:uniqueId val="{00000000-A75C-4C2D-A47E-B73B4BA038CC}"/>
            </c:ext>
          </c:extLst>
        </c:ser>
        <c:dLbls>
          <c:showLegendKey val="0"/>
          <c:showVal val="0"/>
          <c:showCatName val="0"/>
          <c:showSerName val="0"/>
          <c:showPercent val="0"/>
          <c:showBubbleSize val="0"/>
        </c:dLbls>
        <c:gapWidth val="50"/>
        <c:overlap val="100"/>
        <c:axId val="844305855"/>
        <c:axId val="892036479"/>
      </c:barChart>
      <c:lineChart>
        <c:grouping val="standard"/>
        <c:varyColors val="0"/>
        <c:ser>
          <c:idx val="3"/>
          <c:order val="2"/>
          <c:tx>
            <c:strRef>
              <c:f>'2Cross'!$G$184</c:f>
              <c:strCache>
                <c:ptCount val="1"/>
                <c:pt idx="0">
                  <c:v>Total Offset</c:v>
                </c:pt>
              </c:strCache>
            </c:strRef>
          </c:tx>
          <c:spPr>
            <a:ln>
              <a:noFill/>
            </a:ln>
          </c:spPr>
          <c:marker>
            <c:symbol val="circle"/>
            <c:size val="6"/>
            <c:spPr>
              <a:solidFill>
                <a:schemeClr val="tx1"/>
              </a:solidFill>
              <a:ln>
                <a:noFill/>
              </a:ln>
            </c:spPr>
          </c:marker>
          <c:cat>
            <c:strLit>
              <c:ptCount val="21"/>
              <c:pt idx="0">
                <c:v>CY</c:v>
              </c:pt>
              <c:pt idx="1">
                <c:v>ES</c:v>
              </c:pt>
              <c:pt idx="2">
                <c:v>MT</c:v>
              </c:pt>
              <c:pt idx="3">
                <c:v>IT</c:v>
              </c:pt>
              <c:pt idx="4">
                <c:v>EE</c:v>
              </c:pt>
              <c:pt idx="5">
                <c:v>BE</c:v>
              </c:pt>
              <c:pt idx="6">
                <c:v>HU</c:v>
              </c:pt>
              <c:pt idx="7">
                <c:v>PT</c:v>
              </c:pt>
              <c:pt idx="8">
                <c:v>IE</c:v>
              </c:pt>
              <c:pt idx="9">
                <c:v>NL</c:v>
              </c:pt>
              <c:pt idx="10">
                <c:v>FI</c:v>
              </c:pt>
              <c:pt idx="11">
                <c:v>LT</c:v>
              </c:pt>
              <c:pt idx="12">
                <c:v>LU</c:v>
              </c:pt>
              <c:pt idx="13">
                <c:v>SI</c:v>
              </c:pt>
              <c:pt idx="14">
                <c:v>HR</c:v>
              </c:pt>
              <c:pt idx="15">
                <c:v>FR</c:v>
              </c:pt>
              <c:pt idx="16">
                <c:v>EL</c:v>
              </c:pt>
              <c:pt idx="17">
                <c:v>LV</c:v>
              </c:pt>
              <c:pt idx="18">
                <c:v>AT</c:v>
              </c:pt>
              <c:pt idx="19">
                <c:v>SK</c:v>
              </c:pt>
              <c:pt idx="20">
                <c:v>DE</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'2Cross'!$G$185:$G$213</c15:sqref>
                  </c15:fullRef>
                </c:ext>
              </c:extLst>
              <c:f>'2Cross'!$G$185:$G$205</c:f>
              <c:numCache>
                <c:formatCode>_(* #,##0.00_);_(* \(#,##0.00\);_(* "-"??_);_(@_)</c:formatCode>
                <c:ptCount val="21"/>
                <c:pt idx="0">
                  <c:v>0.19253587266448174</c:v>
                </c:pt>
                <c:pt idx="1">
                  <c:v>0.31881136673157151</c:v>
                </c:pt>
                <c:pt idx="2">
                  <c:v>0.41011702681958984</c:v>
                </c:pt>
                <c:pt idx="3">
                  <c:v>0.55794247372461636</c:v>
                </c:pt>
                <c:pt idx="4">
                  <c:v>0.5675289991203265</c:v>
                </c:pt>
                <c:pt idx="5">
                  <c:v>0.65540472233176972</c:v>
                </c:pt>
                <c:pt idx="6">
                  <c:v>0.80283774828494914</c:v>
                </c:pt>
                <c:pt idx="7">
                  <c:v>0.81560572187630087</c:v>
                </c:pt>
                <c:pt idx="8">
                  <c:v>0.82396593217314473</c:v>
                </c:pt>
                <c:pt idx="9">
                  <c:v>0.8558381462494985</c:v>
                </c:pt>
                <c:pt idx="10">
                  <c:v>0.87936471445314923</c:v>
                </c:pt>
                <c:pt idx="11">
                  <c:v>0.91968915878014212</c:v>
                </c:pt>
                <c:pt idx="12">
                  <c:v>1.0388498665254497</c:v>
                </c:pt>
                <c:pt idx="13">
                  <c:v>1.1421705087556184</c:v>
                </c:pt>
                <c:pt idx="14">
                  <c:v>1.1792805414869518</c:v>
                </c:pt>
                <c:pt idx="15">
                  <c:v>1.2577249994980095</c:v>
                </c:pt>
                <c:pt idx="16">
                  <c:v>1.3747027376026557</c:v>
                </c:pt>
                <c:pt idx="17">
                  <c:v>1.4807750172151488</c:v>
                </c:pt>
                <c:pt idx="18">
                  <c:v>1.4830950452181439</c:v>
                </c:pt>
                <c:pt idx="19">
                  <c:v>1.5895446734242877</c:v>
                </c:pt>
                <c:pt idx="20">
                  <c:v>1.604033739785439</c:v>
                </c:pt>
              </c:numCache>
            </c:numRef>
          </c:val>
          <c:smooth val="0"/>
          <c:extLst>
            <c:ext xmlns:c16="http://schemas.microsoft.com/office/drawing/2014/chart" uri="{C3380CC4-5D6E-409C-BE32-E72D297353CC}">
              <c16:uniqueId val="{00000004-A75C-4C2D-A47E-B73B4BA038CC}"/>
            </c:ext>
          </c:extLst>
        </c:ser>
        <c:dLbls>
          <c:showLegendKey val="0"/>
          <c:showVal val="0"/>
          <c:showCatName val="0"/>
          <c:showSerName val="0"/>
          <c:showPercent val="0"/>
          <c:showBubbleSize val="0"/>
        </c:dLbls>
        <c:marker val="1"/>
        <c:smooth val="0"/>
        <c:axId val="844305855"/>
        <c:axId val="892036479"/>
      </c:lineChart>
      <c:catAx>
        <c:axId val="844305855"/>
        <c:scaling>
          <c:orientation val="minMax"/>
        </c:scaling>
        <c:delete val="0"/>
        <c:axPos val="b"/>
        <c:numFmt formatCode="General" sourceLinked="1"/>
        <c:majorTickMark val="none"/>
        <c:minorTickMark val="none"/>
        <c:tickLblPos val="low"/>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crossAx val="892036479"/>
        <c:crossesAt val="0"/>
        <c:auto val="1"/>
        <c:lblAlgn val="ctr"/>
        <c:lblOffset val="100"/>
        <c:noMultiLvlLbl val="0"/>
      </c:catAx>
      <c:valAx>
        <c:axId val="892036479"/>
        <c:scaling>
          <c:orientation val="minMax"/>
          <c:max val="1.9"/>
          <c:min val="-0.2"/>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s-ES_tradnl" sz="1050"/>
                  <a:t>Normalized</a:t>
                </a:r>
                <a:r>
                  <a:rPr lang="es-ES_tradnl" sz="1050" baseline="0"/>
                  <a:t> potential fiscal drag</a:t>
                </a:r>
                <a:endParaRPr lang="es-ES_tradnl" sz="1050"/>
              </a:p>
            </c:rich>
          </c:tx>
          <c:overlay val="0"/>
          <c:spPr>
            <a:noFill/>
            <a:ln>
              <a:noFill/>
            </a:ln>
            <a:effectLst/>
          </c:sp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crossAx val="844305855"/>
        <c:crosses val="autoZero"/>
        <c:crossBetween val="between"/>
        <c:majorUnit val="0.2"/>
      </c:valAx>
    </c:plotArea>
    <c:legend>
      <c:legendPos val="b"/>
      <c:layout>
        <c:manualLayout>
          <c:xMode val="edge"/>
          <c:yMode val="edge"/>
          <c:x val="7.4035067181233621E-2"/>
          <c:y val="0.80686064386488099"/>
          <c:w val="0.84365748038138832"/>
          <c:h val="0.13753100519034492"/>
        </c:manualLayout>
      </c:layout>
      <c:overlay val="0"/>
      <c:spPr>
        <a:noFill/>
        <a:ln>
          <a:noFill/>
        </a:ln>
        <a:effectLst/>
      </c:spPr>
      <c:txPr>
        <a:bodyPr rot="0" spcFirstLastPara="1" vertOverflow="ellipsis" vert="horz" wrap="square" anchor="ctr" anchorCtr="1"/>
        <a:lstStyle/>
        <a:p>
          <a:pPr>
            <a:defRPr sz="9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legend>
    <c:plotVisOnly val="1"/>
    <c:dispBlanksAs val="gap"/>
    <c:showDLblsOverMax val="0"/>
    <c:extLst/>
  </c:chart>
  <c:spPr>
    <a:solidFill>
      <a:schemeClr val="bg1"/>
    </a:solidFill>
    <a:ln w="9525" cap="flat" cmpd="sng" algn="ctr">
      <a:noFill/>
      <a:round/>
    </a:ln>
    <a:effectLst/>
  </c:spPr>
  <c:txPr>
    <a:bodyPr/>
    <a:lstStyle/>
    <a:p>
      <a:pPr>
        <a:defRPr>
          <a:solidFill>
            <a:sysClr val="windowText" lastClr="000000"/>
          </a:solidFill>
          <a:latin typeface="Times New Roman" panose="02020603050405020304" pitchFamily="18" charset="0"/>
          <a:cs typeface="Times New Roman" panose="02020603050405020304" pitchFamily="18" charset="0"/>
        </a:defRPr>
      </a:pPr>
      <a:endParaRPr lang="es-ES_tradnl"/>
    </a:p>
  </c:txPr>
  <c:printSettings>
    <c:headerFooter/>
    <c:pageMargins b="0.75" l="0.25" r="0.25" t="0.75" header="0.3" footer="0.3"/>
    <c:pageSetup paperSize="9" orientation="landscape"/>
  </c:printSettings>
  <c:userShapes r:id="rId1"/>
  <c:extLst/>
</c:chartSpace>
</file>

<file path=xl/charts/chart9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28575" cap="rnd">
            <a:noFill/>
            <a:round/>
          </a:ln>
          <a:effectLst/>
        </c:spPr>
        <c:marker>
          <c:symbol val="dash"/>
          <c:size val="7"/>
          <c:spPr>
            <a:solidFill>
              <a:srgbClr val="3B3838"/>
            </a:solidFill>
            <a:ln w="9525">
              <a:solidFill>
                <a:srgbClr val="3B3838"/>
              </a:solidFill>
            </a:ln>
            <a:effectLst/>
          </c:spPr>
        </c:marker>
        <c:dLbl>
          <c:idx val="0"/>
          <c:delete val="1"/>
          <c:extLst>
            <c:ext xmlns:c15="http://schemas.microsoft.com/office/drawing/2012/chart" uri="{CE6537A1-D6FC-4f65-9D91-7224C49458BB}"/>
          </c:extLst>
        </c:dLbl>
      </c:pivotFmt>
      <c:pivotFmt>
        <c:idx val="1"/>
        <c:spPr>
          <a:solidFill>
            <a:srgbClr val="E7E6E6"/>
          </a:solidFill>
          <a:ln w="25400">
            <a:noFill/>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2"/>
        <c:spPr>
          <a:solidFill>
            <a:srgbClr val="ED7D31"/>
          </a:solidFill>
          <a:ln w="25400">
            <a:noFill/>
          </a:ln>
          <a:effectLst/>
        </c:spPr>
        <c:marker>
          <c:symbol val="circle"/>
          <c:size val="5"/>
          <c:spPr>
            <a:solidFill>
              <a:schemeClr val="accent3"/>
            </a:solidFill>
            <a:ln w="9525">
              <a:solidFill>
                <a:schemeClr val="accent3"/>
              </a:solidFill>
            </a:ln>
            <a:effectLst/>
          </c:spPr>
        </c:marker>
        <c:dLbl>
          <c:idx val="0"/>
          <c:delete val="1"/>
          <c:extLst>
            <c:ext xmlns:c15="http://schemas.microsoft.com/office/drawing/2012/chart" uri="{CE6537A1-D6FC-4f65-9D91-7224C49458BB}"/>
          </c:extLst>
        </c:dLbl>
      </c:pivotFmt>
      <c:pivotFmt>
        <c:idx val="3"/>
        <c:spPr>
          <a:solidFill>
            <a:srgbClr val="2F5597"/>
          </a:solidFill>
          <a:ln w="25400">
            <a:noFill/>
          </a:ln>
          <a:effectLst/>
        </c:spPr>
        <c:marker>
          <c:symbol val="circle"/>
          <c:size val="5"/>
          <c:spPr>
            <a:solidFill>
              <a:schemeClr val="accent4"/>
            </a:solidFill>
            <a:ln w="9525">
              <a:solidFill>
                <a:schemeClr val="accent4"/>
              </a:solidFill>
            </a:ln>
            <a:effectLst/>
          </c:spPr>
        </c:marker>
        <c:dLbl>
          <c:idx val="0"/>
          <c:delete val="1"/>
          <c:extLst>
            <c:ext xmlns:c15="http://schemas.microsoft.com/office/drawing/2012/chart" uri="{CE6537A1-D6FC-4f65-9D91-7224C49458BB}"/>
          </c:extLst>
        </c:dLbl>
      </c:pivotFmt>
      <c:pivotFmt>
        <c:idx val="4"/>
        <c:spPr>
          <a:solidFill>
            <a:srgbClr val="4472C4"/>
          </a:solidFill>
          <a:ln>
            <a:noFill/>
          </a:ln>
          <a:effectLst/>
        </c:spPr>
        <c:marker>
          <c:symbol val="none"/>
        </c:marker>
        <c:dLbl>
          <c:idx val="0"/>
          <c:delete val="1"/>
          <c:extLst>
            <c:ext xmlns:c15="http://schemas.microsoft.com/office/drawing/2012/chart" uri="{CE6537A1-D6FC-4f65-9D91-7224C49458BB}"/>
          </c:extLst>
        </c:dLbl>
      </c:pivotFmt>
      <c:pivotFmt>
        <c:idx val="5"/>
        <c:spPr>
          <a:solidFill>
            <a:srgbClr val="8FAADC"/>
          </a:solidFill>
          <a:ln>
            <a:noFill/>
          </a:ln>
          <a:effectLst/>
        </c:spPr>
        <c:marker>
          <c:symbol val="none"/>
        </c:marker>
        <c:dLbl>
          <c:idx val="0"/>
          <c:delete val="1"/>
          <c:extLst>
            <c:ext xmlns:c15="http://schemas.microsoft.com/office/drawing/2012/chart" uri="{CE6537A1-D6FC-4f65-9D91-7224C49458BB}"/>
          </c:extLst>
        </c:dLbl>
      </c:pivotFmt>
      <c:pivotFmt>
        <c:idx val="6"/>
        <c:spPr>
          <a:solidFill>
            <a:srgbClr val="DAE3F3"/>
          </a:solidFill>
          <a:ln>
            <a:noFill/>
          </a:ln>
          <a:effectLst/>
        </c:spPr>
        <c:marker>
          <c:symbol val="none"/>
        </c:marker>
        <c:dLbl>
          <c:idx val="0"/>
          <c:delete val="1"/>
          <c:extLst>
            <c:ext xmlns:c15="http://schemas.microsoft.com/office/drawing/2012/chart" uri="{CE6537A1-D6FC-4f65-9D91-7224C49458BB}"/>
          </c:extLst>
        </c:dLbl>
      </c:pivotFmt>
      <c:pivotFmt>
        <c:idx val="7"/>
        <c:spPr>
          <a:solidFill>
            <a:srgbClr val="DAE3F3"/>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w="25400">
            <a:noFill/>
          </a:ln>
          <a:effectLst/>
        </c:spPr>
        <c:marker>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9"/>
        <c:spPr>
          <a:solidFill>
            <a:schemeClr val="accent1"/>
          </a:solidFill>
          <a:ln w="28575" cap="rnd">
            <a:noFill/>
            <a:round/>
          </a:ln>
          <a:effectLst/>
        </c:spPr>
        <c:marker>
          <c:symbol val="dash"/>
          <c:size val="7"/>
          <c:spPr>
            <a:solidFill>
              <a:srgbClr val="3B3838"/>
            </a:solidFill>
            <a:ln w="9525">
              <a:solidFill>
                <a:srgbClr val="3B3838"/>
              </a:solidFill>
            </a:ln>
            <a:effectLst/>
          </c:spPr>
        </c:marker>
      </c:pivotFmt>
      <c:pivotFmt>
        <c:idx val="10"/>
        <c:spPr>
          <a:solidFill>
            <a:srgbClr val="E7E6E6"/>
          </a:solidFill>
          <a:ln w="25400">
            <a:noFill/>
          </a:ln>
          <a:effectLst/>
        </c:spPr>
        <c:marker>
          <c:symbol val="none"/>
        </c:marker>
        <c:dLbl>
          <c:idx val="0"/>
          <c:delete val="1"/>
          <c:extLst>
            <c:ext xmlns:c15="http://schemas.microsoft.com/office/drawing/2012/chart" uri="{CE6537A1-D6FC-4f65-9D91-7224C49458BB}"/>
          </c:extLst>
        </c:dLbl>
      </c:pivotFmt>
      <c:pivotFmt>
        <c:idx val="11"/>
        <c:spPr>
          <a:solidFill>
            <a:srgbClr val="ED7D31"/>
          </a:solidFill>
          <a:ln w="25400">
            <a:noFill/>
          </a:ln>
          <a:effectLst/>
        </c:spPr>
        <c:marker>
          <c:symbol val="none"/>
        </c:marker>
        <c:dLbl>
          <c:idx val="0"/>
          <c:delete val="1"/>
          <c:extLst>
            <c:ext xmlns:c15="http://schemas.microsoft.com/office/drawing/2012/chart" uri="{CE6537A1-D6FC-4f65-9D91-7224C49458BB}"/>
          </c:extLst>
        </c:dLbl>
      </c:pivotFmt>
      <c:pivotFmt>
        <c:idx val="12"/>
        <c:spPr>
          <a:solidFill>
            <a:srgbClr val="2F5597"/>
          </a:solidFill>
          <a:ln w="25400">
            <a:noFill/>
          </a:ln>
          <a:effectLst/>
        </c:spPr>
        <c:marker>
          <c:symbol val="none"/>
        </c:marker>
        <c:dLbl>
          <c:idx val="0"/>
          <c:delete val="1"/>
          <c:extLst>
            <c:ext xmlns:c15="http://schemas.microsoft.com/office/drawing/2012/chart" uri="{CE6537A1-D6FC-4f65-9D91-7224C49458BB}"/>
          </c:extLst>
        </c:dLbl>
      </c:pivotFmt>
      <c:pivotFmt>
        <c:idx val="13"/>
        <c:spPr>
          <a:solidFill>
            <a:srgbClr val="4472C4"/>
          </a:solidFill>
          <a:ln>
            <a:noFill/>
          </a:ln>
          <a:effectLst/>
        </c:spPr>
        <c:marker>
          <c:symbol val="none"/>
        </c:marker>
        <c:dLbl>
          <c:idx val="0"/>
          <c:delete val="1"/>
          <c:extLst>
            <c:ext xmlns:c15="http://schemas.microsoft.com/office/drawing/2012/chart" uri="{CE6537A1-D6FC-4f65-9D91-7224C49458BB}"/>
          </c:extLst>
        </c:dLbl>
      </c:pivotFmt>
      <c:pivotFmt>
        <c:idx val="14"/>
        <c:spPr>
          <a:solidFill>
            <a:srgbClr val="8FAADC"/>
          </a:solidFill>
          <a:ln>
            <a:noFill/>
          </a:ln>
          <a:effectLst/>
        </c:spPr>
        <c:marker>
          <c:symbol val="none"/>
        </c:marker>
        <c:dLbl>
          <c:idx val="0"/>
          <c:delete val="1"/>
          <c:extLst>
            <c:ext xmlns:c15="http://schemas.microsoft.com/office/drawing/2012/chart" uri="{CE6537A1-D6FC-4f65-9D91-7224C49458BB}"/>
          </c:extLst>
        </c:dLbl>
      </c:pivotFmt>
      <c:pivotFmt>
        <c:idx val="15"/>
        <c:spPr>
          <a:solidFill>
            <a:srgbClr val="DAE3F3"/>
          </a:solidFill>
          <a:ln>
            <a:noFill/>
          </a:ln>
          <a:effectLst/>
        </c:spPr>
        <c:marker>
          <c:symbol val="none"/>
        </c:marker>
        <c:dLbl>
          <c:idx val="0"/>
          <c:delete val="1"/>
          <c:extLst>
            <c:ext xmlns:c15="http://schemas.microsoft.com/office/drawing/2012/chart" uri="{CE6537A1-D6FC-4f65-9D91-7224C49458BB}"/>
          </c:extLst>
        </c:dLbl>
      </c:pivotFmt>
      <c:pivotFmt>
        <c:idx val="16"/>
        <c:spPr>
          <a:solidFill>
            <a:srgbClr val="DAE3F3"/>
          </a:solidFill>
          <a:ln>
            <a:noFill/>
          </a:ln>
          <a:effectLst/>
        </c:spPr>
        <c:marker>
          <c:symbol val="none"/>
        </c:marker>
        <c:dLbl>
          <c:idx val="0"/>
          <c:delete val="1"/>
          <c:extLst>
            <c:ext xmlns:c15="http://schemas.microsoft.com/office/drawing/2012/chart" uri="{CE6537A1-D6FC-4f65-9D91-7224C49458BB}"/>
          </c:extLst>
        </c:dLbl>
      </c:pivotFmt>
      <c:pivotFmt>
        <c:idx val="17"/>
        <c:spPr>
          <a:solidFill>
            <a:schemeClr val="accent1"/>
          </a:solidFill>
          <a:ln w="28575" cap="rnd">
            <a:noFill/>
            <a:round/>
          </a:ln>
          <a:effectLst/>
        </c:spPr>
        <c:marker>
          <c:symbol val="dash"/>
          <c:size val="7"/>
          <c:spPr>
            <a:solidFill>
              <a:srgbClr val="3B3838"/>
            </a:solidFill>
            <a:ln w="9525">
              <a:solidFill>
                <a:srgbClr val="3B3838"/>
              </a:solidFill>
            </a:ln>
            <a:effectLst/>
          </c:spPr>
        </c:marker>
        <c:dLbl>
          <c:idx val="0"/>
          <c:delete val="1"/>
          <c:extLst>
            <c:ext xmlns:c15="http://schemas.microsoft.com/office/drawing/2012/chart" uri="{CE6537A1-D6FC-4f65-9D91-7224C49458BB}"/>
          </c:extLst>
        </c:dLbl>
      </c:pivotFmt>
      <c:pivotFmt>
        <c:idx val="18"/>
        <c:spPr>
          <a:solidFill>
            <a:srgbClr val="2F5597"/>
          </a:solidFill>
          <a:ln>
            <a:noFill/>
          </a:ln>
          <a:effectLst/>
        </c:spPr>
        <c:marker>
          <c:symbol val="none"/>
        </c:marker>
        <c:dLbl>
          <c:idx val="0"/>
          <c:delete val="1"/>
          <c:extLst>
            <c:ext xmlns:c15="http://schemas.microsoft.com/office/drawing/2012/chart" uri="{CE6537A1-D6FC-4f65-9D91-7224C49458BB}"/>
          </c:extLst>
        </c:dLbl>
      </c:pivotFmt>
      <c:pivotFmt>
        <c:idx val="19"/>
        <c:spPr>
          <a:solidFill>
            <a:srgbClr val="ED7D31"/>
          </a:solidFill>
          <a:ln>
            <a:noFill/>
          </a:ln>
          <a:effectLst/>
        </c:spPr>
        <c:marker>
          <c:symbol val="none"/>
        </c:marker>
        <c:dLbl>
          <c:idx val="0"/>
          <c:delete val="1"/>
          <c:extLst>
            <c:ext xmlns:c15="http://schemas.microsoft.com/office/drawing/2012/chart" uri="{CE6537A1-D6FC-4f65-9D91-7224C49458BB}"/>
          </c:extLst>
        </c:dLbl>
      </c:pivotFmt>
      <c:pivotFmt>
        <c:idx val="20"/>
        <c:spPr>
          <a:solidFill>
            <a:schemeClr val="accent5">
              <a:lumMod val="40000"/>
              <a:lumOff val="60000"/>
            </a:schemeClr>
          </a:solidFill>
          <a:ln w="9525">
            <a:noFill/>
          </a:ln>
          <a:effectLst/>
        </c:spPr>
        <c:marker>
          <c:symbol val="none"/>
        </c:marker>
        <c:dLbl>
          <c:idx val="0"/>
          <c:delete val="1"/>
          <c:extLst>
            <c:ext xmlns:c15="http://schemas.microsoft.com/office/drawing/2012/chart" uri="{CE6537A1-D6FC-4f65-9D91-7224C49458BB}"/>
          </c:extLst>
        </c:dLbl>
      </c:pivotFmt>
      <c:pivotFmt>
        <c:idx val="21"/>
        <c:spPr>
          <a:solidFill>
            <a:schemeClr val="bg2">
              <a:lumMod val="75000"/>
            </a:schemeClr>
          </a:solidFill>
          <a:ln w="6350">
            <a:noFill/>
          </a:ln>
          <a:effectLst/>
        </c:spPr>
        <c:marker>
          <c:symbol val="none"/>
        </c:marker>
        <c:dLbl>
          <c:idx val="0"/>
          <c:delete val="1"/>
          <c:extLst>
            <c:ext xmlns:c15="http://schemas.microsoft.com/office/drawing/2012/chart" uri="{CE6537A1-D6FC-4f65-9D91-7224C49458BB}"/>
          </c:extLst>
        </c:dLbl>
      </c:pivotFmt>
      <c:pivotFmt>
        <c:idx val="22"/>
        <c:spPr>
          <a:solidFill>
            <a:schemeClr val="bg2">
              <a:lumMod val="75000"/>
            </a:schemeClr>
          </a:solidFill>
          <a:ln w="6350">
            <a:noFill/>
          </a:ln>
          <a:effectLst/>
        </c:spPr>
      </c:pivotFmt>
      <c:pivotFmt>
        <c:idx val="23"/>
        <c:spPr>
          <a:solidFill>
            <a:srgbClr val="2F5597"/>
          </a:solidFill>
          <a:ln>
            <a:noFill/>
          </a:ln>
          <a:effectLst/>
        </c:spPr>
        <c:marker>
          <c:symbol val="none"/>
        </c:marker>
        <c:dLbl>
          <c:idx val="0"/>
          <c:delete val="1"/>
          <c:extLst>
            <c:ext xmlns:c15="http://schemas.microsoft.com/office/drawing/2012/chart" uri="{CE6537A1-D6FC-4f65-9D91-7224C49458BB}"/>
          </c:extLst>
        </c:dLbl>
      </c:pivotFmt>
      <c:pivotFmt>
        <c:idx val="24"/>
        <c:spPr>
          <a:solidFill>
            <a:srgbClr val="ED7D31"/>
          </a:solidFill>
          <a:ln>
            <a:noFill/>
          </a:ln>
          <a:effectLst/>
        </c:spPr>
        <c:marker>
          <c:symbol val="none"/>
        </c:marker>
        <c:dLbl>
          <c:idx val="0"/>
          <c:delete val="1"/>
          <c:extLst>
            <c:ext xmlns:c15="http://schemas.microsoft.com/office/drawing/2012/chart" uri="{CE6537A1-D6FC-4f65-9D91-7224C49458BB}"/>
          </c:extLst>
        </c:dLbl>
      </c:pivotFmt>
      <c:pivotFmt>
        <c:idx val="25"/>
        <c:spPr>
          <a:solidFill>
            <a:schemeClr val="accent5">
              <a:lumMod val="40000"/>
              <a:lumOff val="60000"/>
            </a:schemeClr>
          </a:solidFill>
          <a:ln w="9525">
            <a:noFill/>
          </a:ln>
          <a:effectLst/>
        </c:spPr>
        <c:marker>
          <c:symbol val="none"/>
        </c:marker>
        <c:dLbl>
          <c:idx val="0"/>
          <c:delete val="1"/>
          <c:extLst>
            <c:ext xmlns:c15="http://schemas.microsoft.com/office/drawing/2012/chart" uri="{CE6537A1-D6FC-4f65-9D91-7224C49458BB}"/>
          </c:extLst>
        </c:dLbl>
      </c:pivotFmt>
      <c:pivotFmt>
        <c:idx val="26"/>
        <c:spPr>
          <a:solidFill>
            <a:schemeClr val="bg2">
              <a:lumMod val="75000"/>
            </a:schemeClr>
          </a:solidFill>
          <a:ln w="6350">
            <a:noFill/>
          </a:ln>
          <a:effectLst/>
        </c:spPr>
        <c:marker>
          <c:symbol val="none"/>
        </c:marker>
        <c:dLbl>
          <c:idx val="0"/>
          <c:delete val="1"/>
          <c:extLst>
            <c:ext xmlns:c15="http://schemas.microsoft.com/office/drawing/2012/chart" uri="{CE6537A1-D6FC-4f65-9D91-7224C49458BB}"/>
          </c:extLst>
        </c:dLbl>
      </c:pivotFmt>
      <c:pivotFmt>
        <c:idx val="27"/>
        <c:spPr>
          <a:solidFill>
            <a:schemeClr val="accent1"/>
          </a:solidFill>
          <a:ln w="28575" cap="rnd">
            <a:noFill/>
            <a:round/>
          </a:ln>
          <a:effectLst/>
        </c:spPr>
        <c:marker>
          <c:symbol val="diamond"/>
          <c:size val="6"/>
          <c:spPr>
            <a:solidFill>
              <a:schemeClr val="accent1">
                <a:lumMod val="50000"/>
              </a:schemeClr>
            </a:solidFill>
            <a:ln w="9525">
              <a:solidFill>
                <a:schemeClr val="accent1">
                  <a:lumMod val="50000"/>
                </a:schemeClr>
              </a:solidFill>
            </a:ln>
            <a:effectLst/>
          </c:spPr>
        </c:marker>
        <c:dLbl>
          <c:idx val="0"/>
          <c:delete val="1"/>
          <c:extLst>
            <c:ext xmlns:c15="http://schemas.microsoft.com/office/drawing/2012/chart" uri="{CE6537A1-D6FC-4f65-9D91-7224C49458BB}"/>
          </c:extLst>
        </c:dLbl>
      </c:pivotFmt>
      <c:pivotFmt>
        <c:idx val="28"/>
        <c:spPr>
          <a:solidFill>
            <a:schemeClr val="accent1"/>
          </a:solidFill>
          <a:ln w="28575" cap="rnd">
            <a:noFill/>
            <a:round/>
          </a:ln>
          <a:effectLst/>
        </c:spPr>
        <c:marker>
          <c:symbol val="triangle"/>
          <c:size val="5"/>
          <c:spPr>
            <a:solidFill>
              <a:schemeClr val="accent2">
                <a:lumMod val="75000"/>
              </a:schemeClr>
            </a:solidFill>
            <a:ln w="9525">
              <a:solidFill>
                <a:schemeClr val="accent2">
                  <a:lumMod val="75000"/>
                </a:schemeClr>
              </a:solidFill>
            </a:ln>
            <a:effectLst/>
          </c:spPr>
        </c:marker>
        <c:dLbl>
          <c:idx val="0"/>
          <c:delete val="1"/>
          <c:extLst>
            <c:ext xmlns:c15="http://schemas.microsoft.com/office/drawing/2012/chart" uri="{CE6537A1-D6FC-4f65-9D91-7224C49458BB}"/>
          </c:extLst>
        </c:dLbl>
      </c:pivotFmt>
      <c:pivotFmt>
        <c:idx val="29"/>
        <c:spPr>
          <a:solidFill>
            <a:schemeClr val="accent1"/>
          </a:solidFill>
          <a:ln w="28575" cap="rnd">
            <a:noFill/>
            <a:round/>
          </a:ln>
          <a:effectLst/>
        </c:spPr>
        <c:marker>
          <c:symbol val="circle"/>
          <c:size val="5"/>
          <c:spPr>
            <a:solidFill>
              <a:schemeClr val="accent6">
                <a:lumMod val="75000"/>
              </a:schemeClr>
            </a:solidFill>
            <a:ln w="9525">
              <a:solidFill>
                <a:schemeClr val="accent6">
                  <a:lumMod val="75000"/>
                </a:schemeClr>
              </a:solidFill>
            </a:ln>
            <a:effectLst/>
          </c:spPr>
        </c:marker>
        <c:dLbl>
          <c:idx val="0"/>
          <c:delete val="1"/>
          <c:extLst>
            <c:ext xmlns:c15="http://schemas.microsoft.com/office/drawing/2012/chart" uri="{CE6537A1-D6FC-4f65-9D91-7224C49458BB}"/>
          </c:extLst>
        </c:dLbl>
      </c:pivotFmt>
      <c:pivotFmt>
        <c:idx val="30"/>
        <c:spPr>
          <a:solidFill>
            <a:schemeClr val="accent1"/>
          </a:solidFill>
          <a:ln w="28575" cap="rnd">
            <a:noFill/>
            <a:round/>
          </a:ln>
          <a:effectLst/>
        </c:spPr>
        <c:marker>
          <c:symbol val="square"/>
          <c:size val="5"/>
          <c:spPr>
            <a:solidFill>
              <a:srgbClr val="FFC000"/>
            </a:solidFill>
            <a:ln w="9525">
              <a:solidFill>
                <a:srgbClr val="FFC000"/>
              </a:solidFill>
            </a:ln>
            <a:effectLst/>
          </c:spPr>
        </c:marker>
        <c:dLbl>
          <c:idx val="0"/>
          <c:delete val="1"/>
          <c:extLst>
            <c:ext xmlns:c15="http://schemas.microsoft.com/office/drawing/2012/chart" uri="{CE6537A1-D6FC-4f65-9D91-7224C49458BB}"/>
          </c:extLst>
        </c:dLbl>
      </c:pivotFmt>
    </c:pivotFmts>
    <c:plotArea>
      <c:layout>
        <c:manualLayout>
          <c:layoutTarget val="inner"/>
          <c:xMode val="edge"/>
          <c:yMode val="edge"/>
          <c:x val="0.11863969827883356"/>
          <c:y val="9.0790308745776024E-2"/>
          <c:w val="0.85090620715276022"/>
          <c:h val="0.59008160117542108"/>
        </c:manualLayout>
      </c:layout>
      <c:barChart>
        <c:barDir val="col"/>
        <c:grouping val="stacked"/>
        <c:varyColors val="0"/>
        <c:ser>
          <c:idx val="2"/>
          <c:order val="0"/>
          <c:tx>
            <c:strRef>
              <c:f>'2Cross'!$I$220</c:f>
              <c:strCache>
                <c:ptCount val="1"/>
                <c:pt idx="0">
                  <c:v>Offset through other reforms</c:v>
                </c:pt>
              </c:strCache>
            </c:strRef>
          </c:tx>
          <c:spPr>
            <a:solidFill>
              <a:schemeClr val="accent3"/>
            </a:solidFill>
          </c:spPr>
          <c:invertIfNegative val="0"/>
          <c:cat>
            <c:strRef>
              <c:extLst>
                <c:ext xmlns:c15="http://schemas.microsoft.com/office/drawing/2012/chart" uri="{02D57815-91ED-43cb-92C2-25804820EDAC}">
                  <c15:fullRef>
                    <c15:sqref>'2Cross'!$F$221:$F$249</c15:sqref>
                  </c15:fullRef>
                </c:ext>
              </c:extLst>
              <c:f>'2Cross'!$F$221:$F$241</c:f>
              <c:strCache>
                <c:ptCount val="21"/>
                <c:pt idx="0">
                  <c:v>CY</c:v>
                </c:pt>
                <c:pt idx="1">
                  <c:v>ES</c:v>
                </c:pt>
                <c:pt idx="2">
                  <c:v>IT</c:v>
                </c:pt>
                <c:pt idx="3">
                  <c:v>MT</c:v>
                </c:pt>
                <c:pt idx="4">
                  <c:v>NL</c:v>
                </c:pt>
                <c:pt idx="5">
                  <c:v>EE</c:v>
                </c:pt>
                <c:pt idx="6">
                  <c:v>HU</c:v>
                </c:pt>
                <c:pt idx="7">
                  <c:v>BE</c:v>
                </c:pt>
                <c:pt idx="8">
                  <c:v>FI</c:v>
                </c:pt>
                <c:pt idx="9">
                  <c:v>IE</c:v>
                </c:pt>
                <c:pt idx="10">
                  <c:v>FR</c:v>
                </c:pt>
                <c:pt idx="11">
                  <c:v>EL</c:v>
                </c:pt>
                <c:pt idx="12">
                  <c:v>LU</c:v>
                </c:pt>
                <c:pt idx="13">
                  <c:v>PT</c:v>
                </c:pt>
                <c:pt idx="14">
                  <c:v>AT</c:v>
                </c:pt>
                <c:pt idx="15">
                  <c:v>LT</c:v>
                </c:pt>
                <c:pt idx="16">
                  <c:v>DE</c:v>
                </c:pt>
                <c:pt idx="17">
                  <c:v>HR</c:v>
                </c:pt>
                <c:pt idx="18">
                  <c:v>SI</c:v>
                </c:pt>
                <c:pt idx="19">
                  <c:v>SK</c:v>
                </c:pt>
                <c:pt idx="20">
                  <c:v>LV</c:v>
                </c:pt>
              </c:strCache>
            </c:strRef>
          </c:cat>
          <c:val>
            <c:numRef>
              <c:extLst>
                <c:ext xmlns:c15="http://schemas.microsoft.com/office/drawing/2012/chart" uri="{02D57815-91ED-43cb-92C2-25804820EDAC}">
                  <c15:fullRef>
                    <c15:sqref>'2Cross'!$I$221:$I$249</c15:sqref>
                  </c15:fullRef>
                </c:ext>
              </c:extLst>
              <c:f>'2Cross'!$I$221:$I$241</c:f>
              <c:numCache>
                <c:formatCode>_(* #,##0.00_);_(* \(#,##0.00\);_(* "-"??_);_(@_)</c:formatCode>
                <c:ptCount val="21"/>
                <c:pt idx="0">
                  <c:v>0.27398307668162941</c:v>
                </c:pt>
                <c:pt idx="1">
                  <c:v>1.76382752234992E-2</c:v>
                </c:pt>
                <c:pt idx="2">
                  <c:v>0.37884264288589792</c:v>
                </c:pt>
                <c:pt idx="3">
                  <c:v>0.34512917620387734</c:v>
                </c:pt>
                <c:pt idx="4">
                  <c:v>4.3486050580082924E-2</c:v>
                </c:pt>
                <c:pt idx="5">
                  <c:v>0.47010397430784157</c:v>
                </c:pt>
                <c:pt idx="6">
                  <c:v>0.8191860284773107</c:v>
                </c:pt>
                <c:pt idx="7">
                  <c:v>-7.3216224097847449E-2</c:v>
                </c:pt>
                <c:pt idx="8">
                  <c:v>0.22885395229360128</c:v>
                </c:pt>
                <c:pt idx="9">
                  <c:v>0.19897248707226634</c:v>
                </c:pt>
                <c:pt idx="10">
                  <c:v>0.85114229715284517</c:v>
                </c:pt>
                <c:pt idx="11">
                  <c:v>1.1944178870819544</c:v>
                </c:pt>
                <c:pt idx="12">
                  <c:v>1.1643539451680129</c:v>
                </c:pt>
                <c:pt idx="13">
                  <c:v>1.2610091155919267</c:v>
                </c:pt>
                <c:pt idx="14">
                  <c:v>1.114935205193103</c:v>
                </c:pt>
                <c:pt idx="15">
                  <c:v>-0.203963936077459</c:v>
                </c:pt>
                <c:pt idx="16">
                  <c:v>0.70138380465943995</c:v>
                </c:pt>
                <c:pt idx="17">
                  <c:v>1.9415178631229979</c:v>
                </c:pt>
                <c:pt idx="18">
                  <c:v>2.0303186432956966</c:v>
                </c:pt>
                <c:pt idx="19">
                  <c:v>1.6792193878864883</c:v>
                </c:pt>
                <c:pt idx="20">
                  <c:v>2.3700614955290811</c:v>
                </c:pt>
              </c:numCache>
            </c:numRef>
          </c:val>
          <c:extLst>
            <c:ext xmlns:c16="http://schemas.microsoft.com/office/drawing/2014/chart" uri="{C3380CC4-5D6E-409C-BE32-E72D297353CC}">
              <c16:uniqueId val="{00000000-B2D1-4503-97AC-4CCF028F9771}"/>
            </c:ext>
          </c:extLst>
        </c:ser>
        <c:ser>
          <c:idx val="0"/>
          <c:order val="1"/>
          <c:tx>
            <c:strRef>
              <c:f>'2Cross'!$J$220</c:f>
              <c:strCache>
                <c:ptCount val="1"/>
                <c:pt idx="0">
                  <c:v>Offset through indexation</c:v>
                </c:pt>
              </c:strCache>
            </c:strRef>
          </c:tx>
          <c:spPr>
            <a:solidFill>
              <a:schemeClr val="tx1">
                <a:lumMod val="65000"/>
                <a:lumOff val="35000"/>
              </a:schemeClr>
            </a:solidFill>
          </c:spPr>
          <c:invertIfNegative val="0"/>
          <c:cat>
            <c:strRef>
              <c:extLst>
                <c:ext xmlns:c15="http://schemas.microsoft.com/office/drawing/2012/chart" uri="{02D57815-91ED-43cb-92C2-25804820EDAC}">
                  <c15:fullRef>
                    <c15:sqref>'2Cross'!$F$221:$F$249</c15:sqref>
                  </c15:fullRef>
                </c:ext>
              </c:extLst>
              <c:f>'2Cross'!$F$221:$F$241</c:f>
              <c:strCache>
                <c:ptCount val="21"/>
                <c:pt idx="0">
                  <c:v>CY</c:v>
                </c:pt>
                <c:pt idx="1">
                  <c:v>ES</c:v>
                </c:pt>
                <c:pt idx="2">
                  <c:v>IT</c:v>
                </c:pt>
                <c:pt idx="3">
                  <c:v>MT</c:v>
                </c:pt>
                <c:pt idx="4">
                  <c:v>NL</c:v>
                </c:pt>
                <c:pt idx="5">
                  <c:v>EE</c:v>
                </c:pt>
                <c:pt idx="6">
                  <c:v>HU</c:v>
                </c:pt>
                <c:pt idx="7">
                  <c:v>BE</c:v>
                </c:pt>
                <c:pt idx="8">
                  <c:v>FI</c:v>
                </c:pt>
                <c:pt idx="9">
                  <c:v>IE</c:v>
                </c:pt>
                <c:pt idx="10">
                  <c:v>FR</c:v>
                </c:pt>
                <c:pt idx="11">
                  <c:v>EL</c:v>
                </c:pt>
                <c:pt idx="12">
                  <c:v>LU</c:v>
                </c:pt>
                <c:pt idx="13">
                  <c:v>PT</c:v>
                </c:pt>
                <c:pt idx="14">
                  <c:v>AT</c:v>
                </c:pt>
                <c:pt idx="15">
                  <c:v>LT</c:v>
                </c:pt>
                <c:pt idx="16">
                  <c:v>DE</c:v>
                </c:pt>
                <c:pt idx="17">
                  <c:v>HR</c:v>
                </c:pt>
                <c:pt idx="18">
                  <c:v>SI</c:v>
                </c:pt>
                <c:pt idx="19">
                  <c:v>SK</c:v>
                </c:pt>
                <c:pt idx="20">
                  <c:v>LV</c:v>
                </c:pt>
              </c:strCache>
            </c:strRef>
          </c:cat>
          <c:val>
            <c:numRef>
              <c:extLst>
                <c:ext xmlns:c15="http://schemas.microsoft.com/office/drawing/2012/chart" uri="{02D57815-91ED-43cb-92C2-25804820EDAC}">
                  <c15:fullRef>
                    <c15:sqref>'2Cross'!$J$221:$J$249</c15:sqref>
                  </c15:fullRef>
                </c:ext>
              </c:extLst>
              <c:f>'2Cross'!$J$221:$J$241</c:f>
              <c:numCache>
                <c:formatCode>_(* #,##0.00_);_(* \(#,##0.00\);_(* "-"??_);_(@_)</c:formatCode>
                <c:ptCount val="21"/>
                <c:pt idx="0">
                  <c:v>0</c:v>
                </c:pt>
                <c:pt idx="1">
                  <c:v>0.30309152754568208</c:v>
                </c:pt>
                <c:pt idx="2">
                  <c:v>1.5123426527315452E-2</c:v>
                </c:pt>
                <c:pt idx="3">
                  <c:v>0.11640663633241445</c:v>
                </c:pt>
                <c:pt idx="4">
                  <c:v>0.65060808676499804</c:v>
                </c:pt>
                <c:pt idx="5">
                  <c:v>0.32493181539167582</c:v>
                </c:pt>
                <c:pt idx="6">
                  <c:v>-1.0325983855886058E-4</c:v>
                </c:pt>
                <c:pt idx="7">
                  <c:v>0.9478763735125938</c:v>
                </c:pt>
                <c:pt idx="8">
                  <c:v>0.71886799402625956</c:v>
                </c:pt>
                <c:pt idx="9">
                  <c:v>0.8873704983398677</c:v>
                </c:pt>
                <c:pt idx="10">
                  <c:v>0.26518055687320208</c:v>
                </c:pt>
                <c:pt idx="11">
                  <c:v>1.6626277249141185E-4</c:v>
                </c:pt>
                <c:pt idx="12">
                  <c:v>0.18953652313391608</c:v>
                </c:pt>
                <c:pt idx="13">
                  <c:v>0.20242257276531653</c:v>
                </c:pt>
                <c:pt idx="14">
                  <c:v>0.42547156944304221</c:v>
                </c:pt>
                <c:pt idx="15">
                  <c:v>1.7747295541254802</c:v>
                </c:pt>
                <c:pt idx="16">
                  <c:v>0.89945952204068769</c:v>
                </c:pt>
                <c:pt idx="17">
                  <c:v>0</c:v>
                </c:pt>
                <c:pt idx="18">
                  <c:v>0.1098682682420745</c:v>
                </c:pt>
                <c:pt idx="19">
                  <c:v>0.6856952790831079</c:v>
                </c:pt>
                <c:pt idx="20">
                  <c:v>0</c:v>
                </c:pt>
              </c:numCache>
            </c:numRef>
          </c:val>
          <c:extLst>
            <c:ext xmlns:c16="http://schemas.microsoft.com/office/drawing/2014/chart" uri="{C3380CC4-5D6E-409C-BE32-E72D297353CC}">
              <c16:uniqueId val="{00000001-B2D1-4503-97AC-4CCF028F9771}"/>
            </c:ext>
          </c:extLst>
        </c:ser>
        <c:ser>
          <c:idx val="1"/>
          <c:order val="3"/>
          <c:tx>
            <c:strRef>
              <c:f>'2Cross'!$H$220</c:f>
              <c:strCache>
                <c:ptCount val="1"/>
                <c:pt idx="0">
                  <c:v>Actual Fiscal Drag</c:v>
                </c:pt>
              </c:strCache>
            </c:strRef>
          </c:tx>
          <c:spPr>
            <a:solidFill>
              <a:schemeClr val="accent2">
                <a:lumMod val="75000"/>
              </a:schemeClr>
            </a:solidFill>
          </c:spPr>
          <c:invertIfNegative val="0"/>
          <c:cat>
            <c:strRef>
              <c:extLst>
                <c:ext xmlns:c15="http://schemas.microsoft.com/office/drawing/2012/chart" uri="{02D57815-91ED-43cb-92C2-25804820EDAC}">
                  <c15:fullRef>
                    <c15:sqref>'2Cross'!$F$221:$F$249</c15:sqref>
                  </c15:fullRef>
                </c:ext>
              </c:extLst>
              <c:f>'2Cross'!$F$221:$F$241</c:f>
              <c:strCache>
                <c:ptCount val="21"/>
                <c:pt idx="0">
                  <c:v>CY</c:v>
                </c:pt>
                <c:pt idx="1">
                  <c:v>ES</c:v>
                </c:pt>
                <c:pt idx="2">
                  <c:v>IT</c:v>
                </c:pt>
                <c:pt idx="3">
                  <c:v>MT</c:v>
                </c:pt>
                <c:pt idx="4">
                  <c:v>NL</c:v>
                </c:pt>
                <c:pt idx="5">
                  <c:v>EE</c:v>
                </c:pt>
                <c:pt idx="6">
                  <c:v>HU</c:v>
                </c:pt>
                <c:pt idx="7">
                  <c:v>BE</c:v>
                </c:pt>
                <c:pt idx="8">
                  <c:v>FI</c:v>
                </c:pt>
                <c:pt idx="9">
                  <c:v>IE</c:v>
                </c:pt>
                <c:pt idx="10">
                  <c:v>FR</c:v>
                </c:pt>
                <c:pt idx="11">
                  <c:v>EL</c:v>
                </c:pt>
                <c:pt idx="12">
                  <c:v>LU</c:v>
                </c:pt>
                <c:pt idx="13">
                  <c:v>PT</c:v>
                </c:pt>
                <c:pt idx="14">
                  <c:v>AT</c:v>
                </c:pt>
                <c:pt idx="15">
                  <c:v>LT</c:v>
                </c:pt>
                <c:pt idx="16">
                  <c:v>DE</c:v>
                </c:pt>
                <c:pt idx="17">
                  <c:v>HR</c:v>
                </c:pt>
                <c:pt idx="18">
                  <c:v>SI</c:v>
                </c:pt>
                <c:pt idx="19">
                  <c:v>SK</c:v>
                </c:pt>
                <c:pt idx="20">
                  <c:v>LV</c:v>
                </c:pt>
              </c:strCache>
            </c:strRef>
          </c:cat>
          <c:val>
            <c:numRef>
              <c:extLst>
                <c:ext xmlns:c15="http://schemas.microsoft.com/office/drawing/2012/chart" uri="{02D57815-91ED-43cb-92C2-25804820EDAC}">
                  <c15:fullRef>
                    <c15:sqref>'2Cross'!$H$221:$H$249</c15:sqref>
                  </c15:fullRef>
                </c:ext>
              </c:extLst>
              <c:f>'2Cross'!$H$221:$H$241</c:f>
              <c:numCache>
                <c:formatCode>0.00</c:formatCode>
                <c:ptCount val="21"/>
                <c:pt idx="0">
                  <c:v>0.72601692331837064</c:v>
                </c:pt>
                <c:pt idx="1">
                  <c:v>0.67927019723081872</c:v>
                </c:pt>
                <c:pt idx="2">
                  <c:v>0.60603393058678656</c:v>
                </c:pt>
                <c:pt idx="3">
                  <c:v>0.53846418746370817</c:v>
                </c:pt>
                <c:pt idx="4">
                  <c:v>0.30590586265491904</c:v>
                </c:pt>
                <c:pt idx="5">
                  <c:v>0.20496421030048262</c:v>
                </c:pt>
                <c:pt idx="6">
                  <c:v>0.18091723136124815</c:v>
                </c:pt>
                <c:pt idx="7">
                  <c:v>0.12533985058525365</c:v>
                </c:pt>
                <c:pt idx="8">
                  <c:v>5.2278053680139158E-2</c:v>
                </c:pt>
                <c:pt idx="9">
                  <c:v>0</c:v>
                </c:pt>
                <c:pt idx="10">
                  <c:v>0</c:v>
                </c:pt>
                <c:pt idx="11">
                  <c:v>0</c:v>
                </c:pt>
                <c:pt idx="12">
                  <c:v>0</c:v>
                </c:pt>
                <c:pt idx="13">
                  <c:v>0</c:v>
                </c:pt>
                <c:pt idx="14">
                  <c:v>0</c:v>
                </c:pt>
                <c:pt idx="15">
                  <c:v>0</c:v>
                </c:pt>
                <c:pt idx="16">
                  <c:v>0</c:v>
                </c:pt>
                <c:pt idx="17">
                  <c:v>0</c:v>
                </c:pt>
                <c:pt idx="18">
                  <c:v>0</c:v>
                </c:pt>
                <c:pt idx="19">
                  <c:v>0</c:v>
                </c:pt>
                <c:pt idx="20">
                  <c:v>0</c:v>
                </c:pt>
              </c:numCache>
            </c:numRef>
          </c:val>
          <c:extLst>
            <c:ext xmlns:c16="http://schemas.microsoft.com/office/drawing/2014/chart" uri="{C3380CC4-5D6E-409C-BE32-E72D297353CC}">
              <c16:uniqueId val="{00000002-B2D1-4503-97AC-4CCF028F9771}"/>
            </c:ext>
          </c:extLst>
        </c:ser>
        <c:dLbls>
          <c:showLegendKey val="0"/>
          <c:showVal val="0"/>
          <c:showCatName val="0"/>
          <c:showSerName val="0"/>
          <c:showPercent val="0"/>
          <c:showBubbleSize val="0"/>
        </c:dLbls>
        <c:gapWidth val="50"/>
        <c:overlap val="100"/>
        <c:axId val="844305855"/>
        <c:axId val="892036479"/>
      </c:barChart>
      <c:lineChart>
        <c:grouping val="standard"/>
        <c:varyColors val="0"/>
        <c:ser>
          <c:idx val="3"/>
          <c:order val="2"/>
          <c:tx>
            <c:strRef>
              <c:f>'2Cross'!$G$220</c:f>
              <c:strCache>
                <c:ptCount val="1"/>
                <c:pt idx="0">
                  <c:v>Total Offset</c:v>
                </c:pt>
              </c:strCache>
            </c:strRef>
          </c:tx>
          <c:spPr>
            <a:ln w="19050">
              <a:noFill/>
            </a:ln>
          </c:spPr>
          <c:marker>
            <c:symbol val="circle"/>
            <c:size val="6"/>
            <c:spPr>
              <a:solidFill>
                <a:schemeClr val="tx1"/>
              </a:solidFill>
              <a:ln>
                <a:noFill/>
              </a:ln>
            </c:spPr>
          </c:marker>
          <c:cat>
            <c:strLit>
              <c:ptCount val="21"/>
              <c:pt idx="0">
                <c:v>CY</c:v>
              </c:pt>
              <c:pt idx="1">
                <c:v>ES</c:v>
              </c:pt>
              <c:pt idx="2">
                <c:v>IT</c:v>
              </c:pt>
              <c:pt idx="3">
                <c:v>MT</c:v>
              </c:pt>
              <c:pt idx="4">
                <c:v>NL</c:v>
              </c:pt>
              <c:pt idx="5">
                <c:v>EE</c:v>
              </c:pt>
              <c:pt idx="6">
                <c:v>HU</c:v>
              </c:pt>
              <c:pt idx="7">
                <c:v>BE</c:v>
              </c:pt>
              <c:pt idx="8">
                <c:v>FI</c:v>
              </c:pt>
              <c:pt idx="9">
                <c:v>IE</c:v>
              </c:pt>
              <c:pt idx="10">
                <c:v>FR</c:v>
              </c:pt>
              <c:pt idx="11">
                <c:v>EL</c:v>
              </c:pt>
              <c:pt idx="12">
                <c:v>LU</c:v>
              </c:pt>
              <c:pt idx="13">
                <c:v>PT</c:v>
              </c:pt>
              <c:pt idx="14">
                <c:v>AT</c:v>
              </c:pt>
              <c:pt idx="15">
                <c:v>LT</c:v>
              </c:pt>
              <c:pt idx="16">
                <c:v>DE</c:v>
              </c:pt>
              <c:pt idx="17">
                <c:v>HR</c:v>
              </c:pt>
              <c:pt idx="18">
                <c:v>SI</c:v>
              </c:pt>
              <c:pt idx="19">
                <c:v>SK</c:v>
              </c:pt>
              <c:pt idx="20">
                <c:v>LV</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'2Cross'!$G$221:$G$249</c15:sqref>
                  </c15:fullRef>
                </c:ext>
              </c:extLst>
              <c:f>'2Cross'!$G$221:$G$241</c:f>
              <c:numCache>
                <c:formatCode>_(* #,##0.00_);_(* \(#,##0.00\);_(* "-"??_);_(@_)</c:formatCode>
                <c:ptCount val="21"/>
                <c:pt idx="0">
                  <c:v>0.27398307668162941</c:v>
                </c:pt>
                <c:pt idx="1">
                  <c:v>0.32072980276918128</c:v>
                </c:pt>
                <c:pt idx="2">
                  <c:v>0.39396606941321338</c:v>
                </c:pt>
                <c:pt idx="3">
                  <c:v>0.46153581253629178</c:v>
                </c:pt>
                <c:pt idx="4">
                  <c:v>0.69409413734508096</c:v>
                </c:pt>
                <c:pt idx="5">
                  <c:v>0.79503578969951738</c:v>
                </c:pt>
                <c:pt idx="6">
                  <c:v>0.81908276863875185</c:v>
                </c:pt>
                <c:pt idx="7">
                  <c:v>0.87466014941474635</c:v>
                </c:pt>
                <c:pt idx="8">
                  <c:v>0.94772194631986084</c:v>
                </c:pt>
                <c:pt idx="9">
                  <c:v>1.086342985412134</c:v>
                </c:pt>
                <c:pt idx="10">
                  <c:v>1.1163228540260473</c:v>
                </c:pt>
                <c:pt idx="11">
                  <c:v>1.1945841498544458</c:v>
                </c:pt>
                <c:pt idx="12">
                  <c:v>1.3538904683019291</c:v>
                </c:pt>
                <c:pt idx="13">
                  <c:v>1.4634316883572434</c:v>
                </c:pt>
                <c:pt idx="14">
                  <c:v>1.5404067746361452</c:v>
                </c:pt>
                <c:pt idx="15">
                  <c:v>1.5707656180480212</c:v>
                </c:pt>
                <c:pt idx="16">
                  <c:v>1.6008433267001276</c:v>
                </c:pt>
                <c:pt idx="17">
                  <c:v>1.9415178631229979</c:v>
                </c:pt>
                <c:pt idx="18">
                  <c:v>2.140186911537771</c:v>
                </c:pt>
                <c:pt idx="19">
                  <c:v>2.3649146669695962</c:v>
                </c:pt>
                <c:pt idx="20">
                  <c:v>2.3700614955290811</c:v>
                </c:pt>
              </c:numCache>
            </c:numRef>
          </c:val>
          <c:smooth val="0"/>
          <c:extLst>
            <c:ext xmlns:c16="http://schemas.microsoft.com/office/drawing/2014/chart" uri="{C3380CC4-5D6E-409C-BE32-E72D297353CC}">
              <c16:uniqueId val="{00000003-B2D1-4503-97AC-4CCF028F9771}"/>
            </c:ext>
          </c:extLst>
        </c:ser>
        <c:dLbls>
          <c:showLegendKey val="0"/>
          <c:showVal val="0"/>
          <c:showCatName val="0"/>
          <c:showSerName val="0"/>
          <c:showPercent val="0"/>
          <c:showBubbleSize val="0"/>
        </c:dLbls>
        <c:marker val="1"/>
        <c:smooth val="0"/>
        <c:axId val="844305855"/>
        <c:axId val="892036479"/>
      </c:lineChart>
      <c:catAx>
        <c:axId val="844305855"/>
        <c:scaling>
          <c:orientation val="minMax"/>
        </c:scaling>
        <c:delete val="0"/>
        <c:axPos val="b"/>
        <c:numFmt formatCode="General" sourceLinked="1"/>
        <c:majorTickMark val="none"/>
        <c:minorTickMark val="none"/>
        <c:tickLblPos val="low"/>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crossAx val="892036479"/>
        <c:crossesAt val="0"/>
        <c:auto val="1"/>
        <c:lblAlgn val="ctr"/>
        <c:lblOffset val="100"/>
        <c:noMultiLvlLbl val="0"/>
      </c:catAx>
      <c:valAx>
        <c:axId val="892036479"/>
        <c:scaling>
          <c:orientation val="minMax"/>
          <c:min val="-0.2"/>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s-ES_tradnl" sz="1050"/>
                  <a:t>Normalized</a:t>
                </a:r>
                <a:r>
                  <a:rPr lang="es-ES_tradnl" sz="1050" baseline="0"/>
                  <a:t> potential fiscal drag</a:t>
                </a:r>
                <a:endParaRPr lang="es-ES_tradnl" sz="1050"/>
              </a:p>
            </c:rich>
          </c:tx>
          <c:overlay val="0"/>
          <c:spPr>
            <a:noFill/>
            <a:ln>
              <a:noFill/>
            </a:ln>
            <a:effectLst/>
          </c:sp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crossAx val="844305855"/>
        <c:crosses val="autoZero"/>
        <c:crossBetween val="between"/>
        <c:majorUnit val="0.2"/>
      </c:valAx>
    </c:plotArea>
    <c:legend>
      <c:legendPos val="b"/>
      <c:layout>
        <c:manualLayout>
          <c:xMode val="edge"/>
          <c:yMode val="edge"/>
          <c:x val="7.4035067181233621E-2"/>
          <c:y val="0.80686064386488099"/>
          <c:w val="0.84365748038138832"/>
          <c:h val="0.13753100519034492"/>
        </c:manualLayout>
      </c:layout>
      <c:overlay val="0"/>
      <c:spPr>
        <a:noFill/>
        <a:ln>
          <a:noFill/>
        </a:ln>
        <a:effectLst/>
      </c:spPr>
      <c:txPr>
        <a:bodyPr rot="0" spcFirstLastPara="1" vertOverflow="ellipsis" vert="horz" wrap="square" anchor="ctr" anchorCtr="1"/>
        <a:lstStyle/>
        <a:p>
          <a:pPr>
            <a:defRPr sz="9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legend>
    <c:plotVisOnly val="1"/>
    <c:dispBlanksAs val="gap"/>
    <c:showDLblsOverMax val="0"/>
    <c:extLst/>
  </c:chart>
  <c:spPr>
    <a:solidFill>
      <a:schemeClr val="bg1"/>
    </a:solidFill>
    <a:ln w="9525" cap="flat" cmpd="sng" algn="ctr">
      <a:noFill/>
      <a:round/>
    </a:ln>
    <a:effectLst/>
  </c:spPr>
  <c:txPr>
    <a:bodyPr/>
    <a:lstStyle/>
    <a:p>
      <a:pPr>
        <a:defRPr>
          <a:solidFill>
            <a:sysClr val="windowText" lastClr="000000"/>
          </a:solidFill>
          <a:latin typeface="Times New Roman" panose="02020603050405020304" pitchFamily="18" charset="0"/>
          <a:cs typeface="Times New Roman" panose="02020603050405020304" pitchFamily="18" charset="0"/>
        </a:defRPr>
      </a:pPr>
      <a:endParaRPr lang="es-ES_tradnl"/>
    </a:p>
  </c:txPr>
  <c:printSettings>
    <c:headerFooter/>
    <c:pageMargins b="0.75" l="0.25" r="0.25" t="0.75" header="0.3" footer="0.3"/>
    <c:pageSetup paperSize="9" orientation="landscape"/>
  </c:printSettings>
  <c:userShapes r:id="rId1"/>
  <c:extLst/>
</c:chartSpace>
</file>

<file path=xl/charts/chart9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28575" cap="rnd">
            <a:noFill/>
            <a:round/>
          </a:ln>
          <a:effectLst/>
        </c:spPr>
        <c:marker>
          <c:symbol val="dash"/>
          <c:size val="7"/>
          <c:spPr>
            <a:solidFill>
              <a:srgbClr val="3B3838"/>
            </a:solidFill>
            <a:ln w="9525">
              <a:solidFill>
                <a:srgbClr val="3B3838"/>
              </a:solidFill>
            </a:ln>
            <a:effectLst/>
          </c:spPr>
        </c:marker>
        <c:dLbl>
          <c:idx val="0"/>
          <c:delete val="1"/>
          <c:extLst>
            <c:ext xmlns:c15="http://schemas.microsoft.com/office/drawing/2012/chart" uri="{CE6537A1-D6FC-4f65-9D91-7224C49458BB}"/>
          </c:extLst>
        </c:dLbl>
      </c:pivotFmt>
      <c:pivotFmt>
        <c:idx val="1"/>
        <c:spPr>
          <a:solidFill>
            <a:srgbClr val="E7E6E6"/>
          </a:solidFill>
          <a:ln w="25400">
            <a:noFill/>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2"/>
        <c:spPr>
          <a:solidFill>
            <a:srgbClr val="ED7D31"/>
          </a:solidFill>
          <a:ln w="25400">
            <a:noFill/>
          </a:ln>
          <a:effectLst/>
        </c:spPr>
        <c:marker>
          <c:symbol val="circle"/>
          <c:size val="5"/>
          <c:spPr>
            <a:solidFill>
              <a:schemeClr val="accent3"/>
            </a:solidFill>
            <a:ln w="9525">
              <a:solidFill>
                <a:schemeClr val="accent3"/>
              </a:solidFill>
            </a:ln>
            <a:effectLst/>
          </c:spPr>
        </c:marker>
        <c:dLbl>
          <c:idx val="0"/>
          <c:delete val="1"/>
          <c:extLst>
            <c:ext xmlns:c15="http://schemas.microsoft.com/office/drawing/2012/chart" uri="{CE6537A1-D6FC-4f65-9D91-7224C49458BB}"/>
          </c:extLst>
        </c:dLbl>
      </c:pivotFmt>
      <c:pivotFmt>
        <c:idx val="3"/>
        <c:spPr>
          <a:solidFill>
            <a:srgbClr val="2F5597"/>
          </a:solidFill>
          <a:ln w="25400">
            <a:noFill/>
          </a:ln>
          <a:effectLst/>
        </c:spPr>
        <c:marker>
          <c:symbol val="circle"/>
          <c:size val="5"/>
          <c:spPr>
            <a:solidFill>
              <a:schemeClr val="accent4"/>
            </a:solidFill>
            <a:ln w="9525">
              <a:solidFill>
                <a:schemeClr val="accent4"/>
              </a:solidFill>
            </a:ln>
            <a:effectLst/>
          </c:spPr>
        </c:marker>
        <c:dLbl>
          <c:idx val="0"/>
          <c:delete val="1"/>
          <c:extLst>
            <c:ext xmlns:c15="http://schemas.microsoft.com/office/drawing/2012/chart" uri="{CE6537A1-D6FC-4f65-9D91-7224C49458BB}"/>
          </c:extLst>
        </c:dLbl>
      </c:pivotFmt>
      <c:pivotFmt>
        <c:idx val="4"/>
        <c:spPr>
          <a:solidFill>
            <a:srgbClr val="4472C4"/>
          </a:solidFill>
          <a:ln>
            <a:noFill/>
          </a:ln>
          <a:effectLst/>
        </c:spPr>
        <c:marker>
          <c:symbol val="none"/>
        </c:marker>
        <c:dLbl>
          <c:idx val="0"/>
          <c:delete val="1"/>
          <c:extLst>
            <c:ext xmlns:c15="http://schemas.microsoft.com/office/drawing/2012/chart" uri="{CE6537A1-D6FC-4f65-9D91-7224C49458BB}"/>
          </c:extLst>
        </c:dLbl>
      </c:pivotFmt>
      <c:pivotFmt>
        <c:idx val="5"/>
        <c:spPr>
          <a:solidFill>
            <a:srgbClr val="8FAADC"/>
          </a:solidFill>
          <a:ln>
            <a:noFill/>
          </a:ln>
          <a:effectLst/>
        </c:spPr>
        <c:marker>
          <c:symbol val="none"/>
        </c:marker>
        <c:dLbl>
          <c:idx val="0"/>
          <c:delete val="1"/>
          <c:extLst>
            <c:ext xmlns:c15="http://schemas.microsoft.com/office/drawing/2012/chart" uri="{CE6537A1-D6FC-4f65-9D91-7224C49458BB}"/>
          </c:extLst>
        </c:dLbl>
      </c:pivotFmt>
      <c:pivotFmt>
        <c:idx val="6"/>
        <c:spPr>
          <a:solidFill>
            <a:srgbClr val="DAE3F3"/>
          </a:solidFill>
          <a:ln>
            <a:noFill/>
          </a:ln>
          <a:effectLst/>
        </c:spPr>
        <c:marker>
          <c:symbol val="none"/>
        </c:marker>
        <c:dLbl>
          <c:idx val="0"/>
          <c:delete val="1"/>
          <c:extLst>
            <c:ext xmlns:c15="http://schemas.microsoft.com/office/drawing/2012/chart" uri="{CE6537A1-D6FC-4f65-9D91-7224C49458BB}"/>
          </c:extLst>
        </c:dLbl>
      </c:pivotFmt>
      <c:pivotFmt>
        <c:idx val="7"/>
        <c:spPr>
          <a:solidFill>
            <a:srgbClr val="DAE3F3"/>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w="25400">
            <a:noFill/>
          </a:ln>
          <a:effectLst/>
        </c:spPr>
        <c:marker>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9"/>
        <c:spPr>
          <a:solidFill>
            <a:schemeClr val="accent1"/>
          </a:solidFill>
          <a:ln w="28575" cap="rnd">
            <a:noFill/>
            <a:round/>
          </a:ln>
          <a:effectLst/>
        </c:spPr>
        <c:marker>
          <c:symbol val="dash"/>
          <c:size val="7"/>
          <c:spPr>
            <a:solidFill>
              <a:srgbClr val="3B3838"/>
            </a:solidFill>
            <a:ln w="9525">
              <a:solidFill>
                <a:srgbClr val="3B3838"/>
              </a:solidFill>
            </a:ln>
            <a:effectLst/>
          </c:spPr>
        </c:marker>
      </c:pivotFmt>
      <c:pivotFmt>
        <c:idx val="10"/>
        <c:spPr>
          <a:solidFill>
            <a:srgbClr val="E7E6E6"/>
          </a:solidFill>
          <a:ln w="25400">
            <a:noFill/>
          </a:ln>
          <a:effectLst/>
        </c:spPr>
        <c:marker>
          <c:symbol val="none"/>
        </c:marker>
        <c:dLbl>
          <c:idx val="0"/>
          <c:delete val="1"/>
          <c:extLst>
            <c:ext xmlns:c15="http://schemas.microsoft.com/office/drawing/2012/chart" uri="{CE6537A1-D6FC-4f65-9D91-7224C49458BB}"/>
          </c:extLst>
        </c:dLbl>
      </c:pivotFmt>
      <c:pivotFmt>
        <c:idx val="11"/>
        <c:spPr>
          <a:solidFill>
            <a:srgbClr val="ED7D31"/>
          </a:solidFill>
          <a:ln w="25400">
            <a:noFill/>
          </a:ln>
          <a:effectLst/>
        </c:spPr>
        <c:marker>
          <c:symbol val="none"/>
        </c:marker>
        <c:dLbl>
          <c:idx val="0"/>
          <c:delete val="1"/>
          <c:extLst>
            <c:ext xmlns:c15="http://schemas.microsoft.com/office/drawing/2012/chart" uri="{CE6537A1-D6FC-4f65-9D91-7224C49458BB}"/>
          </c:extLst>
        </c:dLbl>
      </c:pivotFmt>
      <c:pivotFmt>
        <c:idx val="12"/>
        <c:spPr>
          <a:solidFill>
            <a:srgbClr val="2F5597"/>
          </a:solidFill>
          <a:ln w="25400">
            <a:noFill/>
          </a:ln>
          <a:effectLst/>
        </c:spPr>
        <c:marker>
          <c:symbol val="none"/>
        </c:marker>
        <c:dLbl>
          <c:idx val="0"/>
          <c:delete val="1"/>
          <c:extLst>
            <c:ext xmlns:c15="http://schemas.microsoft.com/office/drawing/2012/chart" uri="{CE6537A1-D6FC-4f65-9D91-7224C49458BB}"/>
          </c:extLst>
        </c:dLbl>
      </c:pivotFmt>
      <c:pivotFmt>
        <c:idx val="13"/>
        <c:spPr>
          <a:solidFill>
            <a:srgbClr val="4472C4"/>
          </a:solidFill>
          <a:ln>
            <a:noFill/>
          </a:ln>
          <a:effectLst/>
        </c:spPr>
        <c:marker>
          <c:symbol val="none"/>
        </c:marker>
        <c:dLbl>
          <c:idx val="0"/>
          <c:delete val="1"/>
          <c:extLst>
            <c:ext xmlns:c15="http://schemas.microsoft.com/office/drawing/2012/chart" uri="{CE6537A1-D6FC-4f65-9D91-7224C49458BB}"/>
          </c:extLst>
        </c:dLbl>
      </c:pivotFmt>
      <c:pivotFmt>
        <c:idx val="14"/>
        <c:spPr>
          <a:solidFill>
            <a:srgbClr val="8FAADC"/>
          </a:solidFill>
          <a:ln>
            <a:noFill/>
          </a:ln>
          <a:effectLst/>
        </c:spPr>
        <c:marker>
          <c:symbol val="none"/>
        </c:marker>
        <c:dLbl>
          <c:idx val="0"/>
          <c:delete val="1"/>
          <c:extLst>
            <c:ext xmlns:c15="http://schemas.microsoft.com/office/drawing/2012/chart" uri="{CE6537A1-D6FC-4f65-9D91-7224C49458BB}"/>
          </c:extLst>
        </c:dLbl>
      </c:pivotFmt>
      <c:pivotFmt>
        <c:idx val="15"/>
        <c:spPr>
          <a:solidFill>
            <a:srgbClr val="DAE3F3"/>
          </a:solidFill>
          <a:ln>
            <a:noFill/>
          </a:ln>
          <a:effectLst/>
        </c:spPr>
        <c:marker>
          <c:symbol val="none"/>
        </c:marker>
        <c:dLbl>
          <c:idx val="0"/>
          <c:delete val="1"/>
          <c:extLst>
            <c:ext xmlns:c15="http://schemas.microsoft.com/office/drawing/2012/chart" uri="{CE6537A1-D6FC-4f65-9D91-7224C49458BB}"/>
          </c:extLst>
        </c:dLbl>
      </c:pivotFmt>
      <c:pivotFmt>
        <c:idx val="16"/>
        <c:spPr>
          <a:solidFill>
            <a:srgbClr val="DAE3F3"/>
          </a:solidFill>
          <a:ln>
            <a:noFill/>
          </a:ln>
          <a:effectLst/>
        </c:spPr>
        <c:marker>
          <c:symbol val="none"/>
        </c:marker>
        <c:dLbl>
          <c:idx val="0"/>
          <c:delete val="1"/>
          <c:extLst>
            <c:ext xmlns:c15="http://schemas.microsoft.com/office/drawing/2012/chart" uri="{CE6537A1-D6FC-4f65-9D91-7224C49458BB}"/>
          </c:extLst>
        </c:dLbl>
      </c:pivotFmt>
      <c:pivotFmt>
        <c:idx val="17"/>
        <c:spPr>
          <a:solidFill>
            <a:schemeClr val="accent1"/>
          </a:solidFill>
          <a:ln w="28575" cap="rnd">
            <a:noFill/>
            <a:round/>
          </a:ln>
          <a:effectLst/>
        </c:spPr>
        <c:marker>
          <c:symbol val="dash"/>
          <c:size val="7"/>
          <c:spPr>
            <a:solidFill>
              <a:srgbClr val="3B3838"/>
            </a:solidFill>
            <a:ln w="9525">
              <a:solidFill>
                <a:srgbClr val="3B3838"/>
              </a:solidFill>
            </a:ln>
            <a:effectLst/>
          </c:spPr>
        </c:marker>
        <c:dLbl>
          <c:idx val="0"/>
          <c:delete val="1"/>
          <c:extLst>
            <c:ext xmlns:c15="http://schemas.microsoft.com/office/drawing/2012/chart" uri="{CE6537A1-D6FC-4f65-9D91-7224C49458BB}"/>
          </c:extLst>
        </c:dLbl>
      </c:pivotFmt>
      <c:pivotFmt>
        <c:idx val="18"/>
        <c:spPr>
          <a:solidFill>
            <a:srgbClr val="2F5597"/>
          </a:solidFill>
          <a:ln>
            <a:noFill/>
          </a:ln>
          <a:effectLst/>
        </c:spPr>
        <c:marker>
          <c:symbol val="none"/>
        </c:marker>
        <c:dLbl>
          <c:idx val="0"/>
          <c:delete val="1"/>
          <c:extLst>
            <c:ext xmlns:c15="http://schemas.microsoft.com/office/drawing/2012/chart" uri="{CE6537A1-D6FC-4f65-9D91-7224C49458BB}"/>
          </c:extLst>
        </c:dLbl>
      </c:pivotFmt>
      <c:pivotFmt>
        <c:idx val="19"/>
        <c:spPr>
          <a:solidFill>
            <a:srgbClr val="ED7D31"/>
          </a:solidFill>
          <a:ln>
            <a:noFill/>
          </a:ln>
          <a:effectLst/>
        </c:spPr>
        <c:marker>
          <c:symbol val="none"/>
        </c:marker>
        <c:dLbl>
          <c:idx val="0"/>
          <c:delete val="1"/>
          <c:extLst>
            <c:ext xmlns:c15="http://schemas.microsoft.com/office/drawing/2012/chart" uri="{CE6537A1-D6FC-4f65-9D91-7224C49458BB}"/>
          </c:extLst>
        </c:dLbl>
      </c:pivotFmt>
      <c:pivotFmt>
        <c:idx val="20"/>
        <c:spPr>
          <a:solidFill>
            <a:schemeClr val="accent5">
              <a:lumMod val="40000"/>
              <a:lumOff val="60000"/>
            </a:schemeClr>
          </a:solidFill>
          <a:ln w="9525">
            <a:noFill/>
          </a:ln>
          <a:effectLst/>
        </c:spPr>
        <c:marker>
          <c:symbol val="none"/>
        </c:marker>
        <c:dLbl>
          <c:idx val="0"/>
          <c:delete val="1"/>
          <c:extLst>
            <c:ext xmlns:c15="http://schemas.microsoft.com/office/drawing/2012/chart" uri="{CE6537A1-D6FC-4f65-9D91-7224C49458BB}"/>
          </c:extLst>
        </c:dLbl>
      </c:pivotFmt>
      <c:pivotFmt>
        <c:idx val="21"/>
        <c:spPr>
          <a:solidFill>
            <a:schemeClr val="bg2">
              <a:lumMod val="75000"/>
            </a:schemeClr>
          </a:solidFill>
          <a:ln w="6350">
            <a:noFill/>
          </a:ln>
          <a:effectLst/>
        </c:spPr>
        <c:marker>
          <c:symbol val="none"/>
        </c:marker>
        <c:dLbl>
          <c:idx val="0"/>
          <c:delete val="1"/>
          <c:extLst>
            <c:ext xmlns:c15="http://schemas.microsoft.com/office/drawing/2012/chart" uri="{CE6537A1-D6FC-4f65-9D91-7224C49458BB}"/>
          </c:extLst>
        </c:dLbl>
      </c:pivotFmt>
      <c:pivotFmt>
        <c:idx val="22"/>
        <c:spPr>
          <a:solidFill>
            <a:schemeClr val="bg2">
              <a:lumMod val="75000"/>
            </a:schemeClr>
          </a:solidFill>
          <a:ln w="6350">
            <a:noFill/>
          </a:ln>
          <a:effectLst/>
        </c:spPr>
      </c:pivotFmt>
      <c:pivotFmt>
        <c:idx val="23"/>
        <c:spPr>
          <a:solidFill>
            <a:srgbClr val="2F5597"/>
          </a:solidFill>
          <a:ln>
            <a:noFill/>
          </a:ln>
          <a:effectLst/>
        </c:spPr>
        <c:marker>
          <c:symbol val="none"/>
        </c:marker>
        <c:dLbl>
          <c:idx val="0"/>
          <c:delete val="1"/>
          <c:extLst>
            <c:ext xmlns:c15="http://schemas.microsoft.com/office/drawing/2012/chart" uri="{CE6537A1-D6FC-4f65-9D91-7224C49458BB}"/>
          </c:extLst>
        </c:dLbl>
      </c:pivotFmt>
      <c:pivotFmt>
        <c:idx val="24"/>
        <c:spPr>
          <a:solidFill>
            <a:srgbClr val="ED7D31"/>
          </a:solidFill>
          <a:ln>
            <a:noFill/>
          </a:ln>
          <a:effectLst/>
        </c:spPr>
        <c:marker>
          <c:symbol val="none"/>
        </c:marker>
        <c:dLbl>
          <c:idx val="0"/>
          <c:delete val="1"/>
          <c:extLst>
            <c:ext xmlns:c15="http://schemas.microsoft.com/office/drawing/2012/chart" uri="{CE6537A1-D6FC-4f65-9D91-7224C49458BB}"/>
          </c:extLst>
        </c:dLbl>
      </c:pivotFmt>
      <c:pivotFmt>
        <c:idx val="25"/>
        <c:spPr>
          <a:solidFill>
            <a:schemeClr val="accent5">
              <a:lumMod val="40000"/>
              <a:lumOff val="60000"/>
            </a:schemeClr>
          </a:solidFill>
          <a:ln w="9525">
            <a:noFill/>
          </a:ln>
          <a:effectLst/>
        </c:spPr>
        <c:marker>
          <c:symbol val="none"/>
        </c:marker>
        <c:dLbl>
          <c:idx val="0"/>
          <c:delete val="1"/>
          <c:extLst>
            <c:ext xmlns:c15="http://schemas.microsoft.com/office/drawing/2012/chart" uri="{CE6537A1-D6FC-4f65-9D91-7224C49458BB}"/>
          </c:extLst>
        </c:dLbl>
      </c:pivotFmt>
      <c:pivotFmt>
        <c:idx val="26"/>
        <c:spPr>
          <a:solidFill>
            <a:schemeClr val="bg2">
              <a:lumMod val="75000"/>
            </a:schemeClr>
          </a:solidFill>
          <a:ln w="6350">
            <a:noFill/>
          </a:ln>
          <a:effectLst/>
        </c:spPr>
        <c:marker>
          <c:symbol val="none"/>
        </c:marker>
        <c:dLbl>
          <c:idx val="0"/>
          <c:delete val="1"/>
          <c:extLst>
            <c:ext xmlns:c15="http://schemas.microsoft.com/office/drawing/2012/chart" uri="{CE6537A1-D6FC-4f65-9D91-7224C49458BB}"/>
          </c:extLst>
        </c:dLbl>
      </c:pivotFmt>
      <c:pivotFmt>
        <c:idx val="27"/>
        <c:spPr>
          <a:solidFill>
            <a:schemeClr val="accent1"/>
          </a:solidFill>
          <a:ln w="28575" cap="rnd">
            <a:noFill/>
            <a:round/>
          </a:ln>
          <a:effectLst/>
        </c:spPr>
        <c:marker>
          <c:symbol val="diamond"/>
          <c:size val="6"/>
          <c:spPr>
            <a:solidFill>
              <a:schemeClr val="accent1">
                <a:lumMod val="50000"/>
              </a:schemeClr>
            </a:solidFill>
            <a:ln w="9525">
              <a:solidFill>
                <a:schemeClr val="accent1">
                  <a:lumMod val="50000"/>
                </a:schemeClr>
              </a:solidFill>
            </a:ln>
            <a:effectLst/>
          </c:spPr>
        </c:marker>
        <c:dLbl>
          <c:idx val="0"/>
          <c:delete val="1"/>
          <c:extLst>
            <c:ext xmlns:c15="http://schemas.microsoft.com/office/drawing/2012/chart" uri="{CE6537A1-D6FC-4f65-9D91-7224C49458BB}"/>
          </c:extLst>
        </c:dLbl>
      </c:pivotFmt>
      <c:pivotFmt>
        <c:idx val="28"/>
        <c:spPr>
          <a:solidFill>
            <a:schemeClr val="accent1"/>
          </a:solidFill>
          <a:ln w="28575" cap="rnd">
            <a:noFill/>
            <a:round/>
          </a:ln>
          <a:effectLst/>
        </c:spPr>
        <c:marker>
          <c:symbol val="triangle"/>
          <c:size val="5"/>
          <c:spPr>
            <a:solidFill>
              <a:schemeClr val="accent2">
                <a:lumMod val="75000"/>
              </a:schemeClr>
            </a:solidFill>
            <a:ln w="9525">
              <a:solidFill>
                <a:schemeClr val="accent2">
                  <a:lumMod val="75000"/>
                </a:schemeClr>
              </a:solidFill>
            </a:ln>
            <a:effectLst/>
          </c:spPr>
        </c:marker>
        <c:dLbl>
          <c:idx val="0"/>
          <c:delete val="1"/>
          <c:extLst>
            <c:ext xmlns:c15="http://schemas.microsoft.com/office/drawing/2012/chart" uri="{CE6537A1-D6FC-4f65-9D91-7224C49458BB}"/>
          </c:extLst>
        </c:dLbl>
      </c:pivotFmt>
      <c:pivotFmt>
        <c:idx val="29"/>
        <c:spPr>
          <a:solidFill>
            <a:schemeClr val="accent1"/>
          </a:solidFill>
          <a:ln w="28575" cap="rnd">
            <a:noFill/>
            <a:round/>
          </a:ln>
          <a:effectLst/>
        </c:spPr>
        <c:marker>
          <c:symbol val="circle"/>
          <c:size val="5"/>
          <c:spPr>
            <a:solidFill>
              <a:schemeClr val="accent6">
                <a:lumMod val="75000"/>
              </a:schemeClr>
            </a:solidFill>
            <a:ln w="9525">
              <a:solidFill>
                <a:schemeClr val="accent6">
                  <a:lumMod val="75000"/>
                </a:schemeClr>
              </a:solidFill>
            </a:ln>
            <a:effectLst/>
          </c:spPr>
        </c:marker>
        <c:dLbl>
          <c:idx val="0"/>
          <c:delete val="1"/>
          <c:extLst>
            <c:ext xmlns:c15="http://schemas.microsoft.com/office/drawing/2012/chart" uri="{CE6537A1-D6FC-4f65-9D91-7224C49458BB}"/>
          </c:extLst>
        </c:dLbl>
      </c:pivotFmt>
      <c:pivotFmt>
        <c:idx val="30"/>
        <c:spPr>
          <a:solidFill>
            <a:schemeClr val="accent1"/>
          </a:solidFill>
          <a:ln w="28575" cap="rnd">
            <a:noFill/>
            <a:round/>
          </a:ln>
          <a:effectLst/>
        </c:spPr>
        <c:marker>
          <c:symbol val="square"/>
          <c:size val="5"/>
          <c:spPr>
            <a:solidFill>
              <a:srgbClr val="FFC000"/>
            </a:solidFill>
            <a:ln w="9525">
              <a:solidFill>
                <a:srgbClr val="FFC000"/>
              </a:solidFill>
            </a:ln>
            <a:effectLst/>
          </c:spPr>
        </c:marker>
        <c:dLbl>
          <c:idx val="0"/>
          <c:delete val="1"/>
          <c:extLst>
            <c:ext xmlns:c15="http://schemas.microsoft.com/office/drawing/2012/chart" uri="{CE6537A1-D6FC-4f65-9D91-7224C49458BB}"/>
          </c:extLst>
        </c:dLbl>
      </c:pivotFmt>
    </c:pivotFmts>
    <c:plotArea>
      <c:layout>
        <c:manualLayout>
          <c:layoutTarget val="inner"/>
          <c:xMode val="edge"/>
          <c:yMode val="edge"/>
          <c:x val="0.11863969827883356"/>
          <c:y val="9.0790308745776024E-2"/>
          <c:w val="0.85090620715276022"/>
          <c:h val="0.59008160117542108"/>
        </c:manualLayout>
      </c:layout>
      <c:barChart>
        <c:barDir val="col"/>
        <c:grouping val="stacked"/>
        <c:varyColors val="0"/>
        <c:ser>
          <c:idx val="2"/>
          <c:order val="0"/>
          <c:tx>
            <c:strRef>
              <c:f>'2Cross'!$I$256</c:f>
              <c:strCache>
                <c:ptCount val="1"/>
                <c:pt idx="0">
                  <c:v>Offset through other reforms</c:v>
                </c:pt>
              </c:strCache>
            </c:strRef>
          </c:tx>
          <c:spPr>
            <a:solidFill>
              <a:schemeClr val="accent3"/>
            </a:solidFill>
          </c:spPr>
          <c:invertIfNegative val="0"/>
          <c:cat>
            <c:strRef>
              <c:extLst>
                <c:ext xmlns:c15="http://schemas.microsoft.com/office/drawing/2012/chart" uri="{02D57815-91ED-43cb-92C2-25804820EDAC}">
                  <c15:fullRef>
                    <c15:sqref>'2Cross'!$F$257:$F$285</c15:sqref>
                  </c15:fullRef>
                </c:ext>
              </c:extLst>
              <c:f>'2Cross'!$F$257:$F$277</c:f>
              <c:strCache>
                <c:ptCount val="21"/>
                <c:pt idx="0">
                  <c:v>CY</c:v>
                </c:pt>
                <c:pt idx="1">
                  <c:v>ES</c:v>
                </c:pt>
                <c:pt idx="2">
                  <c:v>IT</c:v>
                </c:pt>
                <c:pt idx="3">
                  <c:v>MT</c:v>
                </c:pt>
                <c:pt idx="4">
                  <c:v>EE</c:v>
                </c:pt>
                <c:pt idx="5">
                  <c:v>NL</c:v>
                </c:pt>
                <c:pt idx="6">
                  <c:v>FI</c:v>
                </c:pt>
                <c:pt idx="7">
                  <c:v>HU</c:v>
                </c:pt>
                <c:pt idx="8">
                  <c:v>IE</c:v>
                </c:pt>
                <c:pt idx="9">
                  <c:v>BE</c:v>
                </c:pt>
                <c:pt idx="10">
                  <c:v>FR</c:v>
                </c:pt>
                <c:pt idx="11">
                  <c:v>EL</c:v>
                </c:pt>
                <c:pt idx="12">
                  <c:v>PT</c:v>
                </c:pt>
                <c:pt idx="13">
                  <c:v>AT</c:v>
                </c:pt>
                <c:pt idx="14">
                  <c:v>DE</c:v>
                </c:pt>
                <c:pt idx="15">
                  <c:v>LT</c:v>
                </c:pt>
                <c:pt idx="16">
                  <c:v>LU</c:v>
                </c:pt>
                <c:pt idx="17">
                  <c:v>HR</c:v>
                </c:pt>
                <c:pt idx="18">
                  <c:v>SI</c:v>
                </c:pt>
                <c:pt idx="19">
                  <c:v>SK</c:v>
                </c:pt>
                <c:pt idx="20">
                  <c:v>LV</c:v>
                </c:pt>
              </c:strCache>
            </c:strRef>
          </c:cat>
          <c:val>
            <c:numRef>
              <c:extLst>
                <c:ext xmlns:c15="http://schemas.microsoft.com/office/drawing/2012/chart" uri="{02D57815-91ED-43cb-92C2-25804820EDAC}">
                  <c15:fullRef>
                    <c15:sqref>'2Cross'!$I$257:$I$285</c15:sqref>
                  </c15:fullRef>
                </c:ext>
              </c:extLst>
              <c:f>'2Cross'!$I$257:$I$277</c:f>
              <c:numCache>
                <c:formatCode>_(* #,##0.00_);_(* \(#,##0.00\);_(* "-"??_);_(@_)</c:formatCode>
                <c:ptCount val="21"/>
                <c:pt idx="0">
                  <c:v>0.19666007314888712</c:v>
                </c:pt>
                <c:pt idx="1">
                  <c:v>1.4432392664118138E-2</c:v>
                </c:pt>
                <c:pt idx="2">
                  <c:v>0.25628235657213821</c:v>
                </c:pt>
                <c:pt idx="3">
                  <c:v>0.24141281466984821</c:v>
                </c:pt>
                <c:pt idx="4">
                  <c:v>0.35992106826948833</c:v>
                </c:pt>
                <c:pt idx="5">
                  <c:v>4.0433095748563797E-2</c:v>
                </c:pt>
                <c:pt idx="6">
                  <c:v>0.17591462017930537</c:v>
                </c:pt>
                <c:pt idx="7">
                  <c:v>0.74937034056099849</c:v>
                </c:pt>
                <c:pt idx="8">
                  <c:v>0.14244559398354706</c:v>
                </c:pt>
                <c:pt idx="9">
                  <c:v>-6.8457199083916009E-2</c:v>
                </c:pt>
                <c:pt idx="10">
                  <c:v>0.64327832693557363</c:v>
                </c:pt>
                <c:pt idx="11">
                  <c:v>0.8562396452740848</c:v>
                </c:pt>
                <c:pt idx="12">
                  <c:v>0.82134655116653432</c:v>
                </c:pt>
                <c:pt idx="13">
                  <c:v>0.77616811945441744</c:v>
                </c:pt>
                <c:pt idx="14">
                  <c:v>0.52253297891401984</c:v>
                </c:pt>
                <c:pt idx="15">
                  <c:v>-0.15889554148778218</c:v>
                </c:pt>
                <c:pt idx="16">
                  <c:v>1.0596878609856122</c:v>
                </c:pt>
                <c:pt idx="17">
                  <c:v>1.2919808103270254</c:v>
                </c:pt>
                <c:pt idx="18">
                  <c:v>1.4183426807921358</c:v>
                </c:pt>
                <c:pt idx="19">
                  <c:v>1.1661477933867874</c:v>
                </c:pt>
                <c:pt idx="20">
                  <c:v>1.8135621717548949</c:v>
                </c:pt>
              </c:numCache>
            </c:numRef>
          </c:val>
          <c:extLst>
            <c:ext xmlns:c16="http://schemas.microsoft.com/office/drawing/2014/chart" uri="{C3380CC4-5D6E-409C-BE32-E72D297353CC}">
              <c16:uniqueId val="{00000000-3DCF-414A-9B1F-7F0D426E3E50}"/>
            </c:ext>
          </c:extLst>
        </c:ser>
        <c:ser>
          <c:idx val="0"/>
          <c:order val="1"/>
          <c:tx>
            <c:strRef>
              <c:f>'2Cross'!$J$256</c:f>
              <c:strCache>
                <c:ptCount val="1"/>
                <c:pt idx="0">
                  <c:v>Offset through indexation</c:v>
                </c:pt>
              </c:strCache>
            </c:strRef>
          </c:tx>
          <c:spPr>
            <a:solidFill>
              <a:schemeClr val="tx1">
                <a:lumMod val="65000"/>
                <a:lumOff val="35000"/>
              </a:schemeClr>
            </a:solidFill>
          </c:spPr>
          <c:invertIfNegative val="0"/>
          <c:cat>
            <c:strRef>
              <c:extLst>
                <c:ext xmlns:c15="http://schemas.microsoft.com/office/drawing/2012/chart" uri="{02D57815-91ED-43cb-92C2-25804820EDAC}">
                  <c15:fullRef>
                    <c15:sqref>'2Cross'!$F$257:$F$285</c15:sqref>
                  </c15:fullRef>
                </c:ext>
              </c:extLst>
              <c:f>'2Cross'!$F$257:$F$277</c:f>
              <c:strCache>
                <c:ptCount val="21"/>
                <c:pt idx="0">
                  <c:v>CY</c:v>
                </c:pt>
                <c:pt idx="1">
                  <c:v>ES</c:v>
                </c:pt>
                <c:pt idx="2">
                  <c:v>IT</c:v>
                </c:pt>
                <c:pt idx="3">
                  <c:v>MT</c:v>
                </c:pt>
                <c:pt idx="4">
                  <c:v>EE</c:v>
                </c:pt>
                <c:pt idx="5">
                  <c:v>NL</c:v>
                </c:pt>
                <c:pt idx="6">
                  <c:v>FI</c:v>
                </c:pt>
                <c:pt idx="7">
                  <c:v>HU</c:v>
                </c:pt>
                <c:pt idx="8">
                  <c:v>IE</c:v>
                </c:pt>
                <c:pt idx="9">
                  <c:v>BE</c:v>
                </c:pt>
                <c:pt idx="10">
                  <c:v>FR</c:v>
                </c:pt>
                <c:pt idx="11">
                  <c:v>EL</c:v>
                </c:pt>
                <c:pt idx="12">
                  <c:v>PT</c:v>
                </c:pt>
                <c:pt idx="13">
                  <c:v>AT</c:v>
                </c:pt>
                <c:pt idx="14">
                  <c:v>DE</c:v>
                </c:pt>
                <c:pt idx="15">
                  <c:v>LT</c:v>
                </c:pt>
                <c:pt idx="16">
                  <c:v>LU</c:v>
                </c:pt>
                <c:pt idx="17">
                  <c:v>HR</c:v>
                </c:pt>
                <c:pt idx="18">
                  <c:v>SI</c:v>
                </c:pt>
                <c:pt idx="19">
                  <c:v>SK</c:v>
                </c:pt>
                <c:pt idx="20">
                  <c:v>LV</c:v>
                </c:pt>
              </c:strCache>
            </c:strRef>
          </c:cat>
          <c:val>
            <c:numRef>
              <c:extLst>
                <c:ext xmlns:c15="http://schemas.microsoft.com/office/drawing/2012/chart" uri="{02D57815-91ED-43cb-92C2-25804820EDAC}">
                  <c15:fullRef>
                    <c15:sqref>'2Cross'!$J$257:$J$285</c15:sqref>
                  </c15:fullRef>
                </c:ext>
              </c:extLst>
              <c:f>'2Cross'!$J$257:$J$277</c:f>
              <c:numCache>
                <c:formatCode>_(* #,##0.00_);_(* \(#,##0.00\);_(* "-"??_);_(@_)</c:formatCode>
                <c:ptCount val="21"/>
                <c:pt idx="0">
                  <c:v>0</c:v>
                </c:pt>
                <c:pt idx="1">
                  <c:v>0.24800247661850558</c:v>
                </c:pt>
                <c:pt idx="2">
                  <c:v>1.023081076707975E-2</c:v>
                </c:pt>
                <c:pt idx="3">
                  <c:v>8.1424740824162969E-2</c:v>
                </c:pt>
                <c:pt idx="4">
                  <c:v>0.24877434036312374</c:v>
                </c:pt>
                <c:pt idx="5">
                  <c:v>0.60493189691978233</c:v>
                </c:pt>
                <c:pt idx="6">
                  <c:v>0.55257682404344621</c:v>
                </c:pt>
                <c:pt idx="7">
                  <c:v>-9.4459448400211938E-5</c:v>
                </c:pt>
                <c:pt idx="8">
                  <c:v>0.63527384906029538</c:v>
                </c:pt>
                <c:pt idx="9">
                  <c:v>0.88626479182774165</c:v>
                </c:pt>
                <c:pt idx="10">
                  <c:v>0.20041878488692252</c:v>
                </c:pt>
                <c:pt idx="11">
                  <c:v>1.1918841711934637E-4</c:v>
                </c:pt>
                <c:pt idx="12">
                  <c:v>0.13184605881378292</c:v>
                </c:pt>
                <c:pt idx="13">
                  <c:v>0.29619431371236477</c:v>
                </c:pt>
                <c:pt idx="14">
                  <c:v>0.67009996572805153</c:v>
                </c:pt>
                <c:pt idx="15">
                  <c:v>1.3825807587378864</c:v>
                </c:pt>
                <c:pt idx="16">
                  <c:v>0.17249870935890335</c:v>
                </c:pt>
                <c:pt idx="17">
                  <c:v>0</c:v>
                </c:pt>
                <c:pt idx="18">
                  <c:v>7.6751920013649874E-2</c:v>
                </c:pt>
                <c:pt idx="19">
                  <c:v>0.47618675820848527</c:v>
                </c:pt>
                <c:pt idx="20">
                  <c:v>0</c:v>
                </c:pt>
              </c:numCache>
            </c:numRef>
          </c:val>
          <c:extLst>
            <c:ext xmlns:c16="http://schemas.microsoft.com/office/drawing/2014/chart" uri="{C3380CC4-5D6E-409C-BE32-E72D297353CC}">
              <c16:uniqueId val="{00000001-3DCF-414A-9B1F-7F0D426E3E50}"/>
            </c:ext>
          </c:extLst>
        </c:ser>
        <c:ser>
          <c:idx val="1"/>
          <c:order val="3"/>
          <c:tx>
            <c:strRef>
              <c:f>'2Cross'!$H$256</c:f>
              <c:strCache>
                <c:ptCount val="1"/>
                <c:pt idx="0">
                  <c:v>Actual Fiscal Drag</c:v>
                </c:pt>
              </c:strCache>
            </c:strRef>
          </c:tx>
          <c:spPr>
            <a:solidFill>
              <a:schemeClr val="accent2">
                <a:lumMod val="75000"/>
              </a:schemeClr>
            </a:solidFill>
          </c:spPr>
          <c:invertIfNegative val="0"/>
          <c:cat>
            <c:strRef>
              <c:extLst>
                <c:ext xmlns:c15="http://schemas.microsoft.com/office/drawing/2012/chart" uri="{02D57815-91ED-43cb-92C2-25804820EDAC}">
                  <c15:fullRef>
                    <c15:sqref>'2Cross'!$F$257:$F$285</c15:sqref>
                  </c15:fullRef>
                </c:ext>
              </c:extLst>
              <c:f>'2Cross'!$F$257:$F$277</c:f>
              <c:strCache>
                <c:ptCount val="21"/>
                <c:pt idx="0">
                  <c:v>CY</c:v>
                </c:pt>
                <c:pt idx="1">
                  <c:v>ES</c:v>
                </c:pt>
                <c:pt idx="2">
                  <c:v>IT</c:v>
                </c:pt>
                <c:pt idx="3">
                  <c:v>MT</c:v>
                </c:pt>
                <c:pt idx="4">
                  <c:v>EE</c:v>
                </c:pt>
                <c:pt idx="5">
                  <c:v>NL</c:v>
                </c:pt>
                <c:pt idx="6">
                  <c:v>FI</c:v>
                </c:pt>
                <c:pt idx="7">
                  <c:v>HU</c:v>
                </c:pt>
                <c:pt idx="8">
                  <c:v>IE</c:v>
                </c:pt>
                <c:pt idx="9">
                  <c:v>BE</c:v>
                </c:pt>
                <c:pt idx="10">
                  <c:v>FR</c:v>
                </c:pt>
                <c:pt idx="11">
                  <c:v>EL</c:v>
                </c:pt>
                <c:pt idx="12">
                  <c:v>PT</c:v>
                </c:pt>
                <c:pt idx="13">
                  <c:v>AT</c:v>
                </c:pt>
                <c:pt idx="14">
                  <c:v>DE</c:v>
                </c:pt>
                <c:pt idx="15">
                  <c:v>LT</c:v>
                </c:pt>
                <c:pt idx="16">
                  <c:v>LU</c:v>
                </c:pt>
                <c:pt idx="17">
                  <c:v>HR</c:v>
                </c:pt>
                <c:pt idx="18">
                  <c:v>SI</c:v>
                </c:pt>
                <c:pt idx="19">
                  <c:v>SK</c:v>
                </c:pt>
                <c:pt idx="20">
                  <c:v>LV</c:v>
                </c:pt>
              </c:strCache>
            </c:strRef>
          </c:cat>
          <c:val>
            <c:numRef>
              <c:extLst>
                <c:ext xmlns:c15="http://schemas.microsoft.com/office/drawing/2012/chart" uri="{02D57815-91ED-43cb-92C2-25804820EDAC}">
                  <c15:fullRef>
                    <c15:sqref>'2Cross'!$H$257:$H$285</c15:sqref>
                  </c15:fullRef>
                </c:ext>
              </c:extLst>
              <c:f>'2Cross'!$H$257:$H$277</c:f>
              <c:numCache>
                <c:formatCode>0.00</c:formatCode>
                <c:ptCount val="21"/>
                <c:pt idx="0">
                  <c:v>0.80333992685111288</c:v>
                </c:pt>
                <c:pt idx="1">
                  <c:v>0.73756513071737628</c:v>
                </c:pt>
                <c:pt idx="2">
                  <c:v>0.73348683266078196</c:v>
                </c:pt>
                <c:pt idx="3">
                  <c:v>0.67716244450598884</c:v>
                </c:pt>
                <c:pt idx="4">
                  <c:v>0.39130459136738793</c:v>
                </c:pt>
                <c:pt idx="5">
                  <c:v>0.35463500733165387</c:v>
                </c:pt>
                <c:pt idx="6">
                  <c:v>0.27150855577724842</c:v>
                </c:pt>
                <c:pt idx="7">
                  <c:v>0.25072411888740176</c:v>
                </c:pt>
                <c:pt idx="8">
                  <c:v>0.22228055695615756</c:v>
                </c:pt>
                <c:pt idx="9">
                  <c:v>0.18219240725617436</c:v>
                </c:pt>
                <c:pt idx="10">
                  <c:v>0.15630288817750382</c:v>
                </c:pt>
                <c:pt idx="11">
                  <c:v>0.14364116630879586</c:v>
                </c:pt>
                <c:pt idx="12">
                  <c:v>4.6807390019682704E-2</c:v>
                </c:pt>
                <c:pt idx="13">
                  <c:v>0</c:v>
                </c:pt>
                <c:pt idx="14">
                  <c:v>0</c:v>
                </c:pt>
                <c:pt idx="15">
                  <c:v>0</c:v>
                </c:pt>
                <c:pt idx="16">
                  <c:v>0</c:v>
                </c:pt>
                <c:pt idx="17">
                  <c:v>0</c:v>
                </c:pt>
                <c:pt idx="18">
                  <c:v>0</c:v>
                </c:pt>
                <c:pt idx="19">
                  <c:v>0</c:v>
                </c:pt>
                <c:pt idx="20">
                  <c:v>0</c:v>
                </c:pt>
              </c:numCache>
            </c:numRef>
          </c:val>
          <c:extLst>
            <c:ext xmlns:c16="http://schemas.microsoft.com/office/drawing/2014/chart" uri="{C3380CC4-5D6E-409C-BE32-E72D297353CC}">
              <c16:uniqueId val="{00000002-3DCF-414A-9B1F-7F0D426E3E50}"/>
            </c:ext>
          </c:extLst>
        </c:ser>
        <c:dLbls>
          <c:showLegendKey val="0"/>
          <c:showVal val="0"/>
          <c:showCatName val="0"/>
          <c:showSerName val="0"/>
          <c:showPercent val="0"/>
          <c:showBubbleSize val="0"/>
        </c:dLbls>
        <c:gapWidth val="50"/>
        <c:overlap val="100"/>
        <c:axId val="844305855"/>
        <c:axId val="892036479"/>
      </c:barChart>
      <c:lineChart>
        <c:grouping val="standard"/>
        <c:varyColors val="0"/>
        <c:ser>
          <c:idx val="3"/>
          <c:order val="2"/>
          <c:tx>
            <c:strRef>
              <c:f>'2Cross'!$G$256</c:f>
              <c:strCache>
                <c:ptCount val="1"/>
                <c:pt idx="0">
                  <c:v>Total Offset</c:v>
                </c:pt>
              </c:strCache>
            </c:strRef>
          </c:tx>
          <c:spPr>
            <a:ln w="19050">
              <a:noFill/>
            </a:ln>
          </c:spPr>
          <c:marker>
            <c:symbol val="circle"/>
            <c:size val="6"/>
            <c:spPr>
              <a:solidFill>
                <a:schemeClr val="tx1"/>
              </a:solidFill>
              <a:ln>
                <a:noFill/>
              </a:ln>
            </c:spPr>
          </c:marker>
          <c:cat>
            <c:strLit>
              <c:ptCount val="21"/>
              <c:pt idx="0">
                <c:v>CY</c:v>
              </c:pt>
              <c:pt idx="1">
                <c:v>ES</c:v>
              </c:pt>
              <c:pt idx="2">
                <c:v>IT</c:v>
              </c:pt>
              <c:pt idx="3">
                <c:v>MT</c:v>
              </c:pt>
              <c:pt idx="4">
                <c:v>EE</c:v>
              </c:pt>
              <c:pt idx="5">
                <c:v>NL</c:v>
              </c:pt>
              <c:pt idx="6">
                <c:v>FI</c:v>
              </c:pt>
              <c:pt idx="7">
                <c:v>HU</c:v>
              </c:pt>
              <c:pt idx="8">
                <c:v>IE</c:v>
              </c:pt>
              <c:pt idx="9">
                <c:v>BE</c:v>
              </c:pt>
              <c:pt idx="10">
                <c:v>FR</c:v>
              </c:pt>
              <c:pt idx="11">
                <c:v>EL</c:v>
              </c:pt>
              <c:pt idx="12">
                <c:v>PT</c:v>
              </c:pt>
              <c:pt idx="13">
                <c:v>AT</c:v>
              </c:pt>
              <c:pt idx="14">
                <c:v>DE</c:v>
              </c:pt>
              <c:pt idx="15">
                <c:v>LT</c:v>
              </c:pt>
              <c:pt idx="16">
                <c:v>LU</c:v>
              </c:pt>
              <c:pt idx="17">
                <c:v>HR</c:v>
              </c:pt>
              <c:pt idx="18">
                <c:v>SI</c:v>
              </c:pt>
              <c:pt idx="19">
                <c:v>SK</c:v>
              </c:pt>
              <c:pt idx="20">
                <c:v>LV</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'2Cross'!$G$257:$G$285</c15:sqref>
                  </c15:fullRef>
                </c:ext>
              </c:extLst>
              <c:f>'2Cross'!$G$257:$G$277</c:f>
              <c:numCache>
                <c:formatCode>_(* #,##0.00_);_(* \(#,##0.00\);_(* "-"??_);_(@_)</c:formatCode>
                <c:ptCount val="21"/>
                <c:pt idx="0">
                  <c:v>0.19666007314888712</c:v>
                </c:pt>
                <c:pt idx="1">
                  <c:v>0.26243486928262372</c:v>
                </c:pt>
                <c:pt idx="2">
                  <c:v>0.26651316733921798</c:v>
                </c:pt>
                <c:pt idx="3">
                  <c:v>0.32283755549401116</c:v>
                </c:pt>
                <c:pt idx="4">
                  <c:v>0.60869540863261207</c:v>
                </c:pt>
                <c:pt idx="5">
                  <c:v>0.64536499266834613</c:v>
                </c:pt>
                <c:pt idx="6">
                  <c:v>0.72849144422275158</c:v>
                </c:pt>
                <c:pt idx="7">
                  <c:v>0.74927588111259824</c:v>
                </c:pt>
                <c:pt idx="8">
                  <c:v>0.77771944304384244</c:v>
                </c:pt>
                <c:pt idx="9">
                  <c:v>0.81780759274382564</c:v>
                </c:pt>
                <c:pt idx="10">
                  <c:v>0.84369711182249618</c:v>
                </c:pt>
                <c:pt idx="11">
                  <c:v>0.85635883369120414</c:v>
                </c:pt>
                <c:pt idx="12">
                  <c:v>0.9531926099803173</c:v>
                </c:pt>
                <c:pt idx="13">
                  <c:v>1.0723624331667823</c:v>
                </c:pt>
                <c:pt idx="14">
                  <c:v>1.1926329446420714</c:v>
                </c:pt>
                <c:pt idx="15">
                  <c:v>1.2236852172501043</c:v>
                </c:pt>
                <c:pt idx="16">
                  <c:v>1.2321865703445156</c:v>
                </c:pt>
                <c:pt idx="17">
                  <c:v>1.2919808103270254</c:v>
                </c:pt>
                <c:pt idx="18">
                  <c:v>1.4950946008057857</c:v>
                </c:pt>
                <c:pt idx="19">
                  <c:v>1.6423345515952728</c:v>
                </c:pt>
                <c:pt idx="20">
                  <c:v>1.8135621717548949</c:v>
                </c:pt>
              </c:numCache>
            </c:numRef>
          </c:val>
          <c:smooth val="0"/>
          <c:extLst>
            <c:ext xmlns:c16="http://schemas.microsoft.com/office/drawing/2014/chart" uri="{C3380CC4-5D6E-409C-BE32-E72D297353CC}">
              <c16:uniqueId val="{00000003-3DCF-414A-9B1F-7F0D426E3E50}"/>
            </c:ext>
          </c:extLst>
        </c:ser>
        <c:dLbls>
          <c:showLegendKey val="0"/>
          <c:showVal val="0"/>
          <c:showCatName val="0"/>
          <c:showSerName val="0"/>
          <c:showPercent val="0"/>
          <c:showBubbleSize val="0"/>
        </c:dLbls>
        <c:marker val="1"/>
        <c:smooth val="0"/>
        <c:axId val="844305855"/>
        <c:axId val="892036479"/>
      </c:lineChart>
      <c:catAx>
        <c:axId val="844305855"/>
        <c:scaling>
          <c:orientation val="minMax"/>
        </c:scaling>
        <c:delete val="0"/>
        <c:axPos val="b"/>
        <c:numFmt formatCode="General" sourceLinked="1"/>
        <c:majorTickMark val="none"/>
        <c:minorTickMark val="none"/>
        <c:tickLblPos val="low"/>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crossAx val="892036479"/>
        <c:crossesAt val="0"/>
        <c:auto val="1"/>
        <c:lblAlgn val="ctr"/>
        <c:lblOffset val="100"/>
        <c:noMultiLvlLbl val="0"/>
      </c:catAx>
      <c:valAx>
        <c:axId val="892036479"/>
        <c:scaling>
          <c:orientation val="minMax"/>
          <c:min val="-0.2"/>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s-ES_tradnl" sz="1050"/>
                  <a:t>Normalized</a:t>
                </a:r>
                <a:r>
                  <a:rPr lang="es-ES_tradnl" sz="1050" baseline="0"/>
                  <a:t> potential fiscal drag</a:t>
                </a:r>
                <a:endParaRPr lang="es-ES_tradnl" sz="1050"/>
              </a:p>
            </c:rich>
          </c:tx>
          <c:overlay val="0"/>
          <c:spPr>
            <a:noFill/>
            <a:ln>
              <a:noFill/>
            </a:ln>
            <a:effectLst/>
          </c:sp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crossAx val="844305855"/>
        <c:crosses val="autoZero"/>
        <c:crossBetween val="between"/>
        <c:majorUnit val="0.2"/>
      </c:valAx>
    </c:plotArea>
    <c:legend>
      <c:legendPos val="b"/>
      <c:layout>
        <c:manualLayout>
          <c:xMode val="edge"/>
          <c:yMode val="edge"/>
          <c:x val="7.4035067181233621E-2"/>
          <c:y val="0.80686064386488099"/>
          <c:w val="0.84365748038138832"/>
          <c:h val="0.13753100519034492"/>
        </c:manualLayout>
      </c:layout>
      <c:overlay val="0"/>
      <c:spPr>
        <a:noFill/>
        <a:ln>
          <a:noFill/>
        </a:ln>
        <a:effectLst/>
      </c:spPr>
      <c:txPr>
        <a:bodyPr rot="0" spcFirstLastPara="1" vertOverflow="ellipsis" vert="horz" wrap="square" anchor="ctr" anchorCtr="1"/>
        <a:lstStyle/>
        <a:p>
          <a:pPr>
            <a:defRPr sz="9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legend>
    <c:plotVisOnly val="1"/>
    <c:dispBlanksAs val="gap"/>
    <c:showDLblsOverMax val="0"/>
    <c:extLst/>
  </c:chart>
  <c:spPr>
    <a:solidFill>
      <a:schemeClr val="bg1"/>
    </a:solidFill>
    <a:ln w="9525" cap="flat" cmpd="sng" algn="ctr">
      <a:noFill/>
      <a:round/>
    </a:ln>
    <a:effectLst/>
  </c:spPr>
  <c:txPr>
    <a:bodyPr/>
    <a:lstStyle/>
    <a:p>
      <a:pPr>
        <a:defRPr>
          <a:solidFill>
            <a:sysClr val="windowText" lastClr="000000"/>
          </a:solidFill>
          <a:latin typeface="Times New Roman" panose="02020603050405020304" pitchFamily="18" charset="0"/>
          <a:cs typeface="Times New Roman" panose="02020603050405020304" pitchFamily="18" charset="0"/>
        </a:defRPr>
      </a:pPr>
      <a:endParaRPr lang="es-ES_tradnl"/>
    </a:p>
  </c:txPr>
  <c:printSettings>
    <c:headerFooter/>
    <c:pageMargins b="0.75" l="0.25" r="0.25" t="0.75" header="0.3" footer="0.3"/>
    <c:pageSetup paperSize="9" orientation="landscape"/>
  </c:printSettings>
  <c:userShapes r:id="rId1"/>
  <c:extLst/>
</c:chartSpace>
</file>

<file path=xl/charts/chart9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28575" cap="rnd">
            <a:noFill/>
            <a:round/>
          </a:ln>
          <a:effectLst/>
        </c:spPr>
        <c:marker>
          <c:symbol val="dash"/>
          <c:size val="7"/>
          <c:spPr>
            <a:solidFill>
              <a:srgbClr val="3B3838"/>
            </a:solidFill>
            <a:ln w="9525">
              <a:solidFill>
                <a:srgbClr val="3B3838"/>
              </a:solidFill>
            </a:ln>
            <a:effectLst/>
          </c:spPr>
        </c:marker>
        <c:dLbl>
          <c:idx val="0"/>
          <c:delete val="1"/>
          <c:extLst>
            <c:ext xmlns:c15="http://schemas.microsoft.com/office/drawing/2012/chart" uri="{CE6537A1-D6FC-4f65-9D91-7224C49458BB}"/>
          </c:extLst>
        </c:dLbl>
      </c:pivotFmt>
      <c:pivotFmt>
        <c:idx val="1"/>
        <c:spPr>
          <a:solidFill>
            <a:srgbClr val="E7E6E6"/>
          </a:solidFill>
          <a:ln w="25400">
            <a:noFill/>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2"/>
        <c:spPr>
          <a:solidFill>
            <a:srgbClr val="ED7D31"/>
          </a:solidFill>
          <a:ln w="25400">
            <a:noFill/>
          </a:ln>
          <a:effectLst/>
        </c:spPr>
        <c:marker>
          <c:symbol val="circle"/>
          <c:size val="5"/>
          <c:spPr>
            <a:solidFill>
              <a:schemeClr val="accent3"/>
            </a:solidFill>
            <a:ln w="9525">
              <a:solidFill>
                <a:schemeClr val="accent3"/>
              </a:solidFill>
            </a:ln>
            <a:effectLst/>
          </c:spPr>
        </c:marker>
        <c:dLbl>
          <c:idx val="0"/>
          <c:delete val="1"/>
          <c:extLst>
            <c:ext xmlns:c15="http://schemas.microsoft.com/office/drawing/2012/chart" uri="{CE6537A1-D6FC-4f65-9D91-7224C49458BB}"/>
          </c:extLst>
        </c:dLbl>
      </c:pivotFmt>
      <c:pivotFmt>
        <c:idx val="3"/>
        <c:spPr>
          <a:solidFill>
            <a:srgbClr val="2F5597"/>
          </a:solidFill>
          <a:ln w="25400">
            <a:noFill/>
          </a:ln>
          <a:effectLst/>
        </c:spPr>
        <c:marker>
          <c:symbol val="circle"/>
          <c:size val="5"/>
          <c:spPr>
            <a:solidFill>
              <a:schemeClr val="accent4"/>
            </a:solidFill>
            <a:ln w="9525">
              <a:solidFill>
                <a:schemeClr val="accent4"/>
              </a:solidFill>
            </a:ln>
            <a:effectLst/>
          </c:spPr>
        </c:marker>
        <c:dLbl>
          <c:idx val="0"/>
          <c:delete val="1"/>
          <c:extLst>
            <c:ext xmlns:c15="http://schemas.microsoft.com/office/drawing/2012/chart" uri="{CE6537A1-D6FC-4f65-9D91-7224C49458BB}"/>
          </c:extLst>
        </c:dLbl>
      </c:pivotFmt>
      <c:pivotFmt>
        <c:idx val="4"/>
        <c:spPr>
          <a:solidFill>
            <a:srgbClr val="4472C4"/>
          </a:solidFill>
          <a:ln>
            <a:noFill/>
          </a:ln>
          <a:effectLst/>
        </c:spPr>
        <c:marker>
          <c:symbol val="none"/>
        </c:marker>
        <c:dLbl>
          <c:idx val="0"/>
          <c:delete val="1"/>
          <c:extLst>
            <c:ext xmlns:c15="http://schemas.microsoft.com/office/drawing/2012/chart" uri="{CE6537A1-D6FC-4f65-9D91-7224C49458BB}"/>
          </c:extLst>
        </c:dLbl>
      </c:pivotFmt>
      <c:pivotFmt>
        <c:idx val="5"/>
        <c:spPr>
          <a:solidFill>
            <a:srgbClr val="8FAADC"/>
          </a:solidFill>
          <a:ln>
            <a:noFill/>
          </a:ln>
          <a:effectLst/>
        </c:spPr>
        <c:marker>
          <c:symbol val="none"/>
        </c:marker>
        <c:dLbl>
          <c:idx val="0"/>
          <c:delete val="1"/>
          <c:extLst>
            <c:ext xmlns:c15="http://schemas.microsoft.com/office/drawing/2012/chart" uri="{CE6537A1-D6FC-4f65-9D91-7224C49458BB}"/>
          </c:extLst>
        </c:dLbl>
      </c:pivotFmt>
      <c:pivotFmt>
        <c:idx val="6"/>
        <c:spPr>
          <a:solidFill>
            <a:srgbClr val="DAE3F3"/>
          </a:solidFill>
          <a:ln>
            <a:noFill/>
          </a:ln>
          <a:effectLst/>
        </c:spPr>
        <c:marker>
          <c:symbol val="none"/>
        </c:marker>
        <c:dLbl>
          <c:idx val="0"/>
          <c:delete val="1"/>
          <c:extLst>
            <c:ext xmlns:c15="http://schemas.microsoft.com/office/drawing/2012/chart" uri="{CE6537A1-D6FC-4f65-9D91-7224C49458BB}"/>
          </c:extLst>
        </c:dLbl>
      </c:pivotFmt>
      <c:pivotFmt>
        <c:idx val="7"/>
        <c:spPr>
          <a:solidFill>
            <a:srgbClr val="DAE3F3"/>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w="25400">
            <a:noFill/>
          </a:ln>
          <a:effectLst/>
        </c:spPr>
        <c:marker>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9"/>
        <c:spPr>
          <a:solidFill>
            <a:schemeClr val="accent1"/>
          </a:solidFill>
          <a:ln w="28575" cap="rnd">
            <a:noFill/>
            <a:round/>
          </a:ln>
          <a:effectLst/>
        </c:spPr>
        <c:marker>
          <c:symbol val="dash"/>
          <c:size val="7"/>
          <c:spPr>
            <a:solidFill>
              <a:srgbClr val="3B3838"/>
            </a:solidFill>
            <a:ln w="9525">
              <a:solidFill>
                <a:srgbClr val="3B3838"/>
              </a:solidFill>
            </a:ln>
            <a:effectLst/>
          </c:spPr>
        </c:marker>
      </c:pivotFmt>
      <c:pivotFmt>
        <c:idx val="10"/>
        <c:spPr>
          <a:solidFill>
            <a:srgbClr val="E7E6E6"/>
          </a:solidFill>
          <a:ln w="25400">
            <a:noFill/>
          </a:ln>
          <a:effectLst/>
        </c:spPr>
        <c:marker>
          <c:symbol val="none"/>
        </c:marker>
        <c:dLbl>
          <c:idx val="0"/>
          <c:delete val="1"/>
          <c:extLst>
            <c:ext xmlns:c15="http://schemas.microsoft.com/office/drawing/2012/chart" uri="{CE6537A1-D6FC-4f65-9D91-7224C49458BB}"/>
          </c:extLst>
        </c:dLbl>
      </c:pivotFmt>
      <c:pivotFmt>
        <c:idx val="11"/>
        <c:spPr>
          <a:solidFill>
            <a:srgbClr val="ED7D31"/>
          </a:solidFill>
          <a:ln w="25400">
            <a:noFill/>
          </a:ln>
          <a:effectLst/>
        </c:spPr>
        <c:marker>
          <c:symbol val="none"/>
        </c:marker>
        <c:dLbl>
          <c:idx val="0"/>
          <c:delete val="1"/>
          <c:extLst>
            <c:ext xmlns:c15="http://schemas.microsoft.com/office/drawing/2012/chart" uri="{CE6537A1-D6FC-4f65-9D91-7224C49458BB}"/>
          </c:extLst>
        </c:dLbl>
      </c:pivotFmt>
      <c:pivotFmt>
        <c:idx val="12"/>
        <c:spPr>
          <a:solidFill>
            <a:srgbClr val="2F5597"/>
          </a:solidFill>
          <a:ln w="25400">
            <a:noFill/>
          </a:ln>
          <a:effectLst/>
        </c:spPr>
        <c:marker>
          <c:symbol val="none"/>
        </c:marker>
        <c:dLbl>
          <c:idx val="0"/>
          <c:delete val="1"/>
          <c:extLst>
            <c:ext xmlns:c15="http://schemas.microsoft.com/office/drawing/2012/chart" uri="{CE6537A1-D6FC-4f65-9D91-7224C49458BB}"/>
          </c:extLst>
        </c:dLbl>
      </c:pivotFmt>
      <c:pivotFmt>
        <c:idx val="13"/>
        <c:spPr>
          <a:solidFill>
            <a:srgbClr val="4472C4"/>
          </a:solidFill>
          <a:ln>
            <a:noFill/>
          </a:ln>
          <a:effectLst/>
        </c:spPr>
        <c:marker>
          <c:symbol val="none"/>
        </c:marker>
        <c:dLbl>
          <c:idx val="0"/>
          <c:delete val="1"/>
          <c:extLst>
            <c:ext xmlns:c15="http://schemas.microsoft.com/office/drawing/2012/chart" uri="{CE6537A1-D6FC-4f65-9D91-7224C49458BB}"/>
          </c:extLst>
        </c:dLbl>
      </c:pivotFmt>
      <c:pivotFmt>
        <c:idx val="14"/>
        <c:spPr>
          <a:solidFill>
            <a:srgbClr val="8FAADC"/>
          </a:solidFill>
          <a:ln>
            <a:noFill/>
          </a:ln>
          <a:effectLst/>
        </c:spPr>
        <c:marker>
          <c:symbol val="none"/>
        </c:marker>
        <c:dLbl>
          <c:idx val="0"/>
          <c:delete val="1"/>
          <c:extLst>
            <c:ext xmlns:c15="http://schemas.microsoft.com/office/drawing/2012/chart" uri="{CE6537A1-D6FC-4f65-9D91-7224C49458BB}"/>
          </c:extLst>
        </c:dLbl>
      </c:pivotFmt>
      <c:pivotFmt>
        <c:idx val="15"/>
        <c:spPr>
          <a:solidFill>
            <a:srgbClr val="DAE3F3"/>
          </a:solidFill>
          <a:ln>
            <a:noFill/>
          </a:ln>
          <a:effectLst/>
        </c:spPr>
        <c:marker>
          <c:symbol val="none"/>
        </c:marker>
        <c:dLbl>
          <c:idx val="0"/>
          <c:delete val="1"/>
          <c:extLst>
            <c:ext xmlns:c15="http://schemas.microsoft.com/office/drawing/2012/chart" uri="{CE6537A1-D6FC-4f65-9D91-7224C49458BB}"/>
          </c:extLst>
        </c:dLbl>
      </c:pivotFmt>
      <c:pivotFmt>
        <c:idx val="16"/>
        <c:spPr>
          <a:solidFill>
            <a:srgbClr val="DAE3F3"/>
          </a:solidFill>
          <a:ln>
            <a:noFill/>
          </a:ln>
          <a:effectLst/>
        </c:spPr>
        <c:marker>
          <c:symbol val="none"/>
        </c:marker>
        <c:dLbl>
          <c:idx val="0"/>
          <c:delete val="1"/>
          <c:extLst>
            <c:ext xmlns:c15="http://schemas.microsoft.com/office/drawing/2012/chart" uri="{CE6537A1-D6FC-4f65-9D91-7224C49458BB}"/>
          </c:extLst>
        </c:dLbl>
      </c:pivotFmt>
      <c:pivotFmt>
        <c:idx val="17"/>
        <c:spPr>
          <a:solidFill>
            <a:schemeClr val="accent1"/>
          </a:solidFill>
          <a:ln w="28575" cap="rnd">
            <a:noFill/>
            <a:round/>
          </a:ln>
          <a:effectLst/>
        </c:spPr>
        <c:marker>
          <c:symbol val="dash"/>
          <c:size val="7"/>
          <c:spPr>
            <a:solidFill>
              <a:srgbClr val="3B3838"/>
            </a:solidFill>
            <a:ln w="9525">
              <a:solidFill>
                <a:srgbClr val="3B3838"/>
              </a:solidFill>
            </a:ln>
            <a:effectLst/>
          </c:spPr>
        </c:marker>
        <c:dLbl>
          <c:idx val="0"/>
          <c:delete val="1"/>
          <c:extLst>
            <c:ext xmlns:c15="http://schemas.microsoft.com/office/drawing/2012/chart" uri="{CE6537A1-D6FC-4f65-9D91-7224C49458BB}"/>
          </c:extLst>
        </c:dLbl>
      </c:pivotFmt>
      <c:pivotFmt>
        <c:idx val="18"/>
        <c:spPr>
          <a:solidFill>
            <a:srgbClr val="2F5597"/>
          </a:solidFill>
          <a:ln>
            <a:noFill/>
          </a:ln>
          <a:effectLst/>
        </c:spPr>
        <c:marker>
          <c:symbol val="none"/>
        </c:marker>
        <c:dLbl>
          <c:idx val="0"/>
          <c:delete val="1"/>
          <c:extLst>
            <c:ext xmlns:c15="http://schemas.microsoft.com/office/drawing/2012/chart" uri="{CE6537A1-D6FC-4f65-9D91-7224C49458BB}"/>
          </c:extLst>
        </c:dLbl>
      </c:pivotFmt>
      <c:pivotFmt>
        <c:idx val="19"/>
        <c:spPr>
          <a:solidFill>
            <a:srgbClr val="ED7D31"/>
          </a:solidFill>
          <a:ln>
            <a:noFill/>
          </a:ln>
          <a:effectLst/>
        </c:spPr>
        <c:marker>
          <c:symbol val="none"/>
        </c:marker>
        <c:dLbl>
          <c:idx val="0"/>
          <c:delete val="1"/>
          <c:extLst>
            <c:ext xmlns:c15="http://schemas.microsoft.com/office/drawing/2012/chart" uri="{CE6537A1-D6FC-4f65-9D91-7224C49458BB}"/>
          </c:extLst>
        </c:dLbl>
      </c:pivotFmt>
      <c:pivotFmt>
        <c:idx val="20"/>
        <c:spPr>
          <a:solidFill>
            <a:schemeClr val="accent5">
              <a:lumMod val="40000"/>
              <a:lumOff val="60000"/>
            </a:schemeClr>
          </a:solidFill>
          <a:ln w="9525">
            <a:noFill/>
          </a:ln>
          <a:effectLst/>
        </c:spPr>
        <c:marker>
          <c:symbol val="none"/>
        </c:marker>
        <c:dLbl>
          <c:idx val="0"/>
          <c:delete val="1"/>
          <c:extLst>
            <c:ext xmlns:c15="http://schemas.microsoft.com/office/drawing/2012/chart" uri="{CE6537A1-D6FC-4f65-9D91-7224C49458BB}"/>
          </c:extLst>
        </c:dLbl>
      </c:pivotFmt>
      <c:pivotFmt>
        <c:idx val="21"/>
        <c:spPr>
          <a:solidFill>
            <a:schemeClr val="bg2">
              <a:lumMod val="75000"/>
            </a:schemeClr>
          </a:solidFill>
          <a:ln w="6350">
            <a:noFill/>
          </a:ln>
          <a:effectLst/>
        </c:spPr>
        <c:marker>
          <c:symbol val="none"/>
        </c:marker>
        <c:dLbl>
          <c:idx val="0"/>
          <c:delete val="1"/>
          <c:extLst>
            <c:ext xmlns:c15="http://schemas.microsoft.com/office/drawing/2012/chart" uri="{CE6537A1-D6FC-4f65-9D91-7224C49458BB}"/>
          </c:extLst>
        </c:dLbl>
      </c:pivotFmt>
      <c:pivotFmt>
        <c:idx val="22"/>
        <c:spPr>
          <a:solidFill>
            <a:schemeClr val="bg2">
              <a:lumMod val="75000"/>
            </a:schemeClr>
          </a:solidFill>
          <a:ln w="6350">
            <a:noFill/>
          </a:ln>
          <a:effectLst/>
        </c:spPr>
      </c:pivotFmt>
      <c:pivotFmt>
        <c:idx val="23"/>
        <c:spPr>
          <a:solidFill>
            <a:srgbClr val="2F5597"/>
          </a:solidFill>
          <a:ln>
            <a:noFill/>
          </a:ln>
          <a:effectLst/>
        </c:spPr>
        <c:marker>
          <c:symbol val="none"/>
        </c:marker>
        <c:dLbl>
          <c:idx val="0"/>
          <c:delete val="1"/>
          <c:extLst>
            <c:ext xmlns:c15="http://schemas.microsoft.com/office/drawing/2012/chart" uri="{CE6537A1-D6FC-4f65-9D91-7224C49458BB}"/>
          </c:extLst>
        </c:dLbl>
      </c:pivotFmt>
      <c:pivotFmt>
        <c:idx val="24"/>
        <c:spPr>
          <a:solidFill>
            <a:srgbClr val="ED7D31"/>
          </a:solidFill>
          <a:ln>
            <a:noFill/>
          </a:ln>
          <a:effectLst/>
        </c:spPr>
        <c:marker>
          <c:symbol val="none"/>
        </c:marker>
        <c:dLbl>
          <c:idx val="0"/>
          <c:delete val="1"/>
          <c:extLst>
            <c:ext xmlns:c15="http://schemas.microsoft.com/office/drawing/2012/chart" uri="{CE6537A1-D6FC-4f65-9D91-7224C49458BB}"/>
          </c:extLst>
        </c:dLbl>
      </c:pivotFmt>
      <c:pivotFmt>
        <c:idx val="25"/>
        <c:spPr>
          <a:solidFill>
            <a:schemeClr val="accent5">
              <a:lumMod val="40000"/>
              <a:lumOff val="60000"/>
            </a:schemeClr>
          </a:solidFill>
          <a:ln w="9525">
            <a:noFill/>
          </a:ln>
          <a:effectLst/>
        </c:spPr>
        <c:marker>
          <c:symbol val="none"/>
        </c:marker>
        <c:dLbl>
          <c:idx val="0"/>
          <c:delete val="1"/>
          <c:extLst>
            <c:ext xmlns:c15="http://schemas.microsoft.com/office/drawing/2012/chart" uri="{CE6537A1-D6FC-4f65-9D91-7224C49458BB}"/>
          </c:extLst>
        </c:dLbl>
      </c:pivotFmt>
      <c:pivotFmt>
        <c:idx val="26"/>
        <c:spPr>
          <a:solidFill>
            <a:schemeClr val="bg2">
              <a:lumMod val="75000"/>
            </a:schemeClr>
          </a:solidFill>
          <a:ln w="6350">
            <a:noFill/>
          </a:ln>
          <a:effectLst/>
        </c:spPr>
        <c:marker>
          <c:symbol val="none"/>
        </c:marker>
        <c:dLbl>
          <c:idx val="0"/>
          <c:delete val="1"/>
          <c:extLst>
            <c:ext xmlns:c15="http://schemas.microsoft.com/office/drawing/2012/chart" uri="{CE6537A1-D6FC-4f65-9D91-7224C49458BB}"/>
          </c:extLst>
        </c:dLbl>
      </c:pivotFmt>
      <c:pivotFmt>
        <c:idx val="27"/>
        <c:spPr>
          <a:solidFill>
            <a:schemeClr val="accent1"/>
          </a:solidFill>
          <a:ln w="28575" cap="rnd">
            <a:noFill/>
            <a:round/>
          </a:ln>
          <a:effectLst/>
        </c:spPr>
        <c:marker>
          <c:symbol val="diamond"/>
          <c:size val="6"/>
          <c:spPr>
            <a:solidFill>
              <a:schemeClr val="accent1">
                <a:lumMod val="50000"/>
              </a:schemeClr>
            </a:solidFill>
            <a:ln w="9525">
              <a:solidFill>
                <a:schemeClr val="accent1">
                  <a:lumMod val="50000"/>
                </a:schemeClr>
              </a:solidFill>
            </a:ln>
            <a:effectLst/>
          </c:spPr>
        </c:marker>
        <c:dLbl>
          <c:idx val="0"/>
          <c:delete val="1"/>
          <c:extLst>
            <c:ext xmlns:c15="http://schemas.microsoft.com/office/drawing/2012/chart" uri="{CE6537A1-D6FC-4f65-9D91-7224C49458BB}"/>
          </c:extLst>
        </c:dLbl>
      </c:pivotFmt>
      <c:pivotFmt>
        <c:idx val="28"/>
        <c:spPr>
          <a:solidFill>
            <a:schemeClr val="accent1"/>
          </a:solidFill>
          <a:ln w="28575" cap="rnd">
            <a:noFill/>
            <a:round/>
          </a:ln>
          <a:effectLst/>
        </c:spPr>
        <c:marker>
          <c:symbol val="triangle"/>
          <c:size val="5"/>
          <c:spPr>
            <a:solidFill>
              <a:schemeClr val="accent2">
                <a:lumMod val="75000"/>
              </a:schemeClr>
            </a:solidFill>
            <a:ln w="9525">
              <a:solidFill>
                <a:schemeClr val="accent2">
                  <a:lumMod val="75000"/>
                </a:schemeClr>
              </a:solidFill>
            </a:ln>
            <a:effectLst/>
          </c:spPr>
        </c:marker>
        <c:dLbl>
          <c:idx val="0"/>
          <c:delete val="1"/>
          <c:extLst>
            <c:ext xmlns:c15="http://schemas.microsoft.com/office/drawing/2012/chart" uri="{CE6537A1-D6FC-4f65-9D91-7224C49458BB}"/>
          </c:extLst>
        </c:dLbl>
      </c:pivotFmt>
      <c:pivotFmt>
        <c:idx val="29"/>
        <c:spPr>
          <a:solidFill>
            <a:schemeClr val="accent1"/>
          </a:solidFill>
          <a:ln w="28575" cap="rnd">
            <a:noFill/>
            <a:round/>
          </a:ln>
          <a:effectLst/>
        </c:spPr>
        <c:marker>
          <c:symbol val="circle"/>
          <c:size val="5"/>
          <c:spPr>
            <a:solidFill>
              <a:schemeClr val="accent6">
                <a:lumMod val="75000"/>
              </a:schemeClr>
            </a:solidFill>
            <a:ln w="9525">
              <a:solidFill>
                <a:schemeClr val="accent6">
                  <a:lumMod val="75000"/>
                </a:schemeClr>
              </a:solidFill>
            </a:ln>
            <a:effectLst/>
          </c:spPr>
        </c:marker>
        <c:dLbl>
          <c:idx val="0"/>
          <c:delete val="1"/>
          <c:extLst>
            <c:ext xmlns:c15="http://schemas.microsoft.com/office/drawing/2012/chart" uri="{CE6537A1-D6FC-4f65-9D91-7224C49458BB}"/>
          </c:extLst>
        </c:dLbl>
      </c:pivotFmt>
      <c:pivotFmt>
        <c:idx val="30"/>
        <c:spPr>
          <a:solidFill>
            <a:schemeClr val="accent1"/>
          </a:solidFill>
          <a:ln w="28575" cap="rnd">
            <a:noFill/>
            <a:round/>
          </a:ln>
          <a:effectLst/>
        </c:spPr>
        <c:marker>
          <c:symbol val="square"/>
          <c:size val="5"/>
          <c:spPr>
            <a:solidFill>
              <a:srgbClr val="FFC000"/>
            </a:solidFill>
            <a:ln w="9525">
              <a:solidFill>
                <a:srgbClr val="FFC000"/>
              </a:solidFill>
            </a:ln>
            <a:effectLst/>
          </c:spPr>
        </c:marker>
        <c:dLbl>
          <c:idx val="0"/>
          <c:delete val="1"/>
          <c:extLst>
            <c:ext xmlns:c15="http://schemas.microsoft.com/office/drawing/2012/chart" uri="{CE6537A1-D6FC-4f65-9D91-7224C49458BB}"/>
          </c:extLst>
        </c:dLbl>
      </c:pivotFmt>
    </c:pivotFmts>
    <c:plotArea>
      <c:layout>
        <c:manualLayout>
          <c:layoutTarget val="inner"/>
          <c:xMode val="edge"/>
          <c:yMode val="edge"/>
          <c:x val="0.11863969827883356"/>
          <c:y val="9.0790308745776024E-2"/>
          <c:w val="0.85090620715276022"/>
          <c:h val="0.59008160117542108"/>
        </c:manualLayout>
      </c:layout>
      <c:barChart>
        <c:barDir val="col"/>
        <c:grouping val="stacked"/>
        <c:varyColors val="0"/>
        <c:ser>
          <c:idx val="0"/>
          <c:order val="0"/>
          <c:tx>
            <c:strRef>
              <c:f>'2Cross'!$K$292</c:f>
              <c:strCache>
                <c:ptCount val="1"/>
                <c:pt idx="0">
                  <c:v>Offset through indexation</c:v>
                </c:pt>
              </c:strCache>
            </c:strRef>
          </c:tx>
          <c:spPr>
            <a:solidFill>
              <a:schemeClr val="tx1">
                <a:lumMod val="65000"/>
                <a:lumOff val="35000"/>
              </a:schemeClr>
            </a:solidFill>
          </c:spPr>
          <c:invertIfNegative val="0"/>
          <c:cat>
            <c:strRef>
              <c:extLst>
                <c:ext xmlns:c15="http://schemas.microsoft.com/office/drawing/2012/chart" uri="{02D57815-91ED-43cb-92C2-25804820EDAC}">
                  <c15:fullRef>
                    <c15:sqref>'2Cross'!$F$293:$F$321</c15:sqref>
                  </c15:fullRef>
                </c:ext>
              </c:extLst>
              <c:f>'2Cross'!$F$301:$F$321</c:f>
              <c:strCache>
                <c:ptCount val="21"/>
                <c:pt idx="0">
                  <c:v>ES</c:v>
                </c:pt>
                <c:pt idx="1">
                  <c:v>NL</c:v>
                </c:pt>
                <c:pt idx="2">
                  <c:v>BE</c:v>
                </c:pt>
                <c:pt idx="3">
                  <c:v>LT</c:v>
                </c:pt>
                <c:pt idx="4">
                  <c:v>IE</c:v>
                </c:pt>
                <c:pt idx="5">
                  <c:v>FI</c:v>
                </c:pt>
                <c:pt idx="6">
                  <c:v>DE</c:v>
                </c:pt>
                <c:pt idx="7">
                  <c:v>EE</c:v>
                </c:pt>
                <c:pt idx="8">
                  <c:v>SK</c:v>
                </c:pt>
                <c:pt idx="9">
                  <c:v>AT</c:v>
                </c:pt>
                <c:pt idx="10">
                  <c:v>MT</c:v>
                </c:pt>
                <c:pt idx="11">
                  <c:v>FR</c:v>
                </c:pt>
                <c:pt idx="12">
                  <c:v>LU</c:v>
                </c:pt>
                <c:pt idx="13">
                  <c:v>PT</c:v>
                </c:pt>
                <c:pt idx="14">
                  <c:v>SI</c:v>
                </c:pt>
                <c:pt idx="15">
                  <c:v>IT</c:v>
                </c:pt>
                <c:pt idx="16">
                  <c:v>EL</c:v>
                </c:pt>
                <c:pt idx="17">
                  <c:v>HU</c:v>
                </c:pt>
                <c:pt idx="18">
                  <c:v>CY</c:v>
                </c:pt>
                <c:pt idx="19">
                  <c:v>HR</c:v>
                </c:pt>
                <c:pt idx="20">
                  <c:v>LV</c:v>
                </c:pt>
              </c:strCache>
            </c:strRef>
          </c:cat>
          <c:val>
            <c:numRef>
              <c:extLst>
                <c:ext xmlns:c15="http://schemas.microsoft.com/office/drawing/2012/chart" uri="{02D57815-91ED-43cb-92C2-25804820EDAC}">
                  <c15:fullRef>
                    <c15:sqref>'2Cross'!$K$293:$K$321</c15:sqref>
                  </c15:fullRef>
                </c:ext>
              </c:extLst>
              <c:f>'2Cross'!$K$301:$K$321</c:f>
              <c:numCache>
                <c:formatCode>0.00</c:formatCode>
                <c:ptCount val="21"/>
                <c:pt idx="0">
                  <c:v>0.94500581152356167</c:v>
                </c:pt>
                <c:pt idx="1">
                  <c:v>0.93734848309421315</c:v>
                </c:pt>
                <c:pt idx="2">
                  <c:v>0.92829619539972386</c:v>
                </c:pt>
                <c:pt idx="3">
                  <c:v>0.89691989330973154</c:v>
                </c:pt>
                <c:pt idx="4">
                  <c:v>0.81684192769304742</c:v>
                </c:pt>
                <c:pt idx="5">
                  <c:v>0.75852205049986043</c:v>
                </c:pt>
                <c:pt idx="6">
                  <c:v>0.56186605337248963</c:v>
                </c:pt>
                <c:pt idx="7">
                  <c:v>0.40870086554780544</c:v>
                </c:pt>
                <c:pt idx="8">
                  <c:v>0.28994504058015697</c:v>
                </c:pt>
                <c:pt idx="9">
                  <c:v>0.276207282679305</c:v>
                </c:pt>
                <c:pt idx="10">
                  <c:v>0.25221582631415213</c:v>
                </c:pt>
                <c:pt idx="11">
                  <c:v>0.23754826474869842</c:v>
                </c:pt>
                <c:pt idx="12">
                  <c:v>0.13999398590318443</c:v>
                </c:pt>
                <c:pt idx="13">
                  <c:v>0.13832047944277015</c:v>
                </c:pt>
                <c:pt idx="14">
                  <c:v>5.1335828496928693E-2</c:v>
                </c:pt>
                <c:pt idx="15">
                  <c:v>3.8387637163375017E-2</c:v>
                </c:pt>
                <c:pt idx="16">
                  <c:v>1.3918046084210152E-4</c:v>
                </c:pt>
                <c:pt idx="17">
                  <c:v>1.260358703958176E-4</c:v>
                </c:pt>
                <c:pt idx="18">
                  <c:v>0</c:v>
                </c:pt>
                <c:pt idx="19">
                  <c:v>0</c:v>
                </c:pt>
                <c:pt idx="20">
                  <c:v>0</c:v>
                </c:pt>
              </c:numCache>
            </c:numRef>
          </c:val>
          <c:extLst>
            <c:ext xmlns:c16="http://schemas.microsoft.com/office/drawing/2014/chart" uri="{C3380CC4-5D6E-409C-BE32-E72D297353CC}">
              <c16:uniqueId val="{00000000-1753-43D0-929F-FA3313567103}"/>
            </c:ext>
          </c:extLst>
        </c:ser>
        <c:ser>
          <c:idx val="2"/>
          <c:order val="1"/>
          <c:tx>
            <c:strRef>
              <c:f>'2Cross'!$H$292</c:f>
              <c:strCache>
                <c:ptCount val="1"/>
                <c:pt idx="0">
                  <c:v>Offset through other reforms</c:v>
                </c:pt>
              </c:strCache>
            </c:strRef>
          </c:tx>
          <c:invertIfNegative val="0"/>
          <c:cat>
            <c:strRef>
              <c:extLst>
                <c:ext xmlns:c15="http://schemas.microsoft.com/office/drawing/2012/chart" uri="{02D57815-91ED-43cb-92C2-25804820EDAC}">
                  <c15:fullRef>
                    <c15:sqref>'2Cross'!$F$293:$F$321</c15:sqref>
                  </c15:fullRef>
                </c:ext>
              </c:extLst>
              <c:f>'2Cross'!$F$301:$F$321</c:f>
              <c:strCache>
                <c:ptCount val="21"/>
                <c:pt idx="0">
                  <c:v>ES</c:v>
                </c:pt>
                <c:pt idx="1">
                  <c:v>NL</c:v>
                </c:pt>
                <c:pt idx="2">
                  <c:v>BE</c:v>
                </c:pt>
                <c:pt idx="3">
                  <c:v>LT</c:v>
                </c:pt>
                <c:pt idx="4">
                  <c:v>IE</c:v>
                </c:pt>
                <c:pt idx="5">
                  <c:v>FI</c:v>
                </c:pt>
                <c:pt idx="6">
                  <c:v>DE</c:v>
                </c:pt>
                <c:pt idx="7">
                  <c:v>EE</c:v>
                </c:pt>
                <c:pt idx="8">
                  <c:v>SK</c:v>
                </c:pt>
                <c:pt idx="9">
                  <c:v>AT</c:v>
                </c:pt>
                <c:pt idx="10">
                  <c:v>MT</c:v>
                </c:pt>
                <c:pt idx="11">
                  <c:v>FR</c:v>
                </c:pt>
                <c:pt idx="12">
                  <c:v>LU</c:v>
                </c:pt>
                <c:pt idx="13">
                  <c:v>PT</c:v>
                </c:pt>
                <c:pt idx="14">
                  <c:v>SI</c:v>
                </c:pt>
                <c:pt idx="15">
                  <c:v>IT</c:v>
                </c:pt>
                <c:pt idx="16">
                  <c:v>EL</c:v>
                </c:pt>
                <c:pt idx="17">
                  <c:v>HU</c:v>
                </c:pt>
                <c:pt idx="18">
                  <c:v>CY</c:v>
                </c:pt>
                <c:pt idx="19">
                  <c:v>HR</c:v>
                </c:pt>
                <c:pt idx="20">
                  <c:v>LV</c:v>
                </c:pt>
              </c:strCache>
            </c:strRef>
          </c:cat>
          <c:val>
            <c:numRef>
              <c:extLst>
                <c:ext xmlns:c15="http://schemas.microsoft.com/office/drawing/2012/chart" uri="{02D57815-91ED-43cb-92C2-25804820EDAC}">
                  <c15:fullRef>
                    <c15:sqref>'2Cross'!$H$293:$H$321</c15:sqref>
                  </c15:fullRef>
                </c:ext>
              </c:extLst>
              <c:f>'2Cross'!$H$301:$H$321</c:f>
              <c:numCache>
                <c:formatCode>0.00</c:formatCode>
                <c:ptCount val="21"/>
                <c:pt idx="0">
                  <c:v>5.4994188476438347E-2</c:v>
                </c:pt>
                <c:pt idx="1">
                  <c:v>6.2651516905786866E-2</c:v>
                </c:pt>
                <c:pt idx="2">
                  <c:v>-7.1703804600276116E-2</c:v>
                </c:pt>
                <c:pt idx="3">
                  <c:v>-0.1030801066902685</c:v>
                </c:pt>
                <c:pt idx="4">
                  <c:v>0.18315807230695258</c:v>
                </c:pt>
                <c:pt idx="5">
                  <c:v>0.24147794950013957</c:v>
                </c:pt>
                <c:pt idx="6">
                  <c:v>0.43813394662751043</c:v>
                </c:pt>
                <c:pt idx="7">
                  <c:v>0.59129913445219451</c:v>
                </c:pt>
                <c:pt idx="8">
                  <c:v>0.71005495941984298</c:v>
                </c:pt>
                <c:pt idx="9">
                  <c:v>0.72379271732069494</c:v>
                </c:pt>
                <c:pt idx="10">
                  <c:v>0.74778417368584782</c:v>
                </c:pt>
                <c:pt idx="11">
                  <c:v>0.7624517352513015</c:v>
                </c:pt>
                <c:pt idx="12">
                  <c:v>0.86000601409681554</c:v>
                </c:pt>
                <c:pt idx="13">
                  <c:v>0.86167952055722985</c:v>
                </c:pt>
                <c:pt idx="14">
                  <c:v>0.94866417150307136</c:v>
                </c:pt>
                <c:pt idx="15">
                  <c:v>0.96161236283662499</c:v>
                </c:pt>
                <c:pt idx="16">
                  <c:v>0.99986081953915784</c:v>
                </c:pt>
                <c:pt idx="17">
                  <c:v>0.99987396412960416</c:v>
                </c:pt>
                <c:pt idx="18">
                  <c:v>1</c:v>
                </c:pt>
                <c:pt idx="19">
                  <c:v>1</c:v>
                </c:pt>
                <c:pt idx="20">
                  <c:v>1</c:v>
                </c:pt>
              </c:numCache>
            </c:numRef>
          </c:val>
          <c:extLst>
            <c:ext xmlns:c16="http://schemas.microsoft.com/office/drawing/2014/chart" uri="{C3380CC4-5D6E-409C-BE32-E72D297353CC}">
              <c16:uniqueId val="{00000001-1753-43D0-929F-FA3313567103}"/>
            </c:ext>
          </c:extLst>
        </c:ser>
        <c:dLbls>
          <c:showLegendKey val="0"/>
          <c:showVal val="0"/>
          <c:showCatName val="0"/>
          <c:showSerName val="0"/>
          <c:showPercent val="0"/>
          <c:showBubbleSize val="0"/>
        </c:dLbls>
        <c:gapWidth val="50"/>
        <c:overlap val="100"/>
        <c:axId val="844305855"/>
        <c:axId val="892036479"/>
      </c:barChart>
      <c:catAx>
        <c:axId val="844305855"/>
        <c:scaling>
          <c:orientation val="minMax"/>
        </c:scaling>
        <c:delete val="0"/>
        <c:axPos val="b"/>
        <c:numFmt formatCode="General" sourceLinked="1"/>
        <c:majorTickMark val="none"/>
        <c:minorTickMark val="none"/>
        <c:tickLblPos val="low"/>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crossAx val="892036479"/>
        <c:crossesAt val="0"/>
        <c:auto val="1"/>
        <c:lblAlgn val="ctr"/>
        <c:lblOffset val="100"/>
        <c:noMultiLvlLbl val="0"/>
      </c:catAx>
      <c:valAx>
        <c:axId val="892036479"/>
        <c:scaling>
          <c:orientation val="minMax"/>
          <c:max val="1"/>
          <c:min val="-0.1"/>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s-ES_tradnl" sz="1050"/>
                  <a:t>Normalized contribution</a:t>
                </a:r>
              </a:p>
            </c:rich>
          </c:tx>
          <c:layout>
            <c:manualLayout>
              <c:xMode val="edge"/>
              <c:yMode val="edge"/>
              <c:x val="8.1832427807045586E-3"/>
              <c:y val="0.16017658479531391"/>
            </c:manualLayout>
          </c:layout>
          <c:overlay val="0"/>
          <c:spPr>
            <a:noFill/>
            <a:ln>
              <a:noFill/>
            </a:ln>
            <a:effectLst/>
          </c:sp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crossAx val="844305855"/>
        <c:crosses val="autoZero"/>
        <c:crossBetween val="between"/>
        <c:majorUnit val="0.2"/>
      </c:valAx>
    </c:plotArea>
    <c:legend>
      <c:legendPos val="b"/>
      <c:layout>
        <c:manualLayout>
          <c:xMode val="edge"/>
          <c:yMode val="edge"/>
          <c:x val="4.8576174554183817E-2"/>
          <c:y val="0.80686064386488099"/>
          <c:w val="0.87856095679012358"/>
          <c:h val="0.13498098020876481"/>
        </c:manualLayout>
      </c:layout>
      <c:overlay val="0"/>
      <c:spPr>
        <a:noFill/>
        <a:ln>
          <a:noFill/>
        </a:ln>
        <a:effectLst/>
      </c:spPr>
      <c:txPr>
        <a:bodyPr rot="0" spcFirstLastPara="1" vertOverflow="ellipsis" vert="horz" wrap="square" anchor="ctr" anchorCtr="1"/>
        <a:lstStyle/>
        <a:p>
          <a:pPr>
            <a:defRPr sz="9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_tradnl"/>
        </a:p>
      </c:txPr>
    </c:legend>
    <c:plotVisOnly val="1"/>
    <c:dispBlanksAs val="gap"/>
    <c:showDLblsOverMax val="0"/>
    <c:extLst/>
  </c:chart>
  <c:spPr>
    <a:solidFill>
      <a:schemeClr val="bg1"/>
    </a:solidFill>
    <a:ln w="9525" cap="flat" cmpd="sng" algn="ctr">
      <a:noFill/>
      <a:round/>
    </a:ln>
    <a:effectLst/>
  </c:spPr>
  <c:txPr>
    <a:bodyPr/>
    <a:lstStyle/>
    <a:p>
      <a:pPr>
        <a:defRPr>
          <a:solidFill>
            <a:sysClr val="windowText" lastClr="000000"/>
          </a:solidFill>
          <a:latin typeface="Times New Roman" panose="02020603050405020304" pitchFamily="18" charset="0"/>
          <a:cs typeface="Times New Roman" panose="02020603050405020304" pitchFamily="18" charset="0"/>
        </a:defRPr>
      </a:pPr>
      <a:endParaRPr lang="es-ES_tradnl"/>
    </a:p>
  </c:txPr>
  <c:printSettings>
    <c:headerFooter/>
    <c:pageMargins b="0.75" l="0.25" r="0.25" t="0.75" header="0.3" footer="0.3"/>
    <c:pageSetup paperSize="9" orientation="landscape"/>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8.xml"/><Relationship Id="rId2" Type="http://schemas.openxmlformats.org/officeDocument/2006/relationships/chart" Target="../charts/chart17.xml"/><Relationship Id="rId1" Type="http://schemas.openxmlformats.org/officeDocument/2006/relationships/chart" Target="../charts/chart1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21.xml"/><Relationship Id="rId2" Type="http://schemas.openxmlformats.org/officeDocument/2006/relationships/chart" Target="../charts/chart20.xml"/><Relationship Id="rId1" Type="http://schemas.openxmlformats.org/officeDocument/2006/relationships/chart" Target="../charts/chart19.xml"/></Relationships>
</file>

<file path=xl/drawings/_rels/drawing8.xml.rels><?xml version="1.0" encoding="UTF-8" standalone="yes"?>
<Relationships xmlns="http://schemas.openxmlformats.org/package/2006/relationships"><Relationship Id="rId3" Type="http://schemas.openxmlformats.org/officeDocument/2006/relationships/chart" Target="../charts/chart24.xml"/><Relationship Id="rId2" Type="http://schemas.openxmlformats.org/officeDocument/2006/relationships/chart" Target="../charts/chart23.xml"/><Relationship Id="rId1" Type="http://schemas.openxmlformats.org/officeDocument/2006/relationships/chart" Target="../charts/chart22.xml"/></Relationships>
</file>

<file path=xl/drawings/_rels/drawing9.xml.rels><?xml version="1.0" encoding="UTF-8" standalone="yes"?>
<Relationships xmlns="http://schemas.openxmlformats.org/package/2006/relationships"><Relationship Id="rId3" Type="http://schemas.openxmlformats.org/officeDocument/2006/relationships/chart" Target="../charts/chart27.xml"/><Relationship Id="rId2" Type="http://schemas.openxmlformats.org/officeDocument/2006/relationships/chart" Target="../charts/chart26.xml"/><Relationship Id="rId1" Type="http://schemas.openxmlformats.org/officeDocument/2006/relationships/chart" Target="../charts/chart25.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30.xml"/><Relationship Id="rId2" Type="http://schemas.openxmlformats.org/officeDocument/2006/relationships/chart" Target="../charts/chart29.xml"/><Relationship Id="rId1" Type="http://schemas.openxmlformats.org/officeDocument/2006/relationships/chart" Target="../charts/chart28.xml"/></Relationships>
</file>

<file path=xl/drawings/_rels/drawing11.xml.rels><?xml version="1.0" encoding="UTF-8" standalone="yes"?>
<Relationships xmlns="http://schemas.openxmlformats.org/package/2006/relationships"><Relationship Id="rId3" Type="http://schemas.openxmlformats.org/officeDocument/2006/relationships/chart" Target="../charts/chart33.xml"/><Relationship Id="rId2" Type="http://schemas.openxmlformats.org/officeDocument/2006/relationships/chart" Target="../charts/chart32.xml"/><Relationship Id="rId1" Type="http://schemas.openxmlformats.org/officeDocument/2006/relationships/chart" Target="../charts/chart31.xml"/></Relationships>
</file>

<file path=xl/drawings/_rels/drawing12.xml.rels><?xml version="1.0" encoding="UTF-8" standalone="yes"?>
<Relationships xmlns="http://schemas.openxmlformats.org/package/2006/relationships"><Relationship Id="rId3" Type="http://schemas.openxmlformats.org/officeDocument/2006/relationships/chart" Target="../charts/chart36.xml"/><Relationship Id="rId2" Type="http://schemas.openxmlformats.org/officeDocument/2006/relationships/chart" Target="../charts/chart35.xml"/><Relationship Id="rId1" Type="http://schemas.openxmlformats.org/officeDocument/2006/relationships/chart" Target="../charts/chart34.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39.xml"/><Relationship Id="rId2" Type="http://schemas.openxmlformats.org/officeDocument/2006/relationships/chart" Target="../charts/chart38.xml"/><Relationship Id="rId1" Type="http://schemas.openxmlformats.org/officeDocument/2006/relationships/chart" Target="../charts/chart37.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42.xml"/><Relationship Id="rId2" Type="http://schemas.openxmlformats.org/officeDocument/2006/relationships/chart" Target="../charts/chart41.xml"/><Relationship Id="rId1" Type="http://schemas.openxmlformats.org/officeDocument/2006/relationships/chart" Target="../charts/chart40.xml"/></Relationships>
</file>

<file path=xl/drawings/_rels/drawing15.xml.rels><?xml version="1.0" encoding="UTF-8" standalone="yes"?>
<Relationships xmlns="http://schemas.openxmlformats.org/package/2006/relationships"><Relationship Id="rId3" Type="http://schemas.openxmlformats.org/officeDocument/2006/relationships/chart" Target="../charts/chart45.xml"/><Relationship Id="rId2" Type="http://schemas.openxmlformats.org/officeDocument/2006/relationships/chart" Target="../charts/chart44.xml"/><Relationship Id="rId1" Type="http://schemas.openxmlformats.org/officeDocument/2006/relationships/chart" Target="../charts/chart43.xml"/></Relationships>
</file>

<file path=xl/drawings/_rels/drawing16.xml.rels><?xml version="1.0" encoding="UTF-8" standalone="yes"?>
<Relationships xmlns="http://schemas.openxmlformats.org/package/2006/relationships"><Relationship Id="rId3" Type="http://schemas.openxmlformats.org/officeDocument/2006/relationships/chart" Target="../charts/chart48.xml"/><Relationship Id="rId2" Type="http://schemas.openxmlformats.org/officeDocument/2006/relationships/chart" Target="../charts/chart47.xml"/><Relationship Id="rId1" Type="http://schemas.openxmlformats.org/officeDocument/2006/relationships/chart" Target="../charts/chart46.xml"/></Relationships>
</file>

<file path=xl/drawings/_rels/drawing17.xml.rels><?xml version="1.0" encoding="UTF-8" standalone="yes"?>
<Relationships xmlns="http://schemas.openxmlformats.org/package/2006/relationships"><Relationship Id="rId3" Type="http://schemas.openxmlformats.org/officeDocument/2006/relationships/chart" Target="../charts/chart51.xml"/><Relationship Id="rId2" Type="http://schemas.openxmlformats.org/officeDocument/2006/relationships/chart" Target="../charts/chart50.xml"/><Relationship Id="rId1" Type="http://schemas.openxmlformats.org/officeDocument/2006/relationships/chart" Target="../charts/chart49.xml"/></Relationships>
</file>

<file path=xl/drawings/_rels/drawing18.xml.rels><?xml version="1.0" encoding="UTF-8" standalone="yes"?>
<Relationships xmlns="http://schemas.openxmlformats.org/package/2006/relationships"><Relationship Id="rId3" Type="http://schemas.openxmlformats.org/officeDocument/2006/relationships/chart" Target="../charts/chart54.xml"/><Relationship Id="rId2" Type="http://schemas.openxmlformats.org/officeDocument/2006/relationships/chart" Target="../charts/chart53.xml"/><Relationship Id="rId1" Type="http://schemas.openxmlformats.org/officeDocument/2006/relationships/chart" Target="../charts/chart52.xml"/></Relationships>
</file>

<file path=xl/drawings/_rels/drawing19.xml.rels><?xml version="1.0" encoding="UTF-8" standalone="yes"?>
<Relationships xmlns="http://schemas.openxmlformats.org/package/2006/relationships"><Relationship Id="rId3" Type="http://schemas.openxmlformats.org/officeDocument/2006/relationships/chart" Target="../charts/chart57.xml"/><Relationship Id="rId2" Type="http://schemas.openxmlformats.org/officeDocument/2006/relationships/chart" Target="../charts/chart56.xml"/><Relationship Id="rId1" Type="http://schemas.openxmlformats.org/officeDocument/2006/relationships/chart" Target="../charts/chart55.xml"/></Relationships>
</file>

<file path=xl/drawings/_rels/drawing20.xml.rels><?xml version="1.0" encoding="UTF-8" standalone="yes"?>
<Relationships xmlns="http://schemas.openxmlformats.org/package/2006/relationships"><Relationship Id="rId3" Type="http://schemas.openxmlformats.org/officeDocument/2006/relationships/chart" Target="../charts/chart60.xml"/><Relationship Id="rId2" Type="http://schemas.openxmlformats.org/officeDocument/2006/relationships/chart" Target="../charts/chart59.xml"/><Relationship Id="rId1" Type="http://schemas.openxmlformats.org/officeDocument/2006/relationships/chart" Target="../charts/chart58.xml"/></Relationships>
</file>

<file path=xl/drawings/_rels/drawing21.xml.rels><?xml version="1.0" encoding="UTF-8" standalone="yes"?>
<Relationships xmlns="http://schemas.openxmlformats.org/package/2006/relationships"><Relationship Id="rId3" Type="http://schemas.openxmlformats.org/officeDocument/2006/relationships/chart" Target="../charts/chart63.xml"/><Relationship Id="rId2" Type="http://schemas.openxmlformats.org/officeDocument/2006/relationships/chart" Target="../charts/chart62.xml"/><Relationship Id="rId1" Type="http://schemas.openxmlformats.org/officeDocument/2006/relationships/chart" Target="../charts/chart61.xml"/></Relationships>
</file>

<file path=xl/drawings/_rels/drawing22.xml.rels><?xml version="1.0" encoding="UTF-8" standalone="yes"?>
<Relationships xmlns="http://schemas.openxmlformats.org/package/2006/relationships"><Relationship Id="rId1" Type="http://schemas.openxmlformats.org/officeDocument/2006/relationships/chart" Target="../charts/chart64.xml"/></Relationships>
</file>

<file path=xl/drawings/_rels/drawing23.xml.rels><?xml version="1.0" encoding="UTF-8" standalone="yes"?>
<Relationships xmlns="http://schemas.openxmlformats.org/package/2006/relationships"><Relationship Id="rId3" Type="http://schemas.openxmlformats.org/officeDocument/2006/relationships/chart" Target="../charts/chart67.xml"/><Relationship Id="rId2" Type="http://schemas.openxmlformats.org/officeDocument/2006/relationships/chart" Target="../charts/chart66.xml"/><Relationship Id="rId1" Type="http://schemas.openxmlformats.org/officeDocument/2006/relationships/chart" Target="../charts/chart65.xml"/><Relationship Id="rId4" Type="http://schemas.openxmlformats.org/officeDocument/2006/relationships/chart" Target="../charts/chart68.xml"/></Relationships>
</file>

<file path=xl/drawings/_rels/drawing24.xml.rels><?xml version="1.0" encoding="UTF-8" standalone="yes"?>
<Relationships xmlns="http://schemas.openxmlformats.org/package/2006/relationships"><Relationship Id="rId8" Type="http://schemas.openxmlformats.org/officeDocument/2006/relationships/chart" Target="../charts/chart76.xml"/><Relationship Id="rId13" Type="http://schemas.openxmlformats.org/officeDocument/2006/relationships/chart" Target="../charts/chart81.xml"/><Relationship Id="rId3" Type="http://schemas.openxmlformats.org/officeDocument/2006/relationships/chart" Target="../charts/chart71.xml"/><Relationship Id="rId7" Type="http://schemas.openxmlformats.org/officeDocument/2006/relationships/chart" Target="../charts/chart75.xml"/><Relationship Id="rId12" Type="http://schemas.openxmlformats.org/officeDocument/2006/relationships/chart" Target="../charts/chart80.xml"/><Relationship Id="rId2" Type="http://schemas.openxmlformats.org/officeDocument/2006/relationships/chart" Target="../charts/chart70.xml"/><Relationship Id="rId1" Type="http://schemas.openxmlformats.org/officeDocument/2006/relationships/chart" Target="../charts/chart69.xml"/><Relationship Id="rId6" Type="http://schemas.openxmlformats.org/officeDocument/2006/relationships/chart" Target="../charts/chart74.xml"/><Relationship Id="rId11" Type="http://schemas.openxmlformats.org/officeDocument/2006/relationships/chart" Target="../charts/chart79.xml"/><Relationship Id="rId5" Type="http://schemas.openxmlformats.org/officeDocument/2006/relationships/chart" Target="../charts/chart73.xml"/><Relationship Id="rId15" Type="http://schemas.openxmlformats.org/officeDocument/2006/relationships/chart" Target="../charts/chart83.xml"/><Relationship Id="rId10" Type="http://schemas.openxmlformats.org/officeDocument/2006/relationships/chart" Target="../charts/chart78.xml"/><Relationship Id="rId4" Type="http://schemas.openxmlformats.org/officeDocument/2006/relationships/chart" Target="../charts/chart72.xml"/><Relationship Id="rId9" Type="http://schemas.openxmlformats.org/officeDocument/2006/relationships/chart" Target="../charts/chart77.xml"/><Relationship Id="rId14" Type="http://schemas.openxmlformats.org/officeDocument/2006/relationships/chart" Target="../charts/chart82.xml"/></Relationships>
</file>

<file path=xl/drawings/_rels/drawing25.xml.rels><?xml version="1.0" encoding="UTF-8" standalone="yes"?>
<Relationships xmlns="http://schemas.openxmlformats.org/package/2006/relationships"><Relationship Id="rId8" Type="http://schemas.openxmlformats.org/officeDocument/2006/relationships/chart" Target="../charts/chart91.xml"/><Relationship Id="rId3" Type="http://schemas.openxmlformats.org/officeDocument/2006/relationships/chart" Target="../charts/chart86.xml"/><Relationship Id="rId7" Type="http://schemas.openxmlformats.org/officeDocument/2006/relationships/chart" Target="../charts/chart90.xml"/><Relationship Id="rId12" Type="http://schemas.openxmlformats.org/officeDocument/2006/relationships/chart" Target="../charts/chart95.xml"/><Relationship Id="rId2" Type="http://schemas.openxmlformats.org/officeDocument/2006/relationships/chart" Target="../charts/chart85.xml"/><Relationship Id="rId1" Type="http://schemas.openxmlformats.org/officeDocument/2006/relationships/chart" Target="../charts/chart84.xml"/><Relationship Id="rId6" Type="http://schemas.openxmlformats.org/officeDocument/2006/relationships/chart" Target="../charts/chart89.xml"/><Relationship Id="rId11" Type="http://schemas.openxmlformats.org/officeDocument/2006/relationships/chart" Target="../charts/chart94.xml"/><Relationship Id="rId5" Type="http://schemas.openxmlformats.org/officeDocument/2006/relationships/chart" Target="../charts/chart88.xml"/><Relationship Id="rId10" Type="http://schemas.openxmlformats.org/officeDocument/2006/relationships/chart" Target="../charts/chart93.xml"/><Relationship Id="rId4" Type="http://schemas.openxmlformats.org/officeDocument/2006/relationships/chart" Target="../charts/chart87.xml"/><Relationship Id="rId9" Type="http://schemas.openxmlformats.org/officeDocument/2006/relationships/chart" Target="../charts/chart92.xml"/></Relationships>
</file>

<file path=xl/drawings/drawing1.xml><?xml version="1.0" encoding="utf-8"?>
<xdr:wsDr xmlns:xdr="http://schemas.openxmlformats.org/drawingml/2006/spreadsheetDrawing" xmlns:a="http://schemas.openxmlformats.org/drawingml/2006/main">
  <xdr:twoCellAnchor>
    <xdr:from>
      <xdr:col>11</xdr:col>
      <xdr:colOff>56097</xdr:colOff>
      <xdr:row>41</xdr:row>
      <xdr:rowOff>37679</xdr:rowOff>
    </xdr:from>
    <xdr:to>
      <xdr:col>15</xdr:col>
      <xdr:colOff>273777</xdr:colOff>
      <xdr:row>55</xdr:row>
      <xdr:rowOff>42138</xdr:rowOff>
    </xdr:to>
    <xdr:graphicFrame macro="">
      <xdr:nvGraphicFramePr>
        <xdr:cNvPr id="2" name="Chart 7">
          <a:extLst>
            <a:ext uri="{FF2B5EF4-FFF2-40B4-BE49-F238E27FC236}">
              <a16:creationId xmlns:a16="http://schemas.microsoft.com/office/drawing/2014/main" id="{93ABFF89-83E8-4F17-8CB4-4EC2C76D56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1068605</xdr:colOff>
      <xdr:row>63</xdr:row>
      <xdr:rowOff>86257</xdr:rowOff>
    </xdr:from>
    <xdr:to>
      <xdr:col>12</xdr:col>
      <xdr:colOff>48035</xdr:colOff>
      <xdr:row>76</xdr:row>
      <xdr:rowOff>182156</xdr:rowOff>
    </xdr:to>
    <xdr:graphicFrame macro="">
      <xdr:nvGraphicFramePr>
        <xdr:cNvPr id="3" name="Chart 7">
          <a:extLst>
            <a:ext uri="{FF2B5EF4-FFF2-40B4-BE49-F238E27FC236}">
              <a16:creationId xmlns:a16="http://schemas.microsoft.com/office/drawing/2014/main" id="{0FE54FC6-60F2-41EE-8758-A4A98BB7BB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381000</xdr:colOff>
      <xdr:row>41</xdr:row>
      <xdr:rowOff>30480</xdr:rowOff>
    </xdr:from>
    <xdr:to>
      <xdr:col>19</xdr:col>
      <xdr:colOff>686310</xdr:colOff>
      <xdr:row>55</xdr:row>
      <xdr:rowOff>34939</xdr:rowOff>
    </xdr:to>
    <xdr:graphicFrame macro="">
      <xdr:nvGraphicFramePr>
        <xdr:cNvPr id="4" name="Chart 7">
          <a:extLst>
            <a:ext uri="{FF2B5EF4-FFF2-40B4-BE49-F238E27FC236}">
              <a16:creationId xmlns:a16="http://schemas.microsoft.com/office/drawing/2014/main" id="{271C6D39-CBDF-4446-BD9A-9A7C2CE6D1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11</xdr:col>
      <xdr:colOff>56097</xdr:colOff>
      <xdr:row>41</xdr:row>
      <xdr:rowOff>37679</xdr:rowOff>
    </xdr:from>
    <xdr:to>
      <xdr:col>15</xdr:col>
      <xdr:colOff>273777</xdr:colOff>
      <xdr:row>55</xdr:row>
      <xdr:rowOff>42138</xdr:rowOff>
    </xdr:to>
    <xdr:graphicFrame macro="">
      <xdr:nvGraphicFramePr>
        <xdr:cNvPr id="2" name="Chart 7">
          <a:extLst>
            <a:ext uri="{FF2B5EF4-FFF2-40B4-BE49-F238E27FC236}">
              <a16:creationId xmlns:a16="http://schemas.microsoft.com/office/drawing/2014/main" id="{18E915B1-EBD5-44CF-A250-F6054872CA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1068605</xdr:colOff>
      <xdr:row>63</xdr:row>
      <xdr:rowOff>86257</xdr:rowOff>
    </xdr:from>
    <xdr:to>
      <xdr:col>12</xdr:col>
      <xdr:colOff>48035</xdr:colOff>
      <xdr:row>76</xdr:row>
      <xdr:rowOff>182156</xdr:rowOff>
    </xdr:to>
    <xdr:graphicFrame macro="">
      <xdr:nvGraphicFramePr>
        <xdr:cNvPr id="3" name="Chart 7">
          <a:extLst>
            <a:ext uri="{FF2B5EF4-FFF2-40B4-BE49-F238E27FC236}">
              <a16:creationId xmlns:a16="http://schemas.microsoft.com/office/drawing/2014/main" id="{B8656465-D5B9-428A-BAF0-C6E5BE3BE5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381000</xdr:colOff>
      <xdr:row>41</xdr:row>
      <xdr:rowOff>30480</xdr:rowOff>
    </xdr:from>
    <xdr:to>
      <xdr:col>19</xdr:col>
      <xdr:colOff>686310</xdr:colOff>
      <xdr:row>55</xdr:row>
      <xdr:rowOff>34939</xdr:rowOff>
    </xdr:to>
    <xdr:graphicFrame macro="">
      <xdr:nvGraphicFramePr>
        <xdr:cNvPr id="4" name="Chart 7">
          <a:extLst>
            <a:ext uri="{FF2B5EF4-FFF2-40B4-BE49-F238E27FC236}">
              <a16:creationId xmlns:a16="http://schemas.microsoft.com/office/drawing/2014/main" id="{9C4E1A9D-FDD4-4526-8DA2-F42540CC83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11</xdr:col>
      <xdr:colOff>56097</xdr:colOff>
      <xdr:row>41</xdr:row>
      <xdr:rowOff>37679</xdr:rowOff>
    </xdr:from>
    <xdr:to>
      <xdr:col>15</xdr:col>
      <xdr:colOff>273777</xdr:colOff>
      <xdr:row>55</xdr:row>
      <xdr:rowOff>42138</xdr:rowOff>
    </xdr:to>
    <xdr:graphicFrame macro="">
      <xdr:nvGraphicFramePr>
        <xdr:cNvPr id="2" name="Chart 7">
          <a:extLst>
            <a:ext uri="{FF2B5EF4-FFF2-40B4-BE49-F238E27FC236}">
              <a16:creationId xmlns:a16="http://schemas.microsoft.com/office/drawing/2014/main" id="{DB167940-4938-433A-8E57-F4B2C5EB07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1068605</xdr:colOff>
      <xdr:row>63</xdr:row>
      <xdr:rowOff>86257</xdr:rowOff>
    </xdr:from>
    <xdr:to>
      <xdr:col>12</xdr:col>
      <xdr:colOff>48035</xdr:colOff>
      <xdr:row>76</xdr:row>
      <xdr:rowOff>182156</xdr:rowOff>
    </xdr:to>
    <xdr:graphicFrame macro="">
      <xdr:nvGraphicFramePr>
        <xdr:cNvPr id="3" name="Chart 7">
          <a:extLst>
            <a:ext uri="{FF2B5EF4-FFF2-40B4-BE49-F238E27FC236}">
              <a16:creationId xmlns:a16="http://schemas.microsoft.com/office/drawing/2014/main" id="{1CA237B2-45F9-4EA7-B6C1-9062E4DFC1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381000</xdr:colOff>
      <xdr:row>41</xdr:row>
      <xdr:rowOff>30480</xdr:rowOff>
    </xdr:from>
    <xdr:to>
      <xdr:col>19</xdr:col>
      <xdr:colOff>686310</xdr:colOff>
      <xdr:row>55</xdr:row>
      <xdr:rowOff>34939</xdr:rowOff>
    </xdr:to>
    <xdr:graphicFrame macro="">
      <xdr:nvGraphicFramePr>
        <xdr:cNvPr id="4" name="Chart 7">
          <a:extLst>
            <a:ext uri="{FF2B5EF4-FFF2-40B4-BE49-F238E27FC236}">
              <a16:creationId xmlns:a16="http://schemas.microsoft.com/office/drawing/2014/main" id="{A13DEAD1-6061-4C64-A8F9-B1726C926F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11</xdr:col>
      <xdr:colOff>56097</xdr:colOff>
      <xdr:row>41</xdr:row>
      <xdr:rowOff>37679</xdr:rowOff>
    </xdr:from>
    <xdr:to>
      <xdr:col>15</xdr:col>
      <xdr:colOff>273777</xdr:colOff>
      <xdr:row>55</xdr:row>
      <xdr:rowOff>42138</xdr:rowOff>
    </xdr:to>
    <xdr:graphicFrame macro="">
      <xdr:nvGraphicFramePr>
        <xdr:cNvPr id="2" name="Chart 7">
          <a:extLst>
            <a:ext uri="{FF2B5EF4-FFF2-40B4-BE49-F238E27FC236}">
              <a16:creationId xmlns:a16="http://schemas.microsoft.com/office/drawing/2014/main" id="{DD2C7F45-AF77-40CB-A287-9893AF2132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1068605</xdr:colOff>
      <xdr:row>63</xdr:row>
      <xdr:rowOff>86257</xdr:rowOff>
    </xdr:from>
    <xdr:to>
      <xdr:col>12</xdr:col>
      <xdr:colOff>48035</xdr:colOff>
      <xdr:row>76</xdr:row>
      <xdr:rowOff>182156</xdr:rowOff>
    </xdr:to>
    <xdr:graphicFrame macro="">
      <xdr:nvGraphicFramePr>
        <xdr:cNvPr id="3" name="Chart 7">
          <a:extLst>
            <a:ext uri="{FF2B5EF4-FFF2-40B4-BE49-F238E27FC236}">
              <a16:creationId xmlns:a16="http://schemas.microsoft.com/office/drawing/2014/main" id="{99AE2A13-3D94-4118-976D-56C1453A35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381000</xdr:colOff>
      <xdr:row>41</xdr:row>
      <xdr:rowOff>30480</xdr:rowOff>
    </xdr:from>
    <xdr:to>
      <xdr:col>19</xdr:col>
      <xdr:colOff>686310</xdr:colOff>
      <xdr:row>55</xdr:row>
      <xdr:rowOff>34939</xdr:rowOff>
    </xdr:to>
    <xdr:graphicFrame macro="">
      <xdr:nvGraphicFramePr>
        <xdr:cNvPr id="4" name="Chart 7">
          <a:extLst>
            <a:ext uri="{FF2B5EF4-FFF2-40B4-BE49-F238E27FC236}">
              <a16:creationId xmlns:a16="http://schemas.microsoft.com/office/drawing/2014/main" id="{2530A269-779D-41A1-A863-F126EA8009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11</xdr:col>
      <xdr:colOff>56097</xdr:colOff>
      <xdr:row>41</xdr:row>
      <xdr:rowOff>37679</xdr:rowOff>
    </xdr:from>
    <xdr:to>
      <xdr:col>15</xdr:col>
      <xdr:colOff>273777</xdr:colOff>
      <xdr:row>55</xdr:row>
      <xdr:rowOff>42138</xdr:rowOff>
    </xdr:to>
    <xdr:graphicFrame macro="">
      <xdr:nvGraphicFramePr>
        <xdr:cNvPr id="2" name="Chart 7">
          <a:extLst>
            <a:ext uri="{FF2B5EF4-FFF2-40B4-BE49-F238E27FC236}">
              <a16:creationId xmlns:a16="http://schemas.microsoft.com/office/drawing/2014/main" id="{FC888A27-D6B1-4A70-A018-A018E84C5A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1068605</xdr:colOff>
      <xdr:row>63</xdr:row>
      <xdr:rowOff>86257</xdr:rowOff>
    </xdr:from>
    <xdr:to>
      <xdr:col>12</xdr:col>
      <xdr:colOff>48035</xdr:colOff>
      <xdr:row>76</xdr:row>
      <xdr:rowOff>182156</xdr:rowOff>
    </xdr:to>
    <xdr:graphicFrame macro="">
      <xdr:nvGraphicFramePr>
        <xdr:cNvPr id="3" name="Chart 7">
          <a:extLst>
            <a:ext uri="{FF2B5EF4-FFF2-40B4-BE49-F238E27FC236}">
              <a16:creationId xmlns:a16="http://schemas.microsoft.com/office/drawing/2014/main" id="{C5124153-8C11-49CD-92B7-DBB1914901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381000</xdr:colOff>
      <xdr:row>41</xdr:row>
      <xdr:rowOff>30480</xdr:rowOff>
    </xdr:from>
    <xdr:to>
      <xdr:col>19</xdr:col>
      <xdr:colOff>686310</xdr:colOff>
      <xdr:row>55</xdr:row>
      <xdr:rowOff>34939</xdr:rowOff>
    </xdr:to>
    <xdr:graphicFrame macro="">
      <xdr:nvGraphicFramePr>
        <xdr:cNvPr id="4" name="Chart 7">
          <a:extLst>
            <a:ext uri="{FF2B5EF4-FFF2-40B4-BE49-F238E27FC236}">
              <a16:creationId xmlns:a16="http://schemas.microsoft.com/office/drawing/2014/main" id="{62F66FC4-44EC-4238-A40B-E82D710CB3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11</xdr:col>
      <xdr:colOff>56097</xdr:colOff>
      <xdr:row>41</xdr:row>
      <xdr:rowOff>37679</xdr:rowOff>
    </xdr:from>
    <xdr:to>
      <xdr:col>15</xdr:col>
      <xdr:colOff>273777</xdr:colOff>
      <xdr:row>55</xdr:row>
      <xdr:rowOff>42138</xdr:rowOff>
    </xdr:to>
    <xdr:graphicFrame macro="">
      <xdr:nvGraphicFramePr>
        <xdr:cNvPr id="2" name="Chart 7">
          <a:extLst>
            <a:ext uri="{FF2B5EF4-FFF2-40B4-BE49-F238E27FC236}">
              <a16:creationId xmlns:a16="http://schemas.microsoft.com/office/drawing/2014/main" id="{D8C6AD90-312F-4795-901B-DFAF2DDA62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1068605</xdr:colOff>
      <xdr:row>63</xdr:row>
      <xdr:rowOff>86257</xdr:rowOff>
    </xdr:from>
    <xdr:to>
      <xdr:col>12</xdr:col>
      <xdr:colOff>48035</xdr:colOff>
      <xdr:row>76</xdr:row>
      <xdr:rowOff>182156</xdr:rowOff>
    </xdr:to>
    <xdr:graphicFrame macro="">
      <xdr:nvGraphicFramePr>
        <xdr:cNvPr id="3" name="Chart 7">
          <a:extLst>
            <a:ext uri="{FF2B5EF4-FFF2-40B4-BE49-F238E27FC236}">
              <a16:creationId xmlns:a16="http://schemas.microsoft.com/office/drawing/2014/main" id="{D79F224D-28DA-49A1-A732-737996E2CE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381000</xdr:colOff>
      <xdr:row>41</xdr:row>
      <xdr:rowOff>30480</xdr:rowOff>
    </xdr:from>
    <xdr:to>
      <xdr:col>19</xdr:col>
      <xdr:colOff>686310</xdr:colOff>
      <xdr:row>55</xdr:row>
      <xdr:rowOff>34939</xdr:rowOff>
    </xdr:to>
    <xdr:graphicFrame macro="">
      <xdr:nvGraphicFramePr>
        <xdr:cNvPr id="4" name="Chart 7">
          <a:extLst>
            <a:ext uri="{FF2B5EF4-FFF2-40B4-BE49-F238E27FC236}">
              <a16:creationId xmlns:a16="http://schemas.microsoft.com/office/drawing/2014/main" id="{9ED6683F-B40C-4174-B5B1-6E6F36B1E0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11</xdr:col>
      <xdr:colOff>56097</xdr:colOff>
      <xdr:row>41</xdr:row>
      <xdr:rowOff>37679</xdr:rowOff>
    </xdr:from>
    <xdr:to>
      <xdr:col>15</xdr:col>
      <xdr:colOff>273777</xdr:colOff>
      <xdr:row>55</xdr:row>
      <xdr:rowOff>42138</xdr:rowOff>
    </xdr:to>
    <xdr:graphicFrame macro="">
      <xdr:nvGraphicFramePr>
        <xdr:cNvPr id="2" name="Chart 7">
          <a:extLst>
            <a:ext uri="{FF2B5EF4-FFF2-40B4-BE49-F238E27FC236}">
              <a16:creationId xmlns:a16="http://schemas.microsoft.com/office/drawing/2014/main" id="{3AB3B223-9550-4DA9-91F6-D6C43F1A78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1068605</xdr:colOff>
      <xdr:row>63</xdr:row>
      <xdr:rowOff>86257</xdr:rowOff>
    </xdr:from>
    <xdr:to>
      <xdr:col>12</xdr:col>
      <xdr:colOff>48035</xdr:colOff>
      <xdr:row>76</xdr:row>
      <xdr:rowOff>182156</xdr:rowOff>
    </xdr:to>
    <xdr:graphicFrame macro="">
      <xdr:nvGraphicFramePr>
        <xdr:cNvPr id="3" name="Chart 7">
          <a:extLst>
            <a:ext uri="{FF2B5EF4-FFF2-40B4-BE49-F238E27FC236}">
              <a16:creationId xmlns:a16="http://schemas.microsoft.com/office/drawing/2014/main" id="{DE735374-4A69-48A1-BCF5-CD38104EA4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381000</xdr:colOff>
      <xdr:row>41</xdr:row>
      <xdr:rowOff>30480</xdr:rowOff>
    </xdr:from>
    <xdr:to>
      <xdr:col>19</xdr:col>
      <xdr:colOff>686310</xdr:colOff>
      <xdr:row>55</xdr:row>
      <xdr:rowOff>34939</xdr:rowOff>
    </xdr:to>
    <xdr:graphicFrame macro="">
      <xdr:nvGraphicFramePr>
        <xdr:cNvPr id="4" name="Chart 7">
          <a:extLst>
            <a:ext uri="{FF2B5EF4-FFF2-40B4-BE49-F238E27FC236}">
              <a16:creationId xmlns:a16="http://schemas.microsoft.com/office/drawing/2014/main" id="{53A09DC7-23E8-4F21-BBA2-E2B1A79221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11</xdr:col>
      <xdr:colOff>56097</xdr:colOff>
      <xdr:row>41</xdr:row>
      <xdr:rowOff>37679</xdr:rowOff>
    </xdr:from>
    <xdr:to>
      <xdr:col>15</xdr:col>
      <xdr:colOff>273777</xdr:colOff>
      <xdr:row>55</xdr:row>
      <xdr:rowOff>42138</xdr:rowOff>
    </xdr:to>
    <xdr:graphicFrame macro="">
      <xdr:nvGraphicFramePr>
        <xdr:cNvPr id="2" name="Chart 7">
          <a:extLst>
            <a:ext uri="{FF2B5EF4-FFF2-40B4-BE49-F238E27FC236}">
              <a16:creationId xmlns:a16="http://schemas.microsoft.com/office/drawing/2014/main" id="{B19829AE-0651-448A-8F44-45908E3159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1068605</xdr:colOff>
      <xdr:row>63</xdr:row>
      <xdr:rowOff>86257</xdr:rowOff>
    </xdr:from>
    <xdr:to>
      <xdr:col>12</xdr:col>
      <xdr:colOff>48035</xdr:colOff>
      <xdr:row>76</xdr:row>
      <xdr:rowOff>182156</xdr:rowOff>
    </xdr:to>
    <xdr:graphicFrame macro="">
      <xdr:nvGraphicFramePr>
        <xdr:cNvPr id="3" name="Chart 7">
          <a:extLst>
            <a:ext uri="{FF2B5EF4-FFF2-40B4-BE49-F238E27FC236}">
              <a16:creationId xmlns:a16="http://schemas.microsoft.com/office/drawing/2014/main" id="{DB1CF26D-DE6E-48B9-AFBE-4E4FFDF629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381000</xdr:colOff>
      <xdr:row>41</xdr:row>
      <xdr:rowOff>30480</xdr:rowOff>
    </xdr:from>
    <xdr:to>
      <xdr:col>19</xdr:col>
      <xdr:colOff>686310</xdr:colOff>
      <xdr:row>55</xdr:row>
      <xdr:rowOff>34939</xdr:rowOff>
    </xdr:to>
    <xdr:graphicFrame macro="">
      <xdr:nvGraphicFramePr>
        <xdr:cNvPr id="4" name="Chart 7">
          <a:extLst>
            <a:ext uri="{FF2B5EF4-FFF2-40B4-BE49-F238E27FC236}">
              <a16:creationId xmlns:a16="http://schemas.microsoft.com/office/drawing/2014/main" id="{2AA90D0C-3EBE-4672-A276-23055B7548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11</xdr:col>
      <xdr:colOff>56097</xdr:colOff>
      <xdr:row>41</xdr:row>
      <xdr:rowOff>37679</xdr:rowOff>
    </xdr:from>
    <xdr:to>
      <xdr:col>15</xdr:col>
      <xdr:colOff>273777</xdr:colOff>
      <xdr:row>55</xdr:row>
      <xdr:rowOff>42138</xdr:rowOff>
    </xdr:to>
    <xdr:graphicFrame macro="">
      <xdr:nvGraphicFramePr>
        <xdr:cNvPr id="2" name="Chart 7">
          <a:extLst>
            <a:ext uri="{FF2B5EF4-FFF2-40B4-BE49-F238E27FC236}">
              <a16:creationId xmlns:a16="http://schemas.microsoft.com/office/drawing/2014/main" id="{A1E38DCD-0F8C-412A-8EE7-F166167761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1068605</xdr:colOff>
      <xdr:row>63</xdr:row>
      <xdr:rowOff>86257</xdr:rowOff>
    </xdr:from>
    <xdr:to>
      <xdr:col>12</xdr:col>
      <xdr:colOff>48035</xdr:colOff>
      <xdr:row>76</xdr:row>
      <xdr:rowOff>182156</xdr:rowOff>
    </xdr:to>
    <xdr:graphicFrame macro="">
      <xdr:nvGraphicFramePr>
        <xdr:cNvPr id="3" name="Chart 7">
          <a:extLst>
            <a:ext uri="{FF2B5EF4-FFF2-40B4-BE49-F238E27FC236}">
              <a16:creationId xmlns:a16="http://schemas.microsoft.com/office/drawing/2014/main" id="{E763DF5D-1864-43E2-8E16-B19E32A7E4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381000</xdr:colOff>
      <xdr:row>41</xdr:row>
      <xdr:rowOff>30480</xdr:rowOff>
    </xdr:from>
    <xdr:to>
      <xdr:col>19</xdr:col>
      <xdr:colOff>686310</xdr:colOff>
      <xdr:row>55</xdr:row>
      <xdr:rowOff>34939</xdr:rowOff>
    </xdr:to>
    <xdr:graphicFrame macro="">
      <xdr:nvGraphicFramePr>
        <xdr:cNvPr id="4" name="Chart 7">
          <a:extLst>
            <a:ext uri="{FF2B5EF4-FFF2-40B4-BE49-F238E27FC236}">
              <a16:creationId xmlns:a16="http://schemas.microsoft.com/office/drawing/2014/main" id="{F763D81A-FEEA-48AB-8C22-B37514CECD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11</xdr:col>
      <xdr:colOff>56097</xdr:colOff>
      <xdr:row>41</xdr:row>
      <xdr:rowOff>37679</xdr:rowOff>
    </xdr:from>
    <xdr:to>
      <xdr:col>15</xdr:col>
      <xdr:colOff>273777</xdr:colOff>
      <xdr:row>55</xdr:row>
      <xdr:rowOff>42138</xdr:rowOff>
    </xdr:to>
    <xdr:graphicFrame macro="">
      <xdr:nvGraphicFramePr>
        <xdr:cNvPr id="2" name="Chart 7">
          <a:extLst>
            <a:ext uri="{FF2B5EF4-FFF2-40B4-BE49-F238E27FC236}">
              <a16:creationId xmlns:a16="http://schemas.microsoft.com/office/drawing/2014/main" id="{C8E138B9-3088-4B9C-9F5A-1CF0506544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1068605</xdr:colOff>
      <xdr:row>63</xdr:row>
      <xdr:rowOff>86257</xdr:rowOff>
    </xdr:from>
    <xdr:to>
      <xdr:col>12</xdr:col>
      <xdr:colOff>48035</xdr:colOff>
      <xdr:row>76</xdr:row>
      <xdr:rowOff>182156</xdr:rowOff>
    </xdr:to>
    <xdr:graphicFrame macro="">
      <xdr:nvGraphicFramePr>
        <xdr:cNvPr id="3" name="Chart 7">
          <a:extLst>
            <a:ext uri="{FF2B5EF4-FFF2-40B4-BE49-F238E27FC236}">
              <a16:creationId xmlns:a16="http://schemas.microsoft.com/office/drawing/2014/main" id="{E0AD28A6-A488-404D-81CD-E65A0C3F05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381000</xdr:colOff>
      <xdr:row>41</xdr:row>
      <xdr:rowOff>30480</xdr:rowOff>
    </xdr:from>
    <xdr:to>
      <xdr:col>19</xdr:col>
      <xdr:colOff>686310</xdr:colOff>
      <xdr:row>55</xdr:row>
      <xdr:rowOff>34939</xdr:rowOff>
    </xdr:to>
    <xdr:graphicFrame macro="">
      <xdr:nvGraphicFramePr>
        <xdr:cNvPr id="4" name="Chart 7">
          <a:extLst>
            <a:ext uri="{FF2B5EF4-FFF2-40B4-BE49-F238E27FC236}">
              <a16:creationId xmlns:a16="http://schemas.microsoft.com/office/drawing/2014/main" id="{270B4B77-CE99-4708-91F3-95EF388C62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56097</xdr:colOff>
      <xdr:row>41</xdr:row>
      <xdr:rowOff>37679</xdr:rowOff>
    </xdr:from>
    <xdr:to>
      <xdr:col>15</xdr:col>
      <xdr:colOff>273777</xdr:colOff>
      <xdr:row>55</xdr:row>
      <xdr:rowOff>42138</xdr:rowOff>
    </xdr:to>
    <xdr:graphicFrame macro="">
      <xdr:nvGraphicFramePr>
        <xdr:cNvPr id="2" name="Chart 7">
          <a:extLst>
            <a:ext uri="{FF2B5EF4-FFF2-40B4-BE49-F238E27FC236}">
              <a16:creationId xmlns:a16="http://schemas.microsoft.com/office/drawing/2014/main" id="{9B264AE4-F850-4DBB-8E7C-2046F1F94B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1068605</xdr:colOff>
      <xdr:row>63</xdr:row>
      <xdr:rowOff>86257</xdr:rowOff>
    </xdr:from>
    <xdr:to>
      <xdr:col>12</xdr:col>
      <xdr:colOff>48035</xdr:colOff>
      <xdr:row>76</xdr:row>
      <xdr:rowOff>182156</xdr:rowOff>
    </xdr:to>
    <xdr:graphicFrame macro="">
      <xdr:nvGraphicFramePr>
        <xdr:cNvPr id="3" name="Chart 7">
          <a:extLst>
            <a:ext uri="{FF2B5EF4-FFF2-40B4-BE49-F238E27FC236}">
              <a16:creationId xmlns:a16="http://schemas.microsoft.com/office/drawing/2014/main" id="{7F34CD43-A39D-4A2C-80E8-2E166D7F61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381000</xdr:colOff>
      <xdr:row>41</xdr:row>
      <xdr:rowOff>30480</xdr:rowOff>
    </xdr:from>
    <xdr:to>
      <xdr:col>19</xdr:col>
      <xdr:colOff>686310</xdr:colOff>
      <xdr:row>55</xdr:row>
      <xdr:rowOff>34939</xdr:rowOff>
    </xdr:to>
    <xdr:graphicFrame macro="">
      <xdr:nvGraphicFramePr>
        <xdr:cNvPr id="4" name="Chart 7">
          <a:extLst>
            <a:ext uri="{FF2B5EF4-FFF2-40B4-BE49-F238E27FC236}">
              <a16:creationId xmlns:a16="http://schemas.microsoft.com/office/drawing/2014/main" id="{5BCC5250-ACF3-4B4C-AEF9-A30968AF84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11</xdr:col>
      <xdr:colOff>56097</xdr:colOff>
      <xdr:row>41</xdr:row>
      <xdr:rowOff>37679</xdr:rowOff>
    </xdr:from>
    <xdr:to>
      <xdr:col>15</xdr:col>
      <xdr:colOff>273777</xdr:colOff>
      <xdr:row>55</xdr:row>
      <xdr:rowOff>42138</xdr:rowOff>
    </xdr:to>
    <xdr:graphicFrame macro="">
      <xdr:nvGraphicFramePr>
        <xdr:cNvPr id="2" name="Chart 7">
          <a:extLst>
            <a:ext uri="{FF2B5EF4-FFF2-40B4-BE49-F238E27FC236}">
              <a16:creationId xmlns:a16="http://schemas.microsoft.com/office/drawing/2014/main" id="{C6CF086C-D578-4EB3-AD11-C2640BBA1C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1068605</xdr:colOff>
      <xdr:row>63</xdr:row>
      <xdr:rowOff>86257</xdr:rowOff>
    </xdr:from>
    <xdr:to>
      <xdr:col>12</xdr:col>
      <xdr:colOff>48035</xdr:colOff>
      <xdr:row>76</xdr:row>
      <xdr:rowOff>182156</xdr:rowOff>
    </xdr:to>
    <xdr:graphicFrame macro="">
      <xdr:nvGraphicFramePr>
        <xdr:cNvPr id="3" name="Chart 7">
          <a:extLst>
            <a:ext uri="{FF2B5EF4-FFF2-40B4-BE49-F238E27FC236}">
              <a16:creationId xmlns:a16="http://schemas.microsoft.com/office/drawing/2014/main" id="{A6DC59B6-30A1-4AA6-BA68-D76AA31618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381000</xdr:colOff>
      <xdr:row>41</xdr:row>
      <xdr:rowOff>30480</xdr:rowOff>
    </xdr:from>
    <xdr:to>
      <xdr:col>19</xdr:col>
      <xdr:colOff>686310</xdr:colOff>
      <xdr:row>55</xdr:row>
      <xdr:rowOff>34939</xdr:rowOff>
    </xdr:to>
    <xdr:graphicFrame macro="">
      <xdr:nvGraphicFramePr>
        <xdr:cNvPr id="4" name="Chart 7">
          <a:extLst>
            <a:ext uri="{FF2B5EF4-FFF2-40B4-BE49-F238E27FC236}">
              <a16:creationId xmlns:a16="http://schemas.microsoft.com/office/drawing/2014/main" id="{79F5F04E-4D82-45E2-9468-123184C84C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11</xdr:col>
      <xdr:colOff>56097</xdr:colOff>
      <xdr:row>41</xdr:row>
      <xdr:rowOff>37679</xdr:rowOff>
    </xdr:from>
    <xdr:to>
      <xdr:col>15</xdr:col>
      <xdr:colOff>273777</xdr:colOff>
      <xdr:row>55</xdr:row>
      <xdr:rowOff>42138</xdr:rowOff>
    </xdr:to>
    <xdr:graphicFrame macro="">
      <xdr:nvGraphicFramePr>
        <xdr:cNvPr id="2" name="Chart 7">
          <a:extLst>
            <a:ext uri="{FF2B5EF4-FFF2-40B4-BE49-F238E27FC236}">
              <a16:creationId xmlns:a16="http://schemas.microsoft.com/office/drawing/2014/main" id="{255BDD4B-0CF4-4F7D-9899-8EFB2CB9BB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1068605</xdr:colOff>
      <xdr:row>63</xdr:row>
      <xdr:rowOff>86257</xdr:rowOff>
    </xdr:from>
    <xdr:to>
      <xdr:col>12</xdr:col>
      <xdr:colOff>48035</xdr:colOff>
      <xdr:row>76</xdr:row>
      <xdr:rowOff>182156</xdr:rowOff>
    </xdr:to>
    <xdr:graphicFrame macro="">
      <xdr:nvGraphicFramePr>
        <xdr:cNvPr id="3" name="Chart 7">
          <a:extLst>
            <a:ext uri="{FF2B5EF4-FFF2-40B4-BE49-F238E27FC236}">
              <a16:creationId xmlns:a16="http://schemas.microsoft.com/office/drawing/2014/main" id="{765227D9-9891-459A-9050-963BD2828F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381000</xdr:colOff>
      <xdr:row>41</xdr:row>
      <xdr:rowOff>30480</xdr:rowOff>
    </xdr:from>
    <xdr:to>
      <xdr:col>19</xdr:col>
      <xdr:colOff>686310</xdr:colOff>
      <xdr:row>55</xdr:row>
      <xdr:rowOff>34939</xdr:rowOff>
    </xdr:to>
    <xdr:graphicFrame macro="">
      <xdr:nvGraphicFramePr>
        <xdr:cNvPr id="4" name="Chart 7">
          <a:extLst>
            <a:ext uri="{FF2B5EF4-FFF2-40B4-BE49-F238E27FC236}">
              <a16:creationId xmlns:a16="http://schemas.microsoft.com/office/drawing/2014/main" id="{092A5383-8F34-43CE-8854-62A8E444D0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11</xdr:col>
      <xdr:colOff>56097</xdr:colOff>
      <xdr:row>41</xdr:row>
      <xdr:rowOff>37679</xdr:rowOff>
    </xdr:from>
    <xdr:to>
      <xdr:col>15</xdr:col>
      <xdr:colOff>273777</xdr:colOff>
      <xdr:row>55</xdr:row>
      <xdr:rowOff>42138</xdr:rowOff>
    </xdr:to>
    <xdr:graphicFrame macro="">
      <xdr:nvGraphicFramePr>
        <xdr:cNvPr id="2" name="Chart 7">
          <a:extLst>
            <a:ext uri="{FF2B5EF4-FFF2-40B4-BE49-F238E27FC236}">
              <a16:creationId xmlns:a16="http://schemas.microsoft.com/office/drawing/2014/main" id="{E4BD4A2D-FC69-4C03-BD0A-965D50F9A2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1068605</xdr:colOff>
      <xdr:row>63</xdr:row>
      <xdr:rowOff>86257</xdr:rowOff>
    </xdr:from>
    <xdr:to>
      <xdr:col>12</xdr:col>
      <xdr:colOff>48035</xdr:colOff>
      <xdr:row>76</xdr:row>
      <xdr:rowOff>182156</xdr:rowOff>
    </xdr:to>
    <xdr:graphicFrame macro="">
      <xdr:nvGraphicFramePr>
        <xdr:cNvPr id="3" name="Chart 7">
          <a:extLst>
            <a:ext uri="{FF2B5EF4-FFF2-40B4-BE49-F238E27FC236}">
              <a16:creationId xmlns:a16="http://schemas.microsoft.com/office/drawing/2014/main" id="{865D484D-EA82-40EF-BCA1-3271A3E6FC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381000</xdr:colOff>
      <xdr:row>41</xdr:row>
      <xdr:rowOff>30480</xdr:rowOff>
    </xdr:from>
    <xdr:to>
      <xdr:col>19</xdr:col>
      <xdr:colOff>686310</xdr:colOff>
      <xdr:row>55</xdr:row>
      <xdr:rowOff>34939</xdr:rowOff>
    </xdr:to>
    <xdr:graphicFrame macro="">
      <xdr:nvGraphicFramePr>
        <xdr:cNvPr id="4" name="Chart 7">
          <a:extLst>
            <a:ext uri="{FF2B5EF4-FFF2-40B4-BE49-F238E27FC236}">
              <a16:creationId xmlns:a16="http://schemas.microsoft.com/office/drawing/2014/main" id="{34ABAECF-E077-4D7C-8771-EB625DA7BD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11</xdr:col>
      <xdr:colOff>56097</xdr:colOff>
      <xdr:row>41</xdr:row>
      <xdr:rowOff>37679</xdr:rowOff>
    </xdr:from>
    <xdr:to>
      <xdr:col>15</xdr:col>
      <xdr:colOff>273777</xdr:colOff>
      <xdr:row>55</xdr:row>
      <xdr:rowOff>42138</xdr:rowOff>
    </xdr:to>
    <xdr:graphicFrame macro="">
      <xdr:nvGraphicFramePr>
        <xdr:cNvPr id="2" name="Chart 7">
          <a:extLst>
            <a:ext uri="{FF2B5EF4-FFF2-40B4-BE49-F238E27FC236}">
              <a16:creationId xmlns:a16="http://schemas.microsoft.com/office/drawing/2014/main" id="{4DB15B9A-8E21-4959-9C31-467F440594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1068605</xdr:colOff>
      <xdr:row>63</xdr:row>
      <xdr:rowOff>86257</xdr:rowOff>
    </xdr:from>
    <xdr:to>
      <xdr:col>12</xdr:col>
      <xdr:colOff>48035</xdr:colOff>
      <xdr:row>76</xdr:row>
      <xdr:rowOff>182156</xdr:rowOff>
    </xdr:to>
    <xdr:graphicFrame macro="">
      <xdr:nvGraphicFramePr>
        <xdr:cNvPr id="3" name="Chart 7">
          <a:extLst>
            <a:ext uri="{FF2B5EF4-FFF2-40B4-BE49-F238E27FC236}">
              <a16:creationId xmlns:a16="http://schemas.microsoft.com/office/drawing/2014/main" id="{A1BD9F3F-FA69-432E-A533-597C93A5DC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381000</xdr:colOff>
      <xdr:row>41</xdr:row>
      <xdr:rowOff>30480</xdr:rowOff>
    </xdr:from>
    <xdr:to>
      <xdr:col>19</xdr:col>
      <xdr:colOff>686310</xdr:colOff>
      <xdr:row>55</xdr:row>
      <xdr:rowOff>34939</xdr:rowOff>
    </xdr:to>
    <xdr:graphicFrame macro="">
      <xdr:nvGraphicFramePr>
        <xdr:cNvPr id="4" name="Chart 7">
          <a:extLst>
            <a:ext uri="{FF2B5EF4-FFF2-40B4-BE49-F238E27FC236}">
              <a16:creationId xmlns:a16="http://schemas.microsoft.com/office/drawing/2014/main" id="{2B5D12E9-CF32-4D53-880F-9F58D20C4A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11</xdr:col>
      <xdr:colOff>56097</xdr:colOff>
      <xdr:row>41</xdr:row>
      <xdr:rowOff>37679</xdr:rowOff>
    </xdr:from>
    <xdr:to>
      <xdr:col>15</xdr:col>
      <xdr:colOff>273777</xdr:colOff>
      <xdr:row>55</xdr:row>
      <xdr:rowOff>42138</xdr:rowOff>
    </xdr:to>
    <xdr:graphicFrame macro="">
      <xdr:nvGraphicFramePr>
        <xdr:cNvPr id="2" name="Chart 7">
          <a:extLst>
            <a:ext uri="{FF2B5EF4-FFF2-40B4-BE49-F238E27FC236}">
              <a16:creationId xmlns:a16="http://schemas.microsoft.com/office/drawing/2014/main" id="{453D55A8-C468-4F1D-AB36-FC75ED2313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1068605</xdr:colOff>
      <xdr:row>63</xdr:row>
      <xdr:rowOff>86257</xdr:rowOff>
    </xdr:from>
    <xdr:to>
      <xdr:col>12</xdr:col>
      <xdr:colOff>48035</xdr:colOff>
      <xdr:row>76</xdr:row>
      <xdr:rowOff>182156</xdr:rowOff>
    </xdr:to>
    <xdr:graphicFrame macro="">
      <xdr:nvGraphicFramePr>
        <xdr:cNvPr id="3" name="Chart 7">
          <a:extLst>
            <a:ext uri="{FF2B5EF4-FFF2-40B4-BE49-F238E27FC236}">
              <a16:creationId xmlns:a16="http://schemas.microsoft.com/office/drawing/2014/main" id="{7234890F-4FFC-46DA-B908-61629919D5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381000</xdr:colOff>
      <xdr:row>41</xdr:row>
      <xdr:rowOff>30480</xdr:rowOff>
    </xdr:from>
    <xdr:to>
      <xdr:col>19</xdr:col>
      <xdr:colOff>686310</xdr:colOff>
      <xdr:row>55</xdr:row>
      <xdr:rowOff>34939</xdr:rowOff>
    </xdr:to>
    <xdr:graphicFrame macro="">
      <xdr:nvGraphicFramePr>
        <xdr:cNvPr id="4" name="Chart 7">
          <a:extLst>
            <a:ext uri="{FF2B5EF4-FFF2-40B4-BE49-F238E27FC236}">
              <a16:creationId xmlns:a16="http://schemas.microsoft.com/office/drawing/2014/main" id="{3BF59446-DD42-49F8-B915-78BA97D227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11</xdr:col>
      <xdr:colOff>56097</xdr:colOff>
      <xdr:row>41</xdr:row>
      <xdr:rowOff>37679</xdr:rowOff>
    </xdr:from>
    <xdr:to>
      <xdr:col>15</xdr:col>
      <xdr:colOff>273777</xdr:colOff>
      <xdr:row>55</xdr:row>
      <xdr:rowOff>42138</xdr:rowOff>
    </xdr:to>
    <xdr:graphicFrame macro="">
      <xdr:nvGraphicFramePr>
        <xdr:cNvPr id="2" name="Chart 7">
          <a:extLst>
            <a:ext uri="{FF2B5EF4-FFF2-40B4-BE49-F238E27FC236}">
              <a16:creationId xmlns:a16="http://schemas.microsoft.com/office/drawing/2014/main" id="{29F17C7E-C701-4F93-82C4-1B5A434936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1068605</xdr:colOff>
      <xdr:row>63</xdr:row>
      <xdr:rowOff>86257</xdr:rowOff>
    </xdr:from>
    <xdr:to>
      <xdr:col>12</xdr:col>
      <xdr:colOff>48035</xdr:colOff>
      <xdr:row>76</xdr:row>
      <xdr:rowOff>182156</xdr:rowOff>
    </xdr:to>
    <xdr:graphicFrame macro="">
      <xdr:nvGraphicFramePr>
        <xdr:cNvPr id="3" name="Chart 7">
          <a:extLst>
            <a:ext uri="{FF2B5EF4-FFF2-40B4-BE49-F238E27FC236}">
              <a16:creationId xmlns:a16="http://schemas.microsoft.com/office/drawing/2014/main" id="{B1EB472A-A3F3-43F3-B4BC-D8E0B72685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381000</xdr:colOff>
      <xdr:row>41</xdr:row>
      <xdr:rowOff>30480</xdr:rowOff>
    </xdr:from>
    <xdr:to>
      <xdr:col>19</xdr:col>
      <xdr:colOff>686310</xdr:colOff>
      <xdr:row>55</xdr:row>
      <xdr:rowOff>34939</xdr:rowOff>
    </xdr:to>
    <xdr:graphicFrame macro="">
      <xdr:nvGraphicFramePr>
        <xdr:cNvPr id="4" name="Chart 7">
          <a:extLst>
            <a:ext uri="{FF2B5EF4-FFF2-40B4-BE49-F238E27FC236}">
              <a16:creationId xmlns:a16="http://schemas.microsoft.com/office/drawing/2014/main" id="{E958FE3F-CD7A-4FA4-80F2-4A84F81EDE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11</xdr:col>
      <xdr:colOff>56097</xdr:colOff>
      <xdr:row>41</xdr:row>
      <xdr:rowOff>37679</xdr:rowOff>
    </xdr:from>
    <xdr:to>
      <xdr:col>15</xdr:col>
      <xdr:colOff>273777</xdr:colOff>
      <xdr:row>55</xdr:row>
      <xdr:rowOff>42138</xdr:rowOff>
    </xdr:to>
    <xdr:graphicFrame macro="">
      <xdr:nvGraphicFramePr>
        <xdr:cNvPr id="2" name="Chart 7">
          <a:extLst>
            <a:ext uri="{FF2B5EF4-FFF2-40B4-BE49-F238E27FC236}">
              <a16:creationId xmlns:a16="http://schemas.microsoft.com/office/drawing/2014/main" id="{FE51A1DF-B54F-4A0C-A452-E5420C78DE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1068605</xdr:colOff>
      <xdr:row>63</xdr:row>
      <xdr:rowOff>86257</xdr:rowOff>
    </xdr:from>
    <xdr:to>
      <xdr:col>12</xdr:col>
      <xdr:colOff>48035</xdr:colOff>
      <xdr:row>76</xdr:row>
      <xdr:rowOff>182156</xdr:rowOff>
    </xdr:to>
    <xdr:graphicFrame macro="">
      <xdr:nvGraphicFramePr>
        <xdr:cNvPr id="3" name="Chart 7">
          <a:extLst>
            <a:ext uri="{FF2B5EF4-FFF2-40B4-BE49-F238E27FC236}">
              <a16:creationId xmlns:a16="http://schemas.microsoft.com/office/drawing/2014/main" id="{86C48DBE-0594-4C38-84AE-A93608C5D4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381000</xdr:colOff>
      <xdr:row>41</xdr:row>
      <xdr:rowOff>30480</xdr:rowOff>
    </xdr:from>
    <xdr:to>
      <xdr:col>19</xdr:col>
      <xdr:colOff>686310</xdr:colOff>
      <xdr:row>55</xdr:row>
      <xdr:rowOff>34939</xdr:rowOff>
    </xdr:to>
    <xdr:graphicFrame macro="">
      <xdr:nvGraphicFramePr>
        <xdr:cNvPr id="4" name="Chart 7">
          <a:extLst>
            <a:ext uri="{FF2B5EF4-FFF2-40B4-BE49-F238E27FC236}">
              <a16:creationId xmlns:a16="http://schemas.microsoft.com/office/drawing/2014/main" id="{E52E469C-5C69-487B-BFC6-17D4A9B06E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11</xdr:col>
      <xdr:colOff>56097</xdr:colOff>
      <xdr:row>41</xdr:row>
      <xdr:rowOff>37679</xdr:rowOff>
    </xdr:from>
    <xdr:to>
      <xdr:col>15</xdr:col>
      <xdr:colOff>273777</xdr:colOff>
      <xdr:row>55</xdr:row>
      <xdr:rowOff>42138</xdr:rowOff>
    </xdr:to>
    <xdr:graphicFrame macro="">
      <xdr:nvGraphicFramePr>
        <xdr:cNvPr id="2" name="Chart 7">
          <a:extLst>
            <a:ext uri="{FF2B5EF4-FFF2-40B4-BE49-F238E27FC236}">
              <a16:creationId xmlns:a16="http://schemas.microsoft.com/office/drawing/2014/main" id="{C412D535-327D-4ABD-A146-32C3156FD0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1068605</xdr:colOff>
      <xdr:row>63</xdr:row>
      <xdr:rowOff>86257</xdr:rowOff>
    </xdr:from>
    <xdr:to>
      <xdr:col>12</xdr:col>
      <xdr:colOff>48035</xdr:colOff>
      <xdr:row>76</xdr:row>
      <xdr:rowOff>182156</xdr:rowOff>
    </xdr:to>
    <xdr:graphicFrame macro="">
      <xdr:nvGraphicFramePr>
        <xdr:cNvPr id="3" name="Chart 7">
          <a:extLst>
            <a:ext uri="{FF2B5EF4-FFF2-40B4-BE49-F238E27FC236}">
              <a16:creationId xmlns:a16="http://schemas.microsoft.com/office/drawing/2014/main" id="{EB4743B8-6138-4155-96DC-C4B4D7FA0D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381000</xdr:colOff>
      <xdr:row>41</xdr:row>
      <xdr:rowOff>30480</xdr:rowOff>
    </xdr:from>
    <xdr:to>
      <xdr:col>19</xdr:col>
      <xdr:colOff>686310</xdr:colOff>
      <xdr:row>55</xdr:row>
      <xdr:rowOff>34939</xdr:rowOff>
    </xdr:to>
    <xdr:graphicFrame macro="">
      <xdr:nvGraphicFramePr>
        <xdr:cNvPr id="4" name="Chart 7">
          <a:extLst>
            <a:ext uri="{FF2B5EF4-FFF2-40B4-BE49-F238E27FC236}">
              <a16:creationId xmlns:a16="http://schemas.microsoft.com/office/drawing/2014/main" id="{BF859733-8A7D-4D3C-96C7-45088F0378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xdr:from>
      <xdr:col>11</xdr:col>
      <xdr:colOff>56097</xdr:colOff>
      <xdr:row>41</xdr:row>
      <xdr:rowOff>37679</xdr:rowOff>
    </xdr:from>
    <xdr:to>
      <xdr:col>15</xdr:col>
      <xdr:colOff>273777</xdr:colOff>
      <xdr:row>55</xdr:row>
      <xdr:rowOff>42138</xdr:rowOff>
    </xdr:to>
    <xdr:graphicFrame macro="">
      <xdr:nvGraphicFramePr>
        <xdr:cNvPr id="2" name="Chart 7">
          <a:extLst>
            <a:ext uri="{FF2B5EF4-FFF2-40B4-BE49-F238E27FC236}">
              <a16:creationId xmlns:a16="http://schemas.microsoft.com/office/drawing/2014/main" id="{E15AE94A-2895-4915-ADC1-27AC16B8B6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1068605</xdr:colOff>
      <xdr:row>63</xdr:row>
      <xdr:rowOff>86257</xdr:rowOff>
    </xdr:from>
    <xdr:to>
      <xdr:col>12</xdr:col>
      <xdr:colOff>48035</xdr:colOff>
      <xdr:row>76</xdr:row>
      <xdr:rowOff>182156</xdr:rowOff>
    </xdr:to>
    <xdr:graphicFrame macro="">
      <xdr:nvGraphicFramePr>
        <xdr:cNvPr id="3" name="Chart 7">
          <a:extLst>
            <a:ext uri="{FF2B5EF4-FFF2-40B4-BE49-F238E27FC236}">
              <a16:creationId xmlns:a16="http://schemas.microsoft.com/office/drawing/2014/main" id="{24698817-F388-4C14-95B9-8295C70281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381000</xdr:colOff>
      <xdr:row>41</xdr:row>
      <xdr:rowOff>30480</xdr:rowOff>
    </xdr:from>
    <xdr:to>
      <xdr:col>19</xdr:col>
      <xdr:colOff>686310</xdr:colOff>
      <xdr:row>55</xdr:row>
      <xdr:rowOff>34939</xdr:rowOff>
    </xdr:to>
    <xdr:graphicFrame macro="">
      <xdr:nvGraphicFramePr>
        <xdr:cNvPr id="4" name="Chart 7">
          <a:extLst>
            <a:ext uri="{FF2B5EF4-FFF2-40B4-BE49-F238E27FC236}">
              <a16:creationId xmlns:a16="http://schemas.microsoft.com/office/drawing/2014/main" id="{7435191F-0DC5-4374-9DCD-4464D316F1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1.xml><?xml version="1.0" encoding="utf-8"?>
<xdr:wsDr xmlns:xdr="http://schemas.openxmlformats.org/drawingml/2006/spreadsheetDrawing" xmlns:a="http://schemas.openxmlformats.org/drawingml/2006/main">
  <xdr:twoCellAnchor>
    <xdr:from>
      <xdr:col>11</xdr:col>
      <xdr:colOff>56097</xdr:colOff>
      <xdr:row>41</xdr:row>
      <xdr:rowOff>37679</xdr:rowOff>
    </xdr:from>
    <xdr:to>
      <xdr:col>15</xdr:col>
      <xdr:colOff>273777</xdr:colOff>
      <xdr:row>55</xdr:row>
      <xdr:rowOff>42138</xdr:rowOff>
    </xdr:to>
    <xdr:graphicFrame macro="">
      <xdr:nvGraphicFramePr>
        <xdr:cNvPr id="2" name="Chart 7">
          <a:extLst>
            <a:ext uri="{FF2B5EF4-FFF2-40B4-BE49-F238E27FC236}">
              <a16:creationId xmlns:a16="http://schemas.microsoft.com/office/drawing/2014/main" id="{6FE4D7EC-04C2-49EF-AC0B-DD0F8C07F9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1068605</xdr:colOff>
      <xdr:row>63</xdr:row>
      <xdr:rowOff>86257</xdr:rowOff>
    </xdr:from>
    <xdr:to>
      <xdr:col>12</xdr:col>
      <xdr:colOff>48035</xdr:colOff>
      <xdr:row>76</xdr:row>
      <xdr:rowOff>182156</xdr:rowOff>
    </xdr:to>
    <xdr:graphicFrame macro="">
      <xdr:nvGraphicFramePr>
        <xdr:cNvPr id="3" name="Chart 7">
          <a:extLst>
            <a:ext uri="{FF2B5EF4-FFF2-40B4-BE49-F238E27FC236}">
              <a16:creationId xmlns:a16="http://schemas.microsoft.com/office/drawing/2014/main" id="{176254DA-BD26-4682-9D8D-D343268472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381000</xdr:colOff>
      <xdr:row>41</xdr:row>
      <xdr:rowOff>30480</xdr:rowOff>
    </xdr:from>
    <xdr:to>
      <xdr:col>19</xdr:col>
      <xdr:colOff>686310</xdr:colOff>
      <xdr:row>55</xdr:row>
      <xdr:rowOff>34939</xdr:rowOff>
    </xdr:to>
    <xdr:graphicFrame macro="">
      <xdr:nvGraphicFramePr>
        <xdr:cNvPr id="4" name="Chart 7">
          <a:extLst>
            <a:ext uri="{FF2B5EF4-FFF2-40B4-BE49-F238E27FC236}">
              <a16:creationId xmlns:a16="http://schemas.microsoft.com/office/drawing/2014/main" id="{6979433F-2105-4E1A-BAE0-C710E74732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2.xml><?xml version="1.0" encoding="utf-8"?>
<xdr:wsDr xmlns:xdr="http://schemas.openxmlformats.org/drawingml/2006/spreadsheetDrawing" xmlns:a="http://schemas.openxmlformats.org/drawingml/2006/main">
  <xdr:twoCellAnchor>
    <xdr:from>
      <xdr:col>38</xdr:col>
      <xdr:colOff>544286</xdr:colOff>
      <xdr:row>24</xdr:row>
      <xdr:rowOff>65313</xdr:rowOff>
    </xdr:from>
    <xdr:to>
      <xdr:col>43</xdr:col>
      <xdr:colOff>685050</xdr:colOff>
      <xdr:row>45</xdr:row>
      <xdr:rowOff>134849</xdr:rowOff>
    </xdr:to>
    <xdr:graphicFrame macro="">
      <xdr:nvGraphicFramePr>
        <xdr:cNvPr id="12" name="Gráfico 3">
          <a:extLst>
            <a:ext uri="{FF2B5EF4-FFF2-40B4-BE49-F238E27FC236}">
              <a16:creationId xmlns:a16="http://schemas.microsoft.com/office/drawing/2014/main" id="{8802301D-0018-463C-BA61-9B57595FC3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3.xml><?xml version="1.0" encoding="utf-8"?>
<xdr:wsDr xmlns:xdr="http://schemas.openxmlformats.org/drawingml/2006/spreadsheetDrawing" xmlns:a="http://schemas.openxmlformats.org/drawingml/2006/main">
  <xdr:twoCellAnchor>
    <xdr:from>
      <xdr:col>11</xdr:col>
      <xdr:colOff>56097</xdr:colOff>
      <xdr:row>41</xdr:row>
      <xdr:rowOff>37679</xdr:rowOff>
    </xdr:from>
    <xdr:to>
      <xdr:col>15</xdr:col>
      <xdr:colOff>273777</xdr:colOff>
      <xdr:row>55</xdr:row>
      <xdr:rowOff>42138</xdr:rowOff>
    </xdr:to>
    <xdr:graphicFrame macro="">
      <xdr:nvGraphicFramePr>
        <xdr:cNvPr id="2" name="Chart 7">
          <a:extLst>
            <a:ext uri="{FF2B5EF4-FFF2-40B4-BE49-F238E27FC236}">
              <a16:creationId xmlns:a16="http://schemas.microsoft.com/office/drawing/2014/main" id="{B847C91A-90A9-4A49-9BD0-511A465D3F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1068605</xdr:colOff>
      <xdr:row>63</xdr:row>
      <xdr:rowOff>86257</xdr:rowOff>
    </xdr:from>
    <xdr:to>
      <xdr:col>12</xdr:col>
      <xdr:colOff>48035</xdr:colOff>
      <xdr:row>76</xdr:row>
      <xdr:rowOff>182156</xdr:rowOff>
    </xdr:to>
    <xdr:graphicFrame macro="">
      <xdr:nvGraphicFramePr>
        <xdr:cNvPr id="3" name="Chart 7">
          <a:extLst>
            <a:ext uri="{FF2B5EF4-FFF2-40B4-BE49-F238E27FC236}">
              <a16:creationId xmlns:a16="http://schemas.microsoft.com/office/drawing/2014/main" id="{EB7E8BBD-D209-4497-BE32-1080B44333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381000</xdr:colOff>
      <xdr:row>41</xdr:row>
      <xdr:rowOff>30480</xdr:rowOff>
    </xdr:from>
    <xdr:to>
      <xdr:col>19</xdr:col>
      <xdr:colOff>686310</xdr:colOff>
      <xdr:row>55</xdr:row>
      <xdr:rowOff>34939</xdr:rowOff>
    </xdr:to>
    <xdr:graphicFrame macro="">
      <xdr:nvGraphicFramePr>
        <xdr:cNvPr id="4" name="Chart 7">
          <a:extLst>
            <a:ext uri="{FF2B5EF4-FFF2-40B4-BE49-F238E27FC236}">
              <a16:creationId xmlns:a16="http://schemas.microsoft.com/office/drawing/2014/main" id="{2006BE57-8753-454E-BA3B-561C9C784E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65</xdr:col>
      <xdr:colOff>134472</xdr:colOff>
      <xdr:row>25</xdr:row>
      <xdr:rowOff>116541</xdr:rowOff>
    </xdr:from>
    <xdr:to>
      <xdr:col>71</xdr:col>
      <xdr:colOff>182658</xdr:colOff>
      <xdr:row>36</xdr:row>
      <xdr:rowOff>177213</xdr:rowOff>
    </xdr:to>
    <xdr:graphicFrame macro="">
      <xdr:nvGraphicFramePr>
        <xdr:cNvPr id="5" name="Gráfico 4">
          <a:extLst>
            <a:ext uri="{FF2B5EF4-FFF2-40B4-BE49-F238E27FC236}">
              <a16:creationId xmlns:a16="http://schemas.microsoft.com/office/drawing/2014/main" id="{C4411F31-89B6-4846-907B-08A1D3A397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4.xml><?xml version="1.0" encoding="utf-8"?>
<xdr:wsDr xmlns:xdr="http://schemas.openxmlformats.org/drawingml/2006/spreadsheetDrawing" xmlns:a="http://schemas.openxmlformats.org/drawingml/2006/main">
  <xdr:twoCellAnchor>
    <xdr:from>
      <xdr:col>14</xdr:col>
      <xdr:colOff>117818</xdr:colOff>
      <xdr:row>40</xdr:row>
      <xdr:rowOff>6683</xdr:rowOff>
    </xdr:from>
    <xdr:to>
      <xdr:col>15</xdr:col>
      <xdr:colOff>1070338</xdr:colOff>
      <xdr:row>55</xdr:row>
      <xdr:rowOff>112462</xdr:rowOff>
    </xdr:to>
    <xdr:graphicFrame macro="">
      <xdr:nvGraphicFramePr>
        <xdr:cNvPr id="4" name="Gráfico 3">
          <a:extLst>
            <a:ext uri="{FF2B5EF4-FFF2-40B4-BE49-F238E27FC236}">
              <a16:creationId xmlns:a16="http://schemas.microsoft.com/office/drawing/2014/main" id="{1660AD14-BBA0-4C9D-BE9B-36BAAB574556}"/>
            </a:ext>
            <a:ext uri="{147F2762-F138-4A5C-976F-8EAC2B608ADB}">
              <a16:predDERef xmlns:a16="http://schemas.microsoft.com/office/drawing/2014/main" pred="{EF7D242D-4047-BF04-4E35-063A3117C5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7333</xdr:colOff>
      <xdr:row>4</xdr:row>
      <xdr:rowOff>13356</xdr:rowOff>
    </xdr:from>
    <xdr:to>
      <xdr:col>16</xdr:col>
      <xdr:colOff>1541</xdr:colOff>
      <xdr:row>19</xdr:row>
      <xdr:rowOff>183552</xdr:rowOff>
    </xdr:to>
    <xdr:graphicFrame macro="">
      <xdr:nvGraphicFramePr>
        <xdr:cNvPr id="7" name="Gráfico 3">
          <a:extLst>
            <a:ext uri="{FF2B5EF4-FFF2-40B4-BE49-F238E27FC236}">
              <a16:creationId xmlns:a16="http://schemas.microsoft.com/office/drawing/2014/main" id="{24FD338B-4F7F-ADAB-C0EA-DCB8317A64B8}"/>
            </a:ext>
            <a:ext uri="{147F2762-F138-4A5C-976F-8EAC2B608ADB}">
              <a16:predDERef xmlns:a16="http://schemas.microsoft.com/office/drawing/2014/main" pred="{EF7D242D-4047-BF04-4E35-063A3117C5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8960</xdr:colOff>
      <xdr:row>40</xdr:row>
      <xdr:rowOff>11037</xdr:rowOff>
    </xdr:from>
    <xdr:to>
      <xdr:col>16</xdr:col>
      <xdr:colOff>3169</xdr:colOff>
      <xdr:row>55</xdr:row>
      <xdr:rowOff>181137</xdr:rowOff>
    </xdr:to>
    <xdr:graphicFrame macro="">
      <xdr:nvGraphicFramePr>
        <xdr:cNvPr id="10" name="Gráfico 9">
          <a:extLst>
            <a:ext uri="{FF2B5EF4-FFF2-40B4-BE49-F238E27FC236}">
              <a16:creationId xmlns:a16="http://schemas.microsoft.com/office/drawing/2014/main" id="{CDA5E588-C6BF-9A78-67CC-F24DC277870E}"/>
            </a:ext>
            <a:ext uri="{147F2762-F138-4A5C-976F-8EAC2B608ADB}">
              <a16:predDERef xmlns:a16="http://schemas.microsoft.com/office/drawing/2014/main" pred="{EF7D242D-4047-BF04-4E35-063A3117C5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8709</xdr:colOff>
      <xdr:row>76</xdr:row>
      <xdr:rowOff>8709</xdr:rowOff>
    </xdr:from>
    <xdr:to>
      <xdr:col>15</xdr:col>
      <xdr:colOff>2386012</xdr:colOff>
      <xdr:row>91</xdr:row>
      <xdr:rowOff>178905</xdr:rowOff>
    </xdr:to>
    <xdr:graphicFrame macro="">
      <xdr:nvGraphicFramePr>
        <xdr:cNvPr id="14" name="Gráfico 3">
          <a:extLst>
            <a:ext uri="{FF2B5EF4-FFF2-40B4-BE49-F238E27FC236}">
              <a16:creationId xmlns:a16="http://schemas.microsoft.com/office/drawing/2014/main" id="{F956D068-C95B-489A-861A-0B73B2A6B89A}"/>
            </a:ext>
            <a:ext uri="{147F2762-F138-4A5C-976F-8EAC2B608ADB}">
              <a16:predDERef xmlns:a16="http://schemas.microsoft.com/office/drawing/2014/main" pred="{EF7D242D-4047-BF04-4E35-063A3117C5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12067</xdr:colOff>
      <xdr:row>148</xdr:row>
      <xdr:rowOff>32411</xdr:rowOff>
    </xdr:from>
    <xdr:to>
      <xdr:col>15</xdr:col>
      <xdr:colOff>2393926</xdr:colOff>
      <xdr:row>164</xdr:row>
      <xdr:rowOff>1691</xdr:rowOff>
    </xdr:to>
    <xdr:graphicFrame macro="">
      <xdr:nvGraphicFramePr>
        <xdr:cNvPr id="3" name="Gráfico 3">
          <a:extLst>
            <a:ext uri="{FF2B5EF4-FFF2-40B4-BE49-F238E27FC236}">
              <a16:creationId xmlns:a16="http://schemas.microsoft.com/office/drawing/2014/main" id="{EA235972-1D13-44AA-A99D-9610838893C2}"/>
            </a:ext>
            <a:ext uri="{147F2762-F138-4A5C-976F-8EAC2B608ADB}">
              <a16:predDERef xmlns:a16="http://schemas.microsoft.com/office/drawing/2014/main" pred="{EF7D242D-4047-BF04-4E35-063A3117C5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279507</xdr:colOff>
      <xdr:row>184</xdr:row>
      <xdr:rowOff>22092</xdr:rowOff>
    </xdr:from>
    <xdr:to>
      <xdr:col>16</xdr:col>
      <xdr:colOff>7333</xdr:colOff>
      <xdr:row>199</xdr:row>
      <xdr:rowOff>181306</xdr:rowOff>
    </xdr:to>
    <xdr:graphicFrame macro="">
      <xdr:nvGraphicFramePr>
        <xdr:cNvPr id="6" name="Chart 5">
          <a:extLst>
            <a:ext uri="{FF2B5EF4-FFF2-40B4-BE49-F238E27FC236}">
              <a16:creationId xmlns:a16="http://schemas.microsoft.com/office/drawing/2014/main" id="{441D8B6D-362A-4BB4-B59A-DFB9396B28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8965</xdr:colOff>
      <xdr:row>200</xdr:row>
      <xdr:rowOff>10085</xdr:rowOff>
    </xdr:from>
    <xdr:to>
      <xdr:col>16</xdr:col>
      <xdr:colOff>13173</xdr:colOff>
      <xdr:row>215</xdr:row>
      <xdr:rowOff>172565</xdr:rowOff>
    </xdr:to>
    <xdr:graphicFrame macro="">
      <xdr:nvGraphicFramePr>
        <xdr:cNvPr id="8" name="Chart 7">
          <a:extLst>
            <a:ext uri="{FF2B5EF4-FFF2-40B4-BE49-F238E27FC236}">
              <a16:creationId xmlns:a16="http://schemas.microsoft.com/office/drawing/2014/main" id="{CED02BDD-9D9F-41E7-AD2C-F4D968DA4B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275665</xdr:colOff>
      <xdr:row>220</xdr:row>
      <xdr:rowOff>8403</xdr:rowOff>
    </xdr:from>
    <xdr:to>
      <xdr:col>16</xdr:col>
      <xdr:colOff>3648</xdr:colOff>
      <xdr:row>235</xdr:row>
      <xdr:rowOff>182089</xdr:rowOff>
    </xdr:to>
    <xdr:graphicFrame macro="">
      <xdr:nvGraphicFramePr>
        <xdr:cNvPr id="11" name="Chart 7">
          <a:extLst>
            <a:ext uri="{FF2B5EF4-FFF2-40B4-BE49-F238E27FC236}">
              <a16:creationId xmlns:a16="http://schemas.microsoft.com/office/drawing/2014/main" id="{24207C83-44F2-4BCE-99F9-8B883BF5FF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8965</xdr:colOff>
      <xdr:row>292</xdr:row>
      <xdr:rowOff>8964</xdr:rowOff>
    </xdr:from>
    <xdr:to>
      <xdr:col>16</xdr:col>
      <xdr:colOff>13173</xdr:colOff>
      <xdr:row>307</xdr:row>
      <xdr:rowOff>171443</xdr:rowOff>
    </xdr:to>
    <xdr:graphicFrame macro="">
      <xdr:nvGraphicFramePr>
        <xdr:cNvPr id="9" name="Chart 7">
          <a:extLst>
            <a:ext uri="{FF2B5EF4-FFF2-40B4-BE49-F238E27FC236}">
              <a16:creationId xmlns:a16="http://schemas.microsoft.com/office/drawing/2014/main" id="{77994D8A-5191-41CF-A402-3B5FC9E126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0</xdr:colOff>
      <xdr:row>328</xdr:row>
      <xdr:rowOff>0</xdr:rowOff>
    </xdr:from>
    <xdr:to>
      <xdr:col>16</xdr:col>
      <xdr:colOff>8130</xdr:colOff>
      <xdr:row>343</xdr:row>
      <xdr:rowOff>173686</xdr:rowOff>
    </xdr:to>
    <xdr:graphicFrame macro="">
      <xdr:nvGraphicFramePr>
        <xdr:cNvPr id="13" name="Chart 7">
          <a:extLst>
            <a:ext uri="{FF2B5EF4-FFF2-40B4-BE49-F238E27FC236}">
              <a16:creationId xmlns:a16="http://schemas.microsoft.com/office/drawing/2014/main" id="{7FF0F87C-DC30-45A7-BB83-55A17E87E9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14</xdr:col>
      <xdr:colOff>0</xdr:colOff>
      <xdr:row>344</xdr:row>
      <xdr:rowOff>0</xdr:rowOff>
    </xdr:from>
    <xdr:to>
      <xdr:col>16</xdr:col>
      <xdr:colOff>2061</xdr:colOff>
      <xdr:row>359</xdr:row>
      <xdr:rowOff>173687</xdr:rowOff>
    </xdr:to>
    <xdr:graphicFrame macro="">
      <xdr:nvGraphicFramePr>
        <xdr:cNvPr id="15" name="Chart 7">
          <a:extLst>
            <a:ext uri="{FF2B5EF4-FFF2-40B4-BE49-F238E27FC236}">
              <a16:creationId xmlns:a16="http://schemas.microsoft.com/office/drawing/2014/main" id="{36595796-1ED0-4A92-8BF6-4B3E0AF172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14</xdr:col>
      <xdr:colOff>0</xdr:colOff>
      <xdr:row>364</xdr:row>
      <xdr:rowOff>0</xdr:rowOff>
    </xdr:from>
    <xdr:to>
      <xdr:col>16</xdr:col>
      <xdr:colOff>4208</xdr:colOff>
      <xdr:row>379</xdr:row>
      <xdr:rowOff>173686</xdr:rowOff>
    </xdr:to>
    <xdr:graphicFrame macro="">
      <xdr:nvGraphicFramePr>
        <xdr:cNvPr id="19" name="Chart 7">
          <a:extLst>
            <a:ext uri="{FF2B5EF4-FFF2-40B4-BE49-F238E27FC236}">
              <a16:creationId xmlns:a16="http://schemas.microsoft.com/office/drawing/2014/main" id="{1DD06856-581C-43D2-9E85-4EA3D87356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14</xdr:col>
      <xdr:colOff>12007</xdr:colOff>
      <xdr:row>112</xdr:row>
      <xdr:rowOff>25293</xdr:rowOff>
    </xdr:from>
    <xdr:to>
      <xdr:col>15</xdr:col>
      <xdr:colOff>2399628</xdr:colOff>
      <xdr:row>127</xdr:row>
      <xdr:rowOff>176703</xdr:rowOff>
    </xdr:to>
    <xdr:graphicFrame macro="">
      <xdr:nvGraphicFramePr>
        <xdr:cNvPr id="24" name="Gráfico 9">
          <a:extLst>
            <a:ext uri="{FF2B5EF4-FFF2-40B4-BE49-F238E27FC236}">
              <a16:creationId xmlns:a16="http://schemas.microsoft.com/office/drawing/2014/main" id="{F4A8FAD0-FE15-46F6-9C63-16EC727F57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14</xdr:col>
      <xdr:colOff>35860</xdr:colOff>
      <xdr:row>380</xdr:row>
      <xdr:rowOff>17930</xdr:rowOff>
    </xdr:from>
    <xdr:to>
      <xdr:col>15</xdr:col>
      <xdr:colOff>2362152</xdr:colOff>
      <xdr:row>395</xdr:row>
      <xdr:rowOff>146792</xdr:rowOff>
    </xdr:to>
    <xdr:graphicFrame macro="">
      <xdr:nvGraphicFramePr>
        <xdr:cNvPr id="5" name="Chart 7">
          <a:extLst>
            <a:ext uri="{FF2B5EF4-FFF2-40B4-BE49-F238E27FC236}">
              <a16:creationId xmlns:a16="http://schemas.microsoft.com/office/drawing/2014/main" id="{D3B488AD-7DE1-42EA-9008-DBF0AF3F50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14</xdr:col>
      <xdr:colOff>10885</xdr:colOff>
      <xdr:row>256</xdr:row>
      <xdr:rowOff>30737</xdr:rowOff>
    </xdr:from>
    <xdr:to>
      <xdr:col>15</xdr:col>
      <xdr:colOff>2401709</xdr:colOff>
      <xdr:row>272</xdr:row>
      <xdr:rowOff>2853</xdr:rowOff>
    </xdr:to>
    <xdr:graphicFrame macro="">
      <xdr:nvGraphicFramePr>
        <xdr:cNvPr id="20" name="Gráfico 9">
          <a:extLst>
            <a:ext uri="{FF2B5EF4-FFF2-40B4-BE49-F238E27FC236}">
              <a16:creationId xmlns:a16="http://schemas.microsoft.com/office/drawing/2014/main" id="{C3255D82-43D6-4FCC-A317-BF29F7BA29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wsDr>
</file>

<file path=xl/drawings/drawing25.xml><?xml version="1.0" encoding="utf-8"?>
<xdr:wsDr xmlns:xdr="http://schemas.openxmlformats.org/drawingml/2006/spreadsheetDrawing" xmlns:a="http://schemas.openxmlformats.org/drawingml/2006/main">
  <xdr:twoCellAnchor>
    <xdr:from>
      <xdr:col>14</xdr:col>
      <xdr:colOff>7249</xdr:colOff>
      <xdr:row>112</xdr:row>
      <xdr:rowOff>21772</xdr:rowOff>
    </xdr:from>
    <xdr:to>
      <xdr:col>15</xdr:col>
      <xdr:colOff>2389909</xdr:colOff>
      <xdr:row>127</xdr:row>
      <xdr:rowOff>173182</xdr:rowOff>
    </xdr:to>
    <xdr:graphicFrame macro="">
      <xdr:nvGraphicFramePr>
        <xdr:cNvPr id="3" name="Gráfico 9">
          <a:extLst>
            <a:ext uri="{FF2B5EF4-FFF2-40B4-BE49-F238E27FC236}">
              <a16:creationId xmlns:a16="http://schemas.microsoft.com/office/drawing/2014/main" id="{DEE2602E-5245-4623-A4DF-2C2232B124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7333</xdr:colOff>
      <xdr:row>4</xdr:row>
      <xdr:rowOff>13356</xdr:rowOff>
    </xdr:from>
    <xdr:to>
      <xdr:col>16</xdr:col>
      <xdr:colOff>1541</xdr:colOff>
      <xdr:row>19</xdr:row>
      <xdr:rowOff>183552</xdr:rowOff>
    </xdr:to>
    <xdr:graphicFrame macro="">
      <xdr:nvGraphicFramePr>
        <xdr:cNvPr id="4" name="Gráfico 3">
          <a:extLst>
            <a:ext uri="{FF2B5EF4-FFF2-40B4-BE49-F238E27FC236}">
              <a16:creationId xmlns:a16="http://schemas.microsoft.com/office/drawing/2014/main" id="{0B1253DE-0E60-4F9D-A8C8-5FCC9C1CCCD7}"/>
            </a:ext>
            <a:ext uri="{147F2762-F138-4A5C-976F-8EAC2B608ADB}">
              <a16:predDERef xmlns:a16="http://schemas.microsoft.com/office/drawing/2014/main" pred="{EF7D242D-4047-BF04-4E35-063A3117C5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8965</xdr:colOff>
      <xdr:row>20</xdr:row>
      <xdr:rowOff>8966</xdr:rowOff>
    </xdr:from>
    <xdr:to>
      <xdr:col>16</xdr:col>
      <xdr:colOff>3173</xdr:colOff>
      <xdr:row>35</xdr:row>
      <xdr:rowOff>179162</xdr:rowOff>
    </xdr:to>
    <xdr:graphicFrame macro="">
      <xdr:nvGraphicFramePr>
        <xdr:cNvPr id="15" name="Gráfico 14">
          <a:extLst>
            <a:ext uri="{FF2B5EF4-FFF2-40B4-BE49-F238E27FC236}">
              <a16:creationId xmlns:a16="http://schemas.microsoft.com/office/drawing/2014/main" id="{609A3C02-DF1E-41B5-BE9B-7CB5D9EAB23D}"/>
            </a:ext>
            <a:ext uri="{147F2762-F138-4A5C-976F-8EAC2B608ADB}">
              <a16:predDERef xmlns:a16="http://schemas.microsoft.com/office/drawing/2014/main" pred="{EF7D242D-4047-BF04-4E35-063A3117C5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266700</xdr:colOff>
      <xdr:row>76</xdr:row>
      <xdr:rowOff>0</xdr:rowOff>
    </xdr:from>
    <xdr:to>
      <xdr:col>15</xdr:col>
      <xdr:colOff>2324100</xdr:colOff>
      <xdr:row>91</xdr:row>
      <xdr:rowOff>175909</xdr:rowOff>
    </xdr:to>
    <xdr:graphicFrame macro="">
      <xdr:nvGraphicFramePr>
        <xdr:cNvPr id="18" name="Chart 7">
          <a:extLst>
            <a:ext uri="{FF2B5EF4-FFF2-40B4-BE49-F238E27FC236}">
              <a16:creationId xmlns:a16="http://schemas.microsoft.com/office/drawing/2014/main" id="{E82E8804-58DD-4CD9-A889-55724CBED9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266700</xdr:colOff>
      <xdr:row>112</xdr:row>
      <xdr:rowOff>0</xdr:rowOff>
    </xdr:from>
    <xdr:to>
      <xdr:col>15</xdr:col>
      <xdr:colOff>2324100</xdr:colOff>
      <xdr:row>127</xdr:row>
      <xdr:rowOff>175909</xdr:rowOff>
    </xdr:to>
    <xdr:graphicFrame macro="">
      <xdr:nvGraphicFramePr>
        <xdr:cNvPr id="20" name="Chart 7">
          <a:extLst>
            <a:ext uri="{FF2B5EF4-FFF2-40B4-BE49-F238E27FC236}">
              <a16:creationId xmlns:a16="http://schemas.microsoft.com/office/drawing/2014/main" id="{1DD03C96-259D-4FCA-B765-10EE94044A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878541</xdr:colOff>
      <xdr:row>10</xdr:row>
      <xdr:rowOff>0</xdr:rowOff>
    </xdr:from>
    <xdr:to>
      <xdr:col>15</xdr:col>
      <xdr:colOff>833719</xdr:colOff>
      <xdr:row>22</xdr:row>
      <xdr:rowOff>35859</xdr:rowOff>
    </xdr:to>
    <xdr:sp macro="" textlink="">
      <xdr:nvSpPr>
        <xdr:cNvPr id="6" name="Rectángulo 5">
          <a:extLst>
            <a:ext uri="{FF2B5EF4-FFF2-40B4-BE49-F238E27FC236}">
              <a16:creationId xmlns:a16="http://schemas.microsoft.com/office/drawing/2014/main" id="{A7E200B7-F50C-2A9B-DC1E-27F396172CE7}"/>
            </a:ext>
          </a:extLst>
        </xdr:cNvPr>
        <xdr:cNvSpPr/>
      </xdr:nvSpPr>
      <xdr:spPr>
        <a:xfrm>
          <a:off x="3325906" y="2366682"/>
          <a:ext cx="12066495" cy="218738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ES_tradnl" sz="1100"/>
            <a:t>I do not like this "fiscal drag in practice" definition/concept.</a:t>
          </a:r>
          <a:r>
            <a:rPr lang="es-ES_tradnl" sz="1100" baseline="0"/>
            <a:t> Do not use these figures. </a:t>
          </a:r>
          <a:endParaRPr lang="es-ES_tradnl" sz="1100"/>
        </a:p>
      </xdr:txBody>
    </xdr:sp>
    <xdr:clientData/>
  </xdr:twoCellAnchor>
  <xdr:twoCellAnchor>
    <xdr:from>
      <xdr:col>14</xdr:col>
      <xdr:colOff>7249</xdr:colOff>
      <xdr:row>148</xdr:row>
      <xdr:rowOff>21772</xdr:rowOff>
    </xdr:from>
    <xdr:to>
      <xdr:col>15</xdr:col>
      <xdr:colOff>2389909</xdr:colOff>
      <xdr:row>163</xdr:row>
      <xdr:rowOff>173182</xdr:rowOff>
    </xdr:to>
    <xdr:graphicFrame macro="">
      <xdr:nvGraphicFramePr>
        <xdr:cNvPr id="7" name="Gráfico 9">
          <a:extLst>
            <a:ext uri="{FF2B5EF4-FFF2-40B4-BE49-F238E27FC236}">
              <a16:creationId xmlns:a16="http://schemas.microsoft.com/office/drawing/2014/main" id="{C79E3768-FCA2-45FE-ADDC-48945EC6E2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266700</xdr:colOff>
      <xdr:row>148</xdr:row>
      <xdr:rowOff>0</xdr:rowOff>
    </xdr:from>
    <xdr:to>
      <xdr:col>15</xdr:col>
      <xdr:colOff>2324100</xdr:colOff>
      <xdr:row>163</xdr:row>
      <xdr:rowOff>175909</xdr:rowOff>
    </xdr:to>
    <xdr:graphicFrame macro="">
      <xdr:nvGraphicFramePr>
        <xdr:cNvPr id="10" name="Chart 7">
          <a:extLst>
            <a:ext uri="{FF2B5EF4-FFF2-40B4-BE49-F238E27FC236}">
              <a16:creationId xmlns:a16="http://schemas.microsoft.com/office/drawing/2014/main" id="{1C7D6763-D6ED-4353-A03A-7554437CF1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7620</xdr:colOff>
      <xdr:row>56</xdr:row>
      <xdr:rowOff>7620</xdr:rowOff>
    </xdr:from>
    <xdr:to>
      <xdr:col>16</xdr:col>
      <xdr:colOff>1829</xdr:colOff>
      <xdr:row>71</xdr:row>
      <xdr:rowOff>175069</xdr:rowOff>
    </xdr:to>
    <xdr:graphicFrame macro="">
      <xdr:nvGraphicFramePr>
        <xdr:cNvPr id="8" name="Gráfico 7">
          <a:extLst>
            <a:ext uri="{FF2B5EF4-FFF2-40B4-BE49-F238E27FC236}">
              <a16:creationId xmlns:a16="http://schemas.microsoft.com/office/drawing/2014/main" id="{631910A5-DEBD-4D9F-A365-CECF8E2FAB4E}"/>
            </a:ext>
            <a:ext uri="{147F2762-F138-4A5C-976F-8EAC2B608ADB}">
              <a16:predDERef xmlns:a16="http://schemas.microsoft.com/office/drawing/2014/main" pred="{EF7D242D-4047-BF04-4E35-063A3117C5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7620</xdr:colOff>
      <xdr:row>200</xdr:row>
      <xdr:rowOff>7620</xdr:rowOff>
    </xdr:from>
    <xdr:to>
      <xdr:col>16</xdr:col>
      <xdr:colOff>1829</xdr:colOff>
      <xdr:row>215</xdr:row>
      <xdr:rowOff>175069</xdr:rowOff>
    </xdr:to>
    <xdr:graphicFrame macro="">
      <xdr:nvGraphicFramePr>
        <xdr:cNvPr id="14" name="Gráfico 13">
          <a:extLst>
            <a:ext uri="{FF2B5EF4-FFF2-40B4-BE49-F238E27FC236}">
              <a16:creationId xmlns:a16="http://schemas.microsoft.com/office/drawing/2014/main" id="{BFEE94E5-BA63-44D7-98E3-C3546933EFA4}"/>
            </a:ext>
            <a:ext uri="{147F2762-F138-4A5C-976F-8EAC2B608ADB}">
              <a16:predDERef xmlns:a16="http://schemas.microsoft.com/office/drawing/2014/main" pred="{EF7D242D-4047-BF04-4E35-063A3117C5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7620</xdr:colOff>
      <xdr:row>236</xdr:row>
      <xdr:rowOff>7620</xdr:rowOff>
    </xdr:from>
    <xdr:to>
      <xdr:col>16</xdr:col>
      <xdr:colOff>1829</xdr:colOff>
      <xdr:row>251</xdr:row>
      <xdr:rowOff>175069</xdr:rowOff>
    </xdr:to>
    <xdr:graphicFrame macro="">
      <xdr:nvGraphicFramePr>
        <xdr:cNvPr id="19" name="Gráfico 13">
          <a:extLst>
            <a:ext uri="{FF2B5EF4-FFF2-40B4-BE49-F238E27FC236}">
              <a16:creationId xmlns:a16="http://schemas.microsoft.com/office/drawing/2014/main" id="{38A387FE-63F2-4565-A8F7-7C44AE14EAF8}"/>
            </a:ext>
            <a:ext uri="{147F2762-F138-4A5C-976F-8EAC2B608ADB}">
              <a16:predDERef xmlns:a16="http://schemas.microsoft.com/office/drawing/2014/main" pred="{EF7D242D-4047-BF04-4E35-063A3117C5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14</xdr:col>
      <xdr:colOff>7620</xdr:colOff>
      <xdr:row>272</xdr:row>
      <xdr:rowOff>7620</xdr:rowOff>
    </xdr:from>
    <xdr:to>
      <xdr:col>16</xdr:col>
      <xdr:colOff>1829</xdr:colOff>
      <xdr:row>287</xdr:row>
      <xdr:rowOff>175069</xdr:rowOff>
    </xdr:to>
    <xdr:graphicFrame macro="">
      <xdr:nvGraphicFramePr>
        <xdr:cNvPr id="23" name="Gráfico 13">
          <a:extLst>
            <a:ext uri="{FF2B5EF4-FFF2-40B4-BE49-F238E27FC236}">
              <a16:creationId xmlns:a16="http://schemas.microsoft.com/office/drawing/2014/main" id="{1A624EAC-A054-404E-AD6A-99AB3D5596E8}"/>
            </a:ext>
            <a:ext uri="{147F2762-F138-4A5C-976F-8EAC2B608ADB}">
              <a16:predDERef xmlns:a16="http://schemas.microsoft.com/office/drawing/2014/main" pred="{EF7D242D-4047-BF04-4E35-063A3117C5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14</xdr:col>
      <xdr:colOff>7620</xdr:colOff>
      <xdr:row>292</xdr:row>
      <xdr:rowOff>24938</xdr:rowOff>
    </xdr:from>
    <xdr:to>
      <xdr:col>16</xdr:col>
      <xdr:colOff>1829</xdr:colOff>
      <xdr:row>308</xdr:row>
      <xdr:rowOff>1887</xdr:rowOff>
    </xdr:to>
    <xdr:graphicFrame macro="">
      <xdr:nvGraphicFramePr>
        <xdr:cNvPr id="27" name="Gráfico 26">
          <a:extLst>
            <a:ext uri="{FF2B5EF4-FFF2-40B4-BE49-F238E27FC236}">
              <a16:creationId xmlns:a16="http://schemas.microsoft.com/office/drawing/2014/main" id="{6CB97218-AC85-4931-B936-446BCC4F251F}"/>
            </a:ext>
            <a:ext uri="{147F2762-F138-4A5C-976F-8EAC2B608ADB}">
              <a16:predDERef xmlns:a16="http://schemas.microsoft.com/office/drawing/2014/main" pred="{EF7D242D-4047-BF04-4E35-063A3117C5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26.xml><?xml version="1.0" encoding="utf-8"?>
<c:userShapes xmlns:c="http://schemas.openxmlformats.org/drawingml/2006/chart">
  <cdr:relSizeAnchor xmlns:cdr="http://schemas.openxmlformats.org/drawingml/2006/chartDrawing">
    <cdr:from>
      <cdr:x>0.11575</cdr:x>
      <cdr:y>0.34245</cdr:y>
    </cdr:from>
    <cdr:to>
      <cdr:x>0.96484</cdr:x>
      <cdr:y>0.34245</cdr:y>
    </cdr:to>
    <cdr:cxnSp macro="">
      <cdr:nvCxnSpPr>
        <cdr:cNvPr id="3" name="Conector recto 2">
          <a:extLst xmlns:a="http://schemas.openxmlformats.org/drawingml/2006/main">
            <a:ext uri="{FF2B5EF4-FFF2-40B4-BE49-F238E27FC236}">
              <a16:creationId xmlns:a16="http://schemas.microsoft.com/office/drawing/2014/main" id="{5F3AB8C6-2089-3FAA-8F21-E9D88B19A069}"/>
            </a:ext>
          </a:extLst>
        </cdr:cNvPr>
        <cdr:cNvCxnSpPr/>
      </cdr:nvCxnSpPr>
      <cdr:spPr>
        <a:xfrm xmlns:a="http://schemas.openxmlformats.org/drawingml/2006/main">
          <a:off x="540412" y="1035900"/>
          <a:ext cx="3964219" cy="0"/>
        </a:xfrm>
        <a:prstGeom xmlns:a="http://schemas.openxmlformats.org/drawingml/2006/main" prst="line">
          <a:avLst/>
        </a:prstGeom>
        <a:ln xmlns:a="http://schemas.openxmlformats.org/drawingml/2006/main" w="12700">
          <a:solidFill>
            <a:schemeClr val="tx1">
              <a:lumMod val="75000"/>
              <a:lumOff val="25000"/>
            </a:schemeClr>
          </a:solidFill>
          <a:prstDash val="dash"/>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27.xml><?xml version="1.0" encoding="utf-8"?>
<c:userShapes xmlns:c="http://schemas.openxmlformats.org/drawingml/2006/chart">
  <cdr:relSizeAnchor xmlns:cdr="http://schemas.openxmlformats.org/drawingml/2006/chartDrawing">
    <cdr:from>
      <cdr:x>0.11779</cdr:x>
      <cdr:y>0.34003</cdr:y>
    </cdr:from>
    <cdr:to>
      <cdr:x>0.96688</cdr:x>
      <cdr:y>0.34003</cdr:y>
    </cdr:to>
    <cdr:cxnSp macro="">
      <cdr:nvCxnSpPr>
        <cdr:cNvPr id="3" name="Conector recto 2">
          <a:extLst xmlns:a="http://schemas.openxmlformats.org/drawingml/2006/main">
            <a:ext uri="{FF2B5EF4-FFF2-40B4-BE49-F238E27FC236}">
              <a16:creationId xmlns:a16="http://schemas.microsoft.com/office/drawing/2014/main" id="{5F3AB8C6-2089-3FAA-8F21-E9D88B19A069}"/>
            </a:ext>
          </a:extLst>
        </cdr:cNvPr>
        <cdr:cNvCxnSpPr/>
      </cdr:nvCxnSpPr>
      <cdr:spPr>
        <a:xfrm xmlns:a="http://schemas.openxmlformats.org/drawingml/2006/main">
          <a:off x="549073" y="1028577"/>
          <a:ext cx="3957998" cy="0"/>
        </a:xfrm>
        <a:prstGeom xmlns:a="http://schemas.openxmlformats.org/drawingml/2006/main" prst="line">
          <a:avLst/>
        </a:prstGeom>
        <a:ln xmlns:a="http://schemas.openxmlformats.org/drawingml/2006/main" w="9525">
          <a:solidFill>
            <a:schemeClr val="tx1">
              <a:lumMod val="75000"/>
              <a:lumOff val="25000"/>
            </a:schemeClr>
          </a:solidFill>
          <a:prstDash val="dash"/>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28.xml><?xml version="1.0" encoding="utf-8"?>
<c:userShapes xmlns:c="http://schemas.openxmlformats.org/drawingml/2006/chart">
  <cdr:relSizeAnchor xmlns:cdr="http://schemas.openxmlformats.org/drawingml/2006/chartDrawing">
    <cdr:from>
      <cdr:x>0.1137</cdr:x>
      <cdr:y>0.42505</cdr:y>
    </cdr:from>
    <cdr:to>
      <cdr:x>0.96279</cdr:x>
      <cdr:y>0.42505</cdr:y>
    </cdr:to>
    <cdr:cxnSp macro="">
      <cdr:nvCxnSpPr>
        <cdr:cNvPr id="3" name="Conector recto 2">
          <a:extLst xmlns:a="http://schemas.openxmlformats.org/drawingml/2006/main">
            <a:ext uri="{FF2B5EF4-FFF2-40B4-BE49-F238E27FC236}">
              <a16:creationId xmlns:a16="http://schemas.microsoft.com/office/drawing/2014/main" id="{5F3AB8C6-2089-3FAA-8F21-E9D88B19A069}"/>
            </a:ext>
          </a:extLst>
        </cdr:cNvPr>
        <cdr:cNvCxnSpPr/>
      </cdr:nvCxnSpPr>
      <cdr:spPr>
        <a:xfrm xmlns:a="http://schemas.openxmlformats.org/drawingml/2006/main">
          <a:off x="530023" y="1285752"/>
          <a:ext cx="3957998" cy="0"/>
        </a:xfrm>
        <a:prstGeom xmlns:a="http://schemas.openxmlformats.org/drawingml/2006/main" prst="line">
          <a:avLst/>
        </a:prstGeom>
        <a:ln xmlns:a="http://schemas.openxmlformats.org/drawingml/2006/main" w="9525">
          <a:solidFill>
            <a:schemeClr val="tx1">
              <a:lumMod val="75000"/>
              <a:lumOff val="25000"/>
            </a:schemeClr>
          </a:solidFill>
          <a:prstDash val="dash"/>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29.xml><?xml version="1.0" encoding="utf-8"?>
<c:userShapes xmlns:c="http://schemas.openxmlformats.org/drawingml/2006/chart">
  <cdr:relSizeAnchor xmlns:cdr="http://schemas.openxmlformats.org/drawingml/2006/chartDrawing">
    <cdr:from>
      <cdr:x>0.12297</cdr:x>
      <cdr:y>0.3554</cdr:y>
    </cdr:from>
    <cdr:to>
      <cdr:x>0.97206</cdr:x>
      <cdr:y>0.3554</cdr:y>
    </cdr:to>
    <cdr:cxnSp macro="">
      <cdr:nvCxnSpPr>
        <cdr:cNvPr id="3" name="Conector recto 2">
          <a:extLst xmlns:a="http://schemas.openxmlformats.org/drawingml/2006/main">
            <a:ext uri="{FF2B5EF4-FFF2-40B4-BE49-F238E27FC236}">
              <a16:creationId xmlns:a16="http://schemas.microsoft.com/office/drawing/2014/main" id="{5F3AB8C6-2089-3FAA-8F21-E9D88B19A069}"/>
            </a:ext>
          </a:extLst>
        </cdr:cNvPr>
        <cdr:cNvCxnSpPr/>
      </cdr:nvCxnSpPr>
      <cdr:spPr>
        <a:xfrm xmlns:a="http://schemas.openxmlformats.org/drawingml/2006/main">
          <a:off x="573204" y="1075074"/>
          <a:ext cx="3957998" cy="0"/>
        </a:xfrm>
        <a:prstGeom xmlns:a="http://schemas.openxmlformats.org/drawingml/2006/main" prst="line">
          <a:avLst/>
        </a:prstGeom>
        <a:ln xmlns:a="http://schemas.openxmlformats.org/drawingml/2006/main" w="9525">
          <a:solidFill>
            <a:schemeClr val="tx1">
              <a:lumMod val="75000"/>
              <a:lumOff val="25000"/>
            </a:schemeClr>
          </a:solidFill>
          <a:prstDash val="dash"/>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externalLinks/_rels/externalLink1.xml.rels><?xml version="1.0" encoding="UTF-8" standalone="yes"?>
<Relationships xmlns="http://schemas.openxmlformats.org/package/2006/relationships"><Relationship Id="rId1" Type="http://schemas.openxmlformats.org/officeDocument/2006/relationships/externalLinkPath" Target="file:///\\osiride-fs\group\main\892fp\private\Dati\Analisi\PA_SEC2010.xlsm"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K:\EUROMOD\Projekte\Fiscal_Drag\Results\Part1ext_SSCfix\nAT_inc1_sources.xlsx" TargetMode="External"/><Relationship Id="rId1" Type="http://schemas.openxmlformats.org/officeDocument/2006/relationships/externalLinkPath" Target="file:///K:\EUROMOD\Projekte\Fiscal_Drag\Results\Part1ext_SSCfix\nAT_inc1_sources.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K:\EUROMOD\Projekte\Fiscal_Drag\Results\Part1ext_SSCfix\AT_23_inc1_sources.xlsx" TargetMode="External"/><Relationship Id="rId1" Type="http://schemas.openxmlformats.org/officeDocument/2006/relationships/externalLinkPath" Target="file:///K:\EUROMOD\Projekte\Fiscal_Drag\Results\Part1ext_SSCfix\AT_23_inc1_sources.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K:\EUROMOD\Projekte\Fiscal_Drag\Results\Part2%20SSCfix\AT_output_part2.xlsx" TargetMode="External"/><Relationship Id="rId1" Type="http://schemas.openxmlformats.org/officeDocument/2006/relationships/externalLinkPath" Target="file:///K:\EUROMOD\Projekte\Fiscal_Drag\Results\Part2%20SSCfix\AT_output_part2.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file:///C:\Users\cornill\Onedrive%20-%20National%20Bank%20of%20Belgium\MicroSimulation_Network_Euromod_Data_2024\Fiscal_drag_Project_euromod\FisclaDrag\Output\nBE_inc1_allbutsources.xlsx" TargetMode="External"/><Relationship Id="rId1" Type="http://schemas.openxmlformats.org/officeDocument/2006/relationships/externalLinkPath" Target="https://ecbprod.sharepoint.com/Users/cornill/Onedrive%20-%20National%20Bank%20of%20Belgium/MicroSimulation_Network_Euromod_Data_2024/Fiscal_drag_Project_euromod/FisclaDrag/Output/nBE_inc1_allbutsources.xlsx"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C:\Users\cornill\Onedrive%20-%20National%20Bank%20of%20Belgium\MicroSimulation_Network_Euromod_Data_2024\Fiscal_drag_Project_euromod\FisclaDrag\Output\BE_23_inc1_allbutsources.xlsx" TargetMode="External"/><Relationship Id="rId1" Type="http://schemas.openxmlformats.org/officeDocument/2006/relationships/externalLinkPath" Target="https://ecbprod.sharepoint.com/Users/cornill/Onedrive%20-%20National%20Bank%20of%20Belgium/MicroSimulation_Network_Euromod_Data_2024/Fiscal_drag_Project_euromod/FisclaDrag/Output/BE_23_inc1_allbutsources.xlsx"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file:///C:\Users\cornill\Onedrive%20-%20National%20Bank%20of%20Belgium\MicroSimulation_Network_Euromod_Data_2024\Fiscal_drag_Project_euromod\FisclaDrag\Output\BE_inc1_sources.xlsx" TargetMode="External"/><Relationship Id="rId1" Type="http://schemas.openxmlformats.org/officeDocument/2006/relationships/externalLinkPath" Target="https://ecbprod.sharepoint.com/Users/cornill/Onedrive%20-%20National%20Bank%20of%20Belgium/MicroSimulation_Network_Euromod_Data_2024/Fiscal_drag_Project_euromod/FisclaDrag/Output/BE_inc1_sources.xlsx"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file:///C:\Users\cornill\Onedrive%20-%20National%20Bank%20of%20Belgium\MicroSimulation_Network_Euromod_Data_2024\Fiscal_drag_Project_euromod\FisclaDrag\Output\BE_23_inc1_sources.xlsx" TargetMode="External"/><Relationship Id="rId1" Type="http://schemas.openxmlformats.org/officeDocument/2006/relationships/externalLinkPath" Target="https://ecbprod.sharepoint.com/Users/cornill/Onedrive%20-%20National%20Bank%20of%20Belgium/MicroSimulation_Network_Euromod_Data_2024/Fiscal_drag_Project_euromod/FisclaDrag/Output/BE_23_inc1_sources.xlsx"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file:///C:\Users\cornill\OneDrive%20-%20National%20Bank%20of%20Belgium\MicroSimulation_Network_Euromod_Data_2024\Fiscal_drag_Project_euromod\FisclaDrag\Output\BE_output_part2.xlsx" TargetMode="External"/><Relationship Id="rId1" Type="http://schemas.openxmlformats.org/officeDocument/2006/relationships/externalLinkPath" Target="https://ecbprod.sharepoint.com/Users/cornill/OneDrive%20-%20National%20Bank%20of%20Belgium/MicroSimulation_Network_Euromod_Data_2024/Fiscal_drag_Project_euromod/FisclaDrag/Output/BE_output_part2.xlsx" TargetMode="External"/></Relationships>
</file>

<file path=xl/externalLinks/_rels/externalLink10.xml.rels><?xml version="1.0" encoding="UTF-8" standalone="yes"?>
<Relationships xmlns="http://schemas.openxmlformats.org/package/2006/relationships"><Relationship Id="rId2" Type="http://schemas.openxmlformats.org/officeDocument/2006/relationships/externalLinkPath" Target="file:///C:\Users\cornill\OneDrive%20-%20National%20Bank%20of%20Belgium\MicroSimulation_Network_Euromod_Data_2024\Fiscal%20drag%20Project\Part2Update\data_HICP.xlsx" TargetMode="External"/><Relationship Id="rId1" Type="http://schemas.openxmlformats.org/officeDocument/2006/relationships/externalLinkPath" Target="https://nbb-my.sharepoint.com/personal/david_cornille_nbb_be/Documents/MicroSimulation_Network_Euromod_Data_2024/Fiscal%20drag%20Project/Part2Update/data_HICP.xlsx" TargetMode="External"/></Relationships>
</file>

<file path=xl/externalLinks/_rels/externalLink11.xml.rels><?xml version="1.0" encoding="UTF-8" standalone="yes"?>
<Relationships xmlns="http://schemas.openxmlformats.org/package/2006/relationships"><Relationship Id="rId2" Type="http://schemas.openxmlformats.org/officeDocument/2006/relationships/externalLinkPath" Target="file:///C:\Users\cornill\Onedrive%20-%20National%20Bank%20of%20Belgium\MicroSimulation_Network_Euromod_Data_2024\Fiscal%20drag%20Project\Part2Update\data_GDP_updated_DC.xlsx" TargetMode="External"/><Relationship Id="rId1" Type="http://schemas.openxmlformats.org/officeDocument/2006/relationships/externalLinkPath" Target="https://nbb-my.sharepoint.com/personal/david_cornille_nbb_be/Documents/MicroSimulation_Network_Euromod_Data_2024/Fiscal%20drag%20Project/Part2Update/data_GDP_updated_DC.xlsx" TargetMode="External"/></Relationships>
</file>

<file path=xl/externalLinks/_rels/externalLink12.xml.rels><?xml version="1.0" encoding="UTF-8" standalone="yes"?>
<Relationships xmlns="http://schemas.openxmlformats.org/package/2006/relationships"><Relationship Id="rId2" Type="http://schemas.openxmlformats.org/officeDocument/2006/relationships/externalLinkPath" Target="file:///C:\Users\cornill\Onedrive%20-%20National%20Bank%20of%20Belgium\MicroSimulation_Network_Euromod_Data_2024\Fiscal%20drag%20Project\Part2Update\data_PIT_upd.xlsx" TargetMode="External"/><Relationship Id="rId1" Type="http://schemas.openxmlformats.org/officeDocument/2006/relationships/externalLinkPath" Target="https://nbb-my.sharepoint.com/personal/david_cornille_nbb_be/Documents/MicroSimulation_Network_Euromod_Data_2024/Fiscal%20drag%20Project/Part2Update/data_PIT_upd.xlsx" TargetMode="External"/></Relationships>
</file>

<file path=xl/externalLinks/_rels/externalLink13.xml.rels><?xml version="1.0" encoding="UTF-8" standalone="yes"?>
<Relationships xmlns="http://schemas.openxmlformats.org/package/2006/relationships"><Relationship Id="rId2" Type="http://schemas.openxmlformats.org/officeDocument/2006/relationships/externalLinkPath" Target="file:///D:\flevotomou\files\POVERTY%20INEQUALITY\ESCB%20Network%20on%20Microsimulation%20Modelling\Fiscal%20Drag\Stage%201\CY%20Extended\nCY_inc1_allbutsources.xlsx" TargetMode="External"/><Relationship Id="rId1" Type="http://schemas.openxmlformats.org/officeDocument/2006/relationships/externalLinkPath" Target="file:///D:\flevotomou\files\POVERTY%20INEQUALITY\ESCB%20Network%20on%20Microsimulation%20Modelling\Fiscal%20Drag\Stage%201\CY%20Extended\nCY_inc1_allbutsources.xlsx" TargetMode="External"/></Relationships>
</file>

<file path=xl/externalLinks/_rels/externalLink14.xml.rels><?xml version="1.0" encoding="UTF-8" standalone="yes"?>
<Relationships xmlns="http://schemas.openxmlformats.org/package/2006/relationships"><Relationship Id="rId2" Type="http://schemas.openxmlformats.org/officeDocument/2006/relationships/externalLinkPath" Target="file:///D:\flevotomou\files\POVERTY%20INEQUALITY\ESCB%20Network%20on%20Microsimulation%20Modelling\Fiscal%20Drag\Stage%201\CY%20Extended\CY_23_inc1_allbutsources.xlsx" TargetMode="External"/><Relationship Id="rId1" Type="http://schemas.openxmlformats.org/officeDocument/2006/relationships/externalLinkPath" Target="file:///D:\flevotomou\files\POVERTY%20INEQUALITY\ESCB%20Network%20on%20Microsimulation%20Modelling\Fiscal%20Drag\Stage%201\CY%20Extended\CY_23_inc1_allbutsources.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D:\flevotomou\files\POVERTY%20INEQUALITY\ESCB%20Network%20on%20Microsimulation%20Modelling\Fiscal%20Drag\Stage%201\CY%20Extended\CY_inc1_sources.xlsx" TargetMode="External"/></Relationships>
</file>

<file path=xl/externalLinks/_rels/externalLink16.xml.rels><?xml version="1.0" encoding="UTF-8" standalone="yes"?>
<Relationships xmlns="http://schemas.openxmlformats.org/package/2006/relationships"><Relationship Id="rId2" Type="http://schemas.openxmlformats.org/officeDocument/2006/relationships/externalLinkPath" Target="file:///D:\flevotomou\files\POVERTY%20INEQUALITY\ESCB%20Network%20on%20Microsimulation%20Modelling\Fiscal%20Drag\Stage%201\CY%20Extended\CY_23_inc1_sources.xlsx" TargetMode="External"/><Relationship Id="rId1" Type="http://schemas.openxmlformats.org/officeDocument/2006/relationships/externalLinkPath" Target="file:///D:\flevotomou\files\POVERTY%20INEQUALITY\ESCB%20Network%20on%20Microsimulation%20Modelling\Fiscal%20Drag\Stage%201\CY%20Extended\CY_23_inc1_sources.xlsx" TargetMode="External"/></Relationships>
</file>

<file path=xl/externalLinks/_rels/externalLink17.xml.rels><?xml version="1.0" encoding="UTF-8" standalone="yes"?>
<Relationships xmlns="http://schemas.openxmlformats.org/package/2006/relationships"><Relationship Id="rId2" Type="http://schemas.openxmlformats.org/officeDocument/2006/relationships/externalLinkPath" Target="file:///D:\flevotomou\files\POVERTY%20INEQUALITY\ESCB%20Network%20on%20Microsimulation%20Modelling\Fiscal%20Drag\Stage%202\CY\CY_output_part2.xlsx" TargetMode="External"/><Relationship Id="rId1" Type="http://schemas.openxmlformats.org/officeDocument/2006/relationships/externalLinkPath" Target="https://ecbprod.sharepoint.com/sites/TEAM-ESCB-MICRO_MODELLING-FiscalDrag/Shared%20Documents/Fiscal%20Drag/3_results/1_templates_filled/Stage_2/excel%20template/CY_output_part2.xlsx" TargetMode="External"/></Relationships>
</file>

<file path=xl/externalLinks/_rels/externalLink18.xml.rels><?xml version="1.0" encoding="UTF-8" standalone="yes"?>
<Relationships xmlns="http://schemas.openxmlformats.org/package/2006/relationships"><Relationship Id="rId2" Type="http://schemas.openxmlformats.org/officeDocument/2006/relationships/externalLinkPath" Target="file:///D:\flevotomou\files\POVERTY%20INEQUALITY\ESCB%20Network%20on%20Microsimulation%20Modelling\Fiscal%20Drag\data_GDP_upd.xlsx" TargetMode="External"/><Relationship Id="rId1" Type="http://schemas.openxmlformats.org/officeDocument/2006/relationships/externalLinkPath" Target="https://ecbprod.sharepoint.com/flevotomou/files/POVERTY%20INEQUALITY/ESCB%20Network%20on%20Microsimulation%20Modelling/Fiscal%20Drag/data_GDP_upd.xlsx" TargetMode="External"/></Relationships>
</file>

<file path=xl/externalLinks/_rels/externalLink19.xml.rels><?xml version="1.0" encoding="UTF-8" standalone="yes"?>
<Relationships xmlns="http://schemas.openxmlformats.org/package/2006/relationships"><Relationship Id="rId2" Type="http://schemas.openxmlformats.org/officeDocument/2006/relationships/externalLinkPath" Target="file:///D:\flevotomou\files\POVERTY%20INEQUALITY\ESCB%20Network%20on%20Microsimulation%20Modelling\Fiscal%20Drag\data_PIT_upd.xlsx" TargetMode="External"/><Relationship Id="rId1" Type="http://schemas.openxmlformats.org/officeDocument/2006/relationships/externalLinkPath" Target="https://ecbprod.sharepoint.com/flevotomou/files/POVERTY%20INEQUALITY/ESCB%20Network%20on%20Microsimulation%20Modelling/Fiscal%20Drag/data_PIT_upd.xlsx" TargetMode="External"/></Relationships>
</file>

<file path=xl/externalLinks/_rels/externalLink20.xml.rels><?xml version="1.0" encoding="UTF-8" standalone="yes"?>
<Relationships xmlns="http://schemas.openxmlformats.org/package/2006/relationships"><Relationship Id="rId2" Type="http://schemas.openxmlformats.org/officeDocument/2006/relationships/externalLinkPath" Target="file:///C:\Users\lay.IFO.000\Desktop\Part%202%20v2\Part%201\DE_inc1_allbutsources.xlsx" TargetMode="External"/><Relationship Id="rId1" Type="http://schemas.openxmlformats.org/officeDocument/2006/relationships/externalLinkPath" Target="https://ecbprod.sharepoint.com/Users/Q30811/Downloads/de/Part%201/DE_inc1_allbutsources.xlsx" TargetMode="External"/></Relationships>
</file>

<file path=xl/externalLinks/_rels/externalLink21.xml.rels><?xml version="1.0" encoding="UTF-8" standalone="yes"?>
<Relationships xmlns="http://schemas.openxmlformats.org/package/2006/relationships"><Relationship Id="rId2" Type="http://schemas.openxmlformats.org/officeDocument/2006/relationships/externalLinkPath" Target="file:///C:\Users\lay.IFO.000\Desktop\Part%202%20v2\Part%201\DE_inc1_sources.xlsx" TargetMode="External"/><Relationship Id="rId1" Type="http://schemas.openxmlformats.org/officeDocument/2006/relationships/externalLinkPath" Target="https://ecbprod.sharepoint.com/Users/Q30811/Downloads/de/Part%201/DE_inc1_sources.xlsx" TargetMode="External"/></Relationships>
</file>

<file path=xl/externalLinks/_rels/externalLink22.xml.rels><?xml version="1.0" encoding="UTF-8" standalone="yes"?>
<Relationships xmlns="http://schemas.openxmlformats.org/package/2006/relationships"><Relationship Id="rId2" Type="http://schemas.openxmlformats.org/officeDocument/2006/relationships/externalLinkPath" Target="file:///C:\Users\lay.IFO.000\Desktop\Part%202%20v2\Part%201\DE_23_inc1_allbutsources.xlsx" TargetMode="External"/><Relationship Id="rId1" Type="http://schemas.openxmlformats.org/officeDocument/2006/relationships/externalLinkPath" Target="https://ecbprod.sharepoint.com/Users/Q30811/Downloads/de/Part%201/DE_23_inc1_allbutsources.xlsx" TargetMode="External"/></Relationships>
</file>

<file path=xl/externalLinks/_rels/externalLink23.xml.rels><?xml version="1.0" encoding="UTF-8" standalone="yes"?>
<Relationships xmlns="http://schemas.openxmlformats.org/package/2006/relationships"><Relationship Id="rId2" Type="http://schemas.openxmlformats.org/officeDocument/2006/relationships/externalLinkPath" Target="file:///C:\Users\lay.IFO.000\Desktop\Part%202%20v2\Part%201\DE_23_inc1_sources.xlsx" TargetMode="External"/><Relationship Id="rId1" Type="http://schemas.openxmlformats.org/officeDocument/2006/relationships/externalLinkPath" Target="https://ecbprod.sharepoint.com/Users/Q30811/Downloads/de/Part%201/DE_23_inc1_sources.xlsx" TargetMode="External"/></Relationships>
</file>

<file path=xl/externalLinks/_rels/externalLink24.xml.rels><?xml version="1.0" encoding="UTF-8" standalone="yes"?>
<Relationships xmlns="http://schemas.openxmlformats.org/package/2006/relationships"><Relationship Id="rId2" Type="http://schemas.openxmlformats.org/officeDocument/2006/relationships/externalLinkPath" Target="file:///C:\Users\lay.IFO.000\Desktop\Fiscal%20Drag%20Refinement\Part%202\DE_output_part2.xlsx" TargetMode="External"/><Relationship Id="rId1" Type="http://schemas.openxmlformats.org/officeDocument/2006/relationships/externalLinkPath" Target="https://ecbprod.sharepoint.com/sites/TEAM-ESCB-MICRO_MODELLING-FiscalDrag/Shared%20Documents/Fiscal%20Drag/0_steering_group/working-templates-DO-NOT-CHANGE/Part%202/DE_output_part2.xlsx" TargetMode="External"/></Relationships>
</file>

<file path=xl/externalLinks/_rels/externalLink25.xml.rels><?xml version="1.0" encoding="UTF-8" standalone="yes"?>
<Relationships xmlns="http://schemas.openxmlformats.org/package/2006/relationships"><Relationship Id="rId2" Type="http://schemas.openxmlformats.org/officeDocument/2006/relationships/externalLinkPath" Target="file:///C:\Users\giraudh\Downloads\Part%202\DE_Part2_v2.xlsx" TargetMode="External"/><Relationship Id="rId1" Type="http://schemas.openxmlformats.org/officeDocument/2006/relationships/externalLinkPath" Target="https://ecbprod.sharepoint.com/sites/TEAM-ESCB-MICRO_MODELLING-FiscalDrag/Shared%20Documents/Fiscal%20Drag/0_steering_group/working-templates-DO-NOT-CHANGE/Part%202/DE_Part2_v2.xlsx" TargetMode="External"/></Relationships>
</file>

<file path=xl/externalLinks/_rels/externalLink26.xml.rels><?xml version="1.0" encoding="UTF-8" standalone="yes"?>
<Relationships xmlns="http://schemas.openxmlformats.org/package/2006/relationships"><Relationship Id="rId2" Type="http://schemas.openxmlformats.org/officeDocument/2006/relationships/externalLinkPath" Target="file:///C:\Users\lay.IFO.000\Desktop\Fiscal%20Drag%20Refinement\Auxiliary_Macro_variables_for_Template_Part2\data_GDP_upd.xlsx" TargetMode="External"/><Relationship Id="rId1" Type="http://schemas.openxmlformats.org/officeDocument/2006/relationships/externalLinkPath" Target="https://ecbprod.sharepoint.com/Users/lay.IFO.000/Desktop/Fiscal%20Drag%20Refinement/Auxiliary_Macro_variables_for_Template_Part2/data_GDP_upd.xlsx" TargetMode="External"/></Relationships>
</file>

<file path=xl/externalLinks/_rels/externalLink27.xml.rels><?xml version="1.0" encoding="UTF-8" standalone="yes"?>
<Relationships xmlns="http://schemas.openxmlformats.org/package/2006/relationships"><Relationship Id="rId2" Type="http://schemas.openxmlformats.org/officeDocument/2006/relationships/externalLinkPath" Target="file:///C:\Users\lay.IFO.000\Desktop\Fiscal%20Drag%20Refinement\Auxiliary_Macro_variables_for_Template_Part2\data_PIT_upd.xlsx" TargetMode="External"/><Relationship Id="rId1" Type="http://schemas.openxmlformats.org/officeDocument/2006/relationships/externalLinkPath" Target="https://ecbprod.sharepoint.com/Users/lay.IFO.000/Desktop/Fiscal%20Drag%20Refinement/Auxiliary_Macro_variables_for_Template_Part2/data_PIT_upd.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R:\B2\01%20-%20Households\43%20-%20PFR\ECB\Working%20area\EE\Phase1_v2\EE_inc1_allbutsources.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ecbprod.sharepoint.com/sites/TEAM-ESCB-MICRO_MODELLING-FiscalDrag/Shared%20Documents/Fiscal%20Drag/0_steering_group/working-templates-DO-NOT-CHANGE/EE_23_inc1_allbutsources.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https://ecbprod.sharepoint.com/sites/TEAM-ESCB-MICRO_MODELLING-FiscalDrag/Shared%20Documents/Fiscal%20Drag/0_steering_group/working-templates-DO-NOT-CHANGE/EE_23_inc1_sources.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R:\B2\01%20-%20Households\43%20-%20PFR\ECB\Working%20area\EE\Phase1_v2\EE_inc1_sources_2023.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R:\B2\01%20-%20Households\43%20-%20PFR\ECB\Working%20area\EE\Phase1\EE_inc1_sources.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R:\B2\01%20-%20Households\43%20-%20PFR\ECB\Working%20area\EE\Phase1_v2\EE_inc1_sources.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R:\B2\01%20-%20Households\43%20-%20PFR\ECB\Working%20area\EE\Phase1\EE_23_inc1_sources.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R:\B2\01%20-%20Households\43%20-%20PFR\ECB\Working%20area\EE\Phase1\EE_inc1_sources_2023.xlsx"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https://ecbprod.sharepoint.com/Users/Q30811/Desktop/EE/EE%20results/EE%20results/EE_Part2_v2/EE_output_part2.xlsx" TargetMode="External"/></Relationships>
</file>

<file path=xl/externalLinks/_rels/externalLink37.xml.rels><?xml version="1.0" encoding="UTF-8" standalone="yes"?>
<Relationships xmlns="http://schemas.openxmlformats.org/package/2006/relationships"><Relationship Id="rId2" Type="http://schemas.openxmlformats.org/officeDocument/2006/relationships/externalLinkPath" Target="file:///E:\All-Documents\WGPF%20-%20MICROSIMULATION%20NETWORK\PROJECTS\01.%20FISCLAL%20DRAG\PART_1\6th%20sending\nEL_inc1_allbutsources.xlsx" TargetMode="External"/><Relationship Id="rId1" Type="http://schemas.openxmlformats.org/officeDocument/2006/relationships/externalLinkPath" Target="file:///E:\All-Documents\WGPF%20-%20MICROSIMULATION%20NETWORK\PROJECTS\01.%20FISCLAL%20DRAG\PART_1\6th%20sending\nEL_inc1_allbutsources.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E:\All-Documents\WGPF%20-%20MICROSIMULATION%20NETWORK\PROJECTS\01.%20FISCLAL%20DRAG\PART_1\6th%20sending\EL_23_inc1_allbutsources.xlsx" TargetMode="External"/></Relationships>
</file>

<file path=xl/externalLinks/_rels/externalLink39.xml.rels><?xml version="1.0" encoding="UTF-8" standalone="yes"?>
<Relationships xmlns="http://schemas.openxmlformats.org/package/2006/relationships"><Relationship Id="rId2" Type="http://schemas.openxmlformats.org/officeDocument/2006/relationships/externalLinkPath" Target="file:///E:\All-Documents\WGPF%20-%20MICROSIMULATION%20NETWORK\PROJECTS\01.%20FISCLAL%20DRAG\PART_1\6th%20sending\nEL_inc1_sources.xlsx" TargetMode="External"/><Relationship Id="rId1" Type="http://schemas.openxmlformats.org/officeDocument/2006/relationships/externalLinkPath" Target="file:///E:\All-Documents\WGPF%20-%20MICROSIMULATION%20NETWORK\PROJECTS\01.%20FISCLAL%20DRAG\PART_1\6th%20sending\nEL_inc1_sources.xlsx"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E:\All-Documents\WGPF%20-%20MICROSIMULATION%20NETWORK\PROJECTS\01.%20FISCLAL%20DRAG\PART_1\6th%20sending\EL_23_inc1_sources.xlsx" TargetMode="External"/></Relationships>
</file>

<file path=xl/externalLinks/_rels/externalLink41.xml.rels><?xml version="1.0" encoding="UTF-8" standalone="yes"?>
<Relationships xmlns="http://schemas.openxmlformats.org/package/2006/relationships"><Relationship Id="rId2" Type="http://schemas.openxmlformats.org/officeDocument/2006/relationships/externalLinkPath" Target="file:///E:\All-Documents\WGPF%20-%20MICROSIMULATION%20NETWORK\PROJECTS\01.%20FISCLAL%20DRAG\PART_2\2nd%20sending\EL_output_part2.xlsx" TargetMode="External"/><Relationship Id="rId1" Type="http://schemas.openxmlformats.org/officeDocument/2006/relationships/externalLinkPath" Target="file:///E:\All-Documents\WGPF%20-%20MICROSIMULATION%20NETWORK\PROJECTS\01.%20FISCLAL%20DRAG\PART_2\2nd%20sending\EL_output_part2.xlsx" TargetMode="External"/></Relationships>
</file>

<file path=xl/externalLinks/_rels/externalLink42.xml.rels><?xml version="1.0" encoding="UTF-8" standalone="yes"?>
<Relationships xmlns="http://schemas.openxmlformats.org/package/2006/relationships"><Relationship Id="rId2" Type="http://schemas.openxmlformats.org/officeDocument/2006/relationships/externalLinkPath" Target="file:///E:\All-Documents\WGPF%20-%20MICROSIMULATION%20NETWORK\PROJECTS\01.%20FISCLAL%20DRAG\PART_2\2nd%20sending\data_HICP.xlsx" TargetMode="External"/><Relationship Id="rId1" Type="http://schemas.openxmlformats.org/officeDocument/2006/relationships/externalLinkPath" Target="file:///E:\All-Documents\WGPF%20-%20MICROSIMULATION%20NETWORK\PROJECTS\01.%20FISCLAL%20DRAG\PART_2\2nd%20sending\data_HICP.xlsx" TargetMode="External"/></Relationships>
</file>

<file path=xl/externalLinks/_rels/externalLink43.xml.rels><?xml version="1.0" encoding="UTF-8" standalone="yes"?>
<Relationships xmlns="http://schemas.openxmlformats.org/package/2006/relationships"><Relationship Id="rId2" Type="http://schemas.openxmlformats.org/officeDocument/2006/relationships/externalLinkPath" Target="file:///X:\Dga_EI\AMicro\AMicro_PFiscal\Fiscal_Drag_Europe\work\ES\output\Part1\nES_inc1_allbutsources.xlsx" TargetMode="External"/><Relationship Id="rId1" Type="http://schemas.openxmlformats.org/officeDocument/2006/relationships/externalLinkPath" Target="/Dga_EI/AMicro/AMicro_PFiscal/Fiscal_Drag_Europe/work/ES/output/Part1/ES/nES_inc1_allbutsources.xlsx" TargetMode="External"/></Relationships>
</file>

<file path=xl/externalLinks/_rels/externalLink44.xml.rels><?xml version="1.0" encoding="UTF-8" standalone="yes"?>
<Relationships xmlns="http://schemas.openxmlformats.org/package/2006/relationships"><Relationship Id="rId2" Type="http://schemas.openxmlformats.org/officeDocument/2006/relationships/externalLinkPath" Target="file:///X:\Dga_EI\AMicro\AMicro_PFiscal\Fiscal_Drag_Europe\work\ES\output\Part1\ES_23_inc1_allbutsources.xlsx" TargetMode="External"/><Relationship Id="rId1" Type="http://schemas.openxmlformats.org/officeDocument/2006/relationships/externalLinkPath" Target="/Dga_EI/AMicro/AMicro_PFiscal/Fiscal_Drag_Europe/work/ES/output/Part1/ES/ES_23_inc1_allbutsources.xlsx" TargetMode="External"/></Relationships>
</file>

<file path=xl/externalLinks/_rels/externalLink45.xml.rels><?xml version="1.0" encoding="UTF-8" standalone="yes"?>
<Relationships xmlns="http://schemas.openxmlformats.org/package/2006/relationships"><Relationship Id="rId2" Type="http://schemas.openxmlformats.org/officeDocument/2006/relationships/externalLinkPath" Target="file:///X:\Dga_EI\AMicro\AMicro_PFiscal\Fiscal_Drag_Europe\work\ES\output\Part1\ES_23_inc1_sources.xlsx" TargetMode="External"/><Relationship Id="rId1" Type="http://schemas.openxmlformats.org/officeDocument/2006/relationships/externalLinkPath" Target="/Dga_EI/AMicro/AMicro_PFiscal/Fiscal_Drag_Europe/work/ES/output/Part1/ES/ES_23_inc1_sources.xlsx" TargetMode="External"/></Relationships>
</file>

<file path=xl/externalLinks/_rels/externalLink46.xml.rels><?xml version="1.0" encoding="UTF-8" standalone="yes"?>
<Relationships xmlns="http://schemas.openxmlformats.org/package/2006/relationships"><Relationship Id="rId2" Type="http://schemas.openxmlformats.org/officeDocument/2006/relationships/externalLinkPath" Target="file:///X:\Dga_EI\AMicro\Micro_Fiscal\Fiscal_Drag_Europe\work\ES\output\Part1\ES_inc1_sources.xlsx" TargetMode="External"/><Relationship Id="rId1" Type="http://schemas.openxmlformats.org/officeDocument/2006/relationships/externalLinkPath" Target="/Dga_EI/AMicro/AMicro_PFiscal/Fiscal_Drag_Europe/work/ES/output/Part1/ES/ES_inc1_sources.xlsx" TargetMode="External"/></Relationships>
</file>

<file path=xl/externalLinks/_rels/externalLink47.xml.rels><?xml version="1.0" encoding="UTF-8" standalone="yes"?>
<Relationships xmlns="http://schemas.openxmlformats.org/package/2006/relationships"><Relationship Id="rId2" Type="http://schemas.openxmlformats.org/officeDocument/2006/relationships/externalLinkPath" Target="file:///X:\Dga_EI\AMicro\AMicro_PFiscal\Fiscal_Drag_Europe\work\ES\output\Part2\ES_output_part2.xlsx" TargetMode="External"/><Relationship Id="rId1" Type="http://schemas.openxmlformats.org/officeDocument/2006/relationships/externalLinkPath" Target="/Dga_EI/AMicro/AMicro_PFiscal/Fiscal_Drag_Europe/work/ES/output/Part2/ES_output_part2.xlsx" TargetMode="External"/></Relationships>
</file>

<file path=xl/externalLinks/_rels/externalLink48.xml.rels><?xml version="1.0" encoding="UTF-8" standalone="yes"?>
<Relationships xmlns="http://schemas.openxmlformats.org/package/2006/relationships"><Relationship Id="rId2" Type="http://schemas.openxmlformats.org/officeDocument/2006/relationships/externalLinkPath" Target="file:///X:\Dga_EI\AMicro\AMicro_PFiscal\Fiscal_Drag_Europe\work\ES\output\Part2\data_HICP.xlsx" TargetMode="External"/><Relationship Id="rId1" Type="http://schemas.openxmlformats.org/officeDocument/2006/relationships/externalLinkPath" Target="/Dga_EI/AMicro/AMicro_PFiscal/Fiscal_Drag_Europe/work/ES/output/Part2/data_HICP.xlsx" TargetMode="External"/></Relationships>
</file>

<file path=xl/externalLinks/_rels/externalLink49.xml.rels><?xml version="1.0" encoding="UTF-8" standalone="yes"?>
<Relationships xmlns="http://schemas.openxmlformats.org/package/2006/relationships"><Relationship Id="rId2" Type="http://schemas.openxmlformats.org/officeDocument/2006/relationships/externalLinkPath" Target="file:///X:\Dga_EI\PFiscal\2_PREVISIONES\1_AAPPREV10\AP10_Anual.xlsm" TargetMode="External"/><Relationship Id="rId1" Type="http://schemas.openxmlformats.org/officeDocument/2006/relationships/externalLinkPath" Target="/Dga_EI/PFiscal/2_PREVISIONES/1_AAPPREV10/AP10_Anual.xlsm" TargetMode="External"/></Relationships>
</file>

<file path=xl/externalLinks/_rels/externalLink50.xml.rels><?xml version="1.0" encoding="UTF-8" standalone="yes"?>
<Relationships xmlns="http://schemas.openxmlformats.org/package/2006/relationships"><Relationship Id="rId2" Type="http://schemas.openxmlformats.org/officeDocument/2006/relationships/externalLinkPath" Target="file:///X:\Dga_EI\AMicro\AMicro_PFiscal\Fiscal_Drag_Europe\work\Part2\data_PIT_GDP\data_PIT_upd.xlsx" TargetMode="External"/><Relationship Id="rId1" Type="http://schemas.openxmlformats.org/officeDocument/2006/relationships/externalLinkPath" Target="/Dga_EI/AMicro/AMicro_PFiscal/Fiscal_Drag_Europe/work/Part2/data_PIT_GDP/data_PIT_upd.xlsx" TargetMode="External"/></Relationships>
</file>

<file path=xl/externalLinks/_rels/externalLink51.xml.rels><?xml version="1.0" encoding="UTF-8" standalone="yes"?>
<Relationships xmlns="http://schemas.openxmlformats.org/package/2006/relationships"><Relationship Id="rId2" Type="http://schemas.openxmlformats.org/officeDocument/2006/relationships/externalLinkPath" Target="file:///C:\TRABAJO\Proyectos\FISCAL%20DRAG\nFI_inc1_allbutsources.xlsx" TargetMode="External"/><Relationship Id="rId1" Type="http://schemas.openxmlformats.org/officeDocument/2006/relationships/externalLinkPath" Target="https://ecbprod.sharepoint.com/TRABAJO/Proyectos/FISCAL%20DRAG/nFI_inc1_allbutsources.xlsx" TargetMode="External"/></Relationships>
</file>

<file path=xl/externalLinks/_rels/externalLink52.xml.rels><?xml version="1.0" encoding="UTF-8" standalone="yes"?>
<Relationships xmlns="http://schemas.openxmlformats.org/package/2006/relationships"><Relationship Id="rId2" Type="http://schemas.openxmlformats.org/officeDocument/2006/relationships/externalLinkPath" Target="file:///C:\TRABAJO\Proyectos\FISCAL%20DRAG\nFI23_inc1_allbutsources.xlsx" TargetMode="External"/><Relationship Id="rId1" Type="http://schemas.openxmlformats.org/officeDocument/2006/relationships/externalLinkPath" Target="https://ecbprod.sharepoint.com/TRABAJO/Proyectos/FISCAL%20DRAG/nFI23_inc1_allbutsources.xlsx" TargetMode="External"/></Relationships>
</file>

<file path=xl/externalLinks/_rels/externalLink53.xml.rels><?xml version="1.0" encoding="UTF-8" standalone="yes"?>
<Relationships xmlns="http://schemas.openxmlformats.org/package/2006/relationships"><Relationship Id="rId2" Type="http://schemas.openxmlformats.org/officeDocument/2006/relationships/externalLinkPath" Target="file:///C:\TRABAJO\Proyectos\FISCAL%20DRAG\FI_inc1_sources.xlsx" TargetMode="External"/><Relationship Id="rId1" Type="http://schemas.openxmlformats.org/officeDocument/2006/relationships/externalLinkPath" Target="https://ecbprod.sharepoint.com/TRABAJO/Proyectos/FISCAL%20DRAG/FI_inc1_sources.xlsx" TargetMode="External"/></Relationships>
</file>

<file path=xl/externalLinks/_rels/externalLink54.xml.rels><?xml version="1.0" encoding="UTF-8" standalone="yes"?>
<Relationships xmlns="http://schemas.openxmlformats.org/package/2006/relationships"><Relationship Id="rId2" Type="http://schemas.openxmlformats.org/officeDocument/2006/relationships/externalLinkPath" Target="file:///C:\TRABAJO\Proyectos\FISCAL%20DRAG\FI23_inc1_sources.xlsx" TargetMode="External"/><Relationship Id="rId1" Type="http://schemas.openxmlformats.org/officeDocument/2006/relationships/externalLinkPath" Target="https://ecbprod.sharepoint.com/TRABAJO/Proyectos/FISCAL%20DRAG/FI23_inc1_sources.xlsx" TargetMode="External"/></Relationships>
</file>

<file path=xl/externalLinks/_rels/externalLink55.xml.rels><?xml version="1.0" encoding="UTF-8" standalone="yes"?>
<Relationships xmlns="http://schemas.openxmlformats.org/package/2006/relationships"><Relationship Id="rId2" Type="http://schemas.openxmlformats.org/officeDocument/2006/relationships/externalLinkPath" Target="file:///C:\TRABAJO\Proyectos\FISCAL%20DRAG\FI_output_part2.xlsx" TargetMode="External"/><Relationship Id="rId1" Type="http://schemas.openxmlformats.org/officeDocument/2006/relationships/externalLinkPath" Target="https://ecbprod.sharepoint.com/TRABAJO/Proyectos/FISCAL%20DRAG/FI_output_part2.xlsx" TargetMode="External"/></Relationships>
</file>

<file path=xl/externalLinks/_rels/externalLink56.xml.rels><?xml version="1.0" encoding="UTF-8" standalone="yes"?>
<Relationships xmlns="http://schemas.openxmlformats.org/package/2006/relationships"><Relationship Id="rId2" Type="http://schemas.openxmlformats.org/officeDocument/2006/relationships/externalLinkPath" Target="file:///C:\TRABAJO\Proyectos\FISCAL%20DRAG\data_GDP.xlsx" TargetMode="External"/><Relationship Id="rId1" Type="http://schemas.openxmlformats.org/officeDocument/2006/relationships/externalLinkPath" Target="https://ecbprod.sharepoint.com/TRABAJO/Proyectos/FISCAL%20DRAG/data_GDP.xlsx" TargetMode="External"/></Relationships>
</file>

<file path=xl/externalLinks/_rels/externalLink57.xml.rels><?xml version="1.0" encoding="UTF-8" standalone="yes"?>
<Relationships xmlns="http://schemas.openxmlformats.org/package/2006/relationships"><Relationship Id="rId2" Type="http://schemas.openxmlformats.org/officeDocument/2006/relationships/externalLinkPath" Target="file:///C:\TRABAJO\Proyectos\FISCAL%20DRAG\data_PIT_upd.xlsx" TargetMode="External"/><Relationship Id="rId1" Type="http://schemas.openxmlformats.org/officeDocument/2006/relationships/externalLinkPath" Target="https://ecbprod.sharepoint.com/TRABAJO/Proyectos/FISCAL%20DRAG/data_PIT_upd.xlsx"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N:\EUROMOD\FRANCE\Fiscal%20drag\outputFS\part2_V2\Part1%20verification\nFR_inc1_allbutsources.xlsx"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N:\EUROMOD\FRANCE\Fiscal%20drag\outputFS\part2_V2\Part1%20verification\FR_23_inc1_allbutsources.xlsx"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N:\EUROMOD\FRANCE\Fiscal%20drag\outputFS\part2_V2\Part1%20verification\FR_23_inc1_sources.xlsx"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N:\EUROMOD\FRANCE\Fiscal%20drag\outputFS\part2_V2\Part1%20verification\FR_inc1_sources.xlsx"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N:\EUROMOD\FRANCE\Fiscal%20drag\outputFS\part1_V2\FR_essai.xlsx"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N:\EUROMOD\FRANCE\Fiscal%20drag\outputFS\part2_V2\Part%202\FR_output_part2.xlsx" TargetMode="External"/></Relationships>
</file>

<file path=xl/externalLinks/_rels/externalLink64.xml.rels><?xml version="1.0" encoding="UTF-8" standalone="yes"?>
<Relationships xmlns="http://schemas.openxmlformats.org/package/2006/relationships"><Relationship Id="rId2" Type="http://schemas.openxmlformats.org/officeDocument/2006/relationships/externalLinkPath" Target="file:///X:\Dga_EI\AMicro\AMicro_PFiscal\Fiscal_Drag_Europe\all_countries\replication-files\updated_countries\HU\01_original_newfiles\HU_20251215_2019.xlsx" TargetMode="External"/><Relationship Id="rId1" Type="http://schemas.openxmlformats.org/officeDocument/2006/relationships/externalLinkPath" Target="/Dga_EI/AMicro/AMicro_PFiscal/Fiscal_Drag_Europe/all_countries/replication-files/updated_countries/HU/01_original_newfiles/HU_20251215_2019.xlsx"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D:\Dati\Profili\M032607\Desktop\WGPF\fDrag\results\final_results\nIT_inc1_allbutsources.xlsx"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D:\Dati\Profili\M032607\Desktop\WGPF\fDrag\results\final_results\nIT_23_inc1_allbutsources.xlsx"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D:\Dati\Profili\M032607\Desktop\WGPF\fDrag\results\final_results\IT_inc1_sources.xlsx"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D:\Dati\Profili\M032607\Desktop\WGPF\fDrag\results\final_results\IT_23_inc1_sources.xlsx"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D:\Dati\Profili\M032607\Desktop\WGPF\fDrag\results\stage1\IT_output_part2.xlsx"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D:\Dati\Profili\M032607\Desktop\WGPF\fDrag\results\final_results\IT_output_part2.xlsx" TargetMode="External"/></Relationships>
</file>

<file path=xl/externalLinks/_rels/externalLink71.xml.rels><?xml version="1.0" encoding="UTF-8" standalone="yes"?>
<Relationships xmlns="http://schemas.openxmlformats.org/package/2006/relationships"><Relationship Id="rId2" Type="http://schemas.openxmlformats.org/officeDocument/2006/relationships/externalLinkPath" Target="file:///C:\Users\vtuzikas\Desktop\Vaidotas%20Tuzikas\Mokymasis\EUROMOD%20network%20at%20WGPF\Fiscal%20drag%20TEAM\EUROMOD_I6.0+\EUROMOD_RELEASES_I6.0+\FiscalDrag\Output\nLT_inc1_allbutsources.xlsx" TargetMode="External"/><Relationship Id="rId1" Type="http://schemas.openxmlformats.org/officeDocument/2006/relationships/externalLinkPath" Target="https://ecbprod.sharepoint.com/Users/vtuzikas/Desktop/Vaidotas%20Tuzikas/Mokymasis/EUROMOD%20network%20at%20WGPF/Fiscal%20drag%20TEAM/EUROMOD_I6.0+/EUROMOD_RELEASES_I6.0+/FiscalDrag/Output/nLT_inc1_allbutsources.xlsx" TargetMode="External"/></Relationships>
</file>

<file path=xl/externalLinks/_rels/externalLink72.xml.rels><?xml version="1.0" encoding="UTF-8" standalone="yes"?>
<Relationships xmlns="http://schemas.openxmlformats.org/package/2006/relationships"><Relationship Id="rId2" Type="http://schemas.openxmlformats.org/officeDocument/2006/relationships/externalLinkPath" Target="file:///C:\Users\vtuzikas\Desktop\Vaidotas%20Tuzikas\Mokymasis\EUROMOD%20network%20at%20WGPF\Fiscal%20drag%20TEAM\EUROMOD_I6.0+\EUROMOD_RELEASES_I6.0+\FiscalDrag\Output\LT_output_part2.xlsx" TargetMode="External"/><Relationship Id="rId1" Type="http://schemas.openxmlformats.org/officeDocument/2006/relationships/externalLinkPath" Target="https://ecbprod.sharepoint.com/Users/vtuzikas/Desktop/Vaidotas%20Tuzikas/Mokymasis/EUROMOD%20network%20at%20WGPF/Fiscal%20drag%20TEAM/EUROMOD_I6.0+/EUROMOD_RELEASES_I6.0+/FiscalDrag/Output/LT_output_part2.xlsx" TargetMode="External"/></Relationships>
</file>

<file path=xl/externalLinks/_rels/externalLink73.xml.rels><?xml version="1.0" encoding="UTF-8" standalone="yes"?>
<Relationships xmlns="http://schemas.openxmlformats.org/package/2006/relationships"><Relationship Id="rId2" Type="http://schemas.openxmlformats.org/officeDocument/2006/relationships/externalLinkPath" Target="file:///C:\Users\vtuzikas\AppData\Local\Temp\236f1bf9-a37b-45a5-9cf5-d376614e90ae_Auxiliary_Macro_variables_for_Template_Part2.zip.0ae\data_GDP_upd.xlsx" TargetMode="External"/><Relationship Id="rId1" Type="http://schemas.openxmlformats.org/officeDocument/2006/relationships/externalLinkPath" Target="https://ecbprod.sharepoint.com/Users/vtuzikas/AppData/Local/Temp/236f1bf9-a37b-45a5-9cf5-d376614e90ae_Auxiliary_Macro_variables_for_Template_Part2.zip.0ae/data_GDP_upd.xlsx" TargetMode="External"/></Relationships>
</file>

<file path=xl/externalLinks/_rels/externalLink74.xml.rels><?xml version="1.0" encoding="UTF-8" standalone="yes"?>
<Relationships xmlns="http://schemas.openxmlformats.org/package/2006/relationships"><Relationship Id="rId2" Type="http://schemas.openxmlformats.org/officeDocument/2006/relationships/externalLinkPath" Target="file:///C:\Users\vtuzikas\AppData\Local\Temp\cfbe49ba-8b03-4d1f-a7a2-dce1d3f7c4aa_Auxiliary_Macro_variables_for_Template_Part2.zip.4aa\data_PIT_upd.xlsx" TargetMode="External"/><Relationship Id="rId1" Type="http://schemas.openxmlformats.org/officeDocument/2006/relationships/externalLinkPath" Target="https://ecbprod.sharepoint.com/Users/vtuzikas/AppData/Local/Temp/cfbe49ba-8b03-4d1f-a7a2-dce1d3f7c4aa_Auxiliary_Macro_variables_for_Template_Part2.zip.4aa/data_PIT_upd.xlsx" TargetMode="External"/></Relationships>
</file>

<file path=xl/externalLinks/_rels/externalLink75.xml.rels><?xml version="1.0" encoding="UTF-8" standalone="yes"?>
<Relationships xmlns="http://schemas.openxmlformats.org/package/2006/relationships"><Relationship Id="rId2" Type="http://schemas.openxmlformats.org/officeDocument/2006/relationships/externalLinkPath" Target="file:///C:\Users\LudmilaF\Documents\_WORK\CGE_EUROMOD\Microsimulation_WG_WGPF\WG___Fiscal_Drag\phase_2__09.2024\2019\nLV_inc1_allbutsources.xlsx" TargetMode="External"/><Relationship Id="rId1" Type="http://schemas.openxmlformats.org/officeDocument/2006/relationships/externalLinkPath" Target="https://ecbprod.sharepoint.com/Users/LudmilaF/Documents/_WORK/CGE_EUROMOD/Microsimulation_WG_WGPF/WG___Fiscal_Drag/phase_2__09.2024/2019/nLV_inc1_allbutsources.xlsx" TargetMode="External"/></Relationships>
</file>

<file path=xl/externalLinks/_rels/externalLink76.xml.rels><?xml version="1.0" encoding="UTF-8" standalone="yes"?>
<Relationships xmlns="http://schemas.openxmlformats.org/package/2006/relationships"><Relationship Id="rId2" Type="http://schemas.openxmlformats.org/officeDocument/2006/relationships/externalLinkPath" Target="file:///C:\Users\LudmilaF\Documents\_WORK\CGE_EUROMOD\Microsimulation_WG_WGPF\WG___Fiscal_Drag\phase_2__09.2024\2023\nLV_23_inc1_allbutsources.xlsx" TargetMode="External"/><Relationship Id="rId1" Type="http://schemas.openxmlformats.org/officeDocument/2006/relationships/externalLinkPath" Target="https://ecbprod.sharepoint.com/Users/LudmilaF/Documents/_WORK/CGE_EUROMOD/Microsimulation_WG_WGPF/WG___Fiscal_Drag/phase_2__09.2024/2023/nLV_23_inc1_allbutsources.xlsx" TargetMode="External"/></Relationships>
</file>

<file path=xl/externalLinks/_rels/externalLink77.xml.rels><?xml version="1.0" encoding="UTF-8" standalone="yes"?>
<Relationships xmlns="http://schemas.openxmlformats.org/package/2006/relationships"><Relationship Id="rId2" Type="http://schemas.openxmlformats.org/officeDocument/2006/relationships/externalLinkPath" Target="file:///C:\Users\LudmilaF\Documents\_WORK\CGE_EUROMOD\Microsimulation_WG_WGPF\WG___Fiscal_Drag\phase_2__09.2024\2019\LV_inc1_sources.xlsx" TargetMode="External"/><Relationship Id="rId1" Type="http://schemas.openxmlformats.org/officeDocument/2006/relationships/externalLinkPath" Target="https://ecbprod.sharepoint.com/Users/LudmilaF/Documents/_WORK/CGE_EUROMOD/Microsimulation_WG_WGPF/WG___Fiscal_Drag/phase_2__09.2024/2019/LV_inc1_sources.xlsx" TargetMode="External"/></Relationships>
</file>

<file path=xl/externalLinks/_rels/externalLink78.xml.rels><?xml version="1.0" encoding="UTF-8" standalone="yes"?>
<Relationships xmlns="http://schemas.openxmlformats.org/package/2006/relationships"><Relationship Id="rId2" Type="http://schemas.openxmlformats.org/officeDocument/2006/relationships/externalLinkPath" Target="file:///C:\Users\LudmilaF\Documents\_WORK\CGE_EUROMOD\Microsimulation_WG_WGPF\WG___Fiscal_Drag\phase_2__09.2024\2023\LV_23_inc1_sources.xlsx" TargetMode="External"/><Relationship Id="rId1" Type="http://schemas.openxmlformats.org/officeDocument/2006/relationships/externalLinkPath" Target="https://ecbprod.sharepoint.com/Users/LudmilaF/Documents/_WORK/CGE_EUROMOD/Microsimulation_WG_WGPF/WG___Fiscal_Drag/phase_2__09.2024/2023/LV_23_inc1_sources.xlsx" TargetMode="External"/></Relationships>
</file>

<file path=xl/externalLinks/_rels/externalLink79.xml.rels><?xml version="1.0" encoding="UTF-8" standalone="yes"?>
<Relationships xmlns="http://schemas.openxmlformats.org/package/2006/relationships"><Relationship Id="rId2" Type="http://schemas.openxmlformats.org/officeDocument/2006/relationships/externalLinkPath" Target="https://centralbankmaltaorg-my.sharepoint.com/personal/debattistai_centralbankmalta_org/Documents/Desktop/EUROMOD%20FIscal%20Drag/Part%201%20Submission/MT_inc1_allbutsources.xlsx" TargetMode="External"/><Relationship Id="rId1" Type="http://schemas.openxmlformats.org/officeDocument/2006/relationships/externalLinkPath" Target="https://centralbankmaltaorg-my.sharepoint.com/personal/debattistai_centralbankmalta_org/Documents/Desktop/EUROMOD%20FIscal%20Drag/Part%201%20Submission/MT_inc1_allbutsources.xlsx" TargetMode="External"/></Relationships>
</file>

<file path=xl/externalLinks/_rels/externalLink80.xml.rels><?xml version="1.0" encoding="UTF-8" standalone="yes"?>
<Relationships xmlns="http://schemas.openxmlformats.org/package/2006/relationships"><Relationship Id="rId2" Type="http://schemas.openxmlformats.org/officeDocument/2006/relationships/externalLinkPath" Target="https://centralbankmaltaorg-my.sharepoint.com/personal/debattistai_centralbankmalta_org/Documents/Desktop/EUROMOD%20FIscal%20Drag/Part%201%20Submission/MT_inc1_sources.xlsx" TargetMode="External"/><Relationship Id="rId1" Type="http://schemas.openxmlformats.org/officeDocument/2006/relationships/externalLinkPath" Target="https://centralbankmaltaorg-my.sharepoint.com/personal/debattistai_centralbankmalta_org/Documents/Desktop/EUROMOD%20FIscal%20Drag/Part%201%20Submission/MT_inc1_sources.xlsx" TargetMode="External"/></Relationships>
</file>

<file path=xl/externalLinks/_rels/externalLink81.xml.rels><?xml version="1.0" encoding="UTF-8" standalone="yes"?>
<Relationships xmlns="http://schemas.openxmlformats.org/package/2006/relationships"><Relationship Id="rId2" Type="http://schemas.openxmlformats.org/officeDocument/2006/relationships/externalLinkPath" Target="https://centralbankmaltaorg-my.sharepoint.com/personal/debattistai_centralbankmalta_org/Documents/Desktop/EUROMOD%20FIscal%20Drag/Part%201%20Submission/MT_23_inc1_allbutsources.xlsx" TargetMode="External"/><Relationship Id="rId1" Type="http://schemas.openxmlformats.org/officeDocument/2006/relationships/externalLinkPath" Target="https://centralbankmaltaorg-my.sharepoint.com/personal/debattistai_centralbankmalta_org/Documents/Desktop/EUROMOD%20FIscal%20Drag/Part%201%20Submission/MT_23_inc1_allbutsources.xlsx" TargetMode="External"/></Relationships>
</file>

<file path=xl/externalLinks/_rels/externalLink82.xml.rels><?xml version="1.0" encoding="UTF-8" standalone="yes"?>
<Relationships xmlns="http://schemas.openxmlformats.org/package/2006/relationships"><Relationship Id="rId2" Type="http://schemas.openxmlformats.org/officeDocument/2006/relationships/externalLinkPath" Target="https://centralbankmaltaorg-my.sharepoint.com/personal/debattistai_centralbankmalta_org/Documents/Desktop/EUROMOD%20FIscal%20Drag/Part%201%20Submission/MT_23_inc1_sources.xlsx" TargetMode="External"/><Relationship Id="rId1" Type="http://schemas.openxmlformats.org/officeDocument/2006/relationships/externalLinkPath" Target="https://centralbankmaltaorg-my.sharepoint.com/personal/debattistai_centralbankmalta_org/Documents/Desktop/EUROMOD%20FIscal%20Drag/Part%201%20Submission/MT_23_inc1_sources.xlsx" TargetMode="External"/></Relationships>
</file>

<file path=xl/externalLinks/_rels/externalLink83.xml.rels><?xml version="1.0" encoding="UTF-8" standalone="yes"?>
<Relationships xmlns="http://schemas.openxmlformats.org/package/2006/relationships"><Relationship Id="rId2" Type="http://schemas.openxmlformats.org/officeDocument/2006/relationships/externalLinkPath" Target="https://centralbankmaltaorg-my.sharepoint.com/personal/debattistai_centralbankmalta_org/Documents/Desktop/EUROMOD%20FIscal%20Drag/AllSystemsV2/Output/MT_output_part2.xlsx" TargetMode="External"/><Relationship Id="rId1" Type="http://schemas.openxmlformats.org/officeDocument/2006/relationships/externalLinkPath" Target="https://centralbankmaltaorg-my.sharepoint.com/personal/debattistai_centralbankmalta_org/Documents/Desktop/EUROMOD%20FIscal%20Drag/AllSystemsV2/Output/MT_output_part2.xlsx" TargetMode="External"/></Relationships>
</file>

<file path=xl/externalLinks/_rels/externalLink84.xml.rels><?xml version="1.0" encoding="UTF-8" standalone="yes"?>
<Relationships xmlns="http://schemas.openxmlformats.org/package/2006/relationships"><Relationship Id="rId2" Type="http://schemas.openxmlformats.org/officeDocument/2006/relationships/externalLinkPath" Target="file:///C:\Users\mastr\Dropbox\dnb\ebo\euromod\fiscal%20drag\Part_1v2\nNL_19_inc1_allbutsources_revfeb.xlsx" TargetMode="External"/><Relationship Id="rId1" Type="http://schemas.openxmlformats.org/officeDocument/2006/relationships/externalLinkPath" Target="https://ecbprod.sharepoint.com/Users/mastr/Dropbox/dnb/ebo/euromod/fiscal%20drag/Part_1v2/nNL_19_inc1_allbutsources_revfeb.xlsx" TargetMode="External"/></Relationships>
</file>

<file path=xl/externalLinks/_rels/externalLink85.xml.rels><?xml version="1.0" encoding="UTF-8" standalone="yes"?>
<Relationships xmlns="http://schemas.openxmlformats.org/package/2006/relationships"><Relationship Id="rId2" Type="http://schemas.openxmlformats.org/officeDocument/2006/relationships/externalLinkPath" Target="file:///C:\Users\mastr\Dropbox\dnb\ebo\euromod\fiscal%20drag\Part_1v2\nNL_23_inc1_allbutsources_revfeb.xlsx" TargetMode="External"/><Relationship Id="rId1" Type="http://schemas.openxmlformats.org/officeDocument/2006/relationships/externalLinkPath" Target="https://ecbprod.sharepoint.com/Users/mastr/Dropbox/dnb/ebo/euromod/fiscal%20drag/Part_1v2/nNL_23_inc1_allbutsources_revfeb.xlsx" TargetMode="External"/></Relationships>
</file>

<file path=xl/externalLinks/_rels/externalLink86.xml.rels><?xml version="1.0" encoding="UTF-8" standalone="yes"?>
<Relationships xmlns="http://schemas.openxmlformats.org/package/2006/relationships"><Relationship Id="rId2" Type="http://schemas.openxmlformats.org/officeDocument/2006/relationships/externalLinkPath" Target="file:///C:\Users\mastr\Dropbox\dnb\ebo\euromod\fiscal%20drag\Part_1v2\NL_19_inc1_sources_revfeb.xlsx" TargetMode="External"/><Relationship Id="rId1" Type="http://schemas.openxmlformats.org/officeDocument/2006/relationships/externalLinkPath" Target="https://ecbprod.sharepoint.com/Users/mastr/Dropbox/dnb/ebo/euromod/fiscal%20drag/Part_1v2/NL_19_inc1_sources_revfeb.xlsx" TargetMode="External"/></Relationships>
</file>

<file path=xl/externalLinks/_rels/externalLink87.xml.rels><?xml version="1.0" encoding="UTF-8" standalone="yes"?>
<Relationships xmlns="http://schemas.openxmlformats.org/package/2006/relationships"><Relationship Id="rId2" Type="http://schemas.openxmlformats.org/officeDocument/2006/relationships/externalLinkPath" Target="file:///C:\Users\mastr\Dropbox\dnb\ebo\euromod\fiscal%20drag\Part_1v2\NL_23_inc1_sources_revfeb.xlsx" TargetMode="External"/><Relationship Id="rId1" Type="http://schemas.openxmlformats.org/officeDocument/2006/relationships/externalLinkPath" Target="https://ecbprod.sharepoint.com/Users/mastr/Dropbox/dnb/ebo/euromod/fiscal%20drag/Part_1v2/NL_23_inc1_sources_revfeb.xlsx" TargetMode="External"/></Relationships>
</file>

<file path=xl/externalLinks/_rels/externalLink88.xml.rels><?xml version="1.0" encoding="UTF-8" standalone="yes"?>
<Relationships xmlns="http://schemas.openxmlformats.org/package/2006/relationships"><Relationship Id="rId2" Type="http://schemas.openxmlformats.org/officeDocument/2006/relationships/externalLinkPath" Target="file:///G:\EBO\AEB\Mauro%20Mastrogiacomo\2025\NL_output_part2.xlsx" TargetMode="External"/><Relationship Id="rId1" Type="http://schemas.openxmlformats.org/officeDocument/2006/relationships/externalLinkPath" Target="file:///G:\EBO\AEB\Mauro%20Mastrogiacomo\2025\NL_output_part2.xlsx" TargetMode="External"/></Relationships>
</file>

<file path=xl/externalLinks/_rels/externalLink89.xml.rels><?xml version="1.0" encoding="UTF-8" standalone="yes"?>
<Relationships xmlns="http://schemas.openxmlformats.org/package/2006/relationships"><Relationship Id="rId2" Type="http://schemas.openxmlformats.org/officeDocument/2006/relationships/externalLinkPath" Target="file:///C:\Users\mastr\Dropbox\dnb\ebo\euromod\fiscal%20drag\Part_2\data_GDP.xlsx" TargetMode="External"/><Relationship Id="rId1" Type="http://schemas.openxmlformats.org/officeDocument/2006/relationships/externalLinkPath" Target="https://ecbprod.sharepoint.com/Users/mastr/Dropbox/dnb/ebo/euromod/fiscal%20drag/Part_2/data_GDP.xlsx" TargetMode="External"/></Relationships>
</file>

<file path=xl/externalLinks/_rels/externalLink90.xml.rels><?xml version="1.0" encoding="UTF-8" standalone="yes"?>
<Relationships xmlns="http://schemas.openxmlformats.org/package/2006/relationships"><Relationship Id="rId2" Type="http://schemas.openxmlformats.org/officeDocument/2006/relationships/externalLinkPath" Target="file:///C:\Users\mastr\Dropbox\dnb\ebo\euromod\fiscal%20drag\Part_2\data_PIT.xlsx" TargetMode="External"/><Relationship Id="rId1" Type="http://schemas.openxmlformats.org/officeDocument/2006/relationships/externalLinkPath" Target="https://ecbprod.sharepoint.com/Users/mastr/Dropbox/dnb/ebo/euromod/fiscal%20drag/Part_2/data_PIT.xlsx" TargetMode="External"/></Relationships>
</file>

<file path=xl/externalLinks/_rels/externalLink91.xml.rels><?xml version="1.0" encoding="UTF-8" standalone="yes"?>
<Relationships xmlns="http://schemas.openxmlformats.org/package/2006/relationships"><Relationship Id="rId2" Type="http://schemas.openxmlformats.org/officeDocument/2006/relationships/externalLinkPath" Target="file:///G:\AFPEE\GFP\Projetos_euromod\2024_WGPF_NMM_Fiscal%20Drag\Part1&amp;2_Jan25\Part%201\nPT_inc1_allbutsources.xlsx" TargetMode="External"/><Relationship Id="rId1" Type="http://schemas.openxmlformats.org/officeDocument/2006/relationships/externalLinkPath" Target="file:///G:\AFPEE\GFP\Projetos_euromod\2024_WGPF_NMM_Fiscal%20Drag\Part1&amp;2_Jan25\Part%201\nPT_inc1_allbutsources.xlsx" TargetMode="External"/></Relationships>
</file>

<file path=xl/externalLinks/_rels/externalLink92.xml.rels><?xml version="1.0" encoding="UTF-8" standalone="yes"?>
<Relationships xmlns="http://schemas.openxmlformats.org/package/2006/relationships"><Relationship Id="rId2" Type="http://schemas.openxmlformats.org/officeDocument/2006/relationships/externalLinkPath" Target="file:///G:\AFPEE\GFP\Projetos_euromod\2024_WGPF_NMM_Fiscal%20Drag\Part1&amp;2_Jan25\Part%201\PT_23_inc1_allbutsources.xlsx" TargetMode="External"/><Relationship Id="rId1" Type="http://schemas.openxmlformats.org/officeDocument/2006/relationships/externalLinkPath" Target="file:///G:\AFPEE\GFP\Projetos_euromod\2024_WGPF_NMM_Fiscal%20Drag\Part1&amp;2_Jan25\Part%201\PT_23_inc1_allbutsources.xlsx"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G:\AFPEE\GFP\Projetos_euromod\2024_WGPF_NMM_Fiscal%20Drag\Part1&amp;2_Jan25\Part%201\PT_inc1_sources.xlsx"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G:\AFPEE\GFP\Projetos_euromod\2024_WGPF_NMM_Fiscal%20Drag\Part1&amp;2_Jan25\Part%201\PT_23_inc1_sources.xlsx" TargetMode="External"/></Relationships>
</file>

<file path=xl/externalLinks/_rels/externalLink95.xml.rels><?xml version="1.0" encoding="UTF-8" standalone="yes"?>
<Relationships xmlns="http://schemas.openxmlformats.org/package/2006/relationships"><Relationship Id="rId2" Type="http://schemas.openxmlformats.org/officeDocument/2006/relationships/externalLinkPath" Target="file:///G:\AFPEE\GFP\Projetos_euromod\2024_WGPF_NMM_Fiscal%20Drag\Part1&amp;2_Jan25\Part%202\PT_output_part2.xlsx" TargetMode="External"/><Relationship Id="rId1" Type="http://schemas.openxmlformats.org/officeDocument/2006/relationships/externalLinkPath" Target="file:///G:\AFPEE\GFP\Projetos_euromod\2024_WGPF_NMM_Fiscal%20Drag\Part1&amp;2_Jan25\Part%202\PT_output_part2.xlsx" TargetMode="External"/></Relationships>
</file>

<file path=xl/externalLinks/_rels/externalLink96.xml.rels><?xml version="1.0" encoding="UTF-8" standalone="yes"?>
<Relationships xmlns="http://schemas.openxmlformats.org/package/2006/relationships"><Relationship Id="rId2" Type="http://schemas.openxmlformats.org/officeDocument/2006/relationships/externalLinkPath" Target="file:///G:\AFPEE\GFP\Projetos_euromod\2024_WGPF_NMM_Fiscal%20Drag\Part1&amp;2_Jan25\Part%202\data_HICP.xlsx" TargetMode="External"/><Relationship Id="rId1" Type="http://schemas.openxmlformats.org/officeDocument/2006/relationships/externalLinkPath" Target="file:///G:\AFPEE\GFP\Projetos_euromod\2024_WGPF_NMM_Fiscal%20Drag\Part1&amp;2_Jan25\Part%202\data_HICP.xlsx" TargetMode="External"/></Relationships>
</file>

<file path=xl/externalLinks/_rels/externalLink97.xml.rels><?xml version="1.0" encoding="UTF-8" standalone="yes"?>
<Relationships xmlns="http://schemas.openxmlformats.org/package/2006/relationships"><Relationship Id="rId2" Type="http://schemas.openxmlformats.org/officeDocument/2006/relationships/externalLinkPath" Target="file:///G:\AFPEE\GFP\Projetos_euromod\2024_WGPF_NMM_Fiscal%20Drag\Part1&amp;2_Jan25\Part%202\data_GDP_upd.xlsx" TargetMode="External"/><Relationship Id="rId1" Type="http://schemas.openxmlformats.org/officeDocument/2006/relationships/externalLinkPath" Target="https://ecbprod.sharepoint.com/Users/q30811/Downloads/data_GDP_upd.xlsx" TargetMode="External"/></Relationships>
</file>

<file path=xl/externalLinks/_rels/externalLink98.xml.rels><?xml version="1.0" encoding="UTF-8" standalone="yes"?>
<Relationships xmlns="http://schemas.openxmlformats.org/package/2006/relationships"><Relationship Id="rId2" Type="http://schemas.openxmlformats.org/officeDocument/2006/relationships/externalLinkPath" Target="file:///G:\AFPEE\GFP\Projetos_euromod\2024_WGPF_NMM_Fiscal%20Drag\Part1&amp;2_Jan25\Part%202\data_PIT_upd.xlsx" TargetMode="External"/><Relationship Id="rId1" Type="http://schemas.openxmlformats.org/officeDocument/2006/relationships/externalLinkPath" Target="file:///G:\AFPEE\GFP\Projetos_euromod\2024_WGPF_NMM_Fiscal%20Drag\Part1&amp;2_Jan25\Part%202\data_PIT_upd.xlsx"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J:\gradiva\JS\EUROMOD\FISCAL%20DRAG\Datoteke_koncni_rezultati\nSI_inc1_allbutsources.xlsx"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J:\gradiva\JS\EUROMOD\FISCAL%20DRAG\Datoteke_koncni_rezultati\nSI_inc1_sources.xlsx"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J:\gradiva\JS\EUROMOD\FISCAL%20DRAG\Datoteke_koncni_rezultati\SI_23_inc1_allbutsources.xlsx"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file:///J:\gradiva\JS\EUROMOD\FISCAL%20DRAG\Datoteke_koncni_rezultati\SI_23_inc1_sources.xlsx"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https://ecbprod.sharepoint.com/Users/q30811/Desktop/SI/SI_Fiscal_Drag_final_results/SI_output_part2.xlsx" TargetMode="External"/></Relationships>
</file>

<file path=xl/externalLinks/_rels/externalLink104.xml.rels><?xml version="1.0" encoding="UTF-8" standalone="yes"?>
<Relationships xmlns="http://schemas.openxmlformats.org/package/2006/relationships"><Relationship Id="rId2" Type="http://schemas.openxmlformats.org/officeDocument/2006/relationships/externalLinkPath" Target="file:///O:\711\13_Pracovne_skupiny\WGPF\Microsimulation_network\fiscal_drag_project\Part%202%20extended\SK_inc1_sources.xlsx" TargetMode="External"/><Relationship Id="rId1" Type="http://schemas.openxmlformats.org/officeDocument/2006/relationships/externalLinkPath" Target="file:///O:\711\13_Pracovne_skupiny\WGPF\Microsimulation_network\fiscal_drag_project\Part%202%20extended\SK_inc1_sources.xlsx" TargetMode="External"/></Relationships>
</file>

<file path=xl/externalLinks/_rels/externalLink105.xml.rels><?xml version="1.0" encoding="UTF-8" standalone="yes"?>
<Relationships xmlns="http://schemas.openxmlformats.org/package/2006/relationships"><Relationship Id="rId2" Type="http://schemas.openxmlformats.org/officeDocument/2006/relationships/externalLinkPath" Target="file:///O:\711\13_Pracovne_skupiny\WGPF\Microsimulation_network\fiscal_drag_project\Part%202%20extended\SK_inc1_allbutsources.xlsx" TargetMode="External"/><Relationship Id="rId1" Type="http://schemas.openxmlformats.org/officeDocument/2006/relationships/externalLinkPath" Target="file:///O:\711\13_Pracovne_skupiny\WGPF\Microsimulation_network\fiscal_drag_project\Part%202%20extended\SK_inc1_allbutsources.xlsx"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O:\711\13_Pracovne_skupiny\WGPF\Microsimulation_network\fiscal_drag_project\Part%202%20extended\SK_23_inc1_sources.xlsx"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O:\711\13_Pracovne_skupiny\WGPF\Microsimulation_network\fiscal_drag_project\Part%202%20extended\SK_23_inc1_allbutsources.xlsx" TargetMode="External"/></Relationships>
</file>

<file path=xl/externalLinks/_rels/externalLink108.xml.rels><?xml version="1.0" encoding="UTF-8" standalone="yes"?>
<Relationships xmlns="http://schemas.openxmlformats.org/package/2006/relationships"><Relationship Id="rId2" Type="http://schemas.openxmlformats.org/officeDocument/2006/relationships/externalLinkPath" Target="file:///O:\711\13_Pracovne_skupiny\WGPF\Microsimulation_network\fiscal_drag_project\Part%202%20extended\SK_output_part2.xlsx" TargetMode="External"/><Relationship Id="rId1" Type="http://schemas.openxmlformats.org/officeDocument/2006/relationships/externalLinkPath" Target="file:///O:\711\13_Pracovne_skupiny\WGPF\Microsimulation_network\fiscal_drag_project\Part%202%20extended\SK_output_part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RI"/>
      <sheetName val="INDICATORI"/>
      <sheetName val="Dati"/>
      <sheetName val="Rapporti al PIL"/>
      <sheetName val="Tassi di crescita"/>
      <sheetName val="Valori reali"/>
      <sheetName val="Tassi di crescita reale"/>
      <sheetName val="BISSDATA"/>
      <sheetName val="PA_SEC2010"/>
    </sheetNames>
    <sheetDataSet>
      <sheetData sheetId="0"/>
      <sheetData sheetId="1" refreshError="1"/>
      <sheetData sheetId="2" refreshError="1"/>
      <sheetData sheetId="3" refreshError="1"/>
      <sheetData sheetId="4" refreshError="1"/>
      <sheetData sheetId="5" refreshError="1"/>
      <sheetData sheetId="6" refreshError="1"/>
      <sheetData sheetId="7"/>
      <sheetData sheetId="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1. Fiscal"/>
      <sheetName val="2. Distributional by deciles o"/>
      <sheetName val="2. Distributional by HH type"/>
      <sheetName val="2. Distributional by employmen"/>
      <sheetName val="2. Distributional by gender"/>
      <sheetName val="2. Distributional by age group"/>
      <sheetName val="3. Inequality and Poverty"/>
      <sheetName val="Parameter settings"/>
      <sheetName val="Metadata"/>
    </sheetNames>
    <sheetDataSet>
      <sheetData sheetId="0" refreshError="1"/>
      <sheetData sheetId="1">
        <row r="10">
          <cell r="M10">
            <v>0.82835332251650462</v>
          </cell>
        </row>
        <row r="11">
          <cell r="M11">
            <v>0.85223799295641323</v>
          </cell>
        </row>
        <row r="12">
          <cell r="M12">
            <v>1</v>
          </cell>
        </row>
        <row r="13">
          <cell r="M13">
            <v>1</v>
          </cell>
        </row>
        <row r="14">
          <cell r="M14">
            <v>1</v>
          </cell>
        </row>
        <row r="15">
          <cell r="M15">
            <v>1</v>
          </cell>
        </row>
        <row r="16">
          <cell r="M16">
            <v>1</v>
          </cell>
        </row>
        <row r="17">
          <cell r="M17">
            <v>1</v>
          </cell>
        </row>
        <row r="18">
          <cell r="M18">
            <v>1</v>
          </cell>
        </row>
        <row r="19">
          <cell r="M19">
            <v>1</v>
          </cell>
        </row>
        <row r="20">
          <cell r="M20">
            <v>0.96606306856869473</v>
          </cell>
        </row>
        <row r="82">
          <cell r="B82">
            <v>-157020689.42639995</v>
          </cell>
          <cell r="C82">
            <v>-156150238.94399992</v>
          </cell>
          <cell r="D82">
            <v>-158594828.11320007</v>
          </cell>
          <cell r="E82">
            <v>-156880577.99880004</v>
          </cell>
          <cell r="F82">
            <v>-157182226.04280001</v>
          </cell>
          <cell r="G82">
            <v>-157255637.05079997</v>
          </cell>
        </row>
        <row r="83">
          <cell r="B83">
            <v>26423258.423999995</v>
          </cell>
          <cell r="C83">
            <v>36796736.848800033</v>
          </cell>
          <cell r="D83">
            <v>26681813.81399997</v>
          </cell>
          <cell r="E83">
            <v>29820419.902799997</v>
          </cell>
          <cell r="F83">
            <v>28947727.582800005</v>
          </cell>
          <cell r="G83">
            <v>28621805.043600015</v>
          </cell>
        </row>
        <row r="84">
          <cell r="B84">
            <v>533224377.35880035</v>
          </cell>
          <cell r="C84">
            <v>558992957.64600062</v>
          </cell>
          <cell r="D84">
            <v>538552771.43400002</v>
          </cell>
          <cell r="E84">
            <v>544342091.74080014</v>
          </cell>
          <cell r="F84">
            <v>541691525.67240036</v>
          </cell>
          <cell r="G84">
            <v>540836755.85759997</v>
          </cell>
        </row>
        <row r="85">
          <cell r="B85">
            <v>1052793523.0572011</v>
          </cell>
          <cell r="C85">
            <v>1089449328.4307997</v>
          </cell>
          <cell r="D85">
            <v>1063318306.2456005</v>
          </cell>
          <cell r="E85">
            <v>1069456807.6247995</v>
          </cell>
          <cell r="F85">
            <v>1066728281.9472002</v>
          </cell>
          <cell r="G85">
            <v>1065667382.1155999</v>
          </cell>
        </row>
        <row r="86">
          <cell r="B86">
            <v>1607354110.5036001</v>
          </cell>
          <cell r="C86">
            <v>1652337892.7183998</v>
          </cell>
          <cell r="D86">
            <v>1623424202.5044</v>
          </cell>
          <cell r="E86">
            <v>1629388121.1108012</v>
          </cell>
          <cell r="F86">
            <v>1626863266.8372011</v>
          </cell>
          <cell r="G86">
            <v>1625611487.3807998</v>
          </cell>
        </row>
        <row r="87">
          <cell r="B87">
            <v>2298800311.6524019</v>
          </cell>
          <cell r="C87">
            <v>2353982432.1155996</v>
          </cell>
          <cell r="D87">
            <v>2321785697.5140023</v>
          </cell>
          <cell r="E87">
            <v>2327109428.3699989</v>
          </cell>
          <cell r="F87">
            <v>2324735831.9580011</v>
          </cell>
          <cell r="G87">
            <v>2323221035.9555998</v>
          </cell>
        </row>
        <row r="88">
          <cell r="B88">
            <v>3100813048.0092034</v>
          </cell>
          <cell r="C88">
            <v>3167752240.1819963</v>
          </cell>
          <cell r="D88">
            <v>3131818879.7975965</v>
          </cell>
          <cell r="E88">
            <v>3136855239.9456015</v>
          </cell>
          <cell r="F88">
            <v>3134910132.4812021</v>
          </cell>
          <cell r="G88">
            <v>3133267380.5940022</v>
          </cell>
        </row>
        <row r="89">
          <cell r="B89">
            <v>4101148714.0907993</v>
          </cell>
          <cell r="C89">
            <v>4183343616.3527999</v>
          </cell>
          <cell r="D89">
            <v>4142157256.4855995</v>
          </cell>
          <cell r="E89">
            <v>4147393719.2196035</v>
          </cell>
          <cell r="F89">
            <v>4145488887.8760033</v>
          </cell>
          <cell r="G89">
            <v>4143421053.1380014</v>
          </cell>
        </row>
        <row r="90">
          <cell r="B90">
            <v>6452372297.5272064</v>
          </cell>
          <cell r="C90">
            <v>6565633552.801199</v>
          </cell>
          <cell r="D90">
            <v>6516896639.2163982</v>
          </cell>
          <cell r="E90">
            <v>6521899434.4247913</v>
          </cell>
          <cell r="F90">
            <v>6520405443.4355927</v>
          </cell>
          <cell r="G90">
            <v>6518273323.9920025</v>
          </cell>
        </row>
        <row r="91">
          <cell r="B91">
            <v>16084719443.025608</v>
          </cell>
          <cell r="C91">
            <v>16310706558.804016</v>
          </cell>
          <cell r="D91">
            <v>16245566644.683594</v>
          </cell>
          <cell r="E91">
            <v>16251080415.540001</v>
          </cell>
          <cell r="F91">
            <v>16249879759.2684</v>
          </cell>
          <cell r="G91">
            <v>16247566951.51918</v>
          </cell>
        </row>
        <row r="92">
          <cell r="B92">
            <v>35100628394.222267</v>
          </cell>
          <cell r="C92">
            <v>35762845076.955566</v>
          </cell>
          <cell r="D92">
            <v>35451607383.582024</v>
          </cell>
          <cell r="E92">
            <v>35500465099.880432</v>
          </cell>
          <cell r="F92">
            <v>35482468631.01606</v>
          </cell>
          <cell r="G92">
            <v>35469231538.545677</v>
          </cell>
          <cell r="H92">
            <v>35516722182.15715</v>
          </cell>
          <cell r="I92">
            <v>35259487094.699966</v>
          </cell>
          <cell r="J92">
            <v>35169067344.567436</v>
          </cell>
          <cell r="K92">
            <v>35120056282.609016</v>
          </cell>
        </row>
        <row r="100">
          <cell r="B100">
            <v>3225788429.1815996</v>
          </cell>
          <cell r="C100">
            <v>3258046791.7211981</v>
          </cell>
        </row>
        <row r="101">
          <cell r="B101">
            <v>10371950238.945591</v>
          </cell>
          <cell r="C101">
            <v>10475669660.404789</v>
          </cell>
        </row>
        <row r="102">
          <cell r="B102">
            <v>14137686600.587997</v>
          </cell>
          <cell r="C102">
            <v>14279065563.985195</v>
          </cell>
        </row>
        <row r="103">
          <cell r="B103">
            <v>17268542592.614403</v>
          </cell>
          <cell r="C103">
            <v>17441226257.442009</v>
          </cell>
        </row>
        <row r="104">
          <cell r="B104">
            <v>20486801428.033207</v>
          </cell>
          <cell r="C104">
            <v>20691667703.717968</v>
          </cell>
        </row>
        <row r="105">
          <cell r="B105">
            <v>23783687010.391197</v>
          </cell>
          <cell r="C105">
            <v>24021524584.191608</v>
          </cell>
        </row>
        <row r="106">
          <cell r="B106">
            <v>28139029269.190804</v>
          </cell>
          <cell r="C106">
            <v>28420420306.471199</v>
          </cell>
        </row>
        <row r="107">
          <cell r="B107">
            <v>33005545716.703194</v>
          </cell>
          <cell r="C107">
            <v>33335600943.068378</v>
          </cell>
        </row>
        <row r="108">
          <cell r="B108">
            <v>41649730656.535202</v>
          </cell>
          <cell r="C108">
            <v>42066226697.870392</v>
          </cell>
        </row>
        <row r="109">
          <cell r="B109">
            <v>69987948372.103165</v>
          </cell>
          <cell r="C109">
            <v>70687825848.696014</v>
          </cell>
        </row>
        <row r="110">
          <cell r="B110">
            <v>262056710314.28619</v>
          </cell>
          <cell r="C110">
            <v>264677274357.56903</v>
          </cell>
          <cell r="H110">
            <v>263761175304.54523</v>
          </cell>
          <cell r="I110">
            <v>262690084955.987</v>
          </cell>
          <cell r="J110">
            <v>262268940890.28113</v>
          </cell>
          <cell r="K110">
            <v>262127201242.25125</v>
          </cell>
        </row>
        <row r="118">
          <cell r="B118">
            <v>1870473976.3439999</v>
          </cell>
        </row>
        <row r="119">
          <cell r="B119">
            <v>4295787399.0971966</v>
          </cell>
        </row>
        <row r="120">
          <cell r="B120">
            <v>8055201553.1351948</v>
          </cell>
        </row>
        <row r="121">
          <cell r="B121">
            <v>9624971017.9895954</v>
          </cell>
        </row>
        <row r="122">
          <cell r="B122">
            <v>12203247567.338404</v>
          </cell>
        </row>
        <row r="123">
          <cell r="B123">
            <v>15285858253.549206</v>
          </cell>
        </row>
        <row r="124">
          <cell r="B124">
            <v>18210681717.676773</v>
          </cell>
        </row>
        <row r="125">
          <cell r="B125">
            <v>24600139842.098381</v>
          </cell>
        </row>
        <row r="126">
          <cell r="B126">
            <v>28983695665.329586</v>
          </cell>
        </row>
        <row r="127">
          <cell r="B127">
            <v>47316501866.788773</v>
          </cell>
        </row>
        <row r="128">
          <cell r="B128">
            <v>170446558859.34732</v>
          </cell>
        </row>
        <row r="136">
          <cell r="B136">
            <v>942204428.35919988</v>
          </cell>
        </row>
        <row r="137">
          <cell r="B137">
            <v>5146349533.2108002</v>
          </cell>
        </row>
        <row r="138">
          <cell r="B138">
            <v>5117223133.6019993</v>
          </cell>
        </row>
        <row r="139">
          <cell r="B139">
            <v>6209984427.9947968</v>
          </cell>
        </row>
        <row r="140">
          <cell r="B140">
            <v>6526372172.9952011</v>
          </cell>
        </row>
        <row r="141">
          <cell r="B141">
            <v>7179909544.1868</v>
          </cell>
        </row>
        <row r="142">
          <cell r="B142">
            <v>7827454309.8959999</v>
          </cell>
        </row>
        <row r="143">
          <cell r="B143">
            <v>6477785677.3044033</v>
          </cell>
        </row>
        <row r="144">
          <cell r="B144">
            <v>8332544823.6012068</v>
          </cell>
        </row>
        <row r="145">
          <cell r="B145">
            <v>9577799120.4276047</v>
          </cell>
        </row>
        <row r="146">
          <cell r="B146">
            <v>63337627171.577896</v>
          </cell>
        </row>
        <row r="154">
          <cell r="B154">
            <v>270713920.40759999</v>
          </cell>
        </row>
        <row r="155">
          <cell r="B155">
            <v>742514439.56400001</v>
          </cell>
        </row>
        <row r="156">
          <cell r="B156">
            <v>701430925.50240028</v>
          </cell>
        </row>
        <row r="157">
          <cell r="B157">
            <v>1135547653.7855999</v>
          </cell>
        </row>
        <row r="158">
          <cell r="B158">
            <v>1497851333.4312</v>
          </cell>
        </row>
        <row r="159">
          <cell r="B159">
            <v>1049002933.3908</v>
          </cell>
        </row>
        <row r="160">
          <cell r="B160">
            <v>1722736011.6623998</v>
          </cell>
        </row>
        <row r="161">
          <cell r="B161">
            <v>1537907348.4875998</v>
          </cell>
        </row>
        <row r="162">
          <cell r="B162">
            <v>3009387744.8903985</v>
          </cell>
        </row>
        <row r="163">
          <cell r="B163">
            <v>9555831620.3136024</v>
          </cell>
        </row>
        <row r="164">
          <cell r="B164">
            <v>21222923931.435623</v>
          </cell>
        </row>
        <row r="172">
          <cell r="B172">
            <v>142395765.36360002</v>
          </cell>
        </row>
        <row r="173">
          <cell r="B173">
            <v>187300130.82720008</v>
          </cell>
        </row>
        <row r="174">
          <cell r="B174">
            <v>263832523.23119998</v>
          </cell>
        </row>
        <row r="175">
          <cell r="B175">
            <v>298039883.85720009</v>
          </cell>
        </row>
        <row r="176">
          <cell r="B176">
            <v>259329002.41559967</v>
          </cell>
        </row>
        <row r="177">
          <cell r="B177">
            <v>268917767.41439992</v>
          </cell>
        </row>
        <row r="178">
          <cell r="B178">
            <v>378160606.75199962</v>
          </cell>
        </row>
        <row r="179">
          <cell r="B179">
            <v>389712716.28480011</v>
          </cell>
        </row>
        <row r="180">
          <cell r="B180">
            <v>1324104251.6363997</v>
          </cell>
        </row>
        <row r="181">
          <cell r="B181">
            <v>3537816774.9659958</v>
          </cell>
        </row>
        <row r="182">
          <cell r="B182">
            <v>7049609422.7484083</v>
          </cell>
        </row>
      </sheetData>
      <sheetData sheetId="2" refreshError="1"/>
      <sheetData sheetId="3" refreshError="1"/>
      <sheetData sheetId="4" refreshError="1"/>
      <sheetData sheetId="5" refreshError="1"/>
      <sheetData sheetId="6">
        <row r="7">
          <cell r="B7">
            <v>0.35867389483633</v>
          </cell>
          <cell r="C7">
            <v>0.35867388634938902</v>
          </cell>
        </row>
        <row r="8">
          <cell r="B8">
            <v>0.318588025446777</v>
          </cell>
          <cell r="C8">
            <v>0.31860970181401199</v>
          </cell>
        </row>
        <row r="34">
          <cell r="B34">
            <v>0.27049579852216199</v>
          </cell>
          <cell r="C34">
            <v>0.26756475419210402</v>
          </cell>
        </row>
      </sheetData>
      <sheetData sheetId="7" refreshError="1"/>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1. Fiscal"/>
      <sheetName val="2. Distributional by deciles o"/>
      <sheetName val="2. Distributional by HH type"/>
      <sheetName val="2. Distributional by employmen"/>
      <sheetName val="2. Distributional by gender"/>
      <sheetName val="2. Distributional by age group"/>
      <sheetName val="3. Inequality and Poverty"/>
      <sheetName val="Parameter settings"/>
      <sheetName val="Metadata"/>
    </sheetNames>
    <sheetDataSet>
      <sheetData sheetId="0" refreshError="1"/>
      <sheetData sheetId="1">
        <row r="10">
          <cell r="L10">
            <v>0.84419254829560486</v>
          </cell>
        </row>
        <row r="11">
          <cell r="L11">
            <v>0.99520594725859046</v>
          </cell>
        </row>
        <row r="12">
          <cell r="L12">
            <v>1</v>
          </cell>
        </row>
        <row r="13">
          <cell r="L13">
            <v>0.99557468643365066</v>
          </cell>
        </row>
        <row r="14">
          <cell r="L14">
            <v>1</v>
          </cell>
        </row>
        <row r="15">
          <cell r="L15">
            <v>1</v>
          </cell>
        </row>
        <row r="16">
          <cell r="L16">
            <v>1</v>
          </cell>
        </row>
        <row r="17">
          <cell r="L17">
            <v>1</v>
          </cell>
        </row>
        <row r="18">
          <cell r="L18">
            <v>1</v>
          </cell>
        </row>
        <row r="19">
          <cell r="L19">
            <v>1</v>
          </cell>
        </row>
        <row r="20">
          <cell r="L20">
            <v>0.98345356664492256</v>
          </cell>
        </row>
        <row r="82">
          <cell r="B82">
            <v>-294038166.66480011</v>
          </cell>
          <cell r="C82">
            <v>-293369510.74920005</v>
          </cell>
          <cell r="D82">
            <v>-296928595.99919993</v>
          </cell>
          <cell r="E82">
            <v>-294352762.3824001</v>
          </cell>
          <cell r="F82">
            <v>-295462636.34399992</v>
          </cell>
          <cell r="G82">
            <v>-295536170.31359994</v>
          </cell>
          <cell r="H82">
            <v>-293507916.04320025</v>
          </cell>
        </row>
        <row r="83">
          <cell r="B83">
            <v>-170192101.28520009</v>
          </cell>
          <cell r="C83">
            <v>-157464079.27200004</v>
          </cell>
          <cell r="D83">
            <v>-171878507.69400007</v>
          </cell>
          <cell r="E83">
            <v>-165745779.51839995</v>
          </cell>
          <cell r="F83">
            <v>-166589249.45759997</v>
          </cell>
          <cell r="G83">
            <v>-176139387.12599999</v>
          </cell>
          <cell r="H83">
            <v>-165467401.9884001</v>
          </cell>
        </row>
        <row r="84">
          <cell r="B84">
            <v>413044467.48360026</v>
          </cell>
          <cell r="C84">
            <v>443203891.36440003</v>
          </cell>
          <cell r="D84">
            <v>417135487.17839974</v>
          </cell>
          <cell r="E84">
            <v>427581305.98920023</v>
          </cell>
          <cell r="F84">
            <v>424505563.96080011</v>
          </cell>
          <cell r="G84">
            <v>422170749.62880003</v>
          </cell>
          <cell r="H84">
            <v>428379646.24920011</v>
          </cell>
        </row>
        <row r="85">
          <cell r="B85">
            <v>1015817450.4203994</v>
          </cell>
          <cell r="C85">
            <v>1059161503.9811995</v>
          </cell>
          <cell r="D85">
            <v>1025919729.4703994</v>
          </cell>
          <cell r="E85">
            <v>1037281138.6524003</v>
          </cell>
          <cell r="F85">
            <v>1033683454.9008</v>
          </cell>
          <cell r="G85">
            <v>1031947716.9012003</v>
          </cell>
          <cell r="H85">
            <v>1038900430.7963991</v>
          </cell>
        </row>
        <row r="86">
          <cell r="B86">
            <v>1660539397.3116009</v>
          </cell>
          <cell r="C86">
            <v>1713026529.0492003</v>
          </cell>
          <cell r="D86">
            <v>1677134177.707202</v>
          </cell>
          <cell r="E86">
            <v>1687635486.1800027</v>
          </cell>
          <cell r="F86">
            <v>1684125189.5352025</v>
          </cell>
          <cell r="G86">
            <v>1682773797.6084018</v>
          </cell>
          <cell r="H86">
            <v>1690570518.8124003</v>
          </cell>
        </row>
        <row r="87">
          <cell r="B87">
            <v>2452915151.948401</v>
          </cell>
          <cell r="C87">
            <v>2516947971.1860008</v>
          </cell>
          <cell r="D87">
            <v>2477414001.2784014</v>
          </cell>
          <cell r="E87">
            <v>2486269566.4200015</v>
          </cell>
          <cell r="F87">
            <v>2483199310.4652019</v>
          </cell>
          <cell r="G87">
            <v>2481587164.2096024</v>
          </cell>
          <cell r="H87">
            <v>2491647441.1344047</v>
          </cell>
        </row>
        <row r="88">
          <cell r="B88">
            <v>3345147438.2015991</v>
          </cell>
          <cell r="C88">
            <v>3423843525.8160024</v>
          </cell>
          <cell r="D88">
            <v>3378544853.686801</v>
          </cell>
          <cell r="E88">
            <v>3387263040.7884007</v>
          </cell>
          <cell r="F88">
            <v>3384558169.5659995</v>
          </cell>
          <cell r="G88">
            <v>3382706583.4536028</v>
          </cell>
          <cell r="H88">
            <v>3397086309.490799</v>
          </cell>
        </row>
        <row r="89">
          <cell r="B89">
            <v>4552331427.8915968</v>
          </cell>
          <cell r="C89">
            <v>4649583575.1143999</v>
          </cell>
          <cell r="D89">
            <v>4597835612.2235966</v>
          </cell>
          <cell r="E89">
            <v>4606450177.9620008</v>
          </cell>
          <cell r="F89">
            <v>4603923328.8276024</v>
          </cell>
          <cell r="G89">
            <v>4601692822.8372021</v>
          </cell>
          <cell r="H89">
            <v>4624055007.9924059</v>
          </cell>
        </row>
        <row r="90">
          <cell r="B90">
            <v>7334278200.2771931</v>
          </cell>
          <cell r="C90">
            <v>7466790479.4228077</v>
          </cell>
          <cell r="D90">
            <v>7407532035.4644098</v>
          </cell>
          <cell r="E90">
            <v>7415002243.6572056</v>
          </cell>
          <cell r="F90">
            <v>7412891785.0896034</v>
          </cell>
          <cell r="G90">
            <v>7410627667.8431997</v>
          </cell>
          <cell r="H90">
            <v>7424068407.2507992</v>
          </cell>
        </row>
        <row r="91">
          <cell r="B91">
            <v>19008203117.803196</v>
          </cell>
          <cell r="C91">
            <v>19278713382.968365</v>
          </cell>
          <cell r="D91">
            <v>19198264879.602013</v>
          </cell>
          <cell r="E91">
            <v>19205480588.619614</v>
          </cell>
          <cell r="F91">
            <v>19203852915.846012</v>
          </cell>
          <cell r="G91">
            <v>19201379057.523621</v>
          </cell>
          <cell r="H91">
            <v>19183807830.244793</v>
          </cell>
        </row>
        <row r="92">
          <cell r="B92">
            <v>39318046383.38752</v>
          </cell>
          <cell r="C92">
            <v>40100437268.881111</v>
          </cell>
          <cell r="D92">
            <v>39710973672.917976</v>
          </cell>
          <cell r="E92">
            <v>39792865006.367928</v>
          </cell>
          <cell r="F92">
            <v>39768687832.389587</v>
          </cell>
          <cell r="G92">
            <v>39743210002.565865</v>
          </cell>
          <cell r="H92">
            <v>39819540273.939529</v>
          </cell>
          <cell r="I92">
            <v>39495375156.289108</v>
          </cell>
          <cell r="J92">
            <v>39399905458.682266</v>
          </cell>
          <cell r="K92">
            <v>39340775963.835556</v>
          </cell>
        </row>
        <row r="100">
          <cell r="B100">
            <v>3751777116.8843994</v>
          </cell>
          <cell r="C100">
            <v>3789294514.5816002</v>
          </cell>
        </row>
        <row r="101">
          <cell r="B101">
            <v>12216853305.060007</v>
          </cell>
          <cell r="C101">
            <v>12339022042.9884</v>
          </cell>
        </row>
        <row r="102">
          <cell r="B102">
            <v>16653157448.375984</v>
          </cell>
          <cell r="C102">
            <v>16819689716.655596</v>
          </cell>
        </row>
        <row r="103">
          <cell r="B103">
            <v>20117273412.458408</v>
          </cell>
          <cell r="C103">
            <v>20318445947.073578</v>
          </cell>
        </row>
        <row r="104">
          <cell r="B104">
            <v>23902111260.021591</v>
          </cell>
          <cell r="C104">
            <v>24141130114.253983</v>
          </cell>
        </row>
        <row r="105">
          <cell r="B105">
            <v>27869724791.583607</v>
          </cell>
          <cell r="C105">
            <v>28148421359.047241</v>
          </cell>
        </row>
        <row r="106">
          <cell r="B106">
            <v>32873385233.864388</v>
          </cell>
          <cell r="C106">
            <v>33202118426.792366</v>
          </cell>
        </row>
        <row r="107">
          <cell r="B107">
            <v>38599376384.85965</v>
          </cell>
          <cell r="C107">
            <v>38985370325.803177</v>
          </cell>
        </row>
        <row r="108">
          <cell r="B108">
            <v>48567602424.763275</v>
          </cell>
          <cell r="C108">
            <v>49053279342.68998</v>
          </cell>
        </row>
        <row r="109">
          <cell r="B109">
            <v>82248813228.176407</v>
          </cell>
          <cell r="C109">
            <v>83071303527.384094</v>
          </cell>
        </row>
        <row r="110">
          <cell r="B110">
            <v>306800074606.04688</v>
          </cell>
          <cell r="C110">
            <v>309868075317.27014</v>
          </cell>
          <cell r="H110">
            <v>308820763169.06152</v>
          </cell>
          <cell r="I110">
            <v>307514226951.74304</v>
          </cell>
          <cell r="J110">
            <v>307054423816.57245</v>
          </cell>
          <cell r="K110">
            <v>306878885254.31146</v>
          </cell>
        </row>
      </sheetData>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1. Fiscal"/>
      <sheetName val="2. Distributional by deciles o"/>
      <sheetName val="2. Distributional by HH type"/>
      <sheetName val="2. Distributional by employmen"/>
      <sheetName val="2. Distributional by gender"/>
      <sheetName val="2. Distributional by age group"/>
      <sheetName val="3. Inequality and Poverty"/>
      <sheetName val="Parameter settings"/>
      <sheetName val="Metadata"/>
    </sheetNames>
    <sheetDataSet>
      <sheetData sheetId="0"/>
      <sheetData sheetId="1">
        <row r="28">
          <cell r="M28">
            <v>0.70258759473766375</v>
          </cell>
        </row>
        <row r="82">
          <cell r="B82">
            <v>-157020689.42639995</v>
          </cell>
          <cell r="C82">
            <v>-207946973.69519994</v>
          </cell>
          <cell r="D82">
            <v>-236320356.1956</v>
          </cell>
          <cell r="E82">
            <v>-339149781.72840047</v>
          </cell>
          <cell r="F82">
            <v>-297246556.34280014</v>
          </cell>
          <cell r="H82">
            <v>-136264530.67200002</v>
          </cell>
          <cell r="I82">
            <v>-177176730.01200002</v>
          </cell>
          <cell r="J82">
            <v>-175681751.90759999</v>
          </cell>
          <cell r="K82">
            <v>-193613640.21240017</v>
          </cell>
          <cell r="L82">
            <v>-267431977.68120003</v>
          </cell>
        </row>
        <row r="83">
          <cell r="B83">
            <v>26423258.423999995</v>
          </cell>
          <cell r="C83">
            <v>-113525450.82479994</v>
          </cell>
          <cell r="D83">
            <v>-173007940.74239999</v>
          </cell>
          <cell r="E83">
            <v>-264723511.09200031</v>
          </cell>
          <cell r="F83">
            <v>-176390995.77480009</v>
          </cell>
          <cell r="H83">
            <v>243287251.34039932</v>
          </cell>
          <cell r="I83">
            <v>39735715.29239995</v>
          </cell>
          <cell r="J83">
            <v>45953962.615199946</v>
          </cell>
          <cell r="K83">
            <v>-18906640.191599995</v>
          </cell>
          <cell r="L83">
            <v>4137109.7568000234</v>
          </cell>
        </row>
        <row r="84">
          <cell r="B84">
            <v>533224377.35880035</v>
          </cell>
          <cell r="C84">
            <v>380255071.38239992</v>
          </cell>
          <cell r="D84">
            <v>382313864.73719978</v>
          </cell>
          <cell r="E84">
            <v>276349638.66119993</v>
          </cell>
          <cell r="F84">
            <v>383613338.59920025</v>
          </cell>
          <cell r="H84">
            <v>987752422.05480051</v>
          </cell>
          <cell r="I84">
            <v>640081632.93119979</v>
          </cell>
          <cell r="J84">
            <v>652498067.54279971</v>
          </cell>
          <cell r="K84">
            <v>512503135.19639981</v>
          </cell>
          <cell r="L84">
            <v>565545466.29719973</v>
          </cell>
        </row>
        <row r="85">
          <cell r="B85">
            <v>1052793523.0572011</v>
          </cell>
          <cell r="C85">
            <v>900904550.37000108</v>
          </cell>
          <cell r="D85">
            <v>951190436.91600072</v>
          </cell>
          <cell r="E85">
            <v>868638874.22640061</v>
          </cell>
          <cell r="F85">
            <v>988298010.73919928</v>
          </cell>
          <cell r="H85">
            <v>1677823946.3027983</v>
          </cell>
          <cell r="I85">
            <v>1244479997.6856003</v>
          </cell>
          <cell r="J85">
            <v>1260506295.0719998</v>
          </cell>
          <cell r="K85">
            <v>1081056602.599201</v>
          </cell>
          <cell r="L85">
            <v>1190618865.1908007</v>
          </cell>
        </row>
        <row r="86">
          <cell r="B86">
            <v>1607354110.5036001</v>
          </cell>
          <cell r="C86">
            <v>1471132534.7507982</v>
          </cell>
          <cell r="D86">
            <v>1566064913.5188005</v>
          </cell>
          <cell r="E86">
            <v>1510405260.1464005</v>
          </cell>
          <cell r="F86">
            <v>1642853879.8872004</v>
          </cell>
          <cell r="H86">
            <v>2380038185.8116002</v>
          </cell>
          <cell r="I86">
            <v>1903616214.6587987</v>
          </cell>
          <cell r="J86">
            <v>1921390020.6083994</v>
          </cell>
          <cell r="K86">
            <v>1719943713.4536004</v>
          </cell>
          <cell r="L86">
            <v>1837468870.9259992</v>
          </cell>
        </row>
        <row r="87">
          <cell r="B87">
            <v>2298800311.6524019</v>
          </cell>
          <cell r="C87">
            <v>2168719786.3032007</v>
          </cell>
          <cell r="D87">
            <v>2288506108.3044043</v>
          </cell>
          <cell r="E87">
            <v>2260071684.7907991</v>
          </cell>
          <cell r="F87">
            <v>2429241153.5100012</v>
          </cell>
          <cell r="H87">
            <v>3243044049.1164055</v>
          </cell>
          <cell r="I87">
            <v>2720006339.3868036</v>
          </cell>
          <cell r="J87">
            <v>2739698074.3151975</v>
          </cell>
          <cell r="K87">
            <v>2515536901.2779989</v>
          </cell>
          <cell r="L87">
            <v>2637518165.3135996</v>
          </cell>
        </row>
        <row r="88">
          <cell r="B88">
            <v>3100813048.0092034</v>
          </cell>
          <cell r="C88">
            <v>2977776063.7991991</v>
          </cell>
          <cell r="D88">
            <v>3137534021.8104019</v>
          </cell>
          <cell r="E88">
            <v>3163651274.407198</v>
          </cell>
          <cell r="F88">
            <v>3366509312.3052015</v>
          </cell>
          <cell r="H88">
            <v>4266827522.2692022</v>
          </cell>
          <cell r="I88">
            <v>3672061195.2431989</v>
          </cell>
          <cell r="J88">
            <v>3694018424.1984053</v>
          </cell>
          <cell r="K88">
            <v>3446269621.2948008</v>
          </cell>
          <cell r="L88">
            <v>3604938478.0595999</v>
          </cell>
        </row>
        <row r="89">
          <cell r="B89">
            <v>4101148714.0907993</v>
          </cell>
          <cell r="C89">
            <v>3991643671.2743998</v>
          </cell>
          <cell r="D89">
            <v>4207536470.6087971</v>
          </cell>
          <cell r="E89">
            <v>4296982522.6764021</v>
          </cell>
          <cell r="F89">
            <v>4587586243.1879959</v>
          </cell>
          <cell r="H89">
            <v>5570255176.5504026</v>
          </cell>
          <cell r="I89">
            <v>4892510734.8996029</v>
          </cell>
          <cell r="J89">
            <v>4917966844.4280014</v>
          </cell>
          <cell r="K89">
            <v>4630543233.8363972</v>
          </cell>
          <cell r="L89">
            <v>4834203650.7876034</v>
          </cell>
        </row>
        <row r="90">
          <cell r="B90">
            <v>6452372297.5272064</v>
          </cell>
          <cell r="C90">
            <v>6396150317.3879948</v>
          </cell>
          <cell r="D90">
            <v>6716970261.0588074</v>
          </cell>
          <cell r="E90">
            <v>6974934530.414403</v>
          </cell>
          <cell r="F90">
            <v>7376994174.1883907</v>
          </cell>
          <cell r="H90">
            <v>8460004596.2627964</v>
          </cell>
          <cell r="I90">
            <v>7674917925.6012077</v>
          </cell>
          <cell r="J90">
            <v>7704894836.2032022</v>
          </cell>
          <cell r="K90">
            <v>7364032953.6444073</v>
          </cell>
          <cell r="L90">
            <v>7656507817.3979959</v>
          </cell>
        </row>
        <row r="91">
          <cell r="B91">
            <v>16084719443.025608</v>
          </cell>
          <cell r="C91">
            <v>16177745008.510788</v>
          </cell>
          <cell r="D91">
            <v>16934383476.660021</v>
          </cell>
          <cell r="E91">
            <v>17905815770.275181</v>
          </cell>
          <cell r="F91">
            <v>19016587823.08799</v>
          </cell>
          <cell r="H91">
            <v>20246350885.29599</v>
          </cell>
          <cell r="I91">
            <v>19190258886.626381</v>
          </cell>
          <cell r="J91">
            <v>19230432765.64679</v>
          </cell>
          <cell r="K91">
            <v>18774946367.570385</v>
          </cell>
          <cell r="L91">
            <v>19359535835.17561</v>
          </cell>
        </row>
        <row r="92">
          <cell r="B92">
            <v>35100628394.222267</v>
          </cell>
          <cell r="C92">
            <v>34142854579.258942</v>
          </cell>
          <cell r="D92">
            <v>35775171256.676262</v>
          </cell>
          <cell r="E92">
            <v>36652976262.777527</v>
          </cell>
          <cell r="F92">
            <v>39318046383.38752</v>
          </cell>
          <cell r="H92">
            <v>46939119504.332344</v>
          </cell>
          <cell r="I92">
            <v>41800491912.31321</v>
          </cell>
          <cell r="J92">
            <v>41991677538.722336</v>
          </cell>
          <cell r="K92">
            <v>39832312248.469131</v>
          </cell>
          <cell r="L92">
            <v>41423042281.223984</v>
          </cell>
        </row>
        <row r="100">
          <cell r="B100">
            <v>3225788429.1815996</v>
          </cell>
          <cell r="C100">
            <v>3288121947.4596014</v>
          </cell>
          <cell r="D100">
            <v>3380368579.6175985</v>
          </cell>
          <cell r="E100">
            <v>3523195945.6583986</v>
          </cell>
          <cell r="F100">
            <v>3768538046.7863989</v>
          </cell>
        </row>
        <row r="101">
          <cell r="B101">
            <v>10371950238.945591</v>
          </cell>
          <cell r="C101">
            <v>10610427219.616798</v>
          </cell>
          <cell r="D101">
            <v>10911392593.78561</v>
          </cell>
          <cell r="E101">
            <v>11325072693.048004</v>
          </cell>
          <cell r="F101">
            <v>12110871926.203207</v>
          </cell>
        </row>
        <row r="102">
          <cell r="B102">
            <v>14137686600.587997</v>
          </cell>
          <cell r="C102">
            <v>14432776605.332401</v>
          </cell>
          <cell r="D102">
            <v>14803798312.233601</v>
          </cell>
          <cell r="E102">
            <v>15376819443.386398</v>
          </cell>
          <cell r="F102">
            <v>16467651815.032784</v>
          </cell>
        </row>
        <row r="103">
          <cell r="B103">
            <v>17268542592.614403</v>
          </cell>
          <cell r="C103">
            <v>17621500425.583176</v>
          </cell>
          <cell r="D103">
            <v>18086397981.267601</v>
          </cell>
          <cell r="E103">
            <v>18797211251.875191</v>
          </cell>
          <cell r="F103">
            <v>20112856417.340416</v>
          </cell>
        </row>
        <row r="104">
          <cell r="B104">
            <v>20486801428.033207</v>
          </cell>
          <cell r="C104">
            <v>20893158766.80719</v>
          </cell>
          <cell r="D104">
            <v>21460044294.554417</v>
          </cell>
          <cell r="E104">
            <v>22332653953.996811</v>
          </cell>
          <cell r="F104">
            <v>23911845817.783203</v>
          </cell>
        </row>
        <row r="105">
          <cell r="B105">
            <v>23783687010.391197</v>
          </cell>
          <cell r="C105">
            <v>24263690143.715996</v>
          </cell>
          <cell r="D105">
            <v>24894752751.406796</v>
          </cell>
          <cell r="E105">
            <v>25887072291.538788</v>
          </cell>
          <cell r="F105">
            <v>27768145367.820015</v>
          </cell>
        </row>
        <row r="106">
          <cell r="B106">
            <v>28139029269.190804</v>
          </cell>
          <cell r="C106">
            <v>28688937666.066002</v>
          </cell>
          <cell r="D106">
            <v>29461290701.865608</v>
          </cell>
          <cell r="E106">
            <v>30668583002.963997</v>
          </cell>
          <cell r="F106">
            <v>32880887061.695984</v>
          </cell>
        </row>
        <row r="107">
          <cell r="B107">
            <v>33005545716.703194</v>
          </cell>
          <cell r="C107">
            <v>33634377853.530041</v>
          </cell>
          <cell r="D107">
            <v>34547013760.897156</v>
          </cell>
          <cell r="E107">
            <v>36017444265.193207</v>
          </cell>
          <cell r="F107">
            <v>38726234047.567261</v>
          </cell>
        </row>
        <row r="108">
          <cell r="B108">
            <v>41649730656.535202</v>
          </cell>
          <cell r="C108">
            <v>42428206504.125587</v>
          </cell>
          <cell r="D108">
            <v>43599840725.315964</v>
          </cell>
          <cell r="E108">
            <v>45491435436.313217</v>
          </cell>
          <cell r="F108">
            <v>48821129169.117645</v>
          </cell>
        </row>
        <row r="109">
          <cell r="B109">
            <v>69987948372.103165</v>
          </cell>
          <cell r="C109">
            <v>71163641502.705643</v>
          </cell>
          <cell r="D109">
            <v>73332057919.39679</v>
          </cell>
          <cell r="E109">
            <v>76804596143.110855</v>
          </cell>
          <cell r="F109">
            <v>82231914936.700806</v>
          </cell>
        </row>
        <row r="110">
          <cell r="B110">
            <v>262056710314.28619</v>
          </cell>
          <cell r="C110">
            <v>267024838634.9422</v>
          </cell>
          <cell r="D110">
            <v>274476957620.34106</v>
          </cell>
          <cell r="E110">
            <v>286224084427.08441</v>
          </cell>
          <cell r="F110">
            <v>306800074606.04688</v>
          </cell>
        </row>
      </sheetData>
      <sheetData sheetId="2"/>
      <sheetData sheetId="3"/>
      <sheetData sheetId="4"/>
      <sheetData sheetId="5"/>
      <sheetData sheetId="6">
        <row r="7">
          <cell r="B7">
            <v>0.35867389483633</v>
          </cell>
        </row>
      </sheetData>
      <sheetData sheetId="7"/>
      <sheetData sheetId="8"/>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1. Fiscal"/>
      <sheetName val="2. Distributional by deciles o"/>
      <sheetName val="2. Distributional by HH type"/>
      <sheetName val="2. Distributional by employmen"/>
      <sheetName val="2. Distributional by gender"/>
      <sheetName val="2. Distributional by age group"/>
      <sheetName val="3. Inequality and Poverty"/>
      <sheetName val="Parameter settings"/>
      <sheetName val="Metadata"/>
    </sheetNames>
    <sheetDataSet>
      <sheetData sheetId="0"/>
      <sheetData sheetId="1">
        <row r="28">
          <cell r="J28">
            <v>0.61064119311746279</v>
          </cell>
        </row>
        <row r="29">
          <cell r="J29">
            <v>0.65164161180141267</v>
          </cell>
        </row>
        <row r="30">
          <cell r="J30">
            <v>0.96406858190919176</v>
          </cell>
        </row>
        <row r="31">
          <cell r="J31">
            <v>0.99670612727201258</v>
          </cell>
        </row>
        <row r="32">
          <cell r="J32">
            <v>1</v>
          </cell>
        </row>
        <row r="33">
          <cell r="J33">
            <v>1</v>
          </cell>
        </row>
        <row r="34">
          <cell r="J34">
            <v>0.9989292220333168</v>
          </cell>
        </row>
        <row r="35">
          <cell r="J35">
            <v>1</v>
          </cell>
        </row>
        <row r="36">
          <cell r="J36">
            <v>1</v>
          </cell>
        </row>
        <row r="37">
          <cell r="J37">
            <v>1</v>
          </cell>
        </row>
        <row r="38">
          <cell r="J38">
            <v>0.9131185116719025</v>
          </cell>
        </row>
        <row r="100">
          <cell r="B100">
            <v>-193202616.41279995</v>
          </cell>
          <cell r="C100">
            <v>-190011591.59400022</v>
          </cell>
          <cell r="D100">
            <v>-194541321.73799989</v>
          </cell>
          <cell r="E100">
            <v>-190199533.10400021</v>
          </cell>
          <cell r="F100">
            <v>-194380872.44879994</v>
          </cell>
          <cell r="G100">
            <v>-194541321.73799989</v>
          </cell>
          <cell r="H100">
            <v>-194541321.73799989</v>
          </cell>
        </row>
        <row r="101">
          <cell r="B101">
            <v>55151602.171200052</v>
          </cell>
          <cell r="C101">
            <v>74307300.933599949</v>
          </cell>
          <cell r="D101">
            <v>56101665.441599987</v>
          </cell>
          <cell r="E101">
            <v>70011928.035599962</v>
          </cell>
          <cell r="F101">
            <v>56915037.704400003</v>
          </cell>
          <cell r="G101">
            <v>56162394.505199999</v>
          </cell>
          <cell r="H101">
            <v>56162394.505199999</v>
          </cell>
        </row>
        <row r="102">
          <cell r="B102">
            <v>860335420.20600033</v>
          </cell>
          <cell r="C102">
            <v>916744324.91999936</v>
          </cell>
          <cell r="D102">
            <v>870524086.30919874</v>
          </cell>
          <cell r="E102">
            <v>904922778.41519976</v>
          </cell>
          <cell r="F102">
            <v>873455191.15799904</v>
          </cell>
          <cell r="G102">
            <v>870632611.21199894</v>
          </cell>
          <cell r="H102">
            <v>870632611.21199894</v>
          </cell>
        </row>
        <row r="103">
          <cell r="B103">
            <v>1895620830.2243996</v>
          </cell>
          <cell r="C103">
            <v>1967882857.689599</v>
          </cell>
          <cell r="D103">
            <v>1915207585.8923988</v>
          </cell>
          <cell r="E103">
            <v>1951808861.6436005</v>
          </cell>
          <cell r="F103">
            <v>1919715397.4267974</v>
          </cell>
          <cell r="G103">
            <v>1915432287.9455988</v>
          </cell>
          <cell r="H103">
            <v>1915432287.9455988</v>
          </cell>
        </row>
        <row r="104">
          <cell r="B104">
            <v>2867394216.1259985</v>
          </cell>
          <cell r="C104">
            <v>2950514873.8548012</v>
          </cell>
          <cell r="D104">
            <v>2896823987.8367977</v>
          </cell>
          <cell r="E104">
            <v>2932773691.4243989</v>
          </cell>
          <cell r="F104">
            <v>2904605736.6384025</v>
          </cell>
          <cell r="G104">
            <v>2897380569.7775979</v>
          </cell>
          <cell r="H104">
            <v>2897380569.7775979</v>
          </cell>
        </row>
        <row r="105">
          <cell r="B105">
            <v>4252605858.471601</v>
          </cell>
          <cell r="C105">
            <v>4355587270.9067974</v>
          </cell>
          <cell r="D105">
            <v>4296324920.7792053</v>
          </cell>
          <cell r="E105">
            <v>4333993432.3260012</v>
          </cell>
          <cell r="F105">
            <v>4306616716.8048029</v>
          </cell>
          <cell r="G105">
            <v>4296841013.6184034</v>
          </cell>
          <cell r="H105">
            <v>4296841013.6184034</v>
          </cell>
        </row>
        <row r="106">
          <cell r="B106">
            <v>5815808918.0003939</v>
          </cell>
          <cell r="C106">
            <v>5938636844.0604029</v>
          </cell>
          <cell r="D106">
            <v>5876798246.798399</v>
          </cell>
          <cell r="E106">
            <v>5914695645.2339964</v>
          </cell>
          <cell r="F106">
            <v>5888735784.1763964</v>
          </cell>
          <cell r="G106">
            <v>5877199621.6523972</v>
          </cell>
          <cell r="H106">
            <v>5877199621.6523972</v>
          </cell>
        </row>
        <row r="107">
          <cell r="B107">
            <v>7681843583.3987999</v>
          </cell>
          <cell r="C107">
            <v>7830293642.2488022</v>
          </cell>
          <cell r="D107">
            <v>7761582999.2904091</v>
          </cell>
          <cell r="E107">
            <v>7801659809.0675964</v>
          </cell>
          <cell r="F107">
            <v>7775810176.1627979</v>
          </cell>
          <cell r="G107">
            <v>7762347664.6632118</v>
          </cell>
          <cell r="H107">
            <v>7762347664.6632118</v>
          </cell>
        </row>
        <row r="108">
          <cell r="B108">
            <v>10867807167.724808</v>
          </cell>
          <cell r="C108">
            <v>11057491170.326401</v>
          </cell>
          <cell r="D108">
            <v>10980011293.342806</v>
          </cell>
          <cell r="E108">
            <v>11021777436.987604</v>
          </cell>
          <cell r="F108">
            <v>10996003080.652817</v>
          </cell>
          <cell r="G108">
            <v>10980487097.252407</v>
          </cell>
          <cell r="H108">
            <v>10980487097.252407</v>
          </cell>
        </row>
        <row r="109">
          <cell r="B109">
            <v>22471109579.469608</v>
          </cell>
          <cell r="C109">
            <v>22785532273.307999</v>
          </cell>
          <cell r="D109">
            <v>22700334202.672806</v>
          </cell>
          <cell r="E109">
            <v>22742331964.75322</v>
          </cell>
          <cell r="F109">
            <v>22716932933.980782</v>
          </cell>
          <cell r="G109">
            <v>22701123321.7272</v>
          </cell>
          <cell r="H109">
            <v>22701123321.7272</v>
          </cell>
        </row>
        <row r="110">
          <cell r="B110">
            <v>56574474559.379906</v>
          </cell>
          <cell r="C110">
            <v>57686978966.65419</v>
          </cell>
          <cell r="D110">
            <v>57159167666.62561</v>
          </cell>
          <cell r="E110">
            <v>57483776014.783195</v>
          </cell>
          <cell r="F110">
            <v>57244409182.256447</v>
          </cell>
          <cell r="G110">
            <v>57163065260.615997</v>
          </cell>
          <cell r="H110">
            <v>57163065260.615997</v>
          </cell>
        </row>
        <row r="118">
          <cell r="B118">
            <v>5981079759.9636002</v>
          </cell>
          <cell r="C118">
            <v>6040890033.5507927</v>
          </cell>
        </row>
        <row r="119">
          <cell r="B119">
            <v>13228336812.1152</v>
          </cell>
          <cell r="C119">
            <v>13360616113.624805</v>
          </cell>
        </row>
        <row r="120">
          <cell r="B120">
            <v>16300934634.87001</v>
          </cell>
          <cell r="C120">
            <v>16463942525.637594</v>
          </cell>
        </row>
        <row r="121">
          <cell r="B121">
            <v>19440481383.124813</v>
          </cell>
          <cell r="C121">
            <v>19634883512.090374</v>
          </cell>
        </row>
        <row r="122">
          <cell r="B122">
            <v>21748542437.44442</v>
          </cell>
          <cell r="C122">
            <v>21966025522.245609</v>
          </cell>
        </row>
        <row r="123">
          <cell r="B123">
            <v>25952553746.482796</v>
          </cell>
          <cell r="C123">
            <v>26212076122.090775</v>
          </cell>
        </row>
        <row r="124">
          <cell r="B124">
            <v>29668272581.229645</v>
          </cell>
          <cell r="C124">
            <v>29964955739.960411</v>
          </cell>
        </row>
        <row r="125">
          <cell r="B125">
            <v>34809441649.048813</v>
          </cell>
          <cell r="C125">
            <v>35157536758.8396</v>
          </cell>
        </row>
        <row r="126">
          <cell r="B126">
            <v>43129454573.426346</v>
          </cell>
          <cell r="C126">
            <v>43560748048.940399</v>
          </cell>
        </row>
        <row r="127">
          <cell r="B127">
            <v>69182066277.578415</v>
          </cell>
          <cell r="C127">
            <v>69873884056.248016</v>
          </cell>
        </row>
        <row r="128">
          <cell r="B128">
            <v>279441163855.28442</v>
          </cell>
          <cell r="C128">
            <v>282235558433.22778</v>
          </cell>
        </row>
        <row r="136">
          <cell r="B136">
            <v>1761538192.2576005</v>
          </cell>
        </row>
        <row r="137">
          <cell r="B137">
            <v>2656933840.2612019</v>
          </cell>
        </row>
        <row r="138">
          <cell r="B138">
            <v>5169522845.3892012</v>
          </cell>
        </row>
        <row r="139">
          <cell r="B139">
            <v>7390402999.298398</v>
          </cell>
        </row>
        <row r="140">
          <cell r="B140">
            <v>12241261227.962399</v>
          </cell>
        </row>
        <row r="141">
          <cell r="B141">
            <v>16755022363.047609</v>
          </cell>
        </row>
        <row r="142">
          <cell r="B142">
            <v>21669745508.732422</v>
          </cell>
        </row>
        <row r="143">
          <cell r="B143">
            <v>27520063916.315998</v>
          </cell>
        </row>
        <row r="144">
          <cell r="B144">
            <v>34022259463.971622</v>
          </cell>
        </row>
        <row r="145">
          <cell r="B145">
            <v>51714468012.931168</v>
          </cell>
        </row>
        <row r="146">
          <cell r="B146">
            <v>180901218370.16754</v>
          </cell>
        </row>
        <row r="154">
          <cell r="B154">
            <v>3866587576.5587997</v>
          </cell>
        </row>
        <row r="155">
          <cell r="B155">
            <v>10069663063.171204</v>
          </cell>
        </row>
        <row r="156">
          <cell r="B156">
            <v>10114223784.999588</v>
          </cell>
        </row>
        <row r="157">
          <cell r="B157">
            <v>10202753039.644802</v>
          </cell>
        </row>
        <row r="158">
          <cell r="B158">
            <v>7328287935.532794</v>
          </cell>
        </row>
        <row r="159">
          <cell r="B159">
            <v>6717711214.6319904</v>
          </cell>
        </row>
        <row r="160">
          <cell r="B160">
            <v>5250375322.9811993</v>
          </cell>
        </row>
        <row r="161">
          <cell r="B161">
            <v>4462027400.6291971</v>
          </cell>
        </row>
        <row r="162">
          <cell r="B162">
            <v>4458949254.4823999</v>
          </cell>
        </row>
        <row r="163">
          <cell r="B163">
            <v>9222790826.8560009</v>
          </cell>
        </row>
        <row r="164">
          <cell r="B164">
            <v>71693369419.487961</v>
          </cell>
        </row>
        <row r="172">
          <cell r="B172">
            <v>312239665.61760008</v>
          </cell>
        </row>
        <row r="173">
          <cell r="B173">
            <v>378689981.79360008</v>
          </cell>
        </row>
        <row r="174">
          <cell r="B174">
            <v>834752350.04999995</v>
          </cell>
        </row>
        <row r="175">
          <cell r="B175">
            <v>1414201856.9304004</v>
          </cell>
        </row>
        <row r="176">
          <cell r="B176">
            <v>1691907127.1928005</v>
          </cell>
        </row>
        <row r="177">
          <cell r="B177">
            <v>1918101747.0648003</v>
          </cell>
        </row>
        <row r="178">
          <cell r="B178">
            <v>2260126736.868</v>
          </cell>
        </row>
        <row r="179">
          <cell r="B179">
            <v>2255573772.6492009</v>
          </cell>
        </row>
        <row r="180">
          <cell r="B180">
            <v>3528233234.4167991</v>
          </cell>
        </row>
        <row r="181">
          <cell r="B181">
            <v>5351376622.471199</v>
          </cell>
        </row>
        <row r="182">
          <cell r="B182">
            <v>19945203095.054398</v>
          </cell>
        </row>
        <row r="190">
          <cell r="B190">
            <v>40712714.78639999</v>
          </cell>
        </row>
        <row r="191">
          <cell r="B191">
            <v>123050602.4208</v>
          </cell>
        </row>
        <row r="192">
          <cell r="B192">
            <v>182437719.26160002</v>
          </cell>
        </row>
        <row r="193">
          <cell r="B193">
            <v>433121041.6224001</v>
          </cell>
        </row>
        <row r="194">
          <cell r="B194">
            <v>487087831.78559983</v>
          </cell>
        </row>
        <row r="195">
          <cell r="B195">
            <v>561723368.90400004</v>
          </cell>
        </row>
        <row r="196">
          <cell r="B196">
            <v>488028673.35480022</v>
          </cell>
        </row>
        <row r="197">
          <cell r="B197">
            <v>571779775.66680002</v>
          </cell>
        </row>
        <row r="198">
          <cell r="B198">
            <v>1120017892.0212011</v>
          </cell>
        </row>
        <row r="199">
          <cell r="B199">
            <v>2893434548.6447992</v>
          </cell>
        </row>
        <row r="200">
          <cell r="B200">
            <v>6901394168.4683857</v>
          </cell>
        </row>
      </sheetData>
      <sheetData sheetId="2"/>
      <sheetData sheetId="3"/>
      <sheetData sheetId="4"/>
      <sheetData sheetId="5"/>
      <sheetData sheetId="6">
        <row r="7">
          <cell r="B7">
            <v>0.33621701890483702</v>
          </cell>
          <cell r="C7">
            <v>0.33621703940437703</v>
          </cell>
        </row>
        <row r="8">
          <cell r="B8">
            <v>0.27285549959526501</v>
          </cell>
          <cell r="C8">
            <v>0.27289573264207201</v>
          </cell>
        </row>
        <row r="34">
          <cell r="B34">
            <v>0.25452626670974099</v>
          </cell>
          <cell r="C34">
            <v>0.25134647991759701</v>
          </cell>
        </row>
      </sheetData>
      <sheetData sheetId="7"/>
      <sheetData sheetId="8"/>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1. Fiscal"/>
      <sheetName val="2. Distributional by deciles o"/>
      <sheetName val="2. Distributional by HH type"/>
      <sheetName val="2. Distributional by employmen"/>
      <sheetName val="2. Distributional by gender"/>
      <sheetName val="2. Distributional by age group"/>
      <sheetName val="3. Inequality and Poverty"/>
      <sheetName val="Parameter settings"/>
      <sheetName val="Metadata"/>
    </sheetNames>
    <sheetDataSet>
      <sheetData sheetId="0" refreshError="1"/>
      <sheetData sheetId="1">
        <row r="28">
          <cell r="I28">
            <v>0.60417982083348654</v>
          </cell>
        </row>
        <row r="29">
          <cell r="I29">
            <v>0.80600251379509757</v>
          </cell>
        </row>
        <row r="30">
          <cell r="I30">
            <v>0.99106647892721422</v>
          </cell>
        </row>
        <row r="31">
          <cell r="I31">
            <v>0.99482793598490138</v>
          </cell>
        </row>
        <row r="32">
          <cell r="I32">
            <v>1</v>
          </cell>
        </row>
        <row r="33">
          <cell r="I33">
            <v>1</v>
          </cell>
        </row>
        <row r="34">
          <cell r="I34">
            <v>0.99895112446829759</v>
          </cell>
        </row>
        <row r="35">
          <cell r="I35">
            <v>1</v>
          </cell>
        </row>
        <row r="36">
          <cell r="I36">
            <v>1</v>
          </cell>
        </row>
        <row r="37">
          <cell r="I37">
            <v>1</v>
          </cell>
        </row>
        <row r="38">
          <cell r="I38">
            <v>0.93570593951450665</v>
          </cell>
        </row>
        <row r="100">
          <cell r="B100">
            <v>-207250654.10640007</v>
          </cell>
          <cell r="C100">
            <v>-202076740.47720006</v>
          </cell>
          <cell r="D100">
            <v>-208485603.84840006</v>
          </cell>
          <cell r="E100">
            <v>-202617106.9776001</v>
          </cell>
          <cell r="F100">
            <v>-208241836.72080004</v>
          </cell>
          <cell r="G100">
            <v>-208485603.84840006</v>
          </cell>
        </row>
        <row r="101">
          <cell r="B101">
            <v>284761247.10600013</v>
          </cell>
          <cell r="C101">
            <v>326606182.19400018</v>
          </cell>
          <cell r="D101">
            <v>288114822.9552002</v>
          </cell>
          <cell r="E101">
            <v>317202234.30960017</v>
          </cell>
          <cell r="F101">
            <v>289363556.26800025</v>
          </cell>
          <cell r="G101">
            <v>288132430.44360018</v>
          </cell>
        </row>
        <row r="102">
          <cell r="B102">
            <v>1429145104.9956005</v>
          </cell>
          <cell r="C102">
            <v>1493650862.9244001</v>
          </cell>
          <cell r="D102">
            <v>1437197538.664799</v>
          </cell>
          <cell r="E102">
            <v>1478677229.3171995</v>
          </cell>
          <cell r="F102">
            <v>1440737247.2880001</v>
          </cell>
          <cell r="G102">
            <v>1437255242.0075994</v>
          </cell>
        </row>
        <row r="103">
          <cell r="B103">
            <v>2806059210.3660002</v>
          </cell>
          <cell r="C103">
            <v>2898504247.0511985</v>
          </cell>
          <cell r="D103">
            <v>2833280203.4735966</v>
          </cell>
          <cell r="E103">
            <v>2877649697.9483981</v>
          </cell>
          <cell r="F103">
            <v>2838513576.9167967</v>
          </cell>
          <cell r="G103">
            <v>2833334674.751997</v>
          </cell>
        </row>
        <row r="104">
          <cell r="B104">
            <v>3909115215.6660018</v>
          </cell>
          <cell r="C104">
            <v>4012526313.3767958</v>
          </cell>
          <cell r="D104">
            <v>3947333148.9911971</v>
          </cell>
          <cell r="E104">
            <v>3990296354.1948004</v>
          </cell>
          <cell r="F104">
            <v>3956315256.3312016</v>
          </cell>
          <cell r="G104">
            <v>3947405908.246798</v>
          </cell>
        </row>
        <row r="105">
          <cell r="B105">
            <v>5672665720.0679941</v>
          </cell>
          <cell r="C105">
            <v>5799828838.603199</v>
          </cell>
          <cell r="D105">
            <v>5729586816.2652035</v>
          </cell>
          <cell r="E105">
            <v>5773536780.9911995</v>
          </cell>
          <cell r="F105">
            <v>5741104109.7060041</v>
          </cell>
          <cell r="G105">
            <v>5729707341.1500044</v>
          </cell>
        </row>
        <row r="106">
          <cell r="B106">
            <v>7642386883.4279957</v>
          </cell>
          <cell r="C106">
            <v>7800688044.2940025</v>
          </cell>
          <cell r="D106">
            <v>7726501838.8919878</v>
          </cell>
          <cell r="E106">
            <v>7770645827.831995</v>
          </cell>
          <cell r="F106">
            <v>7740128424.8748112</v>
          </cell>
          <cell r="G106">
            <v>7726656025.1147861</v>
          </cell>
        </row>
        <row r="107">
          <cell r="B107">
            <v>9920317564.9679928</v>
          </cell>
          <cell r="C107">
            <v>10103975723.857197</v>
          </cell>
          <cell r="D107">
            <v>10021260697.947609</v>
          </cell>
          <cell r="E107">
            <v>10068525398.765985</v>
          </cell>
          <cell r="F107">
            <v>10038262645.64879</v>
          </cell>
          <cell r="G107">
            <v>10022533477.104006</v>
          </cell>
        </row>
        <row r="108">
          <cell r="B108">
            <v>13830877052.705994</v>
          </cell>
          <cell r="C108">
            <v>14063000751.188412</v>
          </cell>
          <cell r="D108">
            <v>13971703875.867596</v>
          </cell>
          <cell r="E108">
            <v>14019944152.110023</v>
          </cell>
          <cell r="F108">
            <v>13989955284.506393</v>
          </cell>
          <cell r="G108">
            <v>13971917476.610395</v>
          </cell>
        </row>
        <row r="109">
          <cell r="B109">
            <v>27995509192.87439</v>
          </cell>
          <cell r="C109">
            <v>28377822229.243233</v>
          </cell>
          <cell r="D109">
            <v>28278082509.6408</v>
          </cell>
          <cell r="E109">
            <v>28326527463.903614</v>
          </cell>
          <cell r="F109">
            <v>28296643473.740387</v>
          </cell>
          <cell r="G109">
            <v>28278333174.824402</v>
          </cell>
        </row>
        <row r="110">
          <cell r="B110">
            <v>73283586538.071289</v>
          </cell>
          <cell r="C110">
            <v>74674526452.255127</v>
          </cell>
          <cell r="D110">
            <v>74024575848.849487</v>
          </cell>
          <cell r="E110">
            <v>74420388032.394836</v>
          </cell>
          <cell r="F110">
            <v>74122781738.559753</v>
          </cell>
          <cell r="G110">
            <v>74026790146.404999</v>
          </cell>
        </row>
        <row r="118">
          <cell r="B118">
            <v>7432484085.9491987</v>
          </cell>
          <cell r="C118">
            <v>7506540527.6495914</v>
          </cell>
        </row>
        <row r="119">
          <cell r="B119">
            <v>16447736030.731186</v>
          </cell>
          <cell r="C119">
            <v>16612032168.72718</v>
          </cell>
        </row>
        <row r="120">
          <cell r="B120">
            <v>19546733598.411629</v>
          </cell>
          <cell r="C120">
            <v>19741867459.062004</v>
          </cell>
        </row>
        <row r="121">
          <cell r="B121">
            <v>24022771902.802807</v>
          </cell>
          <cell r="C121">
            <v>24262540274.066406</v>
          </cell>
        </row>
        <row r="122">
          <cell r="B122">
            <v>26525502172.770012</v>
          </cell>
          <cell r="C122">
            <v>26790238217.696396</v>
          </cell>
        </row>
        <row r="123">
          <cell r="B123">
            <v>31476472181.573959</v>
          </cell>
          <cell r="C123">
            <v>31790926273.981194</v>
          </cell>
        </row>
        <row r="124">
          <cell r="B124">
            <v>36207601694.528427</v>
          </cell>
          <cell r="C124">
            <v>36569368322.728806</v>
          </cell>
        </row>
        <row r="125">
          <cell r="B125">
            <v>42119808704.948372</v>
          </cell>
          <cell r="C125">
            <v>42540829633.323631</v>
          </cell>
        </row>
        <row r="126">
          <cell r="B126">
            <v>52114558105.333176</v>
          </cell>
          <cell r="C126">
            <v>52635598208.992828</v>
          </cell>
        </row>
        <row r="127">
          <cell r="B127">
            <v>83878133978.782761</v>
          </cell>
          <cell r="C127">
            <v>84716779109.533188</v>
          </cell>
        </row>
        <row r="128">
          <cell r="B128">
            <v>339771802455.83289</v>
          </cell>
          <cell r="C128">
            <v>343166720195.76196</v>
          </cell>
        </row>
      </sheetData>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1. Fiscal"/>
      <sheetName val="2. Distributional by deciles o"/>
      <sheetName val="2. Distributional by HH type"/>
      <sheetName val="2. Distributional by employmen"/>
      <sheetName val="2. Distributional by gender"/>
      <sheetName val="2. Distributional by age group"/>
      <sheetName val="3. Inequality and Poverty"/>
      <sheetName val="Parameter settings"/>
      <sheetName val="Metadata"/>
    </sheetNames>
    <sheetDataSet>
      <sheetData sheetId="0">
        <row r="11">
          <cell r="D11">
            <v>56510715356.280045</v>
          </cell>
          <cell r="E11">
            <v>56002487633.251312</v>
          </cell>
          <cell r="F11">
            <v>55825636123.051231</v>
          </cell>
          <cell r="G11">
            <v>55759115452.146034</v>
          </cell>
        </row>
        <row r="12">
          <cell r="D12">
            <v>827559862.84320188</v>
          </cell>
          <cell r="E12">
            <v>827559862.84320188</v>
          </cell>
          <cell r="F12">
            <v>827559862.84320188</v>
          </cell>
          <cell r="G12">
            <v>835812676.16040015</v>
          </cell>
        </row>
      </sheetData>
      <sheetData sheetId="1">
        <row r="128">
          <cell r="D128">
            <v>281250175380.50183</v>
          </cell>
          <cell r="E128">
            <v>280158084162.18097</v>
          </cell>
          <cell r="F128">
            <v>279640615153.27509</v>
          </cell>
          <cell r="G128">
            <v>279510169999.84113</v>
          </cell>
        </row>
      </sheetData>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1. Fiscal"/>
      <sheetName val="2. Distributional by deciles o"/>
      <sheetName val="2. Distributional by HH type"/>
      <sheetName val="2. Distributional by employmen"/>
      <sheetName val="2. Distributional by gender"/>
      <sheetName val="2. Distributional by age group"/>
      <sheetName val="3. Inequality and Poverty"/>
      <sheetName val="Parameter settings"/>
      <sheetName val="Metadata"/>
    </sheetNames>
    <sheetDataSet>
      <sheetData sheetId="0">
        <row r="11">
          <cell r="D11">
            <v>73070316730.073853</v>
          </cell>
          <cell r="E11">
            <v>72487721117.328308</v>
          </cell>
          <cell r="F11">
            <v>72236051123.604004</v>
          </cell>
          <cell r="G11">
            <v>72155991428.412109</v>
          </cell>
        </row>
        <row r="12">
          <cell r="D12">
            <v>1137194957.5008054</v>
          </cell>
          <cell r="E12">
            <v>1137194957.5008054</v>
          </cell>
          <cell r="F12">
            <v>1137194957.5008054</v>
          </cell>
          <cell r="G12">
            <v>1148510995.7496009</v>
          </cell>
        </row>
      </sheetData>
      <sheetData sheetId="1">
        <row r="128">
          <cell r="D128">
            <v>341951076371.87726</v>
          </cell>
          <cell r="E128">
            <v>340662409185.18805</v>
          </cell>
          <cell r="F128">
            <v>340010289560.34583</v>
          </cell>
          <cell r="G128">
            <v>339858349526.17865</v>
          </cell>
        </row>
      </sheetData>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1. Fiscal"/>
      <sheetName val="2. Distributional by deciles o"/>
      <sheetName val="2. Distributional by HH type"/>
      <sheetName val="2. Distributional by employmen"/>
      <sheetName val="2. Distributional by gender"/>
      <sheetName val="2. Distributional by age group"/>
      <sheetName val="3. Inequality and Poverty"/>
      <sheetName val="Parameter settings"/>
      <sheetName val="Metadata"/>
    </sheetNames>
    <sheetDataSet>
      <sheetData sheetId="0"/>
      <sheetData sheetId="1">
        <row r="28">
          <cell r="N28">
            <v>0.61155373895512088</v>
          </cell>
        </row>
        <row r="100">
          <cell r="B100">
            <v>-193202616.41279995</v>
          </cell>
          <cell r="C100">
            <v>-192170738.5571999</v>
          </cell>
          <cell r="D100">
            <v>-191283528.46080005</v>
          </cell>
          <cell r="E100">
            <v>-182561042.70720008</v>
          </cell>
          <cell r="F100">
            <v>-202320145.0704</v>
          </cell>
          <cell r="H100">
            <v>-72406202.721600056</v>
          </cell>
          <cell r="I100">
            <v>-213683971.18919992</v>
          </cell>
          <cell r="J100">
            <v>-183957274.28760001</v>
          </cell>
          <cell r="K100">
            <v>-190254285.03119999</v>
          </cell>
          <cell r="L100">
            <v>-88182819.792000055</v>
          </cell>
          <cell r="M100">
            <v>-178432573.10279995</v>
          </cell>
        </row>
        <row r="101">
          <cell r="B101">
            <v>55151602.171200052</v>
          </cell>
          <cell r="C101">
            <v>69562771.75440006</v>
          </cell>
          <cell r="D101">
            <v>104154541.49640007</v>
          </cell>
          <cell r="E101">
            <v>204887260.79280013</v>
          </cell>
          <cell r="F101">
            <v>266871846.97680002</v>
          </cell>
          <cell r="H101">
            <v>811227715.87079978</v>
          </cell>
          <cell r="I101">
            <v>70601415.058799982</v>
          </cell>
          <cell r="J101">
            <v>191081997.08399981</v>
          </cell>
          <cell r="K101">
            <v>162379710.1967999</v>
          </cell>
          <cell r="L101">
            <v>894993663.12720132</v>
          </cell>
          <cell r="M101">
            <v>218929590.09839979</v>
          </cell>
        </row>
        <row r="102">
          <cell r="B102">
            <v>860335420.20600033</v>
          </cell>
          <cell r="C102">
            <v>951069161.1191994</v>
          </cell>
          <cell r="D102">
            <v>1035106824.9779981</v>
          </cell>
          <cell r="E102">
            <v>1282103748.2952001</v>
          </cell>
          <cell r="F102">
            <v>1466551354.009201</v>
          </cell>
          <cell r="H102">
            <v>2175709077.4271994</v>
          </cell>
          <cell r="I102">
            <v>1083864273.3948016</v>
          </cell>
          <cell r="J102">
            <v>1357585644.7212005</v>
          </cell>
          <cell r="K102">
            <v>1300693181.9856021</v>
          </cell>
          <cell r="L102">
            <v>2251621725.2999978</v>
          </cell>
          <cell r="M102">
            <v>1409038461.3000007</v>
          </cell>
        </row>
        <row r="103">
          <cell r="B103">
            <v>1895620830.2243996</v>
          </cell>
          <cell r="C103">
            <v>2026601091.508801</v>
          </cell>
          <cell r="D103">
            <v>2146738021.2504005</v>
          </cell>
          <cell r="E103">
            <v>2469320579.6544008</v>
          </cell>
          <cell r="F103">
            <v>2788336836.7452006</v>
          </cell>
          <cell r="H103">
            <v>3617656174.6704035</v>
          </cell>
          <cell r="I103">
            <v>2379953066.105999</v>
          </cell>
          <cell r="J103">
            <v>2688650922.6347976</v>
          </cell>
          <cell r="K103">
            <v>2624134364.3399982</v>
          </cell>
          <cell r="L103">
            <v>3670580938.4196005</v>
          </cell>
          <cell r="M103">
            <v>2748094406.4863968</v>
          </cell>
        </row>
        <row r="104">
          <cell r="B104">
            <v>2867394216.1259985</v>
          </cell>
          <cell r="C104">
            <v>3070218140.3087988</v>
          </cell>
          <cell r="D104">
            <v>3177216015.1704016</v>
          </cell>
          <cell r="E104">
            <v>3602809802.7924027</v>
          </cell>
          <cell r="F104">
            <v>3956080219.7592015</v>
          </cell>
          <cell r="H104">
            <v>4777903202.3652048</v>
          </cell>
          <cell r="I104">
            <v>3544825973.907599</v>
          </cell>
          <cell r="J104">
            <v>3859085024.4288011</v>
          </cell>
          <cell r="K104">
            <v>3794102863.9404016</v>
          </cell>
          <cell r="L104">
            <v>4844252207.2476006</v>
          </cell>
          <cell r="M104">
            <v>3918366643.8972025</v>
          </cell>
        </row>
        <row r="105">
          <cell r="B105">
            <v>4252605858.471601</v>
          </cell>
          <cell r="C105">
            <v>4543327943.2079964</v>
          </cell>
          <cell r="D105">
            <v>4678305340.2396021</v>
          </cell>
          <cell r="E105">
            <v>5216665191.7668047</v>
          </cell>
          <cell r="F105">
            <v>5686546336.3463955</v>
          </cell>
          <cell r="H105">
            <v>6576549876.2795992</v>
          </cell>
          <cell r="I105">
            <v>5232279421.969202</v>
          </cell>
          <cell r="J105">
            <v>5578495938.5051975</v>
          </cell>
          <cell r="K105">
            <v>5507193282.8675928</v>
          </cell>
          <cell r="L105">
            <v>6639069936.1883984</v>
          </cell>
          <cell r="M105">
            <v>5643219735.556797</v>
          </cell>
        </row>
        <row r="106">
          <cell r="B106">
            <v>5815808918.0003939</v>
          </cell>
          <cell r="C106">
            <v>6180483758.644803</v>
          </cell>
          <cell r="D106">
            <v>6352006712.3111973</v>
          </cell>
          <cell r="E106">
            <v>6998969010.1487989</v>
          </cell>
          <cell r="F106">
            <v>7594451938.3811913</v>
          </cell>
          <cell r="H106">
            <v>8515292029.3740005</v>
          </cell>
          <cell r="I106">
            <v>7113574714.570796</v>
          </cell>
          <cell r="J106">
            <v>7476973534.2551956</v>
          </cell>
          <cell r="K106">
            <v>7402295244.7668037</v>
          </cell>
          <cell r="L106">
            <v>8581396824.1680107</v>
          </cell>
          <cell r="M106">
            <v>7545136947.5039902</v>
          </cell>
        </row>
        <row r="107">
          <cell r="B107">
            <v>7681843583.3987999</v>
          </cell>
          <cell r="C107">
            <v>8138353074.2327871</v>
          </cell>
          <cell r="D107">
            <v>8336651710.3259964</v>
          </cell>
          <cell r="E107">
            <v>9158926067.1923981</v>
          </cell>
          <cell r="F107">
            <v>9924664945.8791924</v>
          </cell>
          <cell r="H107">
            <v>10907677536.779999</v>
          </cell>
          <cell r="I107">
            <v>9355307513.1732063</v>
          </cell>
          <cell r="J107">
            <v>9757352612.1275921</v>
          </cell>
          <cell r="K107">
            <v>9673747071.9839993</v>
          </cell>
          <cell r="L107">
            <v>11007880500.093596</v>
          </cell>
          <cell r="M107">
            <v>9832623746.3736172</v>
          </cell>
        </row>
        <row r="108">
          <cell r="B108">
            <v>10867807167.724808</v>
          </cell>
          <cell r="C108">
            <v>11468810050.161604</v>
          </cell>
          <cell r="D108">
            <v>11752439473.851614</v>
          </cell>
          <cell r="E108">
            <v>12811003391.696405</v>
          </cell>
          <cell r="F108">
            <v>13868375908.696798</v>
          </cell>
          <cell r="H108">
            <v>14961451047.900013</v>
          </cell>
          <cell r="I108">
            <v>13225034327.228409</v>
          </cell>
          <cell r="J108">
            <v>13677782962.408796</v>
          </cell>
          <cell r="K108">
            <v>13584785096.745602</v>
          </cell>
          <cell r="L108">
            <v>15058783808.942419</v>
          </cell>
          <cell r="M108">
            <v>13762305066.147594</v>
          </cell>
        </row>
        <row r="109">
          <cell r="B109">
            <v>22471109579.469608</v>
          </cell>
          <cell r="C109">
            <v>23451922157.848812</v>
          </cell>
          <cell r="D109">
            <v>23973436018.43401</v>
          </cell>
          <cell r="E109">
            <v>25742903111.634029</v>
          </cell>
          <cell r="F109">
            <v>27934027296.347992</v>
          </cell>
          <cell r="H109">
            <v>29137001541.003632</v>
          </cell>
          <cell r="I109">
            <v>27220185456.540012</v>
          </cell>
          <cell r="J109">
            <v>27716288078.584846</v>
          </cell>
          <cell r="K109">
            <v>27614527126.384781</v>
          </cell>
          <cell r="L109">
            <v>29227750407.67923</v>
          </cell>
          <cell r="M109">
            <v>27808681470.032387</v>
          </cell>
        </row>
        <row r="110">
          <cell r="B110">
            <v>56574474559.379906</v>
          </cell>
          <cell r="C110">
            <v>59708177410.230042</v>
          </cell>
          <cell r="D110">
            <v>61364771129.596924</v>
          </cell>
          <cell r="E110">
            <v>67305027121.266037</v>
          </cell>
          <cell r="F110">
            <v>73283586538.071289</v>
          </cell>
          <cell r="H110">
            <v>81408061998.949081</v>
          </cell>
          <cell r="I110">
            <v>69011942190.759583</v>
          </cell>
          <cell r="J110">
            <v>72119339440.462738</v>
          </cell>
          <cell r="K110">
            <v>71473603658.180481</v>
          </cell>
          <cell r="L110">
            <v>82088147191.373947</v>
          </cell>
          <cell r="M110">
            <v>72707963494.293518</v>
          </cell>
        </row>
        <row r="118">
          <cell r="B118">
            <v>5981079759.9636002</v>
          </cell>
          <cell r="C118">
            <v>6190938350.7467976</v>
          </cell>
          <cell r="D118">
            <v>6331803935.8836012</v>
          </cell>
          <cell r="E118">
            <v>6781129664.8091946</v>
          </cell>
          <cell r="F118">
            <v>7384796319.3107986</v>
          </cell>
        </row>
        <row r="119">
          <cell r="B119">
            <v>13228336812.1152</v>
          </cell>
          <cell r="C119">
            <v>13616261102.16959</v>
          </cell>
          <cell r="D119">
            <v>13941608182.947596</v>
          </cell>
          <cell r="E119">
            <v>14821061442.913197</v>
          </cell>
          <cell r="F119">
            <v>16359976496.474388</v>
          </cell>
        </row>
        <row r="120">
          <cell r="B120">
            <v>16300934634.87001</v>
          </cell>
          <cell r="C120">
            <v>16764428377.793982</v>
          </cell>
          <cell r="D120">
            <v>17127267700.054779</v>
          </cell>
          <cell r="E120">
            <v>18129284407.220383</v>
          </cell>
          <cell r="F120">
            <v>20006150303.562027</v>
          </cell>
        </row>
        <row r="121">
          <cell r="B121">
            <v>19440481383.124813</v>
          </cell>
          <cell r="C121">
            <v>20008369349.20322</v>
          </cell>
          <cell r="D121">
            <v>20430077257.466393</v>
          </cell>
          <cell r="E121">
            <v>21653169597.208817</v>
          </cell>
          <cell r="F121">
            <v>23832293099.824802</v>
          </cell>
        </row>
        <row r="122">
          <cell r="B122">
            <v>21748542437.44442</v>
          </cell>
          <cell r="C122">
            <v>22484790947.239189</v>
          </cell>
          <cell r="D122">
            <v>22886090358.089996</v>
          </cell>
          <cell r="E122">
            <v>24276449142.471603</v>
          </cell>
          <cell r="F122">
            <v>26527869930.672012</v>
          </cell>
        </row>
        <row r="123">
          <cell r="B123">
            <v>25952553746.482796</v>
          </cell>
          <cell r="C123">
            <v>26886681796.60321</v>
          </cell>
          <cell r="D123">
            <v>27333765636.543587</v>
          </cell>
          <cell r="E123">
            <v>28988833704.843613</v>
          </cell>
          <cell r="F123">
            <v>31579760042.347176</v>
          </cell>
        </row>
        <row r="124">
          <cell r="B124">
            <v>29668272581.229645</v>
          </cell>
          <cell r="C124">
            <v>30745607836.572018</v>
          </cell>
          <cell r="D124">
            <v>31245071752.501221</v>
          </cell>
          <cell r="E124">
            <v>33124811013.602463</v>
          </cell>
          <cell r="F124">
            <v>35993310079.297226</v>
          </cell>
        </row>
        <row r="125">
          <cell r="B125">
            <v>34809441649.048813</v>
          </cell>
          <cell r="C125">
            <v>36089334341.010025</v>
          </cell>
          <cell r="D125">
            <v>36649557847.146019</v>
          </cell>
          <cell r="E125">
            <v>38807381232.49678</v>
          </cell>
          <cell r="F125">
            <v>42126652070.261978</v>
          </cell>
        </row>
        <row r="126">
          <cell r="B126">
            <v>43129454573.426346</v>
          </cell>
          <cell r="C126">
            <v>44712939056.201996</v>
          </cell>
          <cell r="D126">
            <v>45418533197.139542</v>
          </cell>
          <cell r="E126">
            <v>48164660944.429199</v>
          </cell>
          <cell r="F126">
            <v>52238301001.257584</v>
          </cell>
        </row>
        <row r="127">
          <cell r="B127">
            <v>69182066277.578415</v>
          </cell>
          <cell r="C127">
            <v>71488043336.674744</v>
          </cell>
          <cell r="D127">
            <v>72742777228.044022</v>
          </cell>
          <cell r="E127">
            <v>77080862461.244522</v>
          </cell>
          <cell r="F127">
            <v>83722693112.823547</v>
          </cell>
        </row>
        <row r="128">
          <cell r="B128">
            <v>279441163855.28442</v>
          </cell>
          <cell r="C128">
            <v>288987394494.21729</v>
          </cell>
          <cell r="D128">
            <v>294106553095.81616</v>
          </cell>
          <cell r="E128">
            <v>311827643611.23987</v>
          </cell>
          <cell r="F128">
            <v>339771802455.83289</v>
          </cell>
        </row>
      </sheetData>
      <sheetData sheetId="2"/>
      <sheetData sheetId="3"/>
      <sheetData sheetId="4"/>
      <sheetData sheetId="5"/>
      <sheetData sheetId="6">
        <row r="7">
          <cell r="B7">
            <v>0.33621701890483702</v>
          </cell>
        </row>
      </sheetData>
      <sheetData sheetId="7"/>
      <sheetData sheetId="8"/>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mmary"/>
      <sheetName val="Structure"/>
      <sheetName val="Sheet 1"/>
    </sheetNames>
    <sheetDataSet>
      <sheetData sheetId="0" refreshError="1"/>
      <sheetData sheetId="1" refreshError="1"/>
      <sheetData sheetId="2">
        <row r="17">
          <cell r="B17">
            <v>126.07</v>
          </cell>
          <cell r="N17">
            <v>0.15802329951146188</v>
          </cell>
          <cell r="O17">
            <v>0.16980606847916868</v>
          </cell>
        </row>
      </sheetData>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mmary"/>
      <sheetName val="Structure"/>
      <sheetName val="Sheet 1"/>
    </sheetNames>
    <sheetDataSet>
      <sheetData sheetId="0"/>
      <sheetData sheetId="1"/>
      <sheetData sheetId="2">
        <row r="14">
          <cell r="I14">
            <v>479444.9</v>
          </cell>
          <cell r="J14">
            <v>463750.9</v>
          </cell>
          <cell r="K14">
            <v>506023.2</v>
          </cell>
          <cell r="L14">
            <v>563543.6</v>
          </cell>
          <cell r="M14">
            <v>596320.6</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fo on source"/>
      <sheetName val="Summary"/>
      <sheetName val="Structure"/>
      <sheetName val="Sheet 1"/>
    </sheetNames>
    <sheetDataSet>
      <sheetData sheetId="0" refreshError="1"/>
      <sheetData sheetId="1" refreshError="1"/>
      <sheetData sheetId="2" refreshError="1"/>
      <sheetData sheetId="3">
        <row r="47">
          <cell r="M47">
            <v>53857.599999999999</v>
          </cell>
          <cell r="O47">
            <v>54002.7</v>
          </cell>
          <cell r="Q47">
            <v>56806.400000000001</v>
          </cell>
          <cell r="S47">
            <v>65872.600000000006</v>
          </cell>
          <cell r="U47">
            <v>69325.100000000006</v>
          </cell>
        </row>
      </sheetData>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1. Fiscal"/>
      <sheetName val="2. Distributional by deciles o"/>
      <sheetName val="2. Distributional by HH type"/>
      <sheetName val="2. Distributional by employmen"/>
      <sheetName val="2. Distributional by gender"/>
      <sheetName val="2. Distributional by age group"/>
      <sheetName val="3. Inequality and Poverty"/>
      <sheetName val="Parameter settings"/>
      <sheetName val="Metadata"/>
    </sheetNames>
    <sheetDataSet>
      <sheetData sheetId="0"/>
      <sheetData sheetId="1">
        <row r="28">
          <cell r="H28">
            <v>0</v>
          </cell>
        </row>
        <row r="29">
          <cell r="H29">
            <v>1.1226514114122465E-2</v>
          </cell>
        </row>
        <row r="30">
          <cell r="H30">
            <v>0.11414145619687545</v>
          </cell>
        </row>
        <row r="31">
          <cell r="H31">
            <v>0.18915928226241066</v>
          </cell>
        </row>
        <row r="32">
          <cell r="H32">
            <v>0.24798199312197944</v>
          </cell>
        </row>
        <row r="33">
          <cell r="H33">
            <v>0.50875794193753976</v>
          </cell>
        </row>
        <row r="34">
          <cell r="H34">
            <v>0.72753831045774642</v>
          </cell>
        </row>
        <row r="35">
          <cell r="H35">
            <v>0.92452999370358024</v>
          </cell>
        </row>
        <row r="36">
          <cell r="H36">
            <v>1</v>
          </cell>
        </row>
        <row r="37">
          <cell r="H37">
            <v>1</v>
          </cell>
        </row>
        <row r="38">
          <cell r="H38">
            <v>0.45491678830840593</v>
          </cell>
        </row>
        <row r="64">
          <cell r="B64">
            <v>0</v>
          </cell>
          <cell r="C64">
            <v>0</v>
          </cell>
          <cell r="D64">
            <v>0</v>
          </cell>
          <cell r="E64">
            <v>0</v>
          </cell>
          <cell r="F64">
            <v>0</v>
          </cell>
        </row>
        <row r="65">
          <cell r="B65">
            <v>171581.10359999997</v>
          </cell>
          <cell r="C65">
            <v>189038.80079999997</v>
          </cell>
          <cell r="D65">
            <v>173291.7708</v>
          </cell>
          <cell r="E65">
            <v>173291.7708</v>
          </cell>
          <cell r="F65">
            <v>173291.7708</v>
          </cell>
        </row>
        <row r="66">
          <cell r="B66">
            <v>1444605.2795999995</v>
          </cell>
          <cell r="C66">
            <v>1598354.7683999999</v>
          </cell>
          <cell r="D66">
            <v>1459086.5772000002</v>
          </cell>
          <cell r="E66">
            <v>1459086.5772000002</v>
          </cell>
          <cell r="F66">
            <v>1459086.5772000002</v>
          </cell>
        </row>
        <row r="67">
          <cell r="B67">
            <v>4897896.5928000007</v>
          </cell>
          <cell r="C67">
            <v>5186680.6283999979</v>
          </cell>
          <cell r="D67">
            <v>4946873.9603999993</v>
          </cell>
          <cell r="E67">
            <v>4946873.9603999993</v>
          </cell>
          <cell r="F67">
            <v>4946873.9603999993</v>
          </cell>
        </row>
        <row r="68">
          <cell r="B68">
            <v>7657774.2671999969</v>
          </cell>
          <cell r="C68">
            <v>8065245.344399998</v>
          </cell>
          <cell r="D68">
            <v>7734398.7948000003</v>
          </cell>
          <cell r="E68">
            <v>7734514.5923999995</v>
          </cell>
          <cell r="F68">
            <v>7734398.7948000003</v>
          </cell>
        </row>
        <row r="69">
          <cell r="B69">
            <v>18900665.572800003</v>
          </cell>
          <cell r="C69">
            <v>19756719.248400003</v>
          </cell>
          <cell r="D69">
            <v>19089936.580799993</v>
          </cell>
          <cell r="E69">
            <v>19090269.121199992</v>
          </cell>
          <cell r="F69">
            <v>19089936.580799993</v>
          </cell>
        </row>
        <row r="70">
          <cell r="B70">
            <v>36663739.255200014</v>
          </cell>
          <cell r="C70">
            <v>38067248.074800014</v>
          </cell>
          <cell r="D70">
            <v>37030769.818800002</v>
          </cell>
          <cell r="E70">
            <v>37031665.143600009</v>
          </cell>
          <cell r="F70">
            <v>37030769.818800002</v>
          </cell>
        </row>
        <row r="71">
          <cell r="B71">
            <v>72276274.721999973</v>
          </cell>
          <cell r="C71">
            <v>74638770.559200019</v>
          </cell>
          <cell r="D71">
            <v>73000432.39320007</v>
          </cell>
          <cell r="E71">
            <v>73000935.735600069</v>
          </cell>
          <cell r="F71">
            <v>73000432.39320007</v>
          </cell>
        </row>
        <row r="72">
          <cell r="B72">
            <v>148158378.20040005</v>
          </cell>
          <cell r="C72">
            <v>152138390.26679999</v>
          </cell>
          <cell r="D72">
            <v>149640868.9907999</v>
          </cell>
          <cell r="E72">
            <v>149643839.40719992</v>
          </cell>
          <cell r="F72">
            <v>149640868.9907999</v>
          </cell>
        </row>
        <row r="73">
          <cell r="B73">
            <v>530805150.88799989</v>
          </cell>
          <cell r="C73">
            <v>540202565.34119999</v>
          </cell>
          <cell r="D73">
            <v>536126562.56040049</v>
          </cell>
          <cell r="E73">
            <v>536143387.13640058</v>
          </cell>
          <cell r="F73">
            <v>536126562.56040049</v>
          </cell>
        </row>
        <row r="74">
          <cell r="B74">
            <v>820976065.88159847</v>
          </cell>
          <cell r="C74">
            <v>839843013.03240013</v>
          </cell>
          <cell r="D74">
            <v>829202221.44719982</v>
          </cell>
          <cell r="E74">
            <v>829223863.4447999</v>
          </cell>
          <cell r="F74">
            <v>829202221.44719982</v>
          </cell>
        </row>
        <row r="82">
          <cell r="B82">
            <v>158834700.31079999</v>
          </cell>
          <cell r="C82">
            <v>160423059.43680018</v>
          </cell>
        </row>
        <row r="83">
          <cell r="B83">
            <v>449025937.7856003</v>
          </cell>
          <cell r="C83">
            <v>453516514.30559981</v>
          </cell>
        </row>
        <row r="84">
          <cell r="B84">
            <v>583105106.69279981</v>
          </cell>
          <cell r="C84">
            <v>588936526.73160028</v>
          </cell>
        </row>
        <row r="85">
          <cell r="B85">
            <v>751519171.31400013</v>
          </cell>
          <cell r="C85">
            <v>759034697.26560009</v>
          </cell>
        </row>
        <row r="86">
          <cell r="B86">
            <v>901035152.07240009</v>
          </cell>
          <cell r="C86">
            <v>910045828.04759955</v>
          </cell>
        </row>
        <row r="87">
          <cell r="B87">
            <v>1040127358.4088004</v>
          </cell>
          <cell r="C87">
            <v>1050528960.6251997</v>
          </cell>
        </row>
        <row r="88">
          <cell r="B88">
            <v>1220635100.7299998</v>
          </cell>
          <cell r="C88">
            <v>1232841747.1704001</v>
          </cell>
        </row>
        <row r="89">
          <cell r="B89">
            <v>1474001897.577601</v>
          </cell>
          <cell r="C89">
            <v>1488742119.2844012</v>
          </cell>
        </row>
        <row r="90">
          <cell r="B90">
            <v>1936184520.7560005</v>
          </cell>
          <cell r="C90">
            <v>1955546531.9459996</v>
          </cell>
        </row>
        <row r="91">
          <cell r="B91">
            <v>3337783469.3807974</v>
          </cell>
          <cell r="C91">
            <v>3371161449.6084003</v>
          </cell>
        </row>
        <row r="92">
          <cell r="B92">
            <v>11852252415.028801</v>
          </cell>
          <cell r="C92">
            <v>11970777434.421612</v>
          </cell>
        </row>
        <row r="100">
          <cell r="B100">
            <v>92026406.803200006</v>
          </cell>
        </row>
        <row r="101">
          <cell r="B101">
            <v>217520444.21039999</v>
          </cell>
        </row>
        <row r="102">
          <cell r="B102">
            <v>364990566.49080008</v>
          </cell>
        </row>
        <row r="103">
          <cell r="B103">
            <v>524059130.5644002</v>
          </cell>
        </row>
        <row r="104">
          <cell r="B104">
            <v>666312841.1796</v>
          </cell>
        </row>
        <row r="105">
          <cell r="B105">
            <v>809371984.30319989</v>
          </cell>
        </row>
        <row r="106">
          <cell r="B106">
            <v>973869772.68599939</v>
          </cell>
        </row>
        <row r="107">
          <cell r="B107">
            <v>1156112371.3620009</v>
          </cell>
        </row>
        <row r="108">
          <cell r="B108">
            <v>1482396584.7624002</v>
          </cell>
        </row>
        <row r="109">
          <cell r="B109">
            <v>2468622534.6779985</v>
          </cell>
        </row>
        <row r="110">
          <cell r="B110">
            <v>8755282637.0400085</v>
          </cell>
        </row>
        <row r="118">
          <cell r="B118">
            <v>51722071.288799956</v>
          </cell>
        </row>
        <row r="119">
          <cell r="B119">
            <v>182596130.28120002</v>
          </cell>
        </row>
        <row r="120">
          <cell r="B120">
            <v>144287719.17719999</v>
          </cell>
        </row>
        <row r="121">
          <cell r="B121">
            <v>127276172.70479998</v>
          </cell>
        </row>
        <row r="122">
          <cell r="B122">
            <v>104344760.77320001</v>
          </cell>
        </row>
        <row r="123">
          <cell r="B123">
            <v>97405130.140800014</v>
          </cell>
        </row>
        <row r="124">
          <cell r="B124">
            <v>112380895.62000002</v>
          </cell>
        </row>
        <row r="125">
          <cell r="B125">
            <v>162914737.17239997</v>
          </cell>
        </row>
        <row r="126">
          <cell r="B126">
            <v>287927671.06440002</v>
          </cell>
        </row>
        <row r="127">
          <cell r="B127">
            <v>581413459.17360008</v>
          </cell>
        </row>
        <row r="128">
          <cell r="B128">
            <v>1852268747.3964009</v>
          </cell>
        </row>
        <row r="136">
          <cell r="B136">
            <v>12856170.0264</v>
          </cell>
        </row>
        <row r="137">
          <cell r="B137">
            <v>46237922.047200017</v>
          </cell>
        </row>
        <row r="138">
          <cell r="B138">
            <v>69701247.161999941</v>
          </cell>
        </row>
        <row r="139">
          <cell r="B139">
            <v>87035978.476800025</v>
          </cell>
        </row>
        <row r="140">
          <cell r="B140">
            <v>113201989.5684</v>
          </cell>
        </row>
        <row r="141">
          <cell r="B141">
            <v>114602064.73800004</v>
          </cell>
        </row>
        <row r="142">
          <cell r="B142">
            <v>118231107.1284</v>
          </cell>
        </row>
        <row r="143">
          <cell r="B143">
            <v>127581997.79279999</v>
          </cell>
        </row>
        <row r="144">
          <cell r="B144">
            <v>131220199.89239997</v>
          </cell>
        </row>
        <row r="145">
          <cell r="B145">
            <v>191814334.02479997</v>
          </cell>
        </row>
        <row r="146">
          <cell r="B146">
            <v>1012483010.8572013</v>
          </cell>
        </row>
        <row r="154">
          <cell r="B154">
            <v>2230166.7611999996</v>
          </cell>
        </row>
        <row r="155">
          <cell r="B155">
            <v>2671511.6483999998</v>
          </cell>
        </row>
        <row r="156">
          <cell r="B156">
            <v>4125579.3840000001</v>
          </cell>
        </row>
        <row r="157">
          <cell r="B157">
            <v>13147837.7436</v>
          </cell>
        </row>
        <row r="158">
          <cell r="B158">
            <v>17175650.520000003</v>
          </cell>
        </row>
        <row r="159">
          <cell r="B159">
            <v>18748135.230000004</v>
          </cell>
        </row>
        <row r="160">
          <cell r="B160">
            <v>16153318.173600001</v>
          </cell>
        </row>
        <row r="161">
          <cell r="B161">
            <v>27392860.852800004</v>
          </cell>
        </row>
        <row r="162">
          <cell r="B162">
            <v>34640103.117600001</v>
          </cell>
        </row>
        <row r="163">
          <cell r="B163">
            <v>95933095.789200023</v>
          </cell>
        </row>
        <row r="164">
          <cell r="B164">
            <v>232218259.22039998</v>
          </cell>
        </row>
      </sheetData>
      <sheetData sheetId="2"/>
      <sheetData sheetId="3"/>
      <sheetData sheetId="4"/>
      <sheetData sheetId="5"/>
      <sheetData sheetId="6">
        <row r="7">
          <cell r="B7">
            <v>0.38361613359825297</v>
          </cell>
          <cell r="C7">
            <v>0.38361604515872599</v>
          </cell>
        </row>
        <row r="8">
          <cell r="B8">
            <v>0.35429543801874203</v>
          </cell>
          <cell r="C8">
            <v>0.35406859008448799</v>
          </cell>
        </row>
        <row r="34">
          <cell r="B34">
            <v>0.39873029251767</v>
          </cell>
          <cell r="C34">
            <v>0.39638892694965899</v>
          </cell>
        </row>
      </sheetData>
      <sheetData sheetId="7"/>
      <sheetData sheetId="8"/>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1. Fiscal"/>
      <sheetName val="2. Distributional by deciles o"/>
      <sheetName val="2. Distributional by HH type"/>
      <sheetName val="2. Distributional by employmen"/>
      <sheetName val="2. Distributional by gender"/>
      <sheetName val="2. Distributional by age group"/>
      <sheetName val="3. Inequality and Poverty"/>
      <sheetName val="Parameter settings"/>
      <sheetName val="Metadata"/>
    </sheetNames>
    <sheetDataSet>
      <sheetData sheetId="0"/>
      <sheetData sheetId="1">
        <row r="28">
          <cell r="H28">
            <v>0</v>
          </cell>
        </row>
        <row r="29">
          <cell r="H29">
            <v>0</v>
          </cell>
        </row>
        <row r="30">
          <cell r="H30">
            <v>450.64000000000033</v>
          </cell>
        </row>
        <row r="31">
          <cell r="H31">
            <v>289.93000000000029</v>
          </cell>
        </row>
        <row r="32">
          <cell r="H32">
            <v>432.86000000000058</v>
          </cell>
        </row>
        <row r="33">
          <cell r="H33">
            <v>475.77000000000044</v>
          </cell>
        </row>
        <row r="34">
          <cell r="H34">
            <v>120.43000000000029</v>
          </cell>
        </row>
        <row r="35">
          <cell r="H35">
            <v>35.079999999998108</v>
          </cell>
        </row>
        <row r="36">
          <cell r="H36">
            <v>0</v>
          </cell>
        </row>
        <row r="37">
          <cell r="H37">
            <v>0</v>
          </cell>
        </row>
        <row r="38">
          <cell r="H38">
            <v>1804.710000000021</v>
          </cell>
        </row>
        <row r="64">
          <cell r="B64">
            <v>0</v>
          </cell>
          <cell r="C64">
            <v>0</v>
          </cell>
          <cell r="D64">
            <v>0</v>
          </cell>
          <cell r="E64">
            <v>0</v>
          </cell>
          <cell r="F64">
            <v>0</v>
          </cell>
        </row>
        <row r="65">
          <cell r="B65">
            <v>456150.25080000004</v>
          </cell>
          <cell r="C65">
            <v>508094.36640000006</v>
          </cell>
          <cell r="D65">
            <v>460719.89640000009</v>
          </cell>
          <cell r="E65">
            <v>51944.115600000019</v>
          </cell>
          <cell r="F65">
            <v>4569.6456000000471</v>
          </cell>
        </row>
        <row r="66">
          <cell r="B66">
            <v>3721783.0019999994</v>
          </cell>
          <cell r="C66">
            <v>3947898.1620000014</v>
          </cell>
          <cell r="D66">
            <v>3759049.3476</v>
          </cell>
          <cell r="E66">
            <v>226115.16000000015</v>
          </cell>
          <cell r="F66">
            <v>37266.345600000117</v>
          </cell>
        </row>
        <row r="67">
          <cell r="B67">
            <v>9260869.3727999981</v>
          </cell>
          <cell r="C67">
            <v>9720096.7776000015</v>
          </cell>
          <cell r="D67">
            <v>9353558.4768000022</v>
          </cell>
          <cell r="E67">
            <v>459227.40479999967</v>
          </cell>
          <cell r="F67">
            <v>92689.104000000283</v>
          </cell>
        </row>
        <row r="68">
          <cell r="B68">
            <v>13628937.457200006</v>
          </cell>
          <cell r="C68">
            <v>14296984.383600011</v>
          </cell>
          <cell r="D68">
            <v>13765329.406799998</v>
          </cell>
          <cell r="E68">
            <v>668046.92640000023</v>
          </cell>
          <cell r="F68">
            <v>136391.94959999993</v>
          </cell>
        </row>
        <row r="69">
          <cell r="B69">
            <v>30548560.776000015</v>
          </cell>
          <cell r="C69">
            <v>31765345.990800023</v>
          </cell>
          <cell r="D69">
            <v>30854791.04999999</v>
          </cell>
          <cell r="E69">
            <v>1216785.2148000002</v>
          </cell>
          <cell r="F69">
            <v>306230.27400000021</v>
          </cell>
        </row>
        <row r="70">
          <cell r="B70">
            <v>56865055.091999955</v>
          </cell>
          <cell r="C70">
            <v>58860648.481200039</v>
          </cell>
          <cell r="D70">
            <v>57435331.046399988</v>
          </cell>
          <cell r="E70">
            <v>1995593.389200002</v>
          </cell>
          <cell r="F70">
            <v>570275.95440000296</v>
          </cell>
        </row>
        <row r="71">
          <cell r="B71">
            <v>104692027.42320001</v>
          </cell>
          <cell r="C71">
            <v>107783886.07559994</v>
          </cell>
          <cell r="D71">
            <v>105740720.34720008</v>
          </cell>
          <cell r="E71">
            <v>3091858.6524000019</v>
          </cell>
          <cell r="F71">
            <v>1048692.9240000099</v>
          </cell>
        </row>
        <row r="72">
          <cell r="B72">
            <v>197399900.55359992</v>
          </cell>
          <cell r="C72">
            <v>202282634.35320002</v>
          </cell>
          <cell r="D72">
            <v>199376117.52719998</v>
          </cell>
          <cell r="E72">
            <v>4882733.7995999753</v>
          </cell>
          <cell r="F72">
            <v>1976216.9736000001</v>
          </cell>
        </row>
        <row r="73">
          <cell r="B73">
            <v>645291509.63400006</v>
          </cell>
          <cell r="C73">
            <v>656171287.58159995</v>
          </cell>
          <cell r="D73">
            <v>651773222.28599977</v>
          </cell>
          <cell r="E73">
            <v>10879777.947600007</v>
          </cell>
          <cell r="F73">
            <v>6481712.6520000696</v>
          </cell>
        </row>
        <row r="74">
          <cell r="B74">
            <v>1061864793.5615985</v>
          </cell>
          <cell r="C74">
            <v>1085336876.1720004</v>
          </cell>
          <cell r="D74">
            <v>1072518839.3843992</v>
          </cell>
          <cell r="E74">
            <v>23472082.610399961</v>
          </cell>
          <cell r="F74">
            <v>10654045.82280004</v>
          </cell>
        </row>
        <row r="82">
          <cell r="B82">
            <v>179209423.88160008</v>
          </cell>
          <cell r="C82">
            <v>181001868.57120013</v>
          </cell>
        </row>
        <row r="83">
          <cell r="B83">
            <v>503928892.30199987</v>
          </cell>
          <cell r="C83">
            <v>508968520.96080011</v>
          </cell>
        </row>
        <row r="84">
          <cell r="B84">
            <v>661911610.21679974</v>
          </cell>
          <cell r="C84">
            <v>668530564.33080006</v>
          </cell>
        </row>
        <row r="85">
          <cell r="B85">
            <v>846837666.04079962</v>
          </cell>
          <cell r="C85">
            <v>855306135.85200071</v>
          </cell>
        </row>
        <row r="86">
          <cell r="B86">
            <v>1026792999.4824003</v>
          </cell>
          <cell r="C86">
            <v>1037061094.9859996</v>
          </cell>
        </row>
        <row r="87">
          <cell r="B87">
            <v>1177027654.3775995</v>
          </cell>
          <cell r="C87">
            <v>1188797852.8691998</v>
          </cell>
        </row>
        <row r="88">
          <cell r="B88">
            <v>1390858775.244</v>
          </cell>
          <cell r="C88">
            <v>1404767277.9383981</v>
          </cell>
        </row>
        <row r="89">
          <cell r="B89">
            <v>1678767046.5816014</v>
          </cell>
          <cell r="C89">
            <v>1695554677.6967993</v>
          </cell>
        </row>
        <row r="90">
          <cell r="B90">
            <v>2201792634.4728017</v>
          </cell>
          <cell r="C90">
            <v>2223810591.7151999</v>
          </cell>
        </row>
        <row r="91">
          <cell r="B91">
            <v>3769670618.7503986</v>
          </cell>
          <cell r="C91">
            <v>3807367700.6795988</v>
          </cell>
        </row>
        <row r="92">
          <cell r="B92">
            <v>13436797321.349995</v>
          </cell>
          <cell r="C92">
            <v>13571166285.599972</v>
          </cell>
        </row>
      </sheetData>
      <sheetData sheetId="2"/>
      <sheetData sheetId="3"/>
      <sheetData sheetId="4"/>
      <sheetData sheetId="5"/>
      <sheetData sheetId="6"/>
      <sheetData sheetId="7"/>
      <sheetData sheetId="8"/>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Fiscal"/>
      <sheetName val="2. Distributional by deciles o"/>
      <sheetName val="2. Distributional by HH type"/>
      <sheetName val="2. Distributional by employmen"/>
      <sheetName val="2. Distributional by gender"/>
      <sheetName val="2. Distributional by age group"/>
      <sheetName val="3. Inequality and Poverty"/>
      <sheetName val="Parameter settings"/>
      <sheetName val="Metadata"/>
    </sheetNames>
    <sheetDataSet>
      <sheetData sheetId="0">
        <row r="11">
          <cell r="D11">
            <v>835138849.96559882</v>
          </cell>
          <cell r="E11">
            <v>824020020.01920009</v>
          </cell>
          <cell r="F11">
            <v>822031196.54399896</v>
          </cell>
          <cell r="G11">
            <v>821299003.90799856</v>
          </cell>
        </row>
        <row r="134">
          <cell r="D134">
            <v>11939806408.486814</v>
          </cell>
          <cell r="E134">
            <v>11870776038.994839</v>
          </cell>
          <cell r="F134">
            <v>11862377754.595234</v>
          </cell>
          <cell r="G134">
            <v>11854574741.994041</v>
          </cell>
        </row>
      </sheetData>
      <sheetData sheetId="1"/>
      <sheetData sheetId="2"/>
      <sheetData sheetId="3"/>
      <sheetData sheetId="4"/>
      <sheetData sheetId="5"/>
      <sheetData sheetId="6"/>
      <sheetData sheetId="7"/>
      <sheetData sheetId="8"/>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1. Fiscal"/>
      <sheetName val="2. Distributional by deciles o"/>
      <sheetName val="2. Distributional by HH type"/>
      <sheetName val="2. Distributional by employmen"/>
      <sheetName val="2. Distributional by gender"/>
      <sheetName val="2. Distributional by age group"/>
      <sheetName val="3. Inequality and Poverty"/>
      <sheetName val="Parameter settings"/>
      <sheetName val="Metadata"/>
    </sheetNames>
    <sheetDataSet>
      <sheetData sheetId="0">
        <row r="11">
          <cell r="D11">
            <v>1079694436.1628017</v>
          </cell>
          <cell r="E11">
            <v>1065395695.7411996</v>
          </cell>
          <cell r="F11">
            <v>1063222000.2059991</v>
          </cell>
          <cell r="G11">
            <v>1062257765.1731983</v>
          </cell>
        </row>
        <row r="138">
          <cell r="D138">
            <v>13536617621.836779</v>
          </cell>
          <cell r="E138">
            <v>13457162997.752392</v>
          </cell>
          <cell r="F138">
            <v>13448340845.997612</v>
          </cell>
          <cell r="G138">
            <v>13439436413.498413</v>
          </cell>
        </row>
      </sheetData>
      <sheetData sheetId="1"/>
      <sheetData sheetId="2"/>
      <sheetData sheetId="3"/>
      <sheetData sheetId="4"/>
      <sheetData sheetId="5"/>
      <sheetData sheetId="6"/>
      <sheetData sheetId="7"/>
      <sheetData sheetId="8"/>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1. Fiscal"/>
      <sheetName val="2. Distributional by deciles o"/>
      <sheetName val="2. Distributional by HH type"/>
      <sheetName val="2. Distributional by employmen"/>
      <sheetName val="2. Distributional by gender"/>
      <sheetName val="2. Distributional by age group"/>
      <sheetName val="3. Inequality and Poverty"/>
      <sheetName val="Parameter settings"/>
      <sheetName val="Metadata"/>
    </sheetNames>
    <sheetDataSet>
      <sheetData sheetId="0"/>
      <sheetData sheetId="1">
        <row r="28">
          <cell r="M28">
            <v>0</v>
          </cell>
        </row>
        <row r="64">
          <cell r="B64">
            <v>0</v>
          </cell>
          <cell r="C64">
            <v>0</v>
          </cell>
          <cell r="D64">
            <v>0</v>
          </cell>
          <cell r="E64">
            <v>0</v>
          </cell>
          <cell r="F64">
            <v>0</v>
          </cell>
          <cell r="H64">
            <v>0</v>
          </cell>
          <cell r="I64">
            <v>0</v>
          </cell>
          <cell r="J64">
            <v>0</v>
          </cell>
          <cell r="K64">
            <v>0</v>
          </cell>
          <cell r="L64">
            <v>0</v>
          </cell>
        </row>
        <row r="65">
          <cell r="B65">
            <v>171581.10359999997</v>
          </cell>
          <cell r="C65">
            <v>150648.19200000001</v>
          </cell>
          <cell r="D65">
            <v>214135.14240000001</v>
          </cell>
          <cell r="E65">
            <v>296652.96000000002</v>
          </cell>
          <cell r="F65">
            <v>535115.01359999995</v>
          </cell>
          <cell r="H65">
            <v>595333.97040000011</v>
          </cell>
          <cell r="I65">
            <v>200614.5624</v>
          </cell>
          <cell r="J65">
            <v>274665.51</v>
          </cell>
          <cell r="K65">
            <v>205397.60159999999</v>
          </cell>
          <cell r="L65">
            <v>535115.01359999995</v>
          </cell>
        </row>
        <row r="66">
          <cell r="B66">
            <v>1444605.2795999995</v>
          </cell>
          <cell r="C66">
            <v>1261747.7063999996</v>
          </cell>
          <cell r="D66">
            <v>1768850.0244</v>
          </cell>
          <cell r="E66">
            <v>2434274.9172</v>
          </cell>
          <cell r="F66">
            <v>3716031.7091999995</v>
          </cell>
          <cell r="H66">
            <v>4069295.3351999992</v>
          </cell>
          <cell r="I66">
            <v>1802023.5420000004</v>
          </cell>
          <cell r="J66">
            <v>2429316.5976</v>
          </cell>
          <cell r="K66">
            <v>1844984.5019999994</v>
          </cell>
          <cell r="L66">
            <v>3716031.7091999995</v>
          </cell>
        </row>
        <row r="67">
          <cell r="B67">
            <v>4897896.5928000007</v>
          </cell>
          <cell r="C67">
            <v>4493705.4444000013</v>
          </cell>
          <cell r="D67">
            <v>5587530.0336000035</v>
          </cell>
          <cell r="E67">
            <v>6757023.3000000017</v>
          </cell>
          <cell r="F67">
            <v>9175250.6988000013</v>
          </cell>
          <cell r="H67">
            <v>9735197.1396000013</v>
          </cell>
          <cell r="I67">
            <v>5679611.4132000003</v>
          </cell>
          <cell r="J67">
            <v>6761074.6884000022</v>
          </cell>
          <cell r="K67">
            <v>5754646.9523999989</v>
          </cell>
          <cell r="L67">
            <v>9175250.6988000013</v>
          </cell>
        </row>
        <row r="68">
          <cell r="B68">
            <v>7657774.2671999969</v>
          </cell>
          <cell r="C68">
            <v>7068562.7568000015</v>
          </cell>
          <cell r="D68">
            <v>8644022.6424000002</v>
          </cell>
          <cell r="E68">
            <v>10317998.820000002</v>
          </cell>
          <cell r="F68">
            <v>13598803.942800002</v>
          </cell>
          <cell r="H68">
            <v>14499720.028799996</v>
          </cell>
          <cell r="I68">
            <v>8913541.6427999996</v>
          </cell>
          <cell r="J68">
            <v>10375055.604000004</v>
          </cell>
          <cell r="K68">
            <v>9012599.5404000022</v>
          </cell>
          <cell r="L68">
            <v>13598803.942800002</v>
          </cell>
        </row>
        <row r="69">
          <cell r="B69">
            <v>18900665.572800003</v>
          </cell>
          <cell r="C69">
            <v>17743243.622400001</v>
          </cell>
          <cell r="D69">
            <v>20928984.664800018</v>
          </cell>
          <cell r="E69">
            <v>24265873.992000006</v>
          </cell>
          <cell r="F69">
            <v>30762928.537200019</v>
          </cell>
          <cell r="H69">
            <v>32396314.726800002</v>
          </cell>
          <cell r="I69">
            <v>21813812.656800009</v>
          </cell>
          <cell r="J69">
            <v>24764652.394800007</v>
          </cell>
          <cell r="K69">
            <v>22017398.123999987</v>
          </cell>
          <cell r="L69">
            <v>30762928.537200019</v>
          </cell>
        </row>
        <row r="70">
          <cell r="B70">
            <v>36663739.255200014</v>
          </cell>
          <cell r="C70">
            <v>34947900.648000024</v>
          </cell>
          <cell r="D70">
            <v>40063421.780400008</v>
          </cell>
          <cell r="E70">
            <v>45505693.806000017</v>
          </cell>
          <cell r="F70">
            <v>56110070.513999969</v>
          </cell>
          <cell r="H70">
            <v>58617463.892399959</v>
          </cell>
          <cell r="I70">
            <v>42054001.792800002</v>
          </cell>
          <cell r="J70">
            <v>46755457.244400024</v>
          </cell>
          <cell r="K70">
            <v>42376217.979600027</v>
          </cell>
          <cell r="L70">
            <v>56110070.513999969</v>
          </cell>
        </row>
        <row r="71">
          <cell r="B71">
            <v>72276274.721999973</v>
          </cell>
          <cell r="C71">
            <v>69385179.517200008</v>
          </cell>
          <cell r="D71">
            <v>78021963.0264</v>
          </cell>
          <cell r="E71">
            <v>86767807.930800021</v>
          </cell>
          <cell r="F71">
            <v>103206623.12280002</v>
          </cell>
          <cell r="H71">
            <v>106967936.77799995</v>
          </cell>
          <cell r="I71">
            <v>82425299.403600067</v>
          </cell>
          <cell r="J71">
            <v>89641094.510399997</v>
          </cell>
          <cell r="K71">
            <v>82933042.462800011</v>
          </cell>
          <cell r="L71">
            <v>103206623.12280002</v>
          </cell>
        </row>
        <row r="72">
          <cell r="B72">
            <v>148158378.20040005</v>
          </cell>
          <cell r="C72">
            <v>143091823.19400007</v>
          </cell>
          <cell r="D72">
            <v>158206907.63519996</v>
          </cell>
          <cell r="E72">
            <v>171893896.86360013</v>
          </cell>
          <cell r="F72">
            <v>197856408.04919997</v>
          </cell>
          <cell r="H72">
            <v>204342001.18199998</v>
          </cell>
          <cell r="I72">
            <v>168232922.99399996</v>
          </cell>
          <cell r="J72">
            <v>179177259.61799994</v>
          </cell>
          <cell r="K72">
            <v>169012655.10480016</v>
          </cell>
          <cell r="L72">
            <v>197856408.04919997</v>
          </cell>
        </row>
        <row r="73">
          <cell r="B73">
            <v>530805150.88799989</v>
          </cell>
          <cell r="C73">
            <v>519496657.24560034</v>
          </cell>
          <cell r="D73">
            <v>554473037.07719994</v>
          </cell>
          <cell r="E73">
            <v>587910922.88520038</v>
          </cell>
          <cell r="F73">
            <v>646903561.97400022</v>
          </cell>
          <cell r="H73">
            <v>660863164.04880011</v>
          </cell>
          <cell r="I73">
            <v>603998351.07959998</v>
          </cell>
          <cell r="J73">
            <v>621603105.45000017</v>
          </cell>
          <cell r="K73">
            <v>605255009.60159969</v>
          </cell>
          <cell r="L73">
            <v>646903561.97400022</v>
          </cell>
        </row>
        <row r="74">
          <cell r="B74">
            <v>820976065.88159847</v>
          </cell>
          <cell r="C74">
            <v>797639468.32680047</v>
          </cell>
          <cell r="D74">
            <v>867908852.02680087</v>
          </cell>
          <cell r="E74">
            <v>936150145.47480047</v>
          </cell>
          <cell r="F74">
            <v>1061864793.5615985</v>
          </cell>
          <cell r="H74">
            <v>1092086427.1019971</v>
          </cell>
          <cell r="I74">
            <v>935120179.08719921</v>
          </cell>
          <cell r="J74">
            <v>981781681.61760211</v>
          </cell>
          <cell r="K74">
            <v>938411951.86920071</v>
          </cell>
          <cell r="L74">
            <v>1061864793.5615985</v>
          </cell>
        </row>
        <row r="82">
          <cell r="B82">
            <v>158834700.31079999</v>
          </cell>
          <cell r="C82">
            <v>158558511.84119993</v>
          </cell>
          <cell r="D82">
            <v>164948372.45280004</v>
          </cell>
          <cell r="E82">
            <v>169873830.23639983</v>
          </cell>
          <cell r="F82">
            <v>178835902.48680007</v>
          </cell>
        </row>
        <row r="83">
          <cell r="B83">
            <v>449025937.7856003</v>
          </cell>
          <cell r="C83">
            <v>448580869.04999989</v>
          </cell>
          <cell r="D83">
            <v>467093277.46920007</v>
          </cell>
          <cell r="E83">
            <v>479983731.88560051</v>
          </cell>
          <cell r="F83">
            <v>504455303.66039997</v>
          </cell>
        </row>
        <row r="84">
          <cell r="B84">
            <v>583105106.69279981</v>
          </cell>
          <cell r="C84">
            <v>581659850.01600027</v>
          </cell>
          <cell r="D84">
            <v>604944346.48080015</v>
          </cell>
          <cell r="E84">
            <v>624173906.42159951</v>
          </cell>
          <cell r="F84">
            <v>658899401.48399985</v>
          </cell>
        </row>
        <row r="85">
          <cell r="B85">
            <v>751519171.31400013</v>
          </cell>
          <cell r="C85">
            <v>749098335.42359924</v>
          </cell>
          <cell r="D85">
            <v>778595478.93600035</v>
          </cell>
          <cell r="E85">
            <v>805327939.97759962</v>
          </cell>
          <cell r="F85">
            <v>851759720.00759983</v>
          </cell>
        </row>
        <row r="86">
          <cell r="B86">
            <v>901035152.07240009</v>
          </cell>
          <cell r="C86">
            <v>897731098.4052</v>
          </cell>
          <cell r="D86">
            <v>932731251.09959972</v>
          </cell>
          <cell r="E86">
            <v>965979097.60199976</v>
          </cell>
          <cell r="F86">
            <v>1022965257.3156004</v>
          </cell>
        </row>
        <row r="87">
          <cell r="B87">
            <v>1040127358.4088004</v>
          </cell>
          <cell r="C87">
            <v>1036106348.3099992</v>
          </cell>
          <cell r="D87">
            <v>1076325874.1436</v>
          </cell>
          <cell r="E87">
            <v>1115236194.8879998</v>
          </cell>
          <cell r="F87">
            <v>1181747321.8307989</v>
          </cell>
        </row>
        <row r="88">
          <cell r="B88">
            <v>1220635100.7299998</v>
          </cell>
          <cell r="C88">
            <v>1215918518.9772</v>
          </cell>
          <cell r="D88">
            <v>1263249540.1584003</v>
          </cell>
          <cell r="E88">
            <v>1308700683.5003996</v>
          </cell>
          <cell r="F88">
            <v>1387056925.1112001</v>
          </cell>
        </row>
        <row r="89">
          <cell r="B89">
            <v>1474001897.577601</v>
          </cell>
          <cell r="C89">
            <v>1468549231.8335993</v>
          </cell>
          <cell r="D89">
            <v>1525802198.7827995</v>
          </cell>
          <cell r="E89">
            <v>1580316212.7384</v>
          </cell>
          <cell r="F89">
            <v>1673765511.6504011</v>
          </cell>
        </row>
        <row r="90">
          <cell r="B90">
            <v>1936184520.7560005</v>
          </cell>
          <cell r="C90">
            <v>1929746309.9447985</v>
          </cell>
          <cell r="D90">
            <v>2005618610.181601</v>
          </cell>
          <cell r="E90">
            <v>2075130870.1548014</v>
          </cell>
          <cell r="F90">
            <v>2195486785.7340012</v>
          </cell>
        </row>
        <row r="91">
          <cell r="B91">
            <v>3337783469.3807974</v>
          </cell>
          <cell r="C91">
            <v>3327231400.8851995</v>
          </cell>
          <cell r="D91">
            <v>3457993573.7604036</v>
          </cell>
          <cell r="E91">
            <v>3577744408.1160002</v>
          </cell>
          <cell r="F91">
            <v>3781825192.0691996</v>
          </cell>
        </row>
        <row r="92">
          <cell r="B92">
            <v>11852252415.028801</v>
          </cell>
          <cell r="C92">
            <v>11813180474.686792</v>
          </cell>
          <cell r="D92">
            <v>12277302523.465227</v>
          </cell>
          <cell r="E92">
            <v>12702466875.520811</v>
          </cell>
          <cell r="F92">
            <v>13436797321.349995</v>
          </cell>
        </row>
      </sheetData>
      <sheetData sheetId="2"/>
      <sheetData sheetId="3"/>
      <sheetData sheetId="4"/>
      <sheetData sheetId="5"/>
      <sheetData sheetId="6">
        <row r="7">
          <cell r="B7">
            <v>0.38361613359825297</v>
          </cell>
        </row>
      </sheetData>
      <sheetData sheetId="7"/>
      <sheetData sheetId="8"/>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mmary"/>
      <sheetName val="Structure"/>
      <sheetName val="Sheet 1"/>
    </sheetNames>
    <sheetDataSet>
      <sheetData sheetId="0"/>
      <sheetData sheetId="1"/>
      <sheetData sheetId="2">
        <row r="26">
          <cell r="P26">
            <v>23400.9</v>
          </cell>
          <cell r="R26">
            <v>22373.599999999999</v>
          </cell>
          <cell r="T26">
            <v>25680.1</v>
          </cell>
          <cell r="V26">
            <v>29415.7</v>
          </cell>
          <cell r="X26">
            <v>31340</v>
          </cell>
        </row>
      </sheetData>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fo on source"/>
      <sheetName val="Summary"/>
      <sheetName val="Structure"/>
      <sheetName val="Sheet 1"/>
    </sheetNames>
    <sheetDataSet>
      <sheetData sheetId="0"/>
      <sheetData sheetId="1"/>
      <sheetData sheetId="2"/>
      <sheetData sheetId="3">
        <row r="92">
          <cell r="M92">
            <v>735.3</v>
          </cell>
          <cell r="O92">
            <v>730.2</v>
          </cell>
          <cell r="Q92">
            <v>827.6</v>
          </cell>
          <cell r="S92">
            <v>971.9</v>
          </cell>
          <cell r="U92">
            <v>1174.4000000000001</v>
          </cell>
        </row>
      </sheetData>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1. Fiscal"/>
      <sheetName val="2. Distributional by deciles o"/>
      <sheetName val="2. Distributional by HH type"/>
      <sheetName val="2. Distributional by employmen"/>
      <sheetName val="2. Distributional by gender"/>
      <sheetName val="2. Distributional by age group"/>
      <sheetName val="3. Inequality and Poverty"/>
      <sheetName val="Parameter settings"/>
      <sheetName val="Metadata"/>
    </sheetNames>
    <sheetDataSet>
      <sheetData sheetId="0" refreshError="1"/>
      <sheetData sheetId="1">
        <row r="118">
          <cell r="B118">
            <v>121711868.98799995</v>
          </cell>
          <cell r="C118">
            <v>126735670.14480002</v>
          </cell>
          <cell r="D118">
            <v>121893953.68320005</v>
          </cell>
          <cell r="E118">
            <v>126185259.77279998</v>
          </cell>
          <cell r="F118">
            <v>124866178.12919998</v>
          </cell>
          <cell r="G118">
            <v>122372697.68759999</v>
          </cell>
          <cell r="H118">
            <v>122372697.68759999</v>
          </cell>
        </row>
        <row r="119">
          <cell r="B119">
            <v>1885103050.9344013</v>
          </cell>
          <cell r="C119">
            <v>1979441367.1944017</v>
          </cell>
          <cell r="D119">
            <v>1901388472.7196014</v>
          </cell>
          <cell r="E119">
            <v>1961419486.1279976</v>
          </cell>
          <cell r="F119">
            <v>1936107053.5871983</v>
          </cell>
          <cell r="G119">
            <v>1906130590.2731996</v>
          </cell>
          <cell r="H119">
            <v>1906110840.2255995</v>
          </cell>
        </row>
        <row r="120">
          <cell r="B120">
            <v>5329331788.6919994</v>
          </cell>
          <cell r="C120">
            <v>5516294184.1092014</v>
          </cell>
          <cell r="D120">
            <v>5380456237.4171934</v>
          </cell>
          <cell r="E120">
            <v>5448585073.0991974</v>
          </cell>
          <cell r="F120">
            <v>5419853566.9703989</v>
          </cell>
          <cell r="G120">
            <v>5389796515.4663982</v>
          </cell>
          <cell r="H120">
            <v>5402994394.6056013</v>
          </cell>
        </row>
        <row r="121">
          <cell r="B121">
            <v>10404543288.167992</v>
          </cell>
          <cell r="C121">
            <v>10706379583.942802</v>
          </cell>
          <cell r="D121">
            <v>10506733464.844822</v>
          </cell>
          <cell r="E121">
            <v>10596566638.303221</v>
          </cell>
          <cell r="F121">
            <v>10544667870.84482</v>
          </cell>
          <cell r="G121">
            <v>10518813488.077213</v>
          </cell>
          <cell r="H121">
            <v>10519418995.526417</v>
          </cell>
        </row>
        <row r="122">
          <cell r="B122">
            <v>16968079401.860413</v>
          </cell>
          <cell r="C122">
            <v>17387720136.400833</v>
          </cell>
          <cell r="D122">
            <v>17135521905.429596</v>
          </cell>
          <cell r="E122">
            <v>17234117402.0448</v>
          </cell>
          <cell r="F122">
            <v>17169334048.541988</v>
          </cell>
          <cell r="G122">
            <v>17151241626.855587</v>
          </cell>
          <cell r="H122">
            <v>17146749962.878799</v>
          </cell>
        </row>
        <row r="123">
          <cell r="B123">
            <v>24963521731.123158</v>
          </cell>
          <cell r="C123">
            <v>25487980552.716026</v>
          </cell>
          <cell r="D123">
            <v>25211028438.454758</v>
          </cell>
          <cell r="E123">
            <v>25293846138.813663</v>
          </cell>
          <cell r="F123">
            <v>25240765580.27766</v>
          </cell>
          <cell r="G123">
            <v>25229848014.906059</v>
          </cell>
          <cell r="H123">
            <v>25220707110.327644</v>
          </cell>
        </row>
        <row r="124">
          <cell r="B124">
            <v>34533766222.237175</v>
          </cell>
          <cell r="C124">
            <v>35205931818.27002</v>
          </cell>
          <cell r="D124">
            <v>34877174646.389961</v>
          </cell>
          <cell r="E124">
            <v>34970903428.957191</v>
          </cell>
          <cell r="F124">
            <v>34907510036.868011</v>
          </cell>
          <cell r="G124">
            <v>34900676915.001625</v>
          </cell>
          <cell r="H124">
            <v>34871083006.474808</v>
          </cell>
        </row>
        <row r="125">
          <cell r="B125">
            <v>48941860604.733582</v>
          </cell>
          <cell r="C125">
            <v>49846440625.093262</v>
          </cell>
          <cell r="D125">
            <v>49429766077.458038</v>
          </cell>
          <cell r="E125">
            <v>49544825279.410843</v>
          </cell>
          <cell r="F125">
            <v>49465906676.020828</v>
          </cell>
          <cell r="G125">
            <v>49459731386.144424</v>
          </cell>
          <cell r="H125">
            <v>49424515594.080002</v>
          </cell>
        </row>
        <row r="126">
          <cell r="B126">
            <v>72198259739.850067</v>
          </cell>
          <cell r="C126">
            <v>73424280143.265671</v>
          </cell>
          <cell r="D126">
            <v>72918732345.442856</v>
          </cell>
          <cell r="E126">
            <v>73021855885.543259</v>
          </cell>
          <cell r="F126">
            <v>72962375538.207672</v>
          </cell>
          <cell r="G126">
            <v>72957211819.807281</v>
          </cell>
          <cell r="H126">
            <v>72920635416.709137</v>
          </cell>
        </row>
        <row r="127">
          <cell r="B127">
            <v>186667383584.22919</v>
          </cell>
          <cell r="C127">
            <v>189198935316.07544</v>
          </cell>
          <cell r="D127">
            <v>188534231115.54642</v>
          </cell>
          <cell r="E127">
            <v>188659001101.0813</v>
          </cell>
          <cell r="F127">
            <v>188586470697.78732</v>
          </cell>
          <cell r="G127">
            <v>188579589261.94946</v>
          </cell>
          <cell r="H127">
            <v>188543044901.88489</v>
          </cell>
        </row>
        <row r="128">
          <cell r="B128">
            <v>402013561280.8183</v>
          </cell>
          <cell r="C128">
            <v>408880139397.21057</v>
          </cell>
          <cell r="D128">
            <v>406016926657.38635</v>
          </cell>
          <cell r="E128">
            <v>406857305693.15326</v>
          </cell>
          <cell r="F128">
            <v>406357857247.23474</v>
          </cell>
          <cell r="G128">
            <v>406215412316.16785</v>
          </cell>
          <cell r="H128">
            <v>406077632920.40082</v>
          </cell>
        </row>
      </sheetData>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1. Fiscal"/>
      <sheetName val="2. Distributional by deciles o"/>
      <sheetName val="2. Distributional by HH type"/>
      <sheetName val="2. Distributional by employmen"/>
      <sheetName val="2. Distributional by gender"/>
      <sheetName val="2. Distributional by age group"/>
      <sheetName val="3. Inequality and Poverty"/>
      <sheetName val="Parameter settings"/>
      <sheetName val="Metadata"/>
    </sheetNames>
    <sheetDataSet>
      <sheetData sheetId="0" refreshError="1"/>
      <sheetData sheetId="1">
        <row r="28">
          <cell r="I28">
            <v>7.3649485009518637E-2</v>
          </cell>
        </row>
        <row r="29">
          <cell r="I29">
            <v>0.51787975853724322</v>
          </cell>
        </row>
        <row r="30">
          <cell r="I30">
            <v>0.75399421509658238</v>
          </cell>
        </row>
        <row r="31">
          <cell r="I31">
            <v>0.90231664050875826</v>
          </cell>
        </row>
        <row r="32">
          <cell r="I32">
            <v>0.9791197255575087</v>
          </cell>
        </row>
        <row r="33">
          <cell r="I33">
            <v>0.99878484418178526</v>
          </cell>
        </row>
        <row r="34">
          <cell r="I34">
            <v>0.99943797196894824</v>
          </cell>
        </row>
        <row r="35">
          <cell r="I35">
            <v>0.99950855163046948</v>
          </cell>
        </row>
        <row r="36">
          <cell r="I36">
            <v>1</v>
          </cell>
        </row>
        <row r="37">
          <cell r="I37">
            <v>1</v>
          </cell>
        </row>
        <row r="38">
          <cell r="I38">
            <v>0.80573138821771695</v>
          </cell>
        </row>
        <row r="100">
          <cell r="B100">
            <v>16960840068.538807</v>
          </cell>
          <cell r="C100">
            <v>17126677022.389189</v>
          </cell>
        </row>
        <row r="101">
          <cell r="B101">
            <v>74223656365.209564</v>
          </cell>
          <cell r="C101">
            <v>74962113172.706467</v>
          </cell>
        </row>
        <row r="102">
          <cell r="B102">
            <v>109876478277.75864</v>
          </cell>
          <cell r="C102">
            <v>110972347190.75166</v>
          </cell>
        </row>
        <row r="103">
          <cell r="B103">
            <v>137486935402.22742</v>
          </cell>
          <cell r="C103">
            <v>138858982195.05023</v>
          </cell>
        </row>
        <row r="104">
          <cell r="B104">
            <v>163618581983.23578</v>
          </cell>
          <cell r="C104">
            <v>165252003773.07959</v>
          </cell>
        </row>
        <row r="105">
          <cell r="B105">
            <v>191947372703.28217</v>
          </cell>
          <cell r="C105">
            <v>193863903310.7952</v>
          </cell>
        </row>
        <row r="106">
          <cell r="B106">
            <v>223779216955.53104</v>
          </cell>
          <cell r="C106">
            <v>226014284907.98517</v>
          </cell>
        </row>
        <row r="107">
          <cell r="B107">
            <v>268918201123.01062</v>
          </cell>
          <cell r="C107">
            <v>271605159738.4848</v>
          </cell>
        </row>
        <row r="108">
          <cell r="B108">
            <v>336638985734.38129</v>
          </cell>
          <cell r="C108">
            <v>340003235410.9248</v>
          </cell>
        </row>
        <row r="109">
          <cell r="B109">
            <v>608277610767.69556</v>
          </cell>
          <cell r="C109">
            <v>614358188298.66089</v>
          </cell>
        </row>
        <row r="110">
          <cell r="B110">
            <v>2131727879380.8706</v>
          </cell>
          <cell r="C110">
            <v>2153016895020.8232</v>
          </cell>
          <cell r="D110">
            <v>2146298653220.7104</v>
          </cell>
          <cell r="E110">
            <v>2135487485025.6631</v>
          </cell>
          <cell r="F110">
            <v>2133927113794.4644</v>
          </cell>
          <cell r="G110">
            <v>2132259723156.4824</v>
          </cell>
        </row>
        <row r="128">
          <cell r="D128">
            <v>407148738233.20044</v>
          </cell>
          <cell r="E128">
            <v>402607682250.41718</v>
          </cell>
          <cell r="F128">
            <v>402851114843.83228</v>
          </cell>
          <cell r="G128">
            <v>402191671240.19672</v>
          </cell>
        </row>
        <row r="136">
          <cell r="B136">
            <v>6908850393.8844013</v>
          </cell>
        </row>
        <row r="137">
          <cell r="B137">
            <v>28624068874.397999</v>
          </cell>
        </row>
        <row r="138">
          <cell r="B138">
            <v>46038141075.800407</v>
          </cell>
        </row>
        <row r="139">
          <cell r="B139">
            <v>68342006305.857498</v>
          </cell>
        </row>
        <row r="140">
          <cell r="B140">
            <v>102931502153.7227</v>
          </cell>
        </row>
        <row r="141">
          <cell r="B141">
            <v>135250191710.04367</v>
          </cell>
        </row>
        <row r="142">
          <cell r="B142">
            <v>167983416955.87671</v>
          </cell>
        </row>
        <row r="143">
          <cell r="B143">
            <v>211363354536.29178</v>
          </cell>
        </row>
        <row r="144">
          <cell r="B144">
            <v>267187433387.58374</v>
          </cell>
        </row>
        <row r="145">
          <cell r="B145">
            <v>422451562314.70496</v>
          </cell>
        </row>
        <row r="146">
          <cell r="B146">
            <v>1457080527708.1646</v>
          </cell>
        </row>
        <row r="154">
          <cell r="B154">
            <v>5421368830.6559982</v>
          </cell>
        </row>
        <row r="155">
          <cell r="B155">
            <v>35128458596.222305</v>
          </cell>
        </row>
        <row r="156">
          <cell r="B156">
            <v>54684526362.838882</v>
          </cell>
        </row>
        <row r="157">
          <cell r="B157">
            <v>57530599742.046021</v>
          </cell>
        </row>
        <row r="158">
          <cell r="B158">
            <v>48889908906.212425</v>
          </cell>
        </row>
        <row r="159">
          <cell r="B159">
            <v>42948887767.166443</v>
          </cell>
        </row>
        <row r="160">
          <cell r="B160">
            <v>36705311858.7276</v>
          </cell>
        </row>
        <row r="161">
          <cell r="B161">
            <v>33072836401.822807</v>
          </cell>
        </row>
        <row r="162">
          <cell r="B162">
            <v>32250754306.73999</v>
          </cell>
        </row>
        <row r="163">
          <cell r="B163">
            <v>32152030721.493587</v>
          </cell>
        </row>
        <row r="164">
          <cell r="B164">
            <v>378784683493.92639</v>
          </cell>
        </row>
        <row r="172">
          <cell r="B172">
            <v>1764697586.2596006</v>
          </cell>
        </row>
        <row r="173">
          <cell r="B173">
            <v>5865196933.5120049</v>
          </cell>
        </row>
        <row r="174">
          <cell r="B174">
            <v>5487004028.7011995</v>
          </cell>
        </row>
        <row r="175">
          <cell r="B175">
            <v>7692802091.9723997</v>
          </cell>
        </row>
        <row r="176">
          <cell r="B176">
            <v>8275668998.8607922</v>
          </cell>
        </row>
        <row r="177">
          <cell r="B177">
            <v>9472999380.1187973</v>
          </cell>
        </row>
        <row r="178">
          <cell r="B178">
            <v>13138587386.375999</v>
          </cell>
        </row>
        <row r="179">
          <cell r="B179">
            <v>17631496973.061607</v>
          </cell>
        </row>
        <row r="180">
          <cell r="B180">
            <v>26863601831.164803</v>
          </cell>
        </row>
        <row r="181">
          <cell r="B181">
            <v>123730339728.65273</v>
          </cell>
        </row>
        <row r="182">
          <cell r="B182">
            <v>219922394938.68024</v>
          </cell>
        </row>
        <row r="190">
          <cell r="B190">
            <v>858933380.39160025</v>
          </cell>
        </row>
        <row r="191">
          <cell r="B191">
            <v>1331588036.7684014</v>
          </cell>
        </row>
        <row r="192">
          <cell r="B192">
            <v>1956184803.1152</v>
          </cell>
        </row>
        <row r="193">
          <cell r="B193">
            <v>2579524730.341198</v>
          </cell>
        </row>
        <row r="194">
          <cell r="B194">
            <v>2277518607.6672001</v>
          </cell>
        </row>
        <row r="195">
          <cell r="B195">
            <v>3169002860.7083983</v>
          </cell>
        </row>
        <row r="196">
          <cell r="B196">
            <v>4453526373.9384003</v>
          </cell>
        </row>
        <row r="197">
          <cell r="B197">
            <v>4757160530.1371975</v>
          </cell>
        </row>
        <row r="198">
          <cell r="B198">
            <v>7728775512.6324005</v>
          </cell>
        </row>
        <row r="199">
          <cell r="B199">
            <v>24072199765.70282</v>
          </cell>
        </row>
        <row r="200">
          <cell r="B200">
            <v>53184414601.40271</v>
          </cell>
        </row>
      </sheetData>
      <sheetData sheetId="2" refreshError="1"/>
      <sheetData sheetId="3" refreshError="1"/>
      <sheetData sheetId="4" refreshError="1"/>
      <sheetData sheetId="5" refreshError="1"/>
      <sheetData sheetId="6">
        <row r="7">
          <cell r="B7">
            <v>0.40386654065897898</v>
          </cell>
          <cell r="C7">
            <v>0.40387332250434699</v>
          </cell>
        </row>
        <row r="8">
          <cell r="B8">
            <v>0.35139807493665598</v>
          </cell>
          <cell r="C8">
            <v>0.35135580044277398</v>
          </cell>
        </row>
        <row r="34">
          <cell r="B34">
            <v>0.226593369272481</v>
          </cell>
          <cell r="C34">
            <v>0.22488643797944799</v>
          </cell>
        </row>
      </sheetData>
      <sheetData sheetId="7" refreshError="1"/>
      <sheetData sheetId="8"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1. Fiscal"/>
      <sheetName val="2. Distributional by deciles o"/>
      <sheetName val="2. Distributional by HH type"/>
      <sheetName val="2. Distributional by employmen"/>
      <sheetName val="2. Distributional by gender"/>
      <sheetName val="2. Distributional by age group"/>
      <sheetName val="3. Inequality and Poverty"/>
      <sheetName val="Parameter settings"/>
      <sheetName val="Metadata"/>
    </sheetNames>
    <sheetDataSet>
      <sheetData sheetId="0" refreshError="1"/>
      <sheetData sheetId="1">
        <row r="118">
          <cell r="B118">
            <v>111934136.63399994</v>
          </cell>
          <cell r="C118">
            <v>115068445.58760001</v>
          </cell>
          <cell r="D118">
            <v>112211746.61039999</v>
          </cell>
        </row>
        <row r="119">
          <cell r="B119">
            <v>1788616498.8083982</v>
          </cell>
          <cell r="C119">
            <v>1859118085.1471977</v>
          </cell>
          <cell r="D119">
            <v>1803410108.5199995</v>
          </cell>
        </row>
        <row r="120">
          <cell r="B120">
            <v>5406989844.4692001</v>
          </cell>
          <cell r="C120">
            <v>5589729235.2839956</v>
          </cell>
          <cell r="D120">
            <v>5457682123.8072033</v>
          </cell>
        </row>
        <row r="121">
          <cell r="B121">
            <v>10937209824.301193</v>
          </cell>
          <cell r="C121">
            <v>11211358080.811205</v>
          </cell>
          <cell r="D121">
            <v>11044091981.936386</v>
          </cell>
        </row>
        <row r="122">
          <cell r="B122">
            <v>17900642632.502365</v>
          </cell>
          <cell r="C122">
            <v>18301849950.875961</v>
          </cell>
          <cell r="D122">
            <v>18076718034.031189</v>
          </cell>
        </row>
        <row r="123">
          <cell r="B123">
            <v>26376385068.285568</v>
          </cell>
          <cell r="C123">
            <v>26893730237.81638</v>
          </cell>
          <cell r="D123">
            <v>26637325363.856422</v>
          </cell>
        </row>
        <row r="124">
          <cell r="B124">
            <v>36738056113.509644</v>
          </cell>
          <cell r="C124">
            <v>37400614978.99678</v>
          </cell>
          <cell r="D124">
            <v>37102728441.896347</v>
          </cell>
        </row>
        <row r="125">
          <cell r="B125">
            <v>52224560061.532906</v>
          </cell>
          <cell r="C125">
            <v>53119509359.525955</v>
          </cell>
          <cell r="D125">
            <v>52744748087.120453</v>
          </cell>
        </row>
        <row r="126">
          <cell r="B126">
            <v>78151446533.548767</v>
          </cell>
          <cell r="C126">
            <v>79453655339.357941</v>
          </cell>
          <cell r="D126">
            <v>78930822687.910797</v>
          </cell>
        </row>
        <row r="127">
          <cell r="B127">
            <v>208871611173.6106</v>
          </cell>
          <cell r="C127">
            <v>211697173479.71878</v>
          </cell>
          <cell r="D127">
            <v>210960036236.74429</v>
          </cell>
        </row>
        <row r="128">
          <cell r="B128">
            <v>438507451887.20007</v>
          </cell>
          <cell r="C128">
            <v>445641807193.12262</v>
          </cell>
          <cell r="D128">
            <v>442869774812.43475</v>
          </cell>
        </row>
      </sheetData>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1. Fiscal"/>
      <sheetName val="2. Distributional by deciles o"/>
      <sheetName val="2. Distributional by HH type"/>
      <sheetName val="2. Distributional by employmen"/>
      <sheetName val="2. Distributional by gender"/>
      <sheetName val="2. Distributional by age group"/>
      <sheetName val="3. Inequality and Poverty"/>
      <sheetName val="Parameter settings"/>
      <sheetName val="Metadata"/>
    </sheetNames>
    <sheetDataSet>
      <sheetData sheetId="0" refreshError="1"/>
      <sheetData sheetId="1">
        <row r="28">
          <cell r="I28">
            <v>5.8176690701108646E-2</v>
          </cell>
        </row>
        <row r="29">
          <cell r="I29">
            <v>0.47989488234468047</v>
          </cell>
        </row>
        <row r="30">
          <cell r="I30">
            <v>0.78665454776964261</v>
          </cell>
        </row>
        <row r="31">
          <cell r="I31">
            <v>0.92981390375861761</v>
          </cell>
        </row>
        <row r="32">
          <cell r="I32">
            <v>0.99256579184818183</v>
          </cell>
        </row>
        <row r="33">
          <cell r="I33">
            <v>0.99942684117807656</v>
          </cell>
        </row>
        <row r="34">
          <cell r="I34">
            <v>1</v>
          </cell>
        </row>
        <row r="35">
          <cell r="I35">
            <v>0.99950786781693302</v>
          </cell>
        </row>
        <row r="36">
          <cell r="I36">
            <v>1</v>
          </cell>
        </row>
        <row r="37">
          <cell r="I37">
            <v>1</v>
          </cell>
        </row>
        <row r="38">
          <cell r="I38">
            <v>0.80764094455990487</v>
          </cell>
        </row>
        <row r="100">
          <cell r="B100">
            <v>19243772064.607212</v>
          </cell>
          <cell r="C100">
            <v>19431691331.159988</v>
          </cell>
        </row>
        <row r="101">
          <cell r="B101">
            <v>84441509255.866974</v>
          </cell>
          <cell r="C101">
            <v>85282179542.776733</v>
          </cell>
        </row>
        <row r="102">
          <cell r="B102">
            <v>125101890757.46164</v>
          </cell>
          <cell r="C102">
            <v>126349740155.64346</v>
          </cell>
        </row>
        <row r="103">
          <cell r="B103">
            <v>156007983327.86771</v>
          </cell>
          <cell r="C103">
            <v>157565039563.06799</v>
          </cell>
        </row>
        <row r="104">
          <cell r="B104">
            <v>187222398084.15366</v>
          </cell>
          <cell r="C104">
            <v>189091560976.50464</v>
          </cell>
        </row>
        <row r="105">
          <cell r="B105">
            <v>218588870596.21899</v>
          </cell>
          <cell r="C105">
            <v>220771956035.56888</v>
          </cell>
        </row>
        <row r="106">
          <cell r="B106">
            <v>255838877536.3465</v>
          </cell>
          <cell r="C106">
            <v>258394023416.5321</v>
          </cell>
        </row>
        <row r="107">
          <cell r="B107">
            <v>307118613478.35529</v>
          </cell>
          <cell r="C107">
            <v>310187570691.69116</v>
          </cell>
        </row>
        <row r="108">
          <cell r="B108">
            <v>385130428703.5799</v>
          </cell>
          <cell r="C108">
            <v>388979235352.38306</v>
          </cell>
        </row>
        <row r="109">
          <cell r="B109">
            <v>693701095229.49121</v>
          </cell>
          <cell r="C109">
            <v>700635543687.69971</v>
          </cell>
        </row>
        <row r="110">
          <cell r="B110">
            <v>2432395439033.9463</v>
          </cell>
          <cell r="C110">
            <v>2456688540753.0225</v>
          </cell>
          <cell r="D110">
            <v>2449026313867.4961</v>
          </cell>
          <cell r="E110">
            <v>2436730602020.7832</v>
          </cell>
          <cell r="F110">
            <v>2434885308854.4561</v>
          </cell>
          <cell r="G110">
            <v>2432966168715.4414</v>
          </cell>
        </row>
        <row r="128">
          <cell r="D128">
            <v>443574432303.8681</v>
          </cell>
          <cell r="E128">
            <v>439250758704.61359</v>
          </cell>
          <cell r="F128">
            <v>439456125989.58783</v>
          </cell>
          <cell r="G128">
            <v>438696419408.69623</v>
          </cell>
        </row>
      </sheetData>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1. Fiscal"/>
      <sheetName val="2. Distributional by deciles o"/>
      <sheetName val="2. Distributional by HH type"/>
      <sheetName val="2. Distributional by employmen"/>
      <sheetName val="2. Distributional by gender"/>
      <sheetName val="2. Distributional by age group"/>
      <sheetName val="3. Inequality and Poverty"/>
      <sheetName val="Parameter settings"/>
      <sheetName val="Metadata"/>
    </sheetNames>
    <sheetDataSet>
      <sheetData sheetId="0"/>
      <sheetData sheetId="1">
        <row r="28">
          <cell r="M28">
            <v>7.0816366409069756E-2</v>
          </cell>
        </row>
        <row r="100">
          <cell r="B100">
            <v>16960840068.538807</v>
          </cell>
          <cell r="C100">
            <v>17208219395.870392</v>
          </cell>
          <cell r="D100">
            <v>17596160370.759617</v>
          </cell>
          <cell r="E100">
            <v>18385905753.562817</v>
          </cell>
          <cell r="F100">
            <v>19249137012.879612</v>
          </cell>
        </row>
        <row r="101">
          <cell r="B101">
            <v>74223656365.209564</v>
          </cell>
          <cell r="C101">
            <v>75683970688.880493</v>
          </cell>
          <cell r="D101">
            <v>77057084314.966721</v>
          </cell>
          <cell r="E101">
            <v>80724723319.111145</v>
          </cell>
          <cell r="F101">
            <v>84409389616.388565</v>
          </cell>
        </row>
        <row r="102">
          <cell r="B102">
            <v>109876478277.75864</v>
          </cell>
          <cell r="C102">
            <v>112077585265.19754</v>
          </cell>
          <cell r="D102">
            <v>113974636160.46835</v>
          </cell>
          <cell r="E102">
            <v>119579342262.23276</v>
          </cell>
          <cell r="F102">
            <v>124978732601.53326</v>
          </cell>
        </row>
        <row r="103">
          <cell r="B103">
            <v>137486935402.22742</v>
          </cell>
          <cell r="C103">
            <v>139861004226.38904</v>
          </cell>
          <cell r="D103">
            <v>142625274786.27603</v>
          </cell>
          <cell r="E103">
            <v>149579364875.41479</v>
          </cell>
          <cell r="F103">
            <v>156641302378.61658</v>
          </cell>
        </row>
        <row r="104">
          <cell r="B104">
            <v>163618581983.23578</v>
          </cell>
          <cell r="C104">
            <v>165801906751.45856</v>
          </cell>
          <cell r="D104">
            <v>169699650434.29541</v>
          </cell>
          <cell r="E104">
            <v>177846241552.57214</v>
          </cell>
          <cell r="F104">
            <v>186744417253.56717</v>
          </cell>
        </row>
        <row r="105">
          <cell r="B105">
            <v>191947372703.28217</v>
          </cell>
          <cell r="C105">
            <v>193989437065.64319</v>
          </cell>
          <cell r="D105">
            <v>199024617348.61758</v>
          </cell>
          <cell r="E105">
            <v>208529033196.86041</v>
          </cell>
          <cell r="F105">
            <v>219315478308.76886</v>
          </cell>
        </row>
        <row r="106">
          <cell r="B106">
            <v>223779216955.53104</v>
          </cell>
          <cell r="C106">
            <v>225793937642.56555</v>
          </cell>
          <cell r="D106">
            <v>232059187043.33026</v>
          </cell>
          <cell r="E106">
            <v>242905790149.09174</v>
          </cell>
          <cell r="F106">
            <v>255720825074.62323</v>
          </cell>
        </row>
        <row r="107">
          <cell r="B107">
            <v>268918201123.01062</v>
          </cell>
          <cell r="C107">
            <v>271043319098.64706</v>
          </cell>
          <cell r="D107">
            <v>278936937247.26208</v>
          </cell>
          <cell r="E107">
            <v>291815996081.828</v>
          </cell>
          <cell r="F107">
            <v>307495861372.78491</v>
          </cell>
        </row>
        <row r="108">
          <cell r="B108">
            <v>336638985734.38129</v>
          </cell>
          <cell r="C108">
            <v>339102754576.29517</v>
          </cell>
          <cell r="D108">
            <v>349265279125.25952</v>
          </cell>
          <cell r="E108">
            <v>365041756236.21332</v>
          </cell>
          <cell r="F108">
            <v>384756381508.93439</v>
          </cell>
        </row>
        <row r="109">
          <cell r="B109">
            <v>608277610767.69556</v>
          </cell>
          <cell r="C109">
            <v>613708355985.69812</v>
          </cell>
          <cell r="D109">
            <v>633451005469.49023</v>
          </cell>
          <cell r="E109">
            <v>657722260941.521</v>
          </cell>
          <cell r="F109">
            <v>693083913905.85254</v>
          </cell>
        </row>
        <row r="110">
          <cell r="B110">
            <v>2131727879380.8706</v>
          </cell>
          <cell r="C110">
            <v>2154270490696.6714</v>
          </cell>
          <cell r="D110">
            <v>2213689832300.7202</v>
          </cell>
          <cell r="E110">
            <v>2312130414368.418</v>
          </cell>
          <cell r="F110">
            <v>2432395439033.9463</v>
          </cell>
        </row>
        <row r="118">
          <cell r="B118">
            <v>121711868.98799995</v>
          </cell>
          <cell r="C118">
            <v>106853021.79120004</v>
          </cell>
          <cell r="D118">
            <v>104335634.65320003</v>
          </cell>
          <cell r="E118">
            <v>123585802.62480001</v>
          </cell>
          <cell r="F118">
            <v>112006319.78279996</v>
          </cell>
          <cell r="H118">
            <v>197668274.79959986</v>
          </cell>
          <cell r="I118">
            <v>136207810.43520004</v>
          </cell>
          <cell r="J118">
            <v>136110118.46280009</v>
          </cell>
          <cell r="K118">
            <v>120864438.33240005</v>
          </cell>
          <cell r="L118">
            <v>169564084.794</v>
          </cell>
        </row>
        <row r="119">
          <cell r="B119">
            <v>1885103050.9344013</v>
          </cell>
          <cell r="C119">
            <v>1769657193.3719988</v>
          </cell>
          <cell r="D119">
            <v>1730603084.8428016</v>
          </cell>
          <cell r="E119">
            <v>1915638201.6599994</v>
          </cell>
          <cell r="F119">
            <v>1790828249.2031984</v>
          </cell>
          <cell r="H119">
            <v>3022936947.502799</v>
          </cell>
          <cell r="I119">
            <v>2153032299.756001</v>
          </cell>
          <cell r="J119">
            <v>2151475651.2587972</v>
          </cell>
          <cell r="K119">
            <v>1894270242.4272001</v>
          </cell>
          <cell r="L119">
            <v>2720314400.4024034</v>
          </cell>
        </row>
        <row r="120">
          <cell r="B120">
            <v>5329331788.6919994</v>
          </cell>
          <cell r="C120">
            <v>5174606957.8019962</v>
          </cell>
          <cell r="D120">
            <v>5032861324.2216034</v>
          </cell>
          <cell r="E120">
            <v>5622791721.6492033</v>
          </cell>
          <cell r="F120">
            <v>5420318907.5112</v>
          </cell>
          <cell r="H120">
            <v>7686685824.3096066</v>
          </cell>
          <cell r="I120">
            <v>6054040298.3843975</v>
          </cell>
          <cell r="J120">
            <v>6050973117.9203939</v>
          </cell>
          <cell r="K120">
            <v>5515210243.1627998</v>
          </cell>
          <cell r="L120">
            <v>7202473850.798398</v>
          </cell>
        </row>
        <row r="121">
          <cell r="B121">
            <v>10404543288.167992</v>
          </cell>
          <cell r="C121">
            <v>10295639583.526802</v>
          </cell>
          <cell r="D121">
            <v>10042041970.48563</v>
          </cell>
          <cell r="E121">
            <v>11063260354.934385</v>
          </cell>
          <cell r="F121">
            <v>10957217311.357195</v>
          </cell>
          <cell r="H121">
            <v>14117519325.034782</v>
          </cell>
          <cell r="I121">
            <v>11851249762.003185</v>
          </cell>
          <cell r="J121">
            <v>11846913890.32443</v>
          </cell>
          <cell r="K121">
            <v>11086859563.292414</v>
          </cell>
          <cell r="L121">
            <v>13321597806.097214</v>
          </cell>
        </row>
        <row r="122">
          <cell r="B122">
            <v>16968079401.860413</v>
          </cell>
          <cell r="C122">
            <v>16795994377.62121</v>
          </cell>
          <cell r="D122">
            <v>16342977454.374004</v>
          </cell>
          <cell r="E122">
            <v>17851173797.473198</v>
          </cell>
          <cell r="F122">
            <v>17854495387.955967</v>
          </cell>
          <cell r="H122">
            <v>22243048300.821587</v>
          </cell>
          <cell r="I122">
            <v>19389118252.647621</v>
          </cell>
          <cell r="J122">
            <v>19383519270.625156</v>
          </cell>
          <cell r="K122">
            <v>18393793104.897594</v>
          </cell>
          <cell r="L122">
            <v>20705384372.462387</v>
          </cell>
        </row>
        <row r="123">
          <cell r="B123">
            <v>24963521731.123158</v>
          </cell>
          <cell r="C123">
            <v>24728772937.088394</v>
          </cell>
          <cell r="D123">
            <v>24123640970.607582</v>
          </cell>
          <cell r="E123">
            <v>26144823964.178368</v>
          </cell>
          <cell r="F123">
            <v>26408042869.60675</v>
          </cell>
          <cell r="H123">
            <v>31953595948.960823</v>
          </cell>
          <cell r="I123">
            <v>28569559880.342468</v>
          </cell>
          <cell r="J123">
            <v>28562870613.535133</v>
          </cell>
          <cell r="K123">
            <v>27398839022.038788</v>
          </cell>
          <cell r="L123">
            <v>29572996165.701633</v>
          </cell>
        </row>
        <row r="124">
          <cell r="B124">
            <v>34533766222.237175</v>
          </cell>
          <cell r="C124">
            <v>34257275855.843941</v>
          </cell>
          <cell r="D124">
            <v>33543497449.078682</v>
          </cell>
          <cell r="E124">
            <v>36133711396.993118</v>
          </cell>
          <cell r="F124">
            <v>36790929801.769211</v>
          </cell>
          <cell r="H124">
            <v>43640415745.55632</v>
          </cell>
          <cell r="I124">
            <v>39619041499.203674</v>
          </cell>
          <cell r="J124">
            <v>39611094787.851608</v>
          </cell>
          <cell r="K124">
            <v>38239527515.307671</v>
          </cell>
          <cell r="L124">
            <v>40271241049.940369</v>
          </cell>
        </row>
        <row r="125">
          <cell r="B125">
            <v>48941860604.733582</v>
          </cell>
          <cell r="C125">
            <v>48549338835.830399</v>
          </cell>
          <cell r="D125">
            <v>47702288496.761917</v>
          </cell>
          <cell r="E125">
            <v>51164286756.587982</v>
          </cell>
          <cell r="F125">
            <v>52381064789.5513</v>
          </cell>
          <cell r="H125">
            <v>61367896704.037193</v>
          </cell>
          <cell r="I125">
            <v>56214604563.663605</v>
          </cell>
          <cell r="J125">
            <v>56204483029.338043</v>
          </cell>
          <cell r="K125">
            <v>54491475502.142395</v>
          </cell>
          <cell r="L125">
            <v>56628955562.513931</v>
          </cell>
        </row>
        <row r="126">
          <cell r="B126">
            <v>72198259739.850067</v>
          </cell>
          <cell r="C126">
            <v>71655582398.676102</v>
          </cell>
          <cell r="D126">
            <v>70717860528.70549</v>
          </cell>
          <cell r="E126">
            <v>75774471864.981689</v>
          </cell>
          <cell r="F126">
            <v>77891677799.023163</v>
          </cell>
          <cell r="H126">
            <v>89612924407.012863</v>
          </cell>
          <cell r="I126">
            <v>82928255873.41301</v>
          </cell>
          <cell r="J126">
            <v>82914874050.861542</v>
          </cell>
          <cell r="K126">
            <v>80642046331.498795</v>
          </cell>
          <cell r="L126">
            <v>83554549309.03186</v>
          </cell>
        </row>
        <row r="127">
          <cell r="B127">
            <v>186667383584.22919</v>
          </cell>
          <cell r="C127">
            <v>187046104875.60144</v>
          </cell>
          <cell r="D127">
            <v>191127007008.58862</v>
          </cell>
          <cell r="E127">
            <v>200649242838.78741</v>
          </cell>
          <cell r="F127">
            <v>208900870451.44183</v>
          </cell>
          <cell r="H127">
            <v>221483527913.91498</v>
          </cell>
          <cell r="I127">
            <v>212988682493.95013</v>
          </cell>
          <cell r="J127">
            <v>212970882804.53809</v>
          </cell>
          <cell r="K127">
            <v>209901879484.44098</v>
          </cell>
          <cell r="L127">
            <v>216284911940.8446</v>
          </cell>
        </row>
        <row r="128">
          <cell r="B128">
            <v>402013561280.8183</v>
          </cell>
          <cell r="C128">
            <v>400379826037.15259</v>
          </cell>
          <cell r="D128">
            <v>400467113922.31909</v>
          </cell>
          <cell r="E128">
            <v>426442986699.86633</v>
          </cell>
          <cell r="F128">
            <v>438507451887.20007</v>
          </cell>
          <cell r="H128">
            <v>495326219391.95142</v>
          </cell>
          <cell r="I128">
            <v>459903792733.79919</v>
          </cell>
          <cell r="J128">
            <v>459833197334.71252</v>
          </cell>
          <cell r="K128">
            <v>447684765447.54144</v>
          </cell>
          <cell r="L128">
            <v>470431988542.58374</v>
          </cell>
        </row>
      </sheetData>
      <sheetData sheetId="2"/>
      <sheetData sheetId="3"/>
      <sheetData sheetId="4"/>
      <sheetData sheetId="5"/>
      <sheetData sheetId="6">
        <row r="9">
          <cell r="B9">
            <v>0.36707539865052902</v>
          </cell>
        </row>
      </sheetData>
      <sheetData sheetId="7"/>
      <sheetData sheetId="8"/>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2CC"/>
      <sheetName val="other-info"/>
      <sheetName val="aux"/>
    </sheetNames>
    <sheetDataSet>
      <sheetData sheetId="0"/>
      <sheetData sheetId="1">
        <row r="6">
          <cell r="L6">
            <v>2298836.3680180013</v>
          </cell>
          <cell r="M6">
            <v>261150597.15673232</v>
          </cell>
        </row>
        <row r="7">
          <cell r="L7">
            <v>36755257.34731362</v>
          </cell>
          <cell r="M7">
            <v>1145171468.684845</v>
          </cell>
        </row>
        <row r="8">
          <cell r="L8">
            <v>111247528.30916432</v>
          </cell>
          <cell r="M8">
            <v>1695570592.5384445</v>
          </cell>
        </row>
        <row r="9">
          <cell r="L9">
            <v>224887753.62381315</v>
          </cell>
          <cell r="M9">
            <v>2125132655.4646637</v>
          </cell>
        </row>
        <row r="10">
          <cell r="L10">
            <v>366448637.98788774</v>
          </cell>
          <cell r="M10">
            <v>2533537791.7890067</v>
          </cell>
        </row>
        <row r="11">
          <cell r="L11">
            <v>542003071.56376135</v>
          </cell>
          <cell r="M11">
            <v>2975425240.504395</v>
          </cell>
        </row>
        <row r="12">
          <cell r="L12">
            <v>755103172.7987566</v>
          </cell>
          <cell r="M12">
            <v>3469331956.4906464</v>
          </cell>
        </row>
        <row r="13">
          <cell r="L13">
            <v>1075077700.6800568</v>
          </cell>
          <cell r="M13">
            <v>4171757298.3659444</v>
          </cell>
        </row>
        <row r="14">
          <cell r="L14">
            <v>1598661772.278245</v>
          </cell>
          <cell r="M14">
            <v>5219940962.7398319</v>
          </cell>
        </row>
        <row r="15">
          <cell r="L15">
            <v>4287516269.0430355</v>
          </cell>
          <cell r="M15">
            <v>9402981436.2655277</v>
          </cell>
        </row>
        <row r="16">
          <cell r="L16">
            <v>9000000000</v>
          </cell>
          <cell r="M16">
            <v>33000000000</v>
          </cell>
        </row>
      </sheetData>
      <sheetData sheetId="2"/>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mmary"/>
      <sheetName val="Structure"/>
      <sheetName val="Sheet 1"/>
    </sheetNames>
    <sheetDataSet>
      <sheetData sheetId="0"/>
      <sheetData sheetId="1"/>
      <sheetData sheetId="2">
        <row r="18">
          <cell r="P18">
            <v>3534880</v>
          </cell>
          <cell r="R18">
            <v>3449620</v>
          </cell>
          <cell r="T18">
            <v>3676460</v>
          </cell>
          <cell r="V18">
            <v>3953850</v>
          </cell>
          <cell r="X18">
            <v>4185550</v>
          </cell>
        </row>
      </sheetData>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fo on source"/>
      <sheetName val="Summary"/>
      <sheetName val="Structure"/>
      <sheetName val="Sheet 1"/>
    </sheetNames>
    <sheetDataSet>
      <sheetData sheetId="0"/>
      <sheetData sheetId="1"/>
      <sheetData sheetId="2"/>
      <sheetData sheetId="3">
        <row r="84">
          <cell r="M84">
            <v>339185</v>
          </cell>
          <cell r="O84">
            <v>327953</v>
          </cell>
          <cell r="Q84">
            <v>348321</v>
          </cell>
          <cell r="S84">
            <v>376777</v>
          </cell>
          <cell r="U84">
            <v>374828</v>
          </cell>
        </row>
      </sheetData>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Fiscal"/>
      <sheetName val="2. Distributional by deciles o"/>
      <sheetName val="2. Distributional by HH type"/>
      <sheetName val="2. Distributional by employmen"/>
      <sheetName val="2. Distributional by gender"/>
      <sheetName val="2. Distributional by age group"/>
      <sheetName val="3. Inequality and Poverty"/>
      <sheetName val="Parameter settings"/>
      <sheetName val="Metadata"/>
    </sheetNames>
    <sheetDataSet>
      <sheetData sheetId="0"/>
      <sheetData sheetId="1">
        <row r="28">
          <cell r="I28">
            <v>8.7037948331622123E-2</v>
          </cell>
        </row>
        <row r="29">
          <cell r="I29">
            <v>0.46558702514320671</v>
          </cell>
        </row>
        <row r="30">
          <cell r="I30">
            <v>0.89751179096482669</v>
          </cell>
        </row>
        <row r="31">
          <cell r="I31">
            <v>1</v>
          </cell>
        </row>
        <row r="32">
          <cell r="I32">
            <v>1</v>
          </cell>
        </row>
        <row r="33">
          <cell r="I33">
            <v>1</v>
          </cell>
        </row>
        <row r="34">
          <cell r="I34">
            <v>1</v>
          </cell>
        </row>
        <row r="35">
          <cell r="I35">
            <v>1</v>
          </cell>
        </row>
        <row r="36">
          <cell r="I36">
            <v>1</v>
          </cell>
        </row>
        <row r="37">
          <cell r="I37">
            <v>1</v>
          </cell>
        </row>
        <row r="38">
          <cell r="I38">
            <v>0.80406649790853635</v>
          </cell>
        </row>
        <row r="64">
          <cell r="B64">
            <v>1104010.0547999996</v>
          </cell>
          <cell r="C64">
            <v>1194073.1160000004</v>
          </cell>
          <cell r="D64">
            <v>1115047.9607999995</v>
          </cell>
          <cell r="E64">
            <v>1122134.9699999997</v>
          </cell>
          <cell r="F64">
            <v>1118654.9495999997</v>
          </cell>
          <cell r="G64">
            <v>1115324.1539999996</v>
          </cell>
        </row>
        <row r="65">
          <cell r="B65">
            <v>6562276.0596000021</v>
          </cell>
          <cell r="C65">
            <v>7192143.2735999962</v>
          </cell>
          <cell r="D65">
            <v>6628483.174800002</v>
          </cell>
          <cell r="E65">
            <v>6657965.5656000031</v>
          </cell>
          <cell r="F65">
            <v>6636236.4804000016</v>
          </cell>
          <cell r="G65">
            <v>6628745.8164000018</v>
          </cell>
        </row>
        <row r="66">
          <cell r="B66">
            <v>22046461.009199977</v>
          </cell>
          <cell r="C66">
            <v>23150379.535199981</v>
          </cell>
          <cell r="D66">
            <v>22269022.535999998</v>
          </cell>
          <cell r="E66">
            <v>22311056.873999998</v>
          </cell>
          <cell r="F66">
            <v>22280898.731999997</v>
          </cell>
          <cell r="G66">
            <v>22269728.680799998</v>
          </cell>
        </row>
        <row r="67">
          <cell r="B67">
            <v>51565953.213599965</v>
          </cell>
          <cell r="C67">
            <v>53179781.383199997</v>
          </cell>
          <cell r="D67">
            <v>52085839.49279999</v>
          </cell>
          <cell r="E67">
            <v>52141788.261600003</v>
          </cell>
          <cell r="F67">
            <v>52102743.342</v>
          </cell>
          <cell r="G67">
            <v>52088184.812399998</v>
          </cell>
        </row>
        <row r="68">
          <cell r="B68">
            <v>93567266.296799928</v>
          </cell>
          <cell r="C68">
            <v>95771175.004800111</v>
          </cell>
          <cell r="D68">
            <v>94509660.608400002</v>
          </cell>
          <cell r="E68">
            <v>94565794.39320001</v>
          </cell>
          <cell r="F68">
            <v>94524267.782400042</v>
          </cell>
          <cell r="G68">
            <v>94514807.630400032</v>
          </cell>
        </row>
        <row r="69">
          <cell r="B69">
            <v>133922767.94760002</v>
          </cell>
          <cell r="C69">
            <v>136709561.52960002</v>
          </cell>
          <cell r="D69">
            <v>135267988.28999981</v>
          </cell>
          <cell r="E69">
            <v>135320857.40399981</v>
          </cell>
          <cell r="F69">
            <v>135281734.82399988</v>
          </cell>
          <cell r="G69">
            <v>135274849.5647999</v>
          </cell>
        </row>
        <row r="70">
          <cell r="B70">
            <v>181002553.92600018</v>
          </cell>
          <cell r="C70">
            <v>184693807.85759994</v>
          </cell>
          <cell r="D70">
            <v>182824872.75239992</v>
          </cell>
          <cell r="E70">
            <v>182870326.24199992</v>
          </cell>
          <cell r="F70">
            <v>182838229.69439983</v>
          </cell>
          <cell r="G70">
            <v>182832825.54719985</v>
          </cell>
        </row>
        <row r="71">
          <cell r="B71">
            <v>260219211.34679973</v>
          </cell>
          <cell r="C71">
            <v>264772402.34160012</v>
          </cell>
          <cell r="D71">
            <v>262834209.06359991</v>
          </cell>
          <cell r="E71">
            <v>262882221.00119996</v>
          </cell>
          <cell r="F71">
            <v>262847825.26799995</v>
          </cell>
          <cell r="G71">
            <v>262844904.60239992</v>
          </cell>
        </row>
        <row r="72">
          <cell r="B72">
            <v>363047859.77399993</v>
          </cell>
          <cell r="C72">
            <v>368389683.06599975</v>
          </cell>
          <cell r="D72">
            <v>366697276.63920009</v>
          </cell>
          <cell r="E72">
            <v>366738355.81079984</v>
          </cell>
          <cell r="F72">
            <v>366710611.19639987</v>
          </cell>
          <cell r="G72">
            <v>366709153.02359986</v>
          </cell>
        </row>
        <row r="73">
          <cell r="B73">
            <v>663167059.69319892</v>
          </cell>
          <cell r="C73">
            <v>670619941.64760029</v>
          </cell>
          <cell r="D73">
            <v>669855280.53359962</v>
          </cell>
          <cell r="E73">
            <v>669907322.38439989</v>
          </cell>
          <cell r="F73">
            <v>669876360.50039995</v>
          </cell>
          <cell r="G73">
            <v>669876360.50039995</v>
          </cell>
        </row>
        <row r="74">
          <cell r="B74">
            <v>1776205419.3215997</v>
          </cell>
          <cell r="C74">
            <v>1805672948.7552001</v>
          </cell>
          <cell r="D74">
            <v>1794087681.0515962</v>
          </cell>
          <cell r="E74">
            <v>1794517822.906795</v>
          </cell>
          <cell r="F74">
            <v>1794217562.7695956</v>
          </cell>
          <cell r="G74">
            <v>1794154884.3323944</v>
          </cell>
        </row>
        <row r="82">
          <cell r="B82">
            <v>123811150.98839998</v>
          </cell>
        </row>
        <row r="83">
          <cell r="B83">
            <v>188764872.36960003</v>
          </cell>
        </row>
        <row r="84">
          <cell r="B84">
            <v>306222312.87839979</v>
          </cell>
        </row>
        <row r="85">
          <cell r="B85">
            <v>519892976.44440055</v>
          </cell>
        </row>
        <row r="86">
          <cell r="B86">
            <v>814538631.12479961</v>
          </cell>
        </row>
        <row r="87">
          <cell r="B87">
            <v>1024728416.1011999</v>
          </cell>
        </row>
        <row r="88">
          <cell r="B88">
            <v>1245388769.4948001</v>
          </cell>
        </row>
        <row r="89">
          <cell r="B89">
            <v>1573848123.5099993</v>
          </cell>
        </row>
        <row r="90">
          <cell r="B90">
            <v>1928906813.3940003</v>
          </cell>
        </row>
        <row r="91">
          <cell r="B91">
            <v>3042475708.7135968</v>
          </cell>
        </row>
        <row r="92">
          <cell r="B92">
            <v>10768577775.019203</v>
          </cell>
        </row>
        <row r="100">
          <cell r="B100">
            <v>126412663.46879995</v>
          </cell>
        </row>
        <row r="101">
          <cell r="B101">
            <v>433293472.35239929</v>
          </cell>
        </row>
        <row r="102">
          <cell r="B102">
            <v>392735477.22119999</v>
          </cell>
        </row>
        <row r="103">
          <cell r="B103">
            <v>291163334.36280018</v>
          </cell>
        </row>
        <row r="104">
          <cell r="B104">
            <v>204397914.52680007</v>
          </cell>
        </row>
        <row r="105">
          <cell r="B105">
            <v>181545366.65519997</v>
          </cell>
        </row>
        <row r="106">
          <cell r="B106">
            <v>169591507.23600012</v>
          </cell>
        </row>
        <row r="107">
          <cell r="B107">
            <v>159964817.28600013</v>
          </cell>
        </row>
        <row r="108">
          <cell r="B108">
            <v>196891872.88679996</v>
          </cell>
        </row>
        <row r="109">
          <cell r="B109">
            <v>249144067.81680009</v>
          </cell>
        </row>
        <row r="110">
          <cell r="B110">
            <v>2405140493.8128052</v>
          </cell>
        </row>
        <row r="118">
          <cell r="B118">
            <v>9796441.4267999995</v>
          </cell>
        </row>
        <row r="119">
          <cell r="B119">
            <v>4653546.5328000002</v>
          </cell>
        </row>
        <row r="120">
          <cell r="B120">
            <v>9343143.502799999</v>
          </cell>
        </row>
        <row r="121">
          <cell r="B121">
            <v>11513411.392799998</v>
          </cell>
        </row>
        <row r="122">
          <cell r="B122">
            <v>8571148.1316000037</v>
          </cell>
        </row>
        <row r="123">
          <cell r="B123">
            <v>7901556.9323999994</v>
          </cell>
        </row>
        <row r="124">
          <cell r="B124">
            <v>11193612.847200001</v>
          </cell>
        </row>
        <row r="125">
          <cell r="B125">
            <v>8880760.589999998</v>
          </cell>
        </row>
        <row r="126">
          <cell r="B126">
            <v>19192674.773999996</v>
          </cell>
        </row>
        <row r="127">
          <cell r="B127">
            <v>40352880.506400004</v>
          </cell>
        </row>
        <row r="128">
          <cell r="B128">
            <v>131399176.63680002</v>
          </cell>
        </row>
        <row r="136">
          <cell r="B136">
            <v>1725249.8760000006</v>
          </cell>
        </row>
        <row r="137">
          <cell r="B137">
            <v>2620606.2863999996</v>
          </cell>
        </row>
        <row r="138">
          <cell r="B138">
            <v>6821862.5004000068</v>
          </cell>
        </row>
        <row r="139">
          <cell r="B139">
            <v>14702872.707600001</v>
          </cell>
        </row>
        <row r="140">
          <cell r="B140">
            <v>15319936.277999997</v>
          </cell>
        </row>
        <row r="141">
          <cell r="B141">
            <v>17438334.098400004</v>
          </cell>
        </row>
        <row r="142">
          <cell r="B142">
            <v>20871712.390800014</v>
          </cell>
        </row>
        <row r="143">
          <cell r="B143">
            <v>29283612.420000002</v>
          </cell>
        </row>
        <row r="144">
          <cell r="B144">
            <v>50717403.729599953</v>
          </cell>
        </row>
        <row r="145">
          <cell r="B145">
            <v>283915982.60519987</v>
          </cell>
        </row>
        <row r="146">
          <cell r="B146">
            <v>443417572.89240062</v>
          </cell>
        </row>
        <row r="154">
          <cell r="B154">
            <v>261745533.33600006</v>
          </cell>
          <cell r="C154">
            <v>264362570.23080015</v>
          </cell>
        </row>
        <row r="155">
          <cell r="B155">
            <v>629332381.62360072</v>
          </cell>
          <cell r="C155">
            <v>635625439.53839922</v>
          </cell>
        </row>
        <row r="156">
          <cell r="B156">
            <v>715122449.48399973</v>
          </cell>
          <cell r="C156">
            <v>722272937.90040028</v>
          </cell>
        </row>
        <row r="157">
          <cell r="B157">
            <v>837272297.86199999</v>
          </cell>
          <cell r="C157">
            <v>845644724.97119999</v>
          </cell>
        </row>
        <row r="158">
          <cell r="B158">
            <v>1042827124.2372003</v>
          </cell>
          <cell r="C158">
            <v>1053255444.6876007</v>
          </cell>
        </row>
        <row r="159">
          <cell r="B159">
            <v>1231613113.9008012</v>
          </cell>
          <cell r="C159">
            <v>1243928699.4239995</v>
          </cell>
        </row>
        <row r="160">
          <cell r="B160">
            <v>1447045239.8219995</v>
          </cell>
          <cell r="C160">
            <v>1461514965.7344012</v>
          </cell>
        </row>
        <row r="161">
          <cell r="B161">
            <v>1771977013.4783974</v>
          </cell>
          <cell r="C161">
            <v>1789696471.378799</v>
          </cell>
        </row>
        <row r="162">
          <cell r="B162">
            <v>2195708423.025598</v>
          </cell>
          <cell r="C162">
            <v>2217665336.4551973</v>
          </cell>
        </row>
        <row r="163">
          <cell r="B163">
            <v>3615887812.1267982</v>
          </cell>
          <cell r="C163">
            <v>3652046379.6695986</v>
          </cell>
        </row>
        <row r="164">
          <cell r="B164">
            <v>13748531388.896461</v>
          </cell>
          <cell r="C164">
            <v>13886012969.99037</v>
          </cell>
        </row>
      </sheetData>
      <sheetData sheetId="2"/>
      <sheetData sheetId="3"/>
      <sheetData sheetId="4"/>
      <sheetData sheetId="5"/>
      <sheetData sheetId="6">
        <row r="7">
          <cell r="B7">
            <v>0.37371037545194902</v>
          </cell>
          <cell r="C7">
            <v>0.373710470193444</v>
          </cell>
        </row>
        <row r="8">
          <cell r="B8">
            <v>0.343448357560307</v>
          </cell>
          <cell r="C8">
            <v>0.34358545107897698</v>
          </cell>
        </row>
        <row r="34">
          <cell r="B34">
            <v>0.20256054347733399</v>
          </cell>
          <cell r="C34">
            <v>0.200179047525679</v>
          </cell>
        </row>
      </sheetData>
      <sheetData sheetId="7"/>
      <sheetData sheetId="8"/>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Fiscal"/>
      <sheetName val="2. Distributional by deciles o"/>
      <sheetName val="2. Distributional by HH type"/>
      <sheetName val="2. Distributional by employmen"/>
      <sheetName val="2. Distributional by gender"/>
      <sheetName val="2. Distributional by age group"/>
      <sheetName val="3. Inequality and Poverty"/>
      <sheetName val="Parameter settings"/>
      <sheetName val="Metadata"/>
    </sheetNames>
    <sheetDataSet>
      <sheetData sheetId="0"/>
      <sheetData sheetId="1">
        <row r="64">
          <cell r="B64">
            <v>2540229.3720000004</v>
          </cell>
          <cell r="C64">
            <v>2676423.2256</v>
          </cell>
          <cell r="D64">
            <v>2547379.6056000004</v>
          </cell>
          <cell r="E64">
            <v>2576211.5543999998</v>
          </cell>
          <cell r="F64">
            <v>2572241.9844000004</v>
          </cell>
        </row>
        <row r="65">
          <cell r="B65">
            <v>11144118.446400005</v>
          </cell>
          <cell r="C65">
            <v>11962046.323200002</v>
          </cell>
          <cell r="D65">
            <v>11237956.873200001</v>
          </cell>
          <cell r="E65">
            <v>11614446.326399989</v>
          </cell>
          <cell r="F65">
            <v>11598128.893199995</v>
          </cell>
        </row>
        <row r="66">
          <cell r="B66">
            <v>35313138.298799984</v>
          </cell>
          <cell r="C66">
            <v>36867283.881599985</v>
          </cell>
          <cell r="D66">
            <v>35652738.553200029</v>
          </cell>
          <cell r="E66">
            <v>36138930.696000032</v>
          </cell>
          <cell r="F66">
            <v>36116221.290000007</v>
          </cell>
        </row>
        <row r="67">
          <cell r="B67">
            <v>84846308.469599932</v>
          </cell>
          <cell r="C67">
            <v>87276799.268399984</v>
          </cell>
          <cell r="D67">
            <v>85687139.37120001</v>
          </cell>
          <cell r="E67">
            <v>86187318.623999968</v>
          </cell>
          <cell r="F67">
            <v>86159830.84800002</v>
          </cell>
        </row>
        <row r="68">
          <cell r="B68">
            <v>155243645.75040019</v>
          </cell>
          <cell r="C68">
            <v>158816973.09480008</v>
          </cell>
          <cell r="D68">
            <v>156793172.44680017</v>
          </cell>
          <cell r="E68">
            <v>157084631.67120025</v>
          </cell>
          <cell r="F68">
            <v>157056840.00120014</v>
          </cell>
        </row>
        <row r="69">
          <cell r="B69">
            <v>223726856.04480019</v>
          </cell>
          <cell r="C69">
            <v>228080068.52160028</v>
          </cell>
          <cell r="D69">
            <v>225965111.10960022</v>
          </cell>
          <cell r="E69">
            <v>226216534.48320025</v>
          </cell>
          <cell r="F69">
            <v>226182863.18880022</v>
          </cell>
        </row>
        <row r="70">
          <cell r="B70">
            <v>297796759.03080022</v>
          </cell>
          <cell r="C70">
            <v>302893324.63199997</v>
          </cell>
          <cell r="D70">
            <v>300790129.63799977</v>
          </cell>
          <cell r="E70">
            <v>301025652.5267995</v>
          </cell>
          <cell r="F70">
            <v>300999775.63679963</v>
          </cell>
        </row>
        <row r="71">
          <cell r="B71">
            <v>404162000.61000001</v>
          </cell>
          <cell r="C71">
            <v>409736275.89120007</v>
          </cell>
          <cell r="D71">
            <v>408224680.38600016</v>
          </cell>
          <cell r="E71">
            <v>408417937.74600023</v>
          </cell>
          <cell r="F71">
            <v>408388879.10520017</v>
          </cell>
        </row>
        <row r="72">
          <cell r="B72">
            <v>537116762.47319984</v>
          </cell>
          <cell r="C72">
            <v>543647428.70880008</v>
          </cell>
          <cell r="D72">
            <v>542495396.32679987</v>
          </cell>
          <cell r="E72">
            <v>542670937.50599957</v>
          </cell>
          <cell r="F72">
            <v>542646265.91639984</v>
          </cell>
        </row>
        <row r="73">
          <cell r="B73">
            <v>905272018.92119956</v>
          </cell>
          <cell r="C73">
            <v>915048126.41640139</v>
          </cell>
          <cell r="D73">
            <v>914373759.59879994</v>
          </cell>
          <cell r="E73">
            <v>914625605.22840035</v>
          </cell>
          <cell r="F73">
            <v>914599496.46600044</v>
          </cell>
        </row>
        <row r="74">
          <cell r="B74">
            <v>2657161837.4172039</v>
          </cell>
          <cell r="C74">
            <v>2697004749.9635897</v>
          </cell>
          <cell r="D74">
            <v>2683767463.9092007</v>
          </cell>
          <cell r="E74">
            <v>2686558206.362401</v>
          </cell>
          <cell r="F74">
            <v>2686320543.3300004</v>
          </cell>
        </row>
      </sheetData>
      <sheetData sheetId="2"/>
      <sheetData sheetId="3"/>
      <sheetData sheetId="4"/>
      <sheetData sheetId="5"/>
      <sheetData sheetId="6"/>
      <sheetData sheetId="7"/>
      <sheetData sheetId="8"/>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Fiscal"/>
      <sheetName val="2. Distributional by deciles o"/>
      <sheetName val="2. Distributional by HH type"/>
      <sheetName val="2. Distributional by employmen"/>
      <sheetName val="2. Distributional by gender"/>
      <sheetName val="2. Distributional by age group"/>
      <sheetName val="3. Inequality and Poverty"/>
      <sheetName val="Parameter settings"/>
      <sheetName val="Metadata"/>
    </sheetNames>
    <sheetDataSet>
      <sheetData sheetId="0"/>
      <sheetData sheetId="1">
        <row r="154">
          <cell r="B154">
            <v>362715371.51759982</v>
          </cell>
          <cell r="C154">
            <v>366342863.17560023</v>
          </cell>
        </row>
        <row r="155">
          <cell r="B155">
            <v>866987347.74599957</v>
          </cell>
          <cell r="C155">
            <v>875657472.23040032</v>
          </cell>
        </row>
        <row r="156">
          <cell r="B156">
            <v>979638517.33560038</v>
          </cell>
          <cell r="C156">
            <v>989434855.47960067</v>
          </cell>
        </row>
        <row r="157">
          <cell r="B157">
            <v>1150305305.4360003</v>
          </cell>
          <cell r="C157">
            <v>1161808270.9920001</v>
          </cell>
        </row>
        <row r="158">
          <cell r="B158">
            <v>1449962135.4287982</v>
          </cell>
          <cell r="C158">
            <v>1464461872.2024007</v>
          </cell>
        </row>
        <row r="159">
          <cell r="B159">
            <v>1705142076.8075988</v>
          </cell>
          <cell r="C159">
            <v>1722193480.8552022</v>
          </cell>
        </row>
        <row r="160">
          <cell r="B160">
            <v>2010897767.1623993</v>
          </cell>
          <cell r="C160">
            <v>2031006875.7492003</v>
          </cell>
        </row>
        <row r="161">
          <cell r="B161">
            <v>2446698732.9743991</v>
          </cell>
          <cell r="C161">
            <v>2471165716.3848</v>
          </cell>
        </row>
        <row r="162">
          <cell r="B162">
            <v>3060838644.6708016</v>
          </cell>
          <cell r="C162">
            <v>3091446869.7755976</v>
          </cell>
        </row>
        <row r="163">
          <cell r="B163">
            <v>4945611618.1619968</v>
          </cell>
          <cell r="C163">
            <v>4995067500.8939991</v>
          </cell>
        </row>
        <row r="164">
          <cell r="B164">
            <v>18978797517.241161</v>
          </cell>
          <cell r="C164">
            <v>19168585777.738716</v>
          </cell>
        </row>
      </sheetData>
      <sheetData sheetId="2"/>
      <sheetData sheetId="3"/>
      <sheetData sheetId="4"/>
      <sheetData sheetId="5"/>
      <sheetData sheetId="6"/>
      <sheetData sheetId="7"/>
      <sheetData sheetId="8"/>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Fiscal"/>
      <sheetName val="2. Distributional by deciles o"/>
      <sheetName val="2. Distributional by HH type"/>
      <sheetName val="2. Distributional by employmen"/>
      <sheetName val="2. Distributional by gender"/>
      <sheetName val="2. Distributional by age group"/>
      <sheetName val="3. Inequality and Poverty"/>
      <sheetName val="Parameter settings"/>
      <sheetName val="Metadata"/>
    </sheetNames>
    <sheetDataSet>
      <sheetData sheetId="0">
        <row r="87">
          <cell r="D87">
            <v>19128882429.043221</v>
          </cell>
          <cell r="E87">
            <v>19011781787.026825</v>
          </cell>
          <cell r="F87">
            <v>18980633036.031605</v>
          </cell>
          <cell r="G87">
            <v>18983681067.304745</v>
          </cell>
        </row>
      </sheetData>
      <sheetData sheetId="1">
        <row r="28">
          <cell r="I28">
            <v>9.1207661708020749E-2</v>
          </cell>
        </row>
        <row r="29">
          <cell r="I29">
            <v>0.42130553539723797</v>
          </cell>
        </row>
        <row r="30">
          <cell r="I30">
            <v>0.84442934117196022</v>
          </cell>
        </row>
        <row r="31">
          <cell r="I31">
            <v>0.99500615332131326</v>
          </cell>
        </row>
        <row r="32">
          <cell r="I32">
            <v>1</v>
          </cell>
        </row>
        <row r="33">
          <cell r="I33">
            <v>1</v>
          </cell>
        </row>
        <row r="34">
          <cell r="I34">
            <v>1</v>
          </cell>
        </row>
        <row r="35">
          <cell r="I35">
            <v>1</v>
          </cell>
        </row>
        <row r="36">
          <cell r="I36">
            <v>1</v>
          </cell>
        </row>
        <row r="37">
          <cell r="I37">
            <v>1</v>
          </cell>
        </row>
        <row r="38">
          <cell r="I38">
            <v>0.79074401307634679</v>
          </cell>
        </row>
      </sheetData>
      <sheetData sheetId="2"/>
      <sheetData sheetId="3"/>
      <sheetData sheetId="4"/>
      <sheetData sheetId="5"/>
      <sheetData sheetId="6"/>
      <sheetData sheetId="7"/>
      <sheetData sheetId="8"/>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Fiscal"/>
      <sheetName val="Parameter settings"/>
      <sheetName val="Metadata"/>
    </sheetNames>
    <sheetDataSet>
      <sheetData sheetId="0">
        <row r="18">
          <cell r="D18">
            <v>1800657143.4443965</v>
          </cell>
          <cell r="E18">
            <v>1780029346.8599975</v>
          </cell>
          <cell r="F18">
            <v>1776445076.538003</v>
          </cell>
          <cell r="G18">
            <v>1777156615.5552058</v>
          </cell>
        </row>
      </sheetData>
      <sheetData sheetId="1"/>
      <sheetData sheetId="2"/>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Fiscal"/>
      <sheetName val="Parameter settings"/>
      <sheetName val="Metadata"/>
    </sheetNames>
    <sheetDataSet>
      <sheetData sheetId="0">
        <row r="87">
          <cell r="D87">
            <v>13856215153.377533</v>
          </cell>
          <cell r="E87">
            <v>13772580566.509123</v>
          </cell>
          <cell r="F87">
            <v>13749845295.980341</v>
          </cell>
          <cell r="G87">
            <v>13752965564.090378</v>
          </cell>
        </row>
      </sheetData>
      <sheetData sheetId="1"/>
      <sheetData sheetId="2"/>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Fiscal"/>
      <sheetName val="2. Distributional by deciles o"/>
      <sheetName val="2. Distributional by HH type"/>
      <sheetName val="2. Distributional by employmen"/>
      <sheetName val="2. Distributional by gender"/>
      <sheetName val="2. Distributional by age group"/>
      <sheetName val="3. Inequality and Poverty"/>
      <sheetName val="Parameter settings"/>
      <sheetName val="Metadata"/>
    </sheetNames>
    <sheetDataSet>
      <sheetData sheetId="0">
        <row r="18">
          <cell r="D18">
            <v>2691085806.4511986</v>
          </cell>
        </row>
      </sheetData>
      <sheetData sheetId="1"/>
      <sheetData sheetId="2"/>
      <sheetData sheetId="3"/>
      <sheetData sheetId="4"/>
      <sheetData sheetId="5"/>
      <sheetData sheetId="6"/>
      <sheetData sheetId="7"/>
      <sheetData sheetId="8"/>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Fiscal"/>
      <sheetName val="2. Distributional by deciles o"/>
      <sheetName val="2. Distributional by HH type"/>
      <sheetName val="2. Distributional by employmen"/>
      <sheetName val="2. Distributional by gender"/>
      <sheetName val="2. Distributional by age group"/>
      <sheetName val="3. Inequality and Poverty"/>
      <sheetName val="Parameter settings"/>
      <sheetName val="Metadata"/>
    </sheetNames>
    <sheetDataSet>
      <sheetData sheetId="0">
        <row r="18">
          <cell r="D18">
            <v>2691085806.4511986</v>
          </cell>
          <cell r="E18">
            <v>2661734099.3796053</v>
          </cell>
          <cell r="F18">
            <v>2657504177.9436102</v>
          </cell>
          <cell r="G18">
            <v>2658164431.1868086</v>
          </cell>
        </row>
      </sheetData>
      <sheetData sheetId="1"/>
      <sheetData sheetId="2"/>
      <sheetData sheetId="3"/>
      <sheetData sheetId="4"/>
      <sheetData sheetId="5"/>
      <sheetData sheetId="6"/>
      <sheetData sheetId="7"/>
      <sheetData sheetId="8"/>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Fiscal"/>
      <sheetName val="2. Distributional by deciles o"/>
      <sheetName val="2. Distributional by HH type"/>
      <sheetName val="2. Distributional by employmen"/>
      <sheetName val="2. Distributional by gender"/>
      <sheetName val="2. Distributional by age group"/>
      <sheetName val="3. Inequality and Poverty"/>
      <sheetName val="Parameter settings"/>
      <sheetName val="Metadata"/>
    </sheetNames>
    <sheetDataSet>
      <sheetData sheetId="0"/>
      <sheetData sheetId="1">
        <row r="28">
          <cell r="M28">
            <v>8.7037948331622123E-2</v>
          </cell>
        </row>
        <row r="64">
          <cell r="B64">
            <v>1104010.0547999996</v>
          </cell>
          <cell r="C64">
            <v>1790944.044</v>
          </cell>
          <cell r="D64">
            <v>2795893.1868000007</v>
          </cell>
          <cell r="E64">
            <v>4220050.9584000008</v>
          </cell>
          <cell r="F64">
            <v>2618743.216800001</v>
          </cell>
          <cell r="H64">
            <v>7494378.3456000024</v>
          </cell>
          <cell r="I64">
            <v>1617834.7476000004</v>
          </cell>
          <cell r="J64">
            <v>2675813.1239999998</v>
          </cell>
          <cell r="K64">
            <v>1831941.8735999991</v>
          </cell>
          <cell r="L64">
            <v>5740867.9584000017</v>
          </cell>
        </row>
        <row r="65">
          <cell r="B65">
            <v>6562276.0596000021</v>
          </cell>
          <cell r="C65">
            <v>12044765.5656</v>
          </cell>
          <cell r="D65">
            <v>16247865.177600006</v>
          </cell>
          <cell r="E65">
            <v>26260950.04559996</v>
          </cell>
          <cell r="F65">
            <v>11399630.103600007</v>
          </cell>
          <cell r="H65">
            <v>46387619.487599969</v>
          </cell>
          <cell r="I65">
            <v>8778811.4100000001</v>
          </cell>
          <cell r="J65">
            <v>16434966.518400008</v>
          </cell>
          <cell r="K65">
            <v>10220050.498799987</v>
          </cell>
          <cell r="L65">
            <v>20647181.163599998</v>
          </cell>
        </row>
        <row r="66">
          <cell r="B66">
            <v>22046461.009199977</v>
          </cell>
          <cell r="C66">
            <v>29848036.149599954</v>
          </cell>
          <cell r="D66">
            <v>37048442.187599927</v>
          </cell>
          <cell r="E66">
            <v>49420871.123999976</v>
          </cell>
          <cell r="F66">
            <v>36022779.08639998</v>
          </cell>
          <cell r="H66">
            <v>72223663.924799979</v>
          </cell>
          <cell r="I66">
            <v>30118223.578799989</v>
          </cell>
          <cell r="J66">
            <v>40593798.244799979</v>
          </cell>
          <cell r="K66">
            <v>32472897.103200011</v>
          </cell>
          <cell r="L66">
            <v>48924243.842400007</v>
          </cell>
        </row>
        <row r="67">
          <cell r="B67">
            <v>51565953.213599965</v>
          </cell>
          <cell r="C67">
            <v>61821296.323200032</v>
          </cell>
          <cell r="D67">
            <v>74361025.329600066</v>
          </cell>
          <cell r="E67">
            <v>91232020.728000045</v>
          </cell>
          <cell r="F67">
            <v>84886923.769199923</v>
          </cell>
          <cell r="H67">
            <v>118897376.03399998</v>
          </cell>
          <cell r="I67">
            <v>71258456.535600021</v>
          </cell>
          <cell r="J67">
            <v>83985557.501999959</v>
          </cell>
          <cell r="K67">
            <v>74230418.62680003</v>
          </cell>
          <cell r="L67">
            <v>100258628.77200001</v>
          </cell>
        </row>
        <row r="68">
          <cell r="B68">
            <v>93567266.296799928</v>
          </cell>
          <cell r="C68">
            <v>107480215.61519995</v>
          </cell>
          <cell r="D68">
            <v>127056057.57959992</v>
          </cell>
          <cell r="E68">
            <v>149951081.17799997</v>
          </cell>
          <cell r="F68">
            <v>154992562.92240012</v>
          </cell>
          <cell r="H68">
            <v>186253408.94279987</v>
          </cell>
          <cell r="I68">
            <v>130409609.87519988</v>
          </cell>
          <cell r="J68">
            <v>145040556.32039994</v>
          </cell>
          <cell r="K68">
            <v>133863057.63600001</v>
          </cell>
          <cell r="L68">
            <v>173844432.50519991</v>
          </cell>
        </row>
        <row r="69">
          <cell r="B69">
            <v>133922767.94760002</v>
          </cell>
          <cell r="C69">
            <v>151954378.34879991</v>
          </cell>
          <cell r="D69">
            <v>179664246.45599988</v>
          </cell>
          <cell r="E69">
            <v>209904140.5763998</v>
          </cell>
          <cell r="F69">
            <v>223753965.38880023</v>
          </cell>
          <cell r="H69">
            <v>253447270.31520027</v>
          </cell>
          <cell r="I69">
            <v>186738744.00479996</v>
          </cell>
          <cell r="J69">
            <v>204505039.35120007</v>
          </cell>
          <cell r="K69">
            <v>190748811.40559992</v>
          </cell>
          <cell r="L69">
            <v>239916293.71799999</v>
          </cell>
        </row>
        <row r="70">
          <cell r="B70">
            <v>181002553.92600018</v>
          </cell>
          <cell r="C70">
            <v>204352297.34879988</v>
          </cell>
          <cell r="D70">
            <v>238875455.23559988</v>
          </cell>
          <cell r="E70">
            <v>274629823.49400026</v>
          </cell>
          <cell r="F70">
            <v>297541616.68440014</v>
          </cell>
          <cell r="H70">
            <v>324382378.31399989</v>
          </cell>
          <cell r="I70">
            <v>252728480.81040028</v>
          </cell>
          <cell r="J70">
            <v>274044700.12560022</v>
          </cell>
          <cell r="K70">
            <v>257826795.11280057</v>
          </cell>
          <cell r="L70">
            <v>311212007.79480028</v>
          </cell>
        </row>
        <row r="71">
          <cell r="B71">
            <v>260219211.34679973</v>
          </cell>
          <cell r="C71">
            <v>288449736.01200014</v>
          </cell>
          <cell r="D71">
            <v>330400373.82959986</v>
          </cell>
          <cell r="E71">
            <v>372676500.05519998</v>
          </cell>
          <cell r="F71">
            <v>405909634.74720001</v>
          </cell>
          <cell r="H71">
            <v>428845997.87640047</v>
          </cell>
          <cell r="I71">
            <v>362689305.86039978</v>
          </cell>
          <cell r="J71">
            <v>384421682.96760017</v>
          </cell>
          <cell r="K71">
            <v>367999397.57759994</v>
          </cell>
          <cell r="L71">
            <v>415198578.39720029</v>
          </cell>
        </row>
        <row r="72">
          <cell r="B72">
            <v>363047859.77399993</v>
          </cell>
          <cell r="C72">
            <v>396324158.71079975</v>
          </cell>
          <cell r="D72">
            <v>443508406.81919986</v>
          </cell>
          <cell r="E72">
            <v>490282024.73399967</v>
          </cell>
          <cell r="F72">
            <v>533614938.95039976</v>
          </cell>
          <cell r="H72">
            <v>554109667.71720076</v>
          </cell>
          <cell r="I72">
            <v>504471497.33759987</v>
          </cell>
          <cell r="J72">
            <v>522320067.86639988</v>
          </cell>
          <cell r="K72">
            <v>509035737.23280013</v>
          </cell>
          <cell r="L72">
            <v>540269574.52559972</v>
          </cell>
        </row>
        <row r="73">
          <cell r="B73">
            <v>663167059.69319892</v>
          </cell>
          <cell r="C73">
            <v>706910112.66240001</v>
          </cell>
          <cell r="D73">
            <v>770265475.94640076</v>
          </cell>
          <cell r="E73">
            <v>836731839.39839983</v>
          </cell>
          <cell r="F73">
            <v>906421042.54799962</v>
          </cell>
          <cell r="H73">
            <v>930353310.71639967</v>
          </cell>
          <cell r="I73">
            <v>906236650.96439958</v>
          </cell>
          <cell r="J73">
            <v>914761198.59119987</v>
          </cell>
          <cell r="K73">
            <v>908425476.84359956</v>
          </cell>
          <cell r="L73">
            <v>909551081.15279913</v>
          </cell>
        </row>
        <row r="74">
          <cell r="B74">
            <v>1776205419.3215997</v>
          </cell>
          <cell r="C74">
            <v>1960975940.7803974</v>
          </cell>
          <cell r="D74">
            <v>2220223241.7480035</v>
          </cell>
          <cell r="E74">
            <v>2505309302.2920027</v>
          </cell>
          <cell r="F74">
            <v>2657161837.4172039</v>
          </cell>
          <cell r="H74">
            <v>2922395071.6739941</v>
          </cell>
          <cell r="I74">
            <v>2455047615.1248074</v>
          </cell>
          <cell r="J74">
            <v>2588783380.6115894</v>
          </cell>
          <cell r="K74">
            <v>2486654583.9108019</v>
          </cell>
          <cell r="L74">
            <v>2765562889.829998</v>
          </cell>
        </row>
        <row r="154">
          <cell r="B154">
            <v>261745533.33600006</v>
          </cell>
          <cell r="C154">
            <v>280691548.04519969</v>
          </cell>
          <cell r="D154">
            <v>297722748.64799958</v>
          </cell>
          <cell r="E154">
            <v>322511337.05040002</v>
          </cell>
          <cell r="F154">
            <v>361013914.11239988</v>
          </cell>
        </row>
        <row r="155">
          <cell r="B155">
            <v>629332381.62360072</v>
          </cell>
          <cell r="C155">
            <v>676516598.46240044</v>
          </cell>
          <cell r="D155">
            <v>705181404.54839993</v>
          </cell>
          <cell r="E155">
            <v>762389238.10200143</v>
          </cell>
          <cell r="F155">
            <v>862241410.97879934</v>
          </cell>
        </row>
        <row r="156">
          <cell r="B156">
            <v>715122449.48399973</v>
          </cell>
          <cell r="C156">
            <v>766697157.17280006</v>
          </cell>
          <cell r="D156">
            <v>807891454.25640059</v>
          </cell>
          <cell r="E156">
            <v>874150734.33479953</v>
          </cell>
          <cell r="F156">
            <v>982555865.34240067</v>
          </cell>
        </row>
        <row r="157">
          <cell r="B157">
            <v>837272297.86199999</v>
          </cell>
          <cell r="C157">
            <v>893883635.68919945</v>
          </cell>
          <cell r="D157">
            <v>956589714.99480104</v>
          </cell>
          <cell r="E157">
            <v>1036354012.7879988</v>
          </cell>
          <cell r="F157">
            <v>1154798064.8772006</v>
          </cell>
        </row>
        <row r="158">
          <cell r="B158">
            <v>1042827124.2372003</v>
          </cell>
          <cell r="C158">
            <v>1111538919.2063987</v>
          </cell>
          <cell r="D158">
            <v>1204022483.8139992</v>
          </cell>
          <cell r="E158">
            <v>1304571220.9247999</v>
          </cell>
          <cell r="F158">
            <v>1444988950.6091983</v>
          </cell>
        </row>
        <row r="159">
          <cell r="B159">
            <v>1231613113.9008012</v>
          </cell>
          <cell r="C159">
            <v>1311328398.5399995</v>
          </cell>
          <cell r="D159">
            <v>1425163096.1304002</v>
          </cell>
          <cell r="E159">
            <v>1544187722.4468002</v>
          </cell>
          <cell r="F159">
            <v>1708152397.0331988</v>
          </cell>
        </row>
        <row r="160">
          <cell r="B160">
            <v>1447045239.8219995</v>
          </cell>
          <cell r="C160">
            <v>1539946587.7476015</v>
          </cell>
          <cell r="D160">
            <v>1677746632.348803</v>
          </cell>
          <cell r="E160">
            <v>1818593485.0272002</v>
          </cell>
          <cell r="F160">
            <v>2008896162.2171996</v>
          </cell>
        </row>
        <row r="161">
          <cell r="B161">
            <v>1771977013.4783974</v>
          </cell>
          <cell r="C161">
            <v>1883568246.0611987</v>
          </cell>
          <cell r="D161">
            <v>2055606954.0924017</v>
          </cell>
          <cell r="E161">
            <v>2228439435.0095978</v>
          </cell>
          <cell r="F161">
            <v>2459816055.1187997</v>
          </cell>
        </row>
        <row r="162">
          <cell r="B162">
            <v>2195708423.025598</v>
          </cell>
          <cell r="C162">
            <v>2334784395.822001</v>
          </cell>
          <cell r="D162">
            <v>2547882849.7751975</v>
          </cell>
          <cell r="E162">
            <v>2760727550.7132015</v>
          </cell>
          <cell r="F162">
            <v>3044617749.609601</v>
          </cell>
        </row>
        <row r="163">
          <cell r="B163">
            <v>3615887812.1267982</v>
          </cell>
          <cell r="C163">
            <v>3830622100.8528013</v>
          </cell>
          <cell r="D163">
            <v>4168303914.5976005</v>
          </cell>
          <cell r="E163">
            <v>4504999895.2475948</v>
          </cell>
          <cell r="F163">
            <v>4951716947.3423958</v>
          </cell>
        </row>
        <row r="164">
          <cell r="B164">
            <v>13748531388.896461</v>
          </cell>
          <cell r="C164">
            <v>14629577587.599628</v>
          </cell>
          <cell r="D164">
            <v>15846111253.205973</v>
          </cell>
          <cell r="E164">
            <v>17156924631.644482</v>
          </cell>
          <cell r="F164">
            <v>18978797517.241161</v>
          </cell>
        </row>
      </sheetData>
      <sheetData sheetId="2"/>
      <sheetData sheetId="3"/>
      <sheetData sheetId="4"/>
      <sheetData sheetId="5"/>
      <sheetData sheetId="6">
        <row r="7">
          <cell r="B7">
            <v>0.37371037545194902</v>
          </cell>
        </row>
      </sheetData>
      <sheetData sheetId="7"/>
      <sheetData sheetId="8"/>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1. Fiscal"/>
      <sheetName val="2. Distributional by deciles o"/>
      <sheetName val="2. Distributional by HH type"/>
      <sheetName val="2. Distributional by employmen"/>
      <sheetName val="2. Distributional by gender"/>
      <sheetName val="2. Distributional by age group"/>
      <sheetName val="3. Inequality and Poverty"/>
      <sheetName val="Parameter settings"/>
      <sheetName val="Metadata"/>
    </sheetNames>
    <sheetDataSet>
      <sheetData sheetId="0"/>
      <sheetData sheetId="1">
        <row r="28">
          <cell r="J28">
            <v>0.1235175126352439</v>
          </cell>
        </row>
        <row r="29">
          <cell r="J29">
            <v>0.23952472093685376</v>
          </cell>
        </row>
        <row r="30">
          <cell r="J30">
            <v>0.41293119588117105</v>
          </cell>
        </row>
        <row r="31">
          <cell r="J31">
            <v>0.45565918199514455</v>
          </cell>
        </row>
        <row r="32">
          <cell r="J32">
            <v>0.66461626225109049</v>
          </cell>
        </row>
        <row r="33">
          <cell r="J33">
            <v>0.88236946079804524</v>
          </cell>
        </row>
        <row r="34">
          <cell r="J34">
            <v>0.97321077558624247</v>
          </cell>
        </row>
        <row r="35">
          <cell r="J35">
            <v>0.99980190500210608</v>
          </cell>
        </row>
        <row r="36">
          <cell r="J36">
            <v>1</v>
          </cell>
        </row>
        <row r="37">
          <cell r="J37">
            <v>1</v>
          </cell>
        </row>
        <row r="38">
          <cell r="J38">
            <v>0.67707577925458162</v>
          </cell>
        </row>
        <row r="64">
          <cell r="B64">
            <v>30103115.750399992</v>
          </cell>
          <cell r="C64">
            <v>30459451.719599996</v>
          </cell>
          <cell r="D64">
            <v>30385478.061600015</v>
          </cell>
          <cell r="E64">
            <v>30459451.719599996</v>
          </cell>
          <cell r="F64">
            <v>30390804.650400005</v>
          </cell>
          <cell r="G64">
            <v>30385478.061600015</v>
          </cell>
          <cell r="H64">
            <v>30385478.061600015</v>
          </cell>
        </row>
        <row r="65">
          <cell r="B65">
            <v>75703595.18280001</v>
          </cell>
          <cell r="C65">
            <v>77217757.196400002</v>
          </cell>
          <cell r="D65">
            <v>76298553.222000018</v>
          </cell>
          <cell r="E65">
            <v>77217757.196400002</v>
          </cell>
          <cell r="F65">
            <v>76301775.411600024</v>
          </cell>
          <cell r="G65">
            <v>76298553.222000018</v>
          </cell>
          <cell r="H65">
            <v>76298553.222000018</v>
          </cell>
        </row>
        <row r="66">
          <cell r="B66">
            <v>131703652.71960005</v>
          </cell>
          <cell r="C66">
            <v>135066970.96679991</v>
          </cell>
          <cell r="D66">
            <v>132633140.85839993</v>
          </cell>
          <cell r="E66">
            <v>135066970.96679991</v>
          </cell>
          <cell r="F66">
            <v>132641643.11039996</v>
          </cell>
          <cell r="G66">
            <v>132633140.85839993</v>
          </cell>
          <cell r="H66">
            <v>132633140.85839993</v>
          </cell>
        </row>
        <row r="67">
          <cell r="B67">
            <v>186145345.89840001</v>
          </cell>
          <cell r="C67">
            <v>190468626.72479999</v>
          </cell>
          <cell r="D67">
            <v>187342023.29160005</v>
          </cell>
          <cell r="E67">
            <v>190468626.72479999</v>
          </cell>
          <cell r="F67">
            <v>187363495.8120001</v>
          </cell>
          <cell r="G67">
            <v>187342023.29160005</v>
          </cell>
          <cell r="H67">
            <v>187342023.29160005</v>
          </cell>
        </row>
        <row r="68">
          <cell r="B68">
            <v>266447299.08720034</v>
          </cell>
          <cell r="C68">
            <v>273204513.01440036</v>
          </cell>
          <cell r="D68">
            <v>268401949.17000067</v>
          </cell>
          <cell r="E68">
            <v>273169963.38240033</v>
          </cell>
          <cell r="F68">
            <v>268415553.20400068</v>
          </cell>
          <cell r="G68">
            <v>268401949.17000067</v>
          </cell>
          <cell r="H68">
            <v>268401949.17000067</v>
          </cell>
        </row>
        <row r="69">
          <cell r="B69">
            <v>391104144.92999965</v>
          </cell>
          <cell r="C69">
            <v>401393583.58679986</v>
          </cell>
          <cell r="D69">
            <v>394410823.08599973</v>
          </cell>
          <cell r="E69">
            <v>401233737.03359985</v>
          </cell>
          <cell r="F69">
            <v>394437373.10999966</v>
          </cell>
          <cell r="G69">
            <v>394410823.08599973</v>
          </cell>
          <cell r="H69">
            <v>394410823.08599973</v>
          </cell>
        </row>
        <row r="70">
          <cell r="B70">
            <v>540438391.45800006</v>
          </cell>
          <cell r="C70">
            <v>552757258.05719948</v>
          </cell>
          <cell r="D70">
            <v>544164953.25479889</v>
          </cell>
          <cell r="E70">
            <v>552420592.3355993</v>
          </cell>
          <cell r="F70">
            <v>544187405.89199901</v>
          </cell>
          <cell r="G70">
            <v>544164953.25479889</v>
          </cell>
          <cell r="H70">
            <v>544164953.25479889</v>
          </cell>
        </row>
        <row r="71">
          <cell r="B71">
            <v>777536279.79120004</v>
          </cell>
          <cell r="C71">
            <v>794135264.3076005</v>
          </cell>
          <cell r="D71">
            <v>783592521.22080064</v>
          </cell>
          <cell r="E71">
            <v>793774382.31480026</v>
          </cell>
          <cell r="F71">
            <v>783617070.04080021</v>
          </cell>
          <cell r="G71">
            <v>783592521.22080064</v>
          </cell>
          <cell r="H71">
            <v>783592521.22080064</v>
          </cell>
        </row>
        <row r="72">
          <cell r="B72">
            <v>1143547322.6184011</v>
          </cell>
          <cell r="C72">
            <v>1165899149.8475997</v>
          </cell>
          <cell r="D72">
            <v>1152732963.8784003</v>
          </cell>
          <cell r="E72">
            <v>1164745687.7147994</v>
          </cell>
          <cell r="F72">
            <v>1152750946.3932002</v>
          </cell>
          <cell r="G72">
            <v>1152732963.8784003</v>
          </cell>
          <cell r="H72">
            <v>1152732963.8784003</v>
          </cell>
        </row>
        <row r="73">
          <cell r="B73">
            <v>4093505399.0435934</v>
          </cell>
          <cell r="C73">
            <v>4152978636.1823916</v>
          </cell>
          <cell r="D73">
            <v>4130298191.1564007</v>
          </cell>
          <cell r="E73">
            <v>4142996454.1739917</v>
          </cell>
          <cell r="F73">
            <v>4130306783.7372007</v>
          </cell>
          <cell r="G73">
            <v>4130298191.1564007</v>
          </cell>
          <cell r="H73">
            <v>4130298191.1564007</v>
          </cell>
        </row>
        <row r="74">
          <cell r="B74">
            <v>7636234546.4796124</v>
          </cell>
          <cell r="C74">
            <v>7773581211.6036072</v>
          </cell>
          <cell r="D74">
            <v>7700260597.1999903</v>
          </cell>
          <cell r="E74">
            <v>7761553623.5628119</v>
          </cell>
          <cell r="F74">
            <v>7700412851.3615999</v>
          </cell>
          <cell r="G74">
            <v>7700260597.1999903</v>
          </cell>
          <cell r="H74">
            <v>7700260597.1999903</v>
          </cell>
        </row>
        <row r="82">
          <cell r="B82">
            <v>1058546892.9515988</v>
          </cell>
          <cell r="C82">
            <v>1069099895.0099995</v>
          </cell>
        </row>
        <row r="83">
          <cell r="B83">
            <v>3277122406.9235959</v>
          </cell>
          <cell r="C83">
            <v>3309877415.5368032</v>
          </cell>
        </row>
        <row r="84">
          <cell r="B84">
            <v>4532488523.8920069</v>
          </cell>
          <cell r="C84">
            <v>4577623162.9523926</v>
          </cell>
        </row>
        <row r="85">
          <cell r="B85">
            <v>5595660175.0296078</v>
          </cell>
          <cell r="C85">
            <v>5651279600.7480049</v>
          </cell>
        </row>
        <row r="86">
          <cell r="B86">
            <v>6617702455.4988041</v>
          </cell>
          <cell r="C86">
            <v>6683617166.809206</v>
          </cell>
        </row>
        <row r="87">
          <cell r="B87">
            <v>7698122086.5336199</v>
          </cell>
          <cell r="C87">
            <v>7774947270.6863852</v>
          </cell>
        </row>
        <row r="88">
          <cell r="B88">
            <v>9032318402.4599781</v>
          </cell>
          <cell r="C88">
            <v>9122058470.7719955</v>
          </cell>
        </row>
        <row r="89">
          <cell r="B89">
            <v>11023245097.831192</v>
          </cell>
          <cell r="C89">
            <v>11133197302.291195</v>
          </cell>
        </row>
        <row r="90">
          <cell r="B90">
            <v>13547828471.374792</v>
          </cell>
          <cell r="C90">
            <v>13683097586.878811</v>
          </cell>
        </row>
        <row r="91">
          <cell r="B91">
            <v>24191040121.187977</v>
          </cell>
          <cell r="C91">
            <v>24432812114.948433</v>
          </cell>
        </row>
        <row r="92">
          <cell r="B92">
            <v>86574074633.682968</v>
          </cell>
          <cell r="C92">
            <v>87437609986.633118</v>
          </cell>
        </row>
        <row r="100">
          <cell r="B100">
            <v>377615176.47959971</v>
          </cell>
        </row>
        <row r="101">
          <cell r="B101">
            <v>1227927743.7348003</v>
          </cell>
        </row>
        <row r="102">
          <cell r="B102">
            <v>1624564730.6484003</v>
          </cell>
        </row>
        <row r="103">
          <cell r="B103">
            <v>2026152031.6667976</v>
          </cell>
        </row>
        <row r="104">
          <cell r="B104">
            <v>2797570357.8683991</v>
          </cell>
        </row>
        <row r="105">
          <cell r="B105">
            <v>3424298357.4671988</v>
          </cell>
        </row>
        <row r="106">
          <cell r="B106">
            <v>4599640007.4035997</v>
          </cell>
        </row>
        <row r="107">
          <cell r="B107">
            <v>5424138663.6120024</v>
          </cell>
        </row>
        <row r="108">
          <cell r="B108">
            <v>6948786072.1608086</v>
          </cell>
        </row>
        <row r="109">
          <cell r="B109">
            <v>10485652727.847605</v>
          </cell>
        </row>
        <row r="110">
          <cell r="B110">
            <v>38936345868.889267</v>
          </cell>
        </row>
        <row r="118">
          <cell r="B118">
            <v>252426153.21719998</v>
          </cell>
        </row>
        <row r="119">
          <cell r="B119">
            <v>1278770503.7459991</v>
          </cell>
        </row>
        <row r="120">
          <cell r="B120">
            <v>2048479048.5431993</v>
          </cell>
        </row>
        <row r="121">
          <cell r="B121">
            <v>2630558621.014802</v>
          </cell>
        </row>
        <row r="122">
          <cell r="B122">
            <v>2712381139.3247986</v>
          </cell>
        </row>
        <row r="123">
          <cell r="B123">
            <v>3062981581.4039989</v>
          </cell>
        </row>
        <row r="124">
          <cell r="B124">
            <v>2841586793.6663985</v>
          </cell>
        </row>
        <row r="125">
          <cell r="B125">
            <v>3789116908.1411977</v>
          </cell>
        </row>
        <row r="126">
          <cell r="B126">
            <v>4258884735.1380033</v>
          </cell>
        </row>
        <row r="127">
          <cell r="B127">
            <v>5290005309.6515999</v>
          </cell>
        </row>
        <row r="128">
          <cell r="B128">
            <v>28165190793.847031</v>
          </cell>
        </row>
        <row r="136">
          <cell r="B136">
            <v>389871389.66880029</v>
          </cell>
        </row>
        <row r="137">
          <cell r="B137">
            <v>730587811.25639987</v>
          </cell>
        </row>
        <row r="138">
          <cell r="B138">
            <v>787276268.38559949</v>
          </cell>
        </row>
        <row r="139">
          <cell r="B139">
            <v>867586542.72359967</v>
          </cell>
        </row>
        <row r="140">
          <cell r="B140">
            <v>948528353.33879936</v>
          </cell>
        </row>
        <row r="141">
          <cell r="B141">
            <v>1059147048.0971994</v>
          </cell>
        </row>
        <row r="142">
          <cell r="B142">
            <v>1358123663.281199</v>
          </cell>
        </row>
        <row r="143">
          <cell r="B143">
            <v>1531806780.6684</v>
          </cell>
        </row>
        <row r="144">
          <cell r="B144">
            <v>1849963777.3319998</v>
          </cell>
        </row>
        <row r="145">
          <cell r="B145">
            <v>6629260831.154398</v>
          </cell>
        </row>
        <row r="146">
          <cell r="B146">
            <v>16152152465.906349</v>
          </cell>
        </row>
        <row r="154">
          <cell r="B154">
            <v>38634408.507599995</v>
          </cell>
        </row>
        <row r="155">
          <cell r="B155">
            <v>39836526.435599983</v>
          </cell>
        </row>
        <row r="156">
          <cell r="B156">
            <v>72169048.101600021</v>
          </cell>
        </row>
        <row r="157">
          <cell r="B157">
            <v>71363730.91080004</v>
          </cell>
        </row>
        <row r="158">
          <cell r="B158">
            <v>159223285.98960006</v>
          </cell>
        </row>
        <row r="159">
          <cell r="B159">
            <v>151695653.36759996</v>
          </cell>
        </row>
        <row r="160">
          <cell r="B160">
            <v>232968724.14720002</v>
          </cell>
        </row>
        <row r="161">
          <cell r="B161">
            <v>278183142.07920009</v>
          </cell>
        </row>
        <row r="162">
          <cell r="B162">
            <v>490194048.65159988</v>
          </cell>
        </row>
        <row r="163">
          <cell r="B163">
            <v>1786122388.4027996</v>
          </cell>
        </row>
        <row r="164">
          <cell r="B164">
            <v>3320390956.5936027</v>
          </cell>
        </row>
      </sheetData>
      <sheetData sheetId="2"/>
      <sheetData sheetId="3"/>
      <sheetData sheetId="4"/>
      <sheetData sheetId="5"/>
      <sheetData sheetId="6">
        <row r="7">
          <cell r="B7">
            <v>0.37750602696407098</v>
          </cell>
          <cell r="C7">
            <v>0.37751103429816202</v>
          </cell>
        </row>
        <row r="8">
          <cell r="B8">
            <v>0.35149361840947702</v>
          </cell>
          <cell r="C8">
            <v>0.351400629203866</v>
          </cell>
        </row>
        <row r="34">
          <cell r="B34">
            <v>0.27381981053198101</v>
          </cell>
          <cell r="C34">
            <v>0.27243635701897401</v>
          </cell>
        </row>
      </sheetData>
      <sheetData sheetId="7"/>
      <sheetData sheetId="8"/>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Fiscal"/>
      <sheetName val="2. Distributional by deciles o"/>
      <sheetName val="2. Distributional by HH type"/>
      <sheetName val="2. Distributional by employmen"/>
      <sheetName val="2. Distributional by gender"/>
      <sheetName val="2. Distributional by age group"/>
      <sheetName val="3. Inequality and Poverty"/>
      <sheetName val="Parameter settings"/>
      <sheetName val="Metadata"/>
    </sheetNames>
    <sheetDataSet>
      <sheetData sheetId="0"/>
      <sheetData sheetId="1">
        <row r="28">
          <cell r="J28">
            <v>0.1184361123341111</v>
          </cell>
        </row>
        <row r="29">
          <cell r="J29">
            <v>0.26215281769858789</v>
          </cell>
        </row>
        <row r="30">
          <cell r="J30">
            <v>0.46553412611124406</v>
          </cell>
        </row>
        <row r="31">
          <cell r="J31">
            <v>0.48756143522679191</v>
          </cell>
        </row>
        <row r="32">
          <cell r="J32">
            <v>0.80383858413927156</v>
          </cell>
        </row>
        <row r="33">
          <cell r="J33">
            <v>0.92090824069635635</v>
          </cell>
        </row>
        <row r="34">
          <cell r="J34">
            <v>0.99005997460699502</v>
          </cell>
        </row>
        <row r="35">
          <cell r="J35">
            <v>0.9994840807834402</v>
          </cell>
        </row>
        <row r="36">
          <cell r="J36">
            <v>1</v>
          </cell>
        </row>
        <row r="37">
          <cell r="J37">
            <v>1</v>
          </cell>
        </row>
        <row r="38">
          <cell r="J38">
            <v>0.70313972957596715</v>
          </cell>
        </row>
        <row r="64">
          <cell r="B64">
            <v>16430207.408399995</v>
          </cell>
          <cell r="C64">
            <v>16645782.4452</v>
          </cell>
          <cell r="D64">
            <v>16617742.458000004</v>
          </cell>
          <cell r="E64">
            <v>16635313.712400001</v>
          </cell>
          <cell r="F64">
            <v>16620040.518000003</v>
          </cell>
          <cell r="G64">
            <v>16617742.458000004</v>
          </cell>
          <cell r="H64">
            <v>16617742.458000004</v>
          </cell>
        </row>
        <row r="65">
          <cell r="B65">
            <v>46693378.33200001</v>
          </cell>
          <cell r="C65">
            <v>48432337.512000017</v>
          </cell>
          <cell r="D65">
            <v>47177998.091999993</v>
          </cell>
          <cell r="E65">
            <v>47790905.23800002</v>
          </cell>
          <cell r="F65">
            <v>47180993.752800003</v>
          </cell>
          <cell r="G65">
            <v>47177998.091999993</v>
          </cell>
          <cell r="H65">
            <v>47177998.091999993</v>
          </cell>
        </row>
        <row r="66">
          <cell r="B66">
            <v>97799249.97480014</v>
          </cell>
          <cell r="C66">
            <v>101690637.08760011</v>
          </cell>
          <cell r="D66">
            <v>98765847.433199987</v>
          </cell>
          <cell r="E66">
            <v>100182447.29040003</v>
          </cell>
          <cell r="F66">
            <v>98774331.460799977</v>
          </cell>
          <cell r="G66">
            <v>98765847.433199987</v>
          </cell>
          <cell r="H66">
            <v>98765847.433199987</v>
          </cell>
        </row>
        <row r="67">
          <cell r="B67">
            <v>149442643.46280015</v>
          </cell>
          <cell r="C67">
            <v>154245861.78480014</v>
          </cell>
          <cell r="D67">
            <v>150582833.65679985</v>
          </cell>
          <cell r="E67">
            <v>152241522.82679993</v>
          </cell>
          <cell r="F67">
            <v>150599381.20319992</v>
          </cell>
          <cell r="G67">
            <v>150582833.65679985</v>
          </cell>
          <cell r="H67">
            <v>150582833.65679985</v>
          </cell>
        </row>
        <row r="68">
          <cell r="B68">
            <v>251471395.27319983</v>
          </cell>
          <cell r="C68">
            <v>259301116.0643996</v>
          </cell>
          <cell r="D68">
            <v>253688705.09159991</v>
          </cell>
          <cell r="E68">
            <v>256550156.53319985</v>
          </cell>
          <cell r="F68">
            <v>253705387.14239997</v>
          </cell>
          <cell r="G68">
            <v>253688705.09159991</v>
          </cell>
          <cell r="H68">
            <v>253688705.09159991</v>
          </cell>
        </row>
        <row r="69">
          <cell r="B69">
            <v>366805634.9400003</v>
          </cell>
          <cell r="C69">
            <v>377487529.22879976</v>
          </cell>
          <cell r="D69">
            <v>369370592.85600078</v>
          </cell>
          <cell r="E69">
            <v>372992303.74800038</v>
          </cell>
          <cell r="F69">
            <v>369390977.98800075</v>
          </cell>
          <cell r="G69">
            <v>369370592.85600078</v>
          </cell>
          <cell r="H69">
            <v>369370592.85600078</v>
          </cell>
        </row>
        <row r="70">
          <cell r="B70">
            <v>517539895.71839964</v>
          </cell>
          <cell r="C70">
            <v>531970141.29360032</v>
          </cell>
          <cell r="D70">
            <v>521710359.18240076</v>
          </cell>
          <cell r="E70">
            <v>526075852.56479967</v>
          </cell>
          <cell r="F70">
            <v>521731458.37320095</v>
          </cell>
          <cell r="G70">
            <v>521710359.18240076</v>
          </cell>
          <cell r="H70">
            <v>521710359.18240076</v>
          </cell>
        </row>
        <row r="71">
          <cell r="B71">
            <v>765395402.04719961</v>
          </cell>
          <cell r="C71">
            <v>784900685.39400005</v>
          </cell>
          <cell r="D71">
            <v>771505014.96600008</v>
          </cell>
          <cell r="E71">
            <v>777026100.37079906</v>
          </cell>
          <cell r="F71">
            <v>771528430.81200004</v>
          </cell>
          <cell r="G71">
            <v>771505014.96600008</v>
          </cell>
          <cell r="H71">
            <v>771505014.96600008</v>
          </cell>
        </row>
        <row r="72">
          <cell r="B72">
            <v>1176210004.1016006</v>
          </cell>
          <cell r="C72">
            <v>1202323076.3220005</v>
          </cell>
          <cell r="D72">
            <v>1185697291.3644025</v>
          </cell>
          <cell r="E72">
            <v>1191935371.0811994</v>
          </cell>
          <cell r="F72">
            <v>1185714661.2636025</v>
          </cell>
          <cell r="G72">
            <v>1185697291.3644025</v>
          </cell>
          <cell r="H72">
            <v>1185697291.3644025</v>
          </cell>
        </row>
        <row r="73">
          <cell r="B73">
            <v>4711506846.1068029</v>
          </cell>
          <cell r="C73">
            <v>4783550923.8384047</v>
          </cell>
          <cell r="D73">
            <v>4755806253.266408</v>
          </cell>
          <cell r="E73">
            <v>4761927739.7232046</v>
          </cell>
          <cell r="F73">
            <v>4755814466.8488064</v>
          </cell>
          <cell r="G73">
            <v>4755806253.266408</v>
          </cell>
          <cell r="H73">
            <v>4755806253.266408</v>
          </cell>
        </row>
        <row r="74">
          <cell r="B74">
            <v>8099294657.3652115</v>
          </cell>
          <cell r="C74">
            <v>8260548090.9708309</v>
          </cell>
          <cell r="D74">
            <v>8170922638.366787</v>
          </cell>
          <cell r="E74">
            <v>8203357713.0888176</v>
          </cell>
          <cell r="F74">
            <v>8171060129.3627844</v>
          </cell>
          <cell r="G74">
            <v>8170922638.366787</v>
          </cell>
          <cell r="H74">
            <v>8170922638.366787</v>
          </cell>
        </row>
        <row r="82">
          <cell r="B82">
            <v>1180900917.8267994</v>
          </cell>
          <cell r="C82">
            <v>1192710949.5551996</v>
          </cell>
        </row>
        <row r="83">
          <cell r="B83">
            <v>3608840088.4212041</v>
          </cell>
          <cell r="C83">
            <v>3644930443.6284018</v>
          </cell>
        </row>
        <row r="84">
          <cell r="B84">
            <v>4933751521.9752016</v>
          </cell>
          <cell r="C84">
            <v>4983089054.5452147</v>
          </cell>
        </row>
        <row r="85">
          <cell r="B85">
            <v>5962805381.0808029</v>
          </cell>
          <cell r="C85">
            <v>6022432344</v>
          </cell>
        </row>
        <row r="86">
          <cell r="B86">
            <v>7041819882.552</v>
          </cell>
          <cell r="C86">
            <v>7112237288.6051903</v>
          </cell>
        </row>
        <row r="87">
          <cell r="B87">
            <v>8337061715.4444046</v>
          </cell>
          <cell r="C87">
            <v>8420433068.9075918</v>
          </cell>
        </row>
        <row r="88">
          <cell r="B88">
            <v>9763161907.4195976</v>
          </cell>
          <cell r="C88">
            <v>9860795544.1416302</v>
          </cell>
        </row>
        <row r="89">
          <cell r="B89">
            <v>11863842274.119583</v>
          </cell>
          <cell r="C89">
            <v>11982483837.0312</v>
          </cell>
        </row>
        <row r="90">
          <cell r="B90">
            <v>14461894777.077587</v>
          </cell>
          <cell r="C90">
            <v>14606513525.000389</v>
          </cell>
        </row>
        <row r="91">
          <cell r="B91">
            <v>26204946102.740398</v>
          </cell>
          <cell r="C91">
            <v>26466994656.879616</v>
          </cell>
        </row>
        <row r="92">
          <cell r="B92">
            <v>93359024568.657684</v>
          </cell>
          <cell r="C92">
            <v>94292620712.294388</v>
          </cell>
        </row>
      </sheetData>
      <sheetData sheetId="2"/>
      <sheetData sheetId="3"/>
      <sheetData sheetId="4"/>
      <sheetData sheetId="5"/>
      <sheetData sheetId="6"/>
      <sheetData sheetId="7"/>
      <sheetData sheetId="8"/>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1. Fiscal"/>
      <sheetName val="2. Distributional by deciles o"/>
      <sheetName val="2. Distributional by HH type"/>
      <sheetName val="2. Distributional by employmen"/>
      <sheetName val="2. Distributional by gender"/>
      <sheetName val="2. Distributional by age group"/>
      <sheetName val="3. Inequality and Poverty"/>
      <sheetName val="Parameter settings"/>
      <sheetName val="Metadata"/>
    </sheetNames>
    <sheetDataSet>
      <sheetData sheetId="0">
        <row r="13">
          <cell r="D13">
            <v>7702493972.8200207</v>
          </cell>
          <cell r="E13">
            <v>7664806097.1924105</v>
          </cell>
          <cell r="F13">
            <v>7672445191.6103745</v>
          </cell>
          <cell r="G13">
            <v>7642535192.1767778</v>
          </cell>
        </row>
        <row r="166">
          <cell r="D166">
            <v>86963426997.388275</v>
          </cell>
          <cell r="E166">
            <v>86853533523.526535</v>
          </cell>
          <cell r="F166">
            <v>86735592422.483765</v>
          </cell>
          <cell r="G166">
            <v>86607280779.702209</v>
          </cell>
        </row>
      </sheetData>
      <sheetData sheetId="1"/>
      <sheetData sheetId="2"/>
      <sheetData sheetId="3"/>
      <sheetData sheetId="4"/>
      <sheetData sheetId="5"/>
      <sheetData sheetId="6"/>
      <sheetData sheetId="7"/>
      <sheetData sheetId="8"/>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Fiscal"/>
      <sheetName val="2. Distributional by deciles o"/>
      <sheetName val="2. Distributional by HH type"/>
      <sheetName val="2. Distributional by employmen"/>
      <sheetName val="2. Distributional by gender"/>
      <sheetName val="2. Distributional by age group"/>
      <sheetName val="3. Inequality and Poverty"/>
      <sheetName val="Parameter settings"/>
      <sheetName val="Metadata"/>
    </sheetNames>
    <sheetDataSet>
      <sheetData sheetId="0"/>
      <sheetData sheetId="1">
        <row r="74">
          <cell r="D74">
            <v>8179003943.2212162</v>
          </cell>
          <cell r="E74">
            <v>8125999059.0924425</v>
          </cell>
          <cell r="F74">
            <v>8147480707.2828064</v>
          </cell>
          <cell r="G74">
            <v>8105945099.6424026</v>
          </cell>
        </row>
        <row r="92">
          <cell r="D92">
            <v>93781550078.609589</v>
          </cell>
          <cell r="E92">
            <v>93654388238.459198</v>
          </cell>
          <cell r="F92">
            <v>93540115139.075928</v>
          </cell>
          <cell r="G92">
            <v>93393644941.596222</v>
          </cell>
        </row>
      </sheetData>
      <sheetData sheetId="2"/>
      <sheetData sheetId="3"/>
      <sheetData sheetId="4"/>
      <sheetData sheetId="5"/>
      <sheetData sheetId="6"/>
      <sheetData sheetId="7"/>
      <sheetData sheetId="8"/>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1. Fiscal"/>
      <sheetName val="2. Distributional by deciles o"/>
      <sheetName val="2. Distributional by HH type"/>
      <sheetName val="2. Distributional by employmen"/>
      <sheetName val="2. Distributional by gender"/>
      <sheetName val="2. Distributional by age group"/>
      <sheetName val="3. Inequality and Poverty"/>
      <sheetName val="Parameter settings"/>
      <sheetName val="Metadata"/>
    </sheetNames>
    <sheetDataSet>
      <sheetData sheetId="0"/>
      <sheetData sheetId="1">
        <row r="28">
          <cell r="M28">
            <v>0.12155588915691366</v>
          </cell>
        </row>
        <row r="64">
          <cell r="B64">
            <v>30103115.750399992</v>
          </cell>
          <cell r="C64">
            <v>14933419.861199997</v>
          </cell>
          <cell r="D64">
            <v>15247622.958000004</v>
          </cell>
          <cell r="E64">
            <v>15594361.172400003</v>
          </cell>
          <cell r="F64">
            <v>16724749.642799998</v>
          </cell>
          <cell r="H64">
            <v>34357110.4296</v>
          </cell>
          <cell r="I64">
            <v>33731728.180799998</v>
          </cell>
          <cell r="J64">
            <v>33657631.322400004</v>
          </cell>
          <cell r="K64">
            <v>33445003.264800005</v>
          </cell>
          <cell r="L64">
            <v>16724749.642799998</v>
          </cell>
        </row>
        <row r="65">
          <cell r="B65">
            <v>75703595.18280001</v>
          </cell>
          <cell r="C65">
            <v>35835570.341999985</v>
          </cell>
          <cell r="D65">
            <v>35972990.149199992</v>
          </cell>
          <cell r="E65">
            <v>39736532.889599994</v>
          </cell>
          <cell r="F65">
            <v>47586266.19120001</v>
          </cell>
          <cell r="H65">
            <v>96824041.028399944</v>
          </cell>
          <cell r="I65">
            <v>86523859.295999974</v>
          </cell>
          <cell r="J65">
            <v>85254380.372399986</v>
          </cell>
          <cell r="K65">
            <v>81873420.377999991</v>
          </cell>
          <cell r="L65">
            <v>47586266.19120001</v>
          </cell>
        </row>
        <row r="66">
          <cell r="B66">
            <v>131703652.71960005</v>
          </cell>
          <cell r="C66">
            <v>75788023.92839998</v>
          </cell>
          <cell r="D66">
            <v>78867080.672400013</v>
          </cell>
          <cell r="E66">
            <v>85272643.497599989</v>
          </cell>
          <cell r="F66">
            <v>102244570.51560006</v>
          </cell>
          <cell r="H66">
            <v>166780811.01599994</v>
          </cell>
          <cell r="I66">
            <v>145627552.95119995</v>
          </cell>
          <cell r="J66">
            <v>142566413.28479996</v>
          </cell>
          <cell r="K66">
            <v>134578500.26519996</v>
          </cell>
          <cell r="L66">
            <v>102245872.98840007</v>
          </cell>
        </row>
        <row r="67">
          <cell r="B67">
            <v>186145345.89840001</v>
          </cell>
          <cell r="C67">
            <v>118167842.63399997</v>
          </cell>
          <cell r="D67">
            <v>122426510.07599998</v>
          </cell>
          <cell r="E67">
            <v>130453898.37599996</v>
          </cell>
          <cell r="F67">
            <v>156068172.90480006</v>
          </cell>
          <cell r="H67">
            <v>229126499.00879967</v>
          </cell>
          <cell r="I67">
            <v>202759146.71159989</v>
          </cell>
          <cell r="J67">
            <v>198793690.96679997</v>
          </cell>
          <cell r="K67">
            <v>186936683.94719979</v>
          </cell>
          <cell r="L67">
            <v>156068172.90480006</v>
          </cell>
        </row>
        <row r="68">
          <cell r="B68">
            <v>266447299.08720034</v>
          </cell>
          <cell r="C68">
            <v>190345475.68799984</v>
          </cell>
          <cell r="D68">
            <v>197582962.23599991</v>
          </cell>
          <cell r="E68">
            <v>208264653.62400001</v>
          </cell>
          <cell r="F68">
            <v>245352200.98319981</v>
          </cell>
          <cell r="H68">
            <v>330959115.68519992</v>
          </cell>
          <cell r="I68">
            <v>286971713.10959995</v>
          </cell>
          <cell r="J68">
            <v>280772752.58759993</v>
          </cell>
          <cell r="K68">
            <v>264043037.05320007</v>
          </cell>
          <cell r="L68">
            <v>245367998.28959978</v>
          </cell>
        </row>
        <row r="69">
          <cell r="B69">
            <v>391104144.92999965</v>
          </cell>
          <cell r="C69">
            <v>282472404.06479943</v>
          </cell>
          <cell r="D69">
            <v>293730978.7055999</v>
          </cell>
          <cell r="E69">
            <v>307802598.74519944</v>
          </cell>
          <cell r="F69">
            <v>367624098.92280054</v>
          </cell>
          <cell r="H69">
            <v>482770788.99240035</v>
          </cell>
          <cell r="I69">
            <v>424651468.91640007</v>
          </cell>
          <cell r="J69">
            <v>415933237.57560027</v>
          </cell>
          <cell r="K69">
            <v>389960686.30080026</v>
          </cell>
          <cell r="L69">
            <v>367637904.88920045</v>
          </cell>
        </row>
        <row r="70">
          <cell r="B70">
            <v>540438391.45800006</v>
          </cell>
          <cell r="C70">
            <v>408480713.51880002</v>
          </cell>
          <cell r="D70">
            <v>426506078.57640034</v>
          </cell>
          <cell r="E70">
            <v>448695535.74479961</v>
          </cell>
          <cell r="F70">
            <v>524126010.03119928</v>
          </cell>
          <cell r="H70">
            <v>653678996.6351999</v>
          </cell>
          <cell r="I70">
            <v>581527366.3056004</v>
          </cell>
          <cell r="J70">
            <v>570607145.6015991</v>
          </cell>
          <cell r="K70">
            <v>538116055.94880021</v>
          </cell>
          <cell r="L70">
            <v>524162133.82439935</v>
          </cell>
        </row>
        <row r="71">
          <cell r="B71">
            <v>777536279.79120004</v>
          </cell>
          <cell r="C71">
            <v>617521446.9143995</v>
          </cell>
          <cell r="D71">
            <v>643275071.98559856</v>
          </cell>
          <cell r="E71">
            <v>667530190.35479975</v>
          </cell>
          <cell r="F71">
            <v>771397810.54320014</v>
          </cell>
          <cell r="H71">
            <v>918400873.06920123</v>
          </cell>
          <cell r="I71">
            <v>831786332.54399967</v>
          </cell>
          <cell r="J71">
            <v>818586674.09159946</v>
          </cell>
          <cell r="K71">
            <v>778112157.54120123</v>
          </cell>
          <cell r="L71">
            <v>771407216.84760022</v>
          </cell>
        </row>
        <row r="72">
          <cell r="B72">
            <v>1143547322.6184011</v>
          </cell>
          <cell r="C72">
            <v>978216603.05759883</v>
          </cell>
          <cell r="D72">
            <v>1014293102.7708006</v>
          </cell>
          <cell r="E72">
            <v>1050012929.4227977</v>
          </cell>
          <cell r="F72">
            <v>1180884347.1144009</v>
          </cell>
          <cell r="H72">
            <v>1322729511.6048017</v>
          </cell>
          <cell r="I72">
            <v>1217467175.3939991</v>
          </cell>
          <cell r="J72">
            <v>1201198462.9787989</v>
          </cell>
          <cell r="K72">
            <v>1150866196.4316022</v>
          </cell>
          <cell r="L72">
            <v>1180905925.2924008</v>
          </cell>
        </row>
        <row r="73">
          <cell r="B73">
            <v>4093505399.0435934</v>
          </cell>
          <cell r="C73">
            <v>4036123474.5936055</v>
          </cell>
          <cell r="D73">
            <v>4155996905.9231973</v>
          </cell>
          <cell r="E73">
            <v>4270786719.8808041</v>
          </cell>
          <cell r="F73">
            <v>4687286430.5160036</v>
          </cell>
          <cell r="H73">
            <v>4700647480.973999</v>
          </cell>
          <cell r="I73">
            <v>4516384115.7732048</v>
          </cell>
          <cell r="J73">
            <v>4488258869.1119995</v>
          </cell>
          <cell r="K73">
            <v>4400972158.6716022</v>
          </cell>
          <cell r="L73">
            <v>4687304907.8364029</v>
          </cell>
        </row>
        <row r="74">
          <cell r="B74">
            <v>7636234546.4796124</v>
          </cell>
          <cell r="C74">
            <v>6757884974.6027718</v>
          </cell>
          <cell r="D74">
            <v>6983899304.053194</v>
          </cell>
          <cell r="E74">
            <v>7224150063.7079792</v>
          </cell>
          <cell r="F74">
            <v>8099294657.3652115</v>
          </cell>
          <cell r="H74">
            <v>8936275228.443573</v>
          </cell>
          <cell r="I74">
            <v>8327430459.1824217</v>
          </cell>
          <cell r="J74">
            <v>8235629257.8936167</v>
          </cell>
          <cell r="K74">
            <v>7958903899.8024187</v>
          </cell>
          <cell r="L74">
            <v>8099411148.70681</v>
          </cell>
        </row>
        <row r="82">
          <cell r="B82">
            <v>1058546892.9515988</v>
          </cell>
          <cell r="C82">
            <v>1118909398.0775993</v>
          </cell>
          <cell r="D82">
            <v>1069439910.1980003</v>
          </cell>
          <cell r="E82">
            <v>1114516193.2680011</v>
          </cell>
          <cell r="F82">
            <v>1174281704.1348</v>
          </cell>
        </row>
        <row r="83">
          <cell r="B83">
            <v>3277122406.9235959</v>
          </cell>
          <cell r="C83">
            <v>3261047172.2975979</v>
          </cell>
          <cell r="D83">
            <v>3247162371.5616007</v>
          </cell>
          <cell r="E83">
            <v>3328998965.2680006</v>
          </cell>
          <cell r="F83">
            <v>3543159529.8936052</v>
          </cell>
        </row>
        <row r="84">
          <cell r="B84">
            <v>4532488523.8920069</v>
          </cell>
          <cell r="C84">
            <v>4489399805.2715979</v>
          </cell>
          <cell r="D84">
            <v>4491682855.8252048</v>
          </cell>
          <cell r="E84">
            <v>4579193632.0548</v>
          </cell>
          <cell r="F84">
            <v>4880904853.2000055</v>
          </cell>
        </row>
        <row r="85">
          <cell r="B85">
            <v>5595660175.0296078</v>
          </cell>
          <cell r="C85">
            <v>5528438144.5031986</v>
          </cell>
          <cell r="D85">
            <v>5540603038.6896019</v>
          </cell>
          <cell r="E85">
            <v>5634572718.7391977</v>
          </cell>
          <cell r="F85">
            <v>6007597622.6435986</v>
          </cell>
        </row>
        <row r="86">
          <cell r="B86">
            <v>6617702455.4988041</v>
          </cell>
          <cell r="C86">
            <v>6557870635.0056067</v>
          </cell>
          <cell r="D86">
            <v>6582717673.4783993</v>
          </cell>
          <cell r="E86">
            <v>6691899007.0128107</v>
          </cell>
          <cell r="F86">
            <v>7120043863.9404068</v>
          </cell>
        </row>
        <row r="87">
          <cell r="B87">
            <v>7698122086.5336199</v>
          </cell>
          <cell r="C87">
            <v>7635386114.1383915</v>
          </cell>
          <cell r="D87">
            <v>7679034609.1115799</v>
          </cell>
          <cell r="E87">
            <v>7796422504.3403921</v>
          </cell>
          <cell r="F87">
            <v>8302890390.9996033</v>
          </cell>
        </row>
        <row r="88">
          <cell r="B88">
            <v>9032318402.4599781</v>
          </cell>
          <cell r="C88">
            <v>8975140085.9052086</v>
          </cell>
          <cell r="D88">
            <v>9043333273.1856003</v>
          </cell>
          <cell r="E88">
            <v>9180672343.8360004</v>
          </cell>
          <cell r="F88">
            <v>9758433497.9423943</v>
          </cell>
        </row>
        <row r="89">
          <cell r="B89">
            <v>11023245097.831192</v>
          </cell>
          <cell r="C89">
            <v>10924357087.053614</v>
          </cell>
          <cell r="D89">
            <v>11010814261.70401</v>
          </cell>
          <cell r="E89">
            <v>11151275429.791195</v>
          </cell>
          <cell r="F89">
            <v>11840213866.502384</v>
          </cell>
        </row>
        <row r="90">
          <cell r="B90">
            <v>13547828471.374792</v>
          </cell>
          <cell r="C90">
            <v>13430492023.864792</v>
          </cell>
          <cell r="D90">
            <v>13541429649.474007</v>
          </cell>
          <cell r="E90">
            <v>13710830234.326797</v>
          </cell>
          <cell r="F90">
            <v>14516299457.125183</v>
          </cell>
        </row>
        <row r="91">
          <cell r="B91">
            <v>24191040121.187977</v>
          </cell>
          <cell r="C91">
            <v>24059713047.746365</v>
          </cell>
          <cell r="D91">
            <v>24325803351.328796</v>
          </cell>
          <cell r="E91">
            <v>24663583648.462803</v>
          </cell>
          <cell r="F91">
            <v>26215199782.275597</v>
          </cell>
        </row>
        <row r="92">
          <cell r="B92">
            <v>86574074633.682968</v>
          </cell>
          <cell r="C92">
            <v>85980753513.863434</v>
          </cell>
          <cell r="D92">
            <v>86532020994.556259</v>
          </cell>
          <cell r="E92">
            <v>87851964677.099075</v>
          </cell>
          <cell r="F92">
            <v>93359024568.657684</v>
          </cell>
        </row>
      </sheetData>
      <sheetData sheetId="2"/>
      <sheetData sheetId="3"/>
      <sheetData sheetId="4"/>
      <sheetData sheetId="5"/>
      <sheetData sheetId="6">
        <row r="7">
          <cell r="B7">
            <v>0.37750602696407098</v>
          </cell>
        </row>
      </sheetData>
      <sheetData sheetId="7"/>
      <sheetData sheetId="8"/>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mmary"/>
      <sheetName val="Structure"/>
      <sheetName val="Sheet 1"/>
    </sheetNames>
    <sheetDataSet>
      <sheetData sheetId="0"/>
      <sheetData sheetId="1"/>
      <sheetData sheetId="2">
        <row r="24">
          <cell r="N24">
            <v>9.0935844614479011E-2</v>
          </cell>
          <cell r="O24">
            <v>0.13058754635955494</v>
          </cell>
        </row>
      </sheetData>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1. Fiscal"/>
      <sheetName val="2. Distributional by deciles o"/>
      <sheetName val="2. Distributional by HH type"/>
      <sheetName val="2. Distributional by employmen"/>
      <sheetName val="2. Distributional by gender"/>
      <sheetName val="2. Distributional by age group"/>
      <sheetName val="3. Inequality and Poverty"/>
      <sheetName val="Parameter settings"/>
      <sheetName val="Metadata"/>
    </sheetNames>
    <sheetDataSet>
      <sheetData sheetId="0"/>
      <sheetData sheetId="1">
        <row r="28">
          <cell r="I28">
            <v>4.1050300254482287E-2</v>
          </cell>
        </row>
        <row r="29">
          <cell r="I29">
            <v>9.617287672160417E-2</v>
          </cell>
        </row>
        <row r="30">
          <cell r="I30">
            <v>0.34270801261680672</v>
          </cell>
        </row>
        <row r="31">
          <cell r="I31">
            <v>0.61677010616903583</v>
          </cell>
        </row>
        <row r="32">
          <cell r="I32">
            <v>0.9031876559321651</v>
          </cell>
        </row>
        <row r="33">
          <cell r="I33">
            <v>0.99588048586732281</v>
          </cell>
        </row>
        <row r="34">
          <cell r="I34">
            <v>1</v>
          </cell>
        </row>
        <row r="35">
          <cell r="I35">
            <v>1</v>
          </cell>
        </row>
        <row r="36">
          <cell r="I36">
            <v>1</v>
          </cell>
        </row>
        <row r="37">
          <cell r="I37">
            <v>1</v>
          </cell>
        </row>
        <row r="38">
          <cell r="I38">
            <v>0.70001585498729846</v>
          </cell>
        </row>
        <row r="64">
          <cell r="B64">
            <v>26209678.642800003</v>
          </cell>
          <cell r="C64">
            <v>26296227.892799992</v>
          </cell>
          <cell r="D64">
            <v>25864338.152399998</v>
          </cell>
          <cell r="E64">
            <v>26229840.748799995</v>
          </cell>
          <cell r="F64">
            <v>25988545.875599995</v>
          </cell>
          <cell r="G64">
            <v>25865213.224799998</v>
          </cell>
        </row>
        <row r="65">
          <cell r="B65">
            <v>87705976.276800007</v>
          </cell>
          <cell r="C65">
            <v>95570284.822800025</v>
          </cell>
          <cell r="D65">
            <v>88254530.083200023</v>
          </cell>
          <cell r="E65">
            <v>95257576.044</v>
          </cell>
          <cell r="F65">
            <v>91176313.865999997</v>
          </cell>
          <cell r="G65">
            <v>88768205.068800002</v>
          </cell>
        </row>
        <row r="66">
          <cell r="B66">
            <v>504934341.79920012</v>
          </cell>
          <cell r="C66">
            <v>538921051.68359995</v>
          </cell>
          <cell r="D66">
            <v>509772272.83200061</v>
          </cell>
          <cell r="E66">
            <v>537024130.83959973</v>
          </cell>
          <cell r="F66">
            <v>521634040.21800023</v>
          </cell>
          <cell r="G66">
            <v>512294745.18240035</v>
          </cell>
        </row>
        <row r="67">
          <cell r="B67">
            <v>1370029286.7263999</v>
          </cell>
          <cell r="C67">
            <v>1439506297.4963989</v>
          </cell>
          <cell r="D67">
            <v>1386287433.2591977</v>
          </cell>
          <cell r="E67">
            <v>1433935386.7320011</v>
          </cell>
          <cell r="F67">
            <v>1408921866.0456018</v>
          </cell>
          <cell r="G67">
            <v>1390750669.9247999</v>
          </cell>
        </row>
        <row r="68">
          <cell r="B68">
            <v>2919044429.443202</v>
          </cell>
          <cell r="C68">
            <v>3039648762.2123966</v>
          </cell>
          <cell r="D68">
            <v>2952135797.7672062</v>
          </cell>
          <cell r="E68">
            <v>3028681925.5835986</v>
          </cell>
          <cell r="F68">
            <v>2984781001.2084026</v>
          </cell>
          <cell r="G68">
            <v>2958498585.2868042</v>
          </cell>
        </row>
        <row r="69">
          <cell r="B69">
            <v>5281568309.1107998</v>
          </cell>
          <cell r="C69">
            <v>5430063803.0783997</v>
          </cell>
          <cell r="D69">
            <v>5339597338.8023977</v>
          </cell>
          <cell r="E69">
            <v>5410036809.5903969</v>
          </cell>
          <cell r="F69">
            <v>5376709845.4272032</v>
          </cell>
          <cell r="G69">
            <v>5346191690.8859968</v>
          </cell>
        </row>
        <row r="70">
          <cell r="B70">
            <v>8256633416.8595905</v>
          </cell>
          <cell r="C70">
            <v>8460934959.850791</v>
          </cell>
          <cell r="D70">
            <v>8344387957.5768089</v>
          </cell>
          <cell r="E70">
            <v>8429364866.802002</v>
          </cell>
          <cell r="F70">
            <v>8391553736.6255865</v>
          </cell>
          <cell r="G70">
            <v>8353980496.1951952</v>
          </cell>
        </row>
        <row r="71">
          <cell r="B71">
            <v>11965980121.390781</v>
          </cell>
          <cell r="C71">
            <v>12218519904.63361</v>
          </cell>
          <cell r="D71">
            <v>12093082662.599997</v>
          </cell>
          <cell r="E71">
            <v>12171307942.725594</v>
          </cell>
          <cell r="F71">
            <v>12138739302.872402</v>
          </cell>
          <cell r="G71">
            <v>12100382824.157993</v>
          </cell>
        </row>
        <row r="72">
          <cell r="B72">
            <v>18239034185.127598</v>
          </cell>
          <cell r="C72">
            <v>18577783532.272778</v>
          </cell>
          <cell r="D72">
            <v>18431016268.860001</v>
          </cell>
          <cell r="E72">
            <v>18508116193.738762</v>
          </cell>
          <cell r="F72">
            <v>18476637841.705212</v>
          </cell>
          <cell r="G72">
            <v>18434192143.344009</v>
          </cell>
        </row>
        <row r="73">
          <cell r="B73">
            <v>41705216222.608803</v>
          </cell>
          <cell r="C73">
            <v>42353338620.210007</v>
          </cell>
          <cell r="D73">
            <v>42138166501.48674</v>
          </cell>
          <cell r="E73">
            <v>42212796094.629532</v>
          </cell>
          <cell r="F73">
            <v>42185291850.646828</v>
          </cell>
          <cell r="G73">
            <v>42141910517.524696</v>
          </cell>
        </row>
        <row r="74">
          <cell r="B74">
            <v>90356355967.985748</v>
          </cell>
          <cell r="C74">
            <v>92180583444.15358</v>
          </cell>
          <cell r="D74">
            <v>91308565101.420181</v>
          </cell>
          <cell r="E74">
            <v>91852750767.434769</v>
          </cell>
          <cell r="F74">
            <v>91601434344.490814</v>
          </cell>
          <cell r="G74">
            <v>91352835090.796127</v>
          </cell>
        </row>
        <row r="82">
          <cell r="B82">
            <v>8619661611.0348072</v>
          </cell>
          <cell r="C82">
            <v>8705760675.1884117</v>
          </cell>
        </row>
        <row r="83">
          <cell r="B83">
            <v>22794238500.390007</v>
          </cell>
          <cell r="C83">
            <v>23021989317.051632</v>
          </cell>
        </row>
        <row r="84">
          <cell r="B84">
            <v>32468245080.269997</v>
          </cell>
          <cell r="C84">
            <v>32792919612.966007</v>
          </cell>
        </row>
        <row r="85">
          <cell r="B85">
            <v>42434705366.727707</v>
          </cell>
          <cell r="C85">
            <v>42859030458.131989</v>
          </cell>
        </row>
        <row r="86">
          <cell r="B86">
            <v>50837659554.445259</v>
          </cell>
          <cell r="C86">
            <v>51346018325.895592</v>
          </cell>
        </row>
        <row r="87">
          <cell r="B87">
            <v>60676364383.471184</v>
          </cell>
          <cell r="C87">
            <v>61283102866.717072</v>
          </cell>
        </row>
        <row r="88">
          <cell r="B88">
            <v>73423024880.587326</v>
          </cell>
          <cell r="C88">
            <v>74157023546.030334</v>
          </cell>
        </row>
        <row r="89">
          <cell r="B89">
            <v>87400793583.069733</v>
          </cell>
          <cell r="C89">
            <v>88274776019.345932</v>
          </cell>
        </row>
        <row r="90">
          <cell r="B90">
            <v>111508472387.9498</v>
          </cell>
          <cell r="C90">
            <v>112623530980.90063</v>
          </cell>
        </row>
        <row r="91">
          <cell r="B91">
            <v>179097584839.48199</v>
          </cell>
          <cell r="C91">
            <v>180888544955.41345</v>
          </cell>
        </row>
        <row r="92">
          <cell r="B92">
            <v>669260750187.42749</v>
          </cell>
          <cell r="C92">
            <v>675952696757.63977</v>
          </cell>
        </row>
        <row r="100">
          <cell r="B100">
            <v>3795245252.1960025</v>
          </cell>
        </row>
        <row r="101">
          <cell r="B101">
            <v>10463254255.909201</v>
          </cell>
        </row>
        <row r="102">
          <cell r="B102">
            <v>17818946610.492012</v>
          </cell>
        </row>
        <row r="103">
          <cell r="B103">
            <v>23942772153.992416</v>
          </cell>
        </row>
        <row r="104">
          <cell r="B104">
            <v>31985454066.312012</v>
          </cell>
        </row>
        <row r="105">
          <cell r="B105">
            <v>39647345022.714035</v>
          </cell>
        </row>
        <row r="106">
          <cell r="B106">
            <v>47547705332.248871</v>
          </cell>
        </row>
        <row r="107">
          <cell r="B107">
            <v>61392967117.527451</v>
          </cell>
        </row>
        <row r="108">
          <cell r="B108">
            <v>76264177088.570374</v>
          </cell>
        </row>
        <row r="109">
          <cell r="B109">
            <v>124912940732.19839</v>
          </cell>
        </row>
        <row r="110">
          <cell r="B110">
            <v>437770807632.15729</v>
          </cell>
        </row>
        <row r="118">
          <cell r="B118">
            <v>3477190641.5207977</v>
          </cell>
        </row>
        <row r="119">
          <cell r="B119">
            <v>9662866410.5351982</v>
          </cell>
        </row>
        <row r="120">
          <cell r="B120">
            <v>12053822301.934803</v>
          </cell>
        </row>
        <row r="121">
          <cell r="B121">
            <v>14659968554.212791</v>
          </cell>
        </row>
        <row r="122">
          <cell r="B122">
            <v>14408187810.936018</v>
          </cell>
        </row>
        <row r="123">
          <cell r="B123">
            <v>16024476546.434387</v>
          </cell>
        </row>
        <row r="124">
          <cell r="B124">
            <v>20778961893.177567</v>
          </cell>
        </row>
        <row r="125">
          <cell r="B125">
            <v>20444724633.218361</v>
          </cell>
        </row>
        <row r="126">
          <cell r="B126">
            <v>26306696037.972</v>
          </cell>
        </row>
        <row r="127">
          <cell r="B127">
            <v>29680296606.380413</v>
          </cell>
        </row>
        <row r="128">
          <cell r="B128">
            <v>167497191436.32272</v>
          </cell>
        </row>
        <row r="136">
          <cell r="B136">
            <v>1096994836.5455997</v>
          </cell>
        </row>
        <row r="137">
          <cell r="B137">
            <v>2217308812.2576008</v>
          </cell>
        </row>
        <row r="138">
          <cell r="B138">
            <v>2044130952.0888</v>
          </cell>
        </row>
        <row r="139">
          <cell r="B139">
            <v>3027101765.8967996</v>
          </cell>
        </row>
        <row r="140">
          <cell r="B140">
            <v>3502313003.6412001</v>
          </cell>
        </row>
        <row r="141">
          <cell r="B141">
            <v>3495337340.1131983</v>
          </cell>
        </row>
        <row r="142">
          <cell r="B142">
            <v>3812103867.7379971</v>
          </cell>
        </row>
        <row r="143">
          <cell r="B143">
            <v>3579280688.4912033</v>
          </cell>
        </row>
        <row r="144">
          <cell r="B144">
            <v>5675836438.8971968</v>
          </cell>
        </row>
        <row r="145">
          <cell r="B145">
            <v>14716019554.603168</v>
          </cell>
        </row>
        <row r="146">
          <cell r="B146">
            <v>43166427260.272919</v>
          </cell>
        </row>
        <row r="154">
          <cell r="B154">
            <v>250235131.01039985</v>
          </cell>
        </row>
        <row r="155">
          <cell r="B155">
            <v>450811682.21999991</v>
          </cell>
        </row>
        <row r="156">
          <cell r="B156">
            <v>551362658.61360049</v>
          </cell>
        </row>
        <row r="157">
          <cell r="B157">
            <v>804877666.69920027</v>
          </cell>
        </row>
        <row r="158">
          <cell r="B158">
            <v>941721847.03559852</v>
          </cell>
        </row>
        <row r="159">
          <cell r="B159">
            <v>1509226591.8684001</v>
          </cell>
        </row>
        <row r="160">
          <cell r="B160">
            <v>1284280642.0848014</v>
          </cell>
        </row>
        <row r="161">
          <cell r="B161">
            <v>1983834779.967597</v>
          </cell>
        </row>
        <row r="162">
          <cell r="B162">
            <v>3261785173.9440022</v>
          </cell>
        </row>
        <row r="163">
          <cell r="B163">
            <v>9788362811.2356014</v>
          </cell>
        </row>
        <row r="164">
          <cell r="B164">
            <v>20826498984.679176</v>
          </cell>
        </row>
      </sheetData>
      <sheetData sheetId="2"/>
      <sheetData sheetId="3"/>
      <sheetData sheetId="4"/>
      <sheetData sheetId="5"/>
      <sheetData sheetId="6">
        <row r="7">
          <cell r="B7">
            <v>0.38035212003317298</v>
          </cell>
          <cell r="C7">
            <v>0.38035266767611903</v>
          </cell>
        </row>
        <row r="8">
          <cell r="B8">
            <v>0.337917962183859</v>
          </cell>
          <cell r="C8">
            <v>0.33778682698728202</v>
          </cell>
        </row>
        <row r="34">
          <cell r="B34">
            <v>0.27724546457928501</v>
          </cell>
          <cell r="C34">
            <v>0.27488264516634198</v>
          </cell>
        </row>
      </sheetData>
      <sheetData sheetId="7"/>
      <sheetData sheetId="8"/>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1. Fiscal"/>
      <sheetName val="2. Distributional by deciles o"/>
      <sheetName val="2. Distributional by HH type"/>
      <sheetName val="2. Distributional by employmen"/>
      <sheetName val="2. Distributional by gender"/>
      <sheetName val="2. Distributional by age group"/>
      <sheetName val="3. Inequality and Poverty"/>
      <sheetName val="Parameter settings"/>
      <sheetName val="Metadata"/>
    </sheetNames>
    <sheetDataSet>
      <sheetData sheetId="0"/>
      <sheetData sheetId="1">
        <row r="28">
          <cell r="F28">
            <v>5.8875091719194986E-2</v>
          </cell>
        </row>
        <row r="29">
          <cell r="F29">
            <v>0.16554460835260934</v>
          </cell>
        </row>
        <row r="30">
          <cell r="F30">
            <v>0.44018890952387602</v>
          </cell>
        </row>
        <row r="31">
          <cell r="F31">
            <v>0.73747756634695183</v>
          </cell>
        </row>
        <row r="32">
          <cell r="F32">
            <v>0.95838761923686322</v>
          </cell>
        </row>
        <row r="33">
          <cell r="F33">
            <v>0.99801128818438878</v>
          </cell>
        </row>
        <row r="34">
          <cell r="F34">
            <v>1</v>
          </cell>
        </row>
        <row r="35">
          <cell r="F35">
            <v>1</v>
          </cell>
        </row>
        <row r="36">
          <cell r="F36">
            <v>1</v>
          </cell>
        </row>
        <row r="37">
          <cell r="F37">
            <v>1</v>
          </cell>
        </row>
        <row r="38">
          <cell r="F38">
            <v>0.73615201620777093</v>
          </cell>
        </row>
        <row r="64">
          <cell r="B64">
            <v>38694754.461600006</v>
          </cell>
          <cell r="C64">
            <v>39107399.378399998</v>
          </cell>
          <cell r="D64">
            <v>38352462.481199995</v>
          </cell>
        </row>
        <row r="65">
          <cell r="B65">
            <v>168722475.86159992</v>
          </cell>
          <cell r="C65">
            <v>181941056.59079993</v>
          </cell>
          <cell r="D65">
            <v>169322779.71239981</v>
          </cell>
        </row>
        <row r="66">
          <cell r="B66">
            <v>813122479.28400028</v>
          </cell>
          <cell r="C66">
            <v>859848234.58079946</v>
          </cell>
          <cell r="D66">
            <v>821531538.06480026</v>
          </cell>
        </row>
        <row r="67">
          <cell r="B67">
            <v>1947143655.7320018</v>
          </cell>
          <cell r="C67">
            <v>2036782651.7328024</v>
          </cell>
          <cell r="D67">
            <v>1968514610.2548001</v>
          </cell>
        </row>
        <row r="68">
          <cell r="B68">
            <v>3835586829.5579982</v>
          </cell>
          <cell r="C68">
            <v>3978687888.2484069</v>
          </cell>
          <cell r="D68">
            <v>3878293812.5531998</v>
          </cell>
        </row>
        <row r="69">
          <cell r="B69">
            <v>6612938496.5735979</v>
          </cell>
          <cell r="C69">
            <v>6792311959.1184063</v>
          </cell>
          <cell r="D69">
            <v>6684181316.3952122</v>
          </cell>
        </row>
        <row r="70">
          <cell r="B70">
            <v>10034225516.64599</v>
          </cell>
          <cell r="C70">
            <v>10267847711.012379</v>
          </cell>
          <cell r="D70">
            <v>10140589684.441196</v>
          </cell>
        </row>
        <row r="71">
          <cell r="B71">
            <v>14452747669.555187</v>
          </cell>
          <cell r="C71">
            <v>14748172192.325974</v>
          </cell>
          <cell r="D71">
            <v>14605709319.583229</v>
          </cell>
        </row>
        <row r="72">
          <cell r="B72">
            <v>21846345253.02124</v>
          </cell>
          <cell r="C72">
            <v>22247016963.886799</v>
          </cell>
          <cell r="D72">
            <v>22075277774.714375</v>
          </cell>
        </row>
        <row r="73">
          <cell r="B73">
            <v>48668253835.502457</v>
          </cell>
          <cell r="C73">
            <v>49410886193.42395</v>
          </cell>
          <cell r="D73">
            <v>49170602591.111954</v>
          </cell>
        </row>
        <row r="74">
          <cell r="B74">
            <v>108417780966.19574</v>
          </cell>
          <cell r="C74">
            <v>110562602250.29832</v>
          </cell>
          <cell r="D74">
            <v>109552375889.31253</v>
          </cell>
        </row>
      </sheetData>
      <sheetData sheetId="2"/>
      <sheetData sheetId="3"/>
      <sheetData sheetId="4"/>
      <sheetData sheetId="5"/>
      <sheetData sheetId="6"/>
      <sheetData sheetId="7"/>
      <sheetData sheetId="8"/>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1. Fiscal"/>
      <sheetName val="2. Distributional by deciles o"/>
      <sheetName val="2. Distributional by HH type"/>
      <sheetName val="2. Distributional by employmen"/>
      <sheetName val="2. Distributional by gender"/>
      <sheetName val="2. Distributional by age group"/>
      <sheetName val="3. Inequality and Poverty"/>
      <sheetName val="Parameter settings"/>
      <sheetName val="Metadata"/>
    </sheetNames>
    <sheetDataSet>
      <sheetData sheetId="0"/>
      <sheetData sheetId="1">
        <row r="74">
          <cell r="D74">
            <v>109869198024.08482</v>
          </cell>
          <cell r="E74">
            <v>108912443268.3658</v>
          </cell>
          <cell r="F74">
            <v>108559047828.54753</v>
          </cell>
          <cell r="G74">
            <v>108474297230.65674</v>
          </cell>
        </row>
        <row r="82">
          <cell r="B82">
            <v>9641846036.7252007</v>
          </cell>
          <cell r="C82">
            <v>9738176067.1704121</v>
          </cell>
        </row>
        <row r="83">
          <cell r="B83">
            <v>25774490168.674805</v>
          </cell>
          <cell r="C83">
            <v>26032025023.628403</v>
          </cell>
        </row>
        <row r="84">
          <cell r="B84">
            <v>36487400962.576736</v>
          </cell>
          <cell r="C84">
            <v>36851535989.955658</v>
          </cell>
        </row>
        <row r="85">
          <cell r="B85">
            <v>47846189619.280914</v>
          </cell>
          <cell r="C85">
            <v>48324646843.036781</v>
          </cell>
        </row>
        <row r="86">
          <cell r="B86">
            <v>57013235598.309677</v>
          </cell>
          <cell r="C86">
            <v>57583365426.440483</v>
          </cell>
        </row>
        <row r="87">
          <cell r="B87">
            <v>68221730624.894379</v>
          </cell>
          <cell r="C87">
            <v>68903952075.532867</v>
          </cell>
        </row>
        <row r="88">
          <cell r="B88">
            <v>82193019352.544464</v>
          </cell>
          <cell r="C88">
            <v>83014557583.234833</v>
          </cell>
        </row>
        <row r="89">
          <cell r="B89">
            <v>98001789584.96524</v>
          </cell>
          <cell r="C89">
            <v>98981804672.168472</v>
          </cell>
        </row>
        <row r="90">
          <cell r="B90">
            <v>125280665614.27213</v>
          </cell>
          <cell r="C90">
            <v>126533474085.67078</v>
          </cell>
        </row>
        <row r="91">
          <cell r="B91">
            <v>200215516799.28973</v>
          </cell>
          <cell r="C91">
            <v>202217668442.35358</v>
          </cell>
        </row>
        <row r="92">
          <cell r="B92">
            <v>750675884361.52942</v>
          </cell>
          <cell r="C92">
            <v>758181206209.19043</v>
          </cell>
          <cell r="D92">
            <v>755581354662.88416</v>
          </cell>
          <cell r="E92">
            <v>752545186568.72339</v>
          </cell>
          <cell r="F92">
            <v>751161385063.28943</v>
          </cell>
          <cell r="G92">
            <v>750920933289.31226</v>
          </cell>
        </row>
      </sheetData>
      <sheetData sheetId="2"/>
      <sheetData sheetId="3"/>
      <sheetData sheetId="4"/>
      <sheetData sheetId="5"/>
      <sheetData sheetId="6"/>
      <sheetData sheetId="7"/>
      <sheetData sheetId="8"/>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1. Fiscal"/>
      <sheetName val="2. Distributional by deciles o"/>
      <sheetName val="2. Distributional by HH type"/>
      <sheetName val="2. Distributional by employmen"/>
      <sheetName val="2. Distributional by gender"/>
      <sheetName val="2. Distributional by age group"/>
      <sheetName val="3. Inequality and Poverty"/>
      <sheetName val="Parameter settings"/>
      <sheetName val="Metadata"/>
    </sheetNames>
    <sheetDataSet>
      <sheetData sheetId="0">
        <row r="11">
          <cell r="D11">
            <v>91585263276.150818</v>
          </cell>
          <cell r="E11">
            <v>90780521451.982239</v>
          </cell>
          <cell r="F11">
            <v>90476868859.913986</v>
          </cell>
          <cell r="G11">
            <v>90404315793.611847</v>
          </cell>
        </row>
      </sheetData>
      <sheetData sheetId="1">
        <row r="92">
          <cell r="D92">
            <v>673638324423.91235</v>
          </cell>
          <cell r="E92">
            <v>670935195177.16943</v>
          </cell>
          <cell r="F92">
            <v>669692399854.90417</v>
          </cell>
          <cell r="G92">
            <v>669468980857.73499</v>
          </cell>
        </row>
      </sheetData>
      <sheetData sheetId="2"/>
      <sheetData sheetId="3"/>
      <sheetData sheetId="4"/>
      <sheetData sheetId="5"/>
      <sheetData sheetId="6"/>
      <sheetData sheetId="7"/>
      <sheetData sheetId="8"/>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1. Fiscal"/>
      <sheetName val="2. Distributional by deciles o"/>
      <sheetName val="2. Distributional by HH type"/>
      <sheetName val="2. Distributional by employmen"/>
      <sheetName val="2. Distributional by gender"/>
      <sheetName val="2. Distributional by age group"/>
      <sheetName val="3. Inequality and Poverty"/>
      <sheetName val="Parameter settings"/>
      <sheetName val="Metadata"/>
    </sheetNames>
    <sheetDataSet>
      <sheetData sheetId="0"/>
      <sheetData sheetId="1">
        <row r="28">
          <cell r="M28">
            <v>4.1050300254482287E-2</v>
          </cell>
        </row>
        <row r="64">
          <cell r="B64">
            <v>26209678.642800003</v>
          </cell>
          <cell r="C64">
            <v>26604060.04079999</v>
          </cell>
          <cell r="D64">
            <v>27710277.865200005</v>
          </cell>
          <cell r="E64">
            <v>30968215.739999995</v>
          </cell>
          <cell r="F64">
            <v>38357442.606000006</v>
          </cell>
          <cell r="H64">
            <v>41478455.84520001</v>
          </cell>
          <cell r="I64">
            <v>32109916.818000004</v>
          </cell>
          <cell r="J64">
            <v>32139654.723600011</v>
          </cell>
          <cell r="K64">
            <v>31078228.576799996</v>
          </cell>
          <cell r="L64">
            <v>44772638.226000011</v>
          </cell>
        </row>
        <row r="65">
          <cell r="B65">
            <v>87705976.276800007</v>
          </cell>
          <cell r="C65">
            <v>77675775.980400041</v>
          </cell>
          <cell r="D65">
            <v>109300659.34920001</v>
          </cell>
          <cell r="E65">
            <v>159084218.4276</v>
          </cell>
          <cell r="F65">
            <v>165800619.68639991</v>
          </cell>
          <cell r="H65">
            <v>221836154.74319983</v>
          </cell>
          <cell r="I65">
            <v>102293095.74959998</v>
          </cell>
          <cell r="J65">
            <v>102933483.21600005</v>
          </cell>
          <cell r="K65">
            <v>83368099.711200088</v>
          </cell>
          <cell r="L65">
            <v>250113468.52439985</v>
          </cell>
        </row>
        <row r="66">
          <cell r="B66">
            <v>504934341.79920012</v>
          </cell>
          <cell r="C66">
            <v>458581284.24120009</v>
          </cell>
          <cell r="D66">
            <v>606277799.20439982</v>
          </cell>
          <cell r="E66">
            <v>778829509.2312007</v>
          </cell>
          <cell r="F66">
            <v>824882256.61200047</v>
          </cell>
          <cell r="H66">
            <v>992147125.94639945</v>
          </cell>
          <cell r="I66">
            <v>576067928.11440003</v>
          </cell>
          <cell r="J66">
            <v>578578117.58279991</v>
          </cell>
          <cell r="K66">
            <v>500327546.01480067</v>
          </cell>
          <cell r="L66">
            <v>1066574092.9307988</v>
          </cell>
        </row>
        <row r="67">
          <cell r="B67">
            <v>1370029286.7263999</v>
          </cell>
          <cell r="C67">
            <v>1281713009.5547996</v>
          </cell>
          <cell r="D67">
            <v>1555715117.9772</v>
          </cell>
          <cell r="E67">
            <v>1809997889.0651994</v>
          </cell>
          <cell r="F67">
            <v>1937924265.6180017</v>
          </cell>
          <cell r="H67">
            <v>2369171810.7108016</v>
          </cell>
          <cell r="I67">
            <v>1559394239.338798</v>
          </cell>
          <cell r="J67">
            <v>1564157591.5680013</v>
          </cell>
          <cell r="K67">
            <v>1414804505.2224004</v>
          </cell>
          <cell r="L67">
            <v>2372858285.6268005</v>
          </cell>
        </row>
        <row r="68">
          <cell r="B68">
            <v>2919044429.443202</v>
          </cell>
          <cell r="C68">
            <v>2764332823.3127966</v>
          </cell>
          <cell r="D68">
            <v>3233035085.4215946</v>
          </cell>
          <cell r="E68">
            <v>3639375039.5616045</v>
          </cell>
          <cell r="F68">
            <v>3845610917.9579945</v>
          </cell>
          <cell r="H68">
            <v>4363215154.1280022</v>
          </cell>
          <cell r="I68">
            <v>3298233960.0251951</v>
          </cell>
          <cell r="J68">
            <v>3305928691.1880035</v>
          </cell>
          <cell r="K68">
            <v>3061078699.1796007</v>
          </cell>
          <cell r="L68">
            <v>4396374917.2067938</v>
          </cell>
        </row>
        <row r="69">
          <cell r="B69">
            <v>5281568309.1107998</v>
          </cell>
          <cell r="C69">
            <v>5062935303.1955872</v>
          </cell>
          <cell r="D69">
            <v>5630201751.6060009</v>
          </cell>
          <cell r="E69">
            <v>6052407499.3272047</v>
          </cell>
          <cell r="F69">
            <v>6612996091.3715992</v>
          </cell>
          <cell r="H69">
            <v>7081901272.9260082</v>
          </cell>
          <cell r="I69">
            <v>5944857295.6812019</v>
          </cell>
          <cell r="J69">
            <v>5953895948.754014</v>
          </cell>
          <cell r="K69">
            <v>5691740964.699604</v>
          </cell>
          <cell r="L69">
            <v>7035282211.5527897</v>
          </cell>
        </row>
        <row r="70">
          <cell r="B70">
            <v>8256633416.8595905</v>
          </cell>
          <cell r="C70">
            <v>7999932788.0855999</v>
          </cell>
          <cell r="D70">
            <v>8747224341.0971985</v>
          </cell>
          <cell r="E70">
            <v>9261750037.1880016</v>
          </cell>
          <cell r="F70">
            <v>10118555011.621191</v>
          </cell>
          <cell r="H70">
            <v>10690769455.143579</v>
          </cell>
          <cell r="I70">
            <v>9238385137.2551975</v>
          </cell>
          <cell r="J70">
            <v>9236613426.4787922</v>
          </cell>
          <cell r="K70">
            <v>8929965475.7051907</v>
          </cell>
          <cell r="L70">
            <v>10553041847.153999</v>
          </cell>
        </row>
        <row r="71">
          <cell r="B71">
            <v>11965980121.390781</v>
          </cell>
          <cell r="C71">
            <v>11630856392.56321</v>
          </cell>
          <cell r="D71">
            <v>12597220081.856411</v>
          </cell>
          <cell r="E71">
            <v>13209228256.760391</v>
          </cell>
          <cell r="F71">
            <v>14380352515.294785</v>
          </cell>
          <cell r="H71">
            <v>14910810485.905167</v>
          </cell>
          <cell r="I71">
            <v>13365188526.098381</v>
          </cell>
          <cell r="J71">
            <v>13376213460.49675</v>
          </cell>
          <cell r="K71">
            <v>13009483870.947609</v>
          </cell>
          <cell r="L71">
            <v>14779355592.381609</v>
          </cell>
        </row>
        <row r="72">
          <cell r="B72">
            <v>18239034185.127598</v>
          </cell>
          <cell r="C72">
            <v>17861716447.684841</v>
          </cell>
          <cell r="D72">
            <v>19081828241.936432</v>
          </cell>
          <cell r="E72">
            <v>19938140531.899181</v>
          </cell>
          <cell r="F72">
            <v>21712908405.183647</v>
          </cell>
          <cell r="H72">
            <v>22216069093.792835</v>
          </cell>
          <cell r="I72">
            <v>20333795728.147221</v>
          </cell>
          <cell r="J72">
            <v>20347605897.226788</v>
          </cell>
          <cell r="K72">
            <v>19924327168.298393</v>
          </cell>
          <cell r="L72">
            <v>22092383614.502396</v>
          </cell>
        </row>
        <row r="73">
          <cell r="B73">
            <v>41705216222.608803</v>
          </cell>
          <cell r="C73">
            <v>40640790792.700684</v>
          </cell>
          <cell r="D73">
            <v>43030119377.011292</v>
          </cell>
          <cell r="E73">
            <v>44993610204.615631</v>
          </cell>
          <cell r="F73">
            <v>48780393440.244064</v>
          </cell>
          <cell r="H73">
            <v>49103184145.731575</v>
          </cell>
          <cell r="I73">
            <v>46333623683.101151</v>
          </cell>
          <cell r="J73">
            <v>46352915394.068436</v>
          </cell>
          <cell r="K73">
            <v>45730355713.821472</v>
          </cell>
          <cell r="L73">
            <v>49203343129.813171</v>
          </cell>
        </row>
        <row r="74">
          <cell r="B74">
            <v>90356355967.985748</v>
          </cell>
          <cell r="C74">
            <v>87805138677.359924</v>
          </cell>
          <cell r="D74">
            <v>94618632733.324295</v>
          </cell>
          <cell r="E74">
            <v>99873391401.816208</v>
          </cell>
          <cell r="F74">
            <v>108417780966.19574</v>
          </cell>
          <cell r="H74">
            <v>111990583154.87271</v>
          </cell>
          <cell r="I74">
            <v>100783949510.32907</v>
          </cell>
          <cell r="J74">
            <v>100850981665.30301</v>
          </cell>
          <cell r="K74">
            <v>98376530272.177017</v>
          </cell>
          <cell r="L74">
            <v>111794099797.91959</v>
          </cell>
        </row>
        <row r="82">
          <cell r="B82">
            <v>8619661611.0348072</v>
          </cell>
          <cell r="C82">
            <v>8521897328.2367878</v>
          </cell>
          <cell r="D82">
            <v>8822694382.9344254</v>
          </cell>
          <cell r="E82">
            <v>9221407891.2683945</v>
          </cell>
          <cell r="F82">
            <v>9745684947.3948059</v>
          </cell>
        </row>
        <row r="83">
          <cell r="B83">
            <v>22794238500.390007</v>
          </cell>
          <cell r="C83">
            <v>22536133711.856369</v>
          </cell>
          <cell r="D83">
            <v>23340560286.308361</v>
          </cell>
          <cell r="E83">
            <v>24263613719.180428</v>
          </cell>
          <cell r="F83">
            <v>25721829448.602013</v>
          </cell>
        </row>
        <row r="84">
          <cell r="B84">
            <v>32468245080.269997</v>
          </cell>
          <cell r="C84">
            <v>32049314815.748421</v>
          </cell>
          <cell r="D84">
            <v>33287790344.59679</v>
          </cell>
          <cell r="E84">
            <v>34592158341.404396</v>
          </cell>
          <cell r="F84">
            <v>36601012747.977547</v>
          </cell>
        </row>
        <row r="85">
          <cell r="B85">
            <v>42434705366.727707</v>
          </cell>
          <cell r="C85">
            <v>41889488612.871567</v>
          </cell>
          <cell r="D85">
            <v>43558284353.152855</v>
          </cell>
          <cell r="E85">
            <v>45232503087.668449</v>
          </cell>
          <cell r="F85">
            <v>47739061999.951279</v>
          </cell>
        </row>
        <row r="86">
          <cell r="B86">
            <v>50837659554.445259</v>
          </cell>
          <cell r="C86">
            <v>50122847453.307571</v>
          </cell>
          <cell r="D86">
            <v>52198074092.454041</v>
          </cell>
          <cell r="E86">
            <v>54227515365.733086</v>
          </cell>
          <cell r="F86">
            <v>57122534999.68811</v>
          </cell>
        </row>
        <row r="87">
          <cell r="B87">
            <v>60676364383.471184</v>
          </cell>
          <cell r="C87">
            <v>59810131636.838516</v>
          </cell>
          <cell r="D87">
            <v>62146814366.526093</v>
          </cell>
          <cell r="E87">
            <v>64565615563.009163</v>
          </cell>
          <cell r="F87">
            <v>68195057066.35318</v>
          </cell>
        </row>
        <row r="88">
          <cell r="B88">
            <v>73423024880.587326</v>
          </cell>
          <cell r="C88">
            <v>72481815493.460297</v>
          </cell>
          <cell r="D88">
            <v>75284740881.845917</v>
          </cell>
          <cell r="E88">
            <v>78122839837.336884</v>
          </cell>
          <cell r="F88">
            <v>82383747548.529648</v>
          </cell>
        </row>
        <row r="89">
          <cell r="B89">
            <v>87400793583.069733</v>
          </cell>
          <cell r="C89">
            <v>86272783303.204849</v>
          </cell>
          <cell r="D89">
            <v>89523404402.545441</v>
          </cell>
          <cell r="E89">
            <v>92898321429.28447</v>
          </cell>
          <cell r="F89">
            <v>97958653875.427307</v>
          </cell>
        </row>
        <row r="90">
          <cell r="B90">
            <v>111508472387.9498</v>
          </cell>
          <cell r="C90">
            <v>110240754668.99762</v>
          </cell>
          <cell r="D90">
            <v>113899791806.81308</v>
          </cell>
          <cell r="E90">
            <v>118065460773.08524</v>
          </cell>
          <cell r="F90">
            <v>124803593537.81767</v>
          </cell>
        </row>
        <row r="91">
          <cell r="B91">
            <v>179097584839.48199</v>
          </cell>
          <cell r="C91">
            <v>176219900604.3479</v>
          </cell>
          <cell r="D91">
            <v>180503703094.66214</v>
          </cell>
          <cell r="E91">
            <v>187373942935.24445</v>
          </cell>
          <cell r="F91">
            <v>200404708189.79184</v>
          </cell>
        </row>
        <row r="92">
          <cell r="B92">
            <v>669260750187.42749</v>
          </cell>
          <cell r="C92">
            <v>660145067628.86475</v>
          </cell>
          <cell r="D92">
            <v>682565858011.83679</v>
          </cell>
          <cell r="E92">
            <v>708563378943.21729</v>
          </cell>
          <cell r="F92">
            <v>750675884361.52942</v>
          </cell>
        </row>
      </sheetData>
      <sheetData sheetId="2"/>
      <sheetData sheetId="3"/>
      <sheetData sheetId="4"/>
      <sheetData sheetId="5"/>
      <sheetData sheetId="6">
        <row r="7">
          <cell r="B7">
            <v>0.38035212003317298</v>
          </cell>
        </row>
      </sheetData>
      <sheetData sheetId="7"/>
      <sheetData sheetId="8"/>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mmary"/>
      <sheetName val="Structure"/>
      <sheetName val="Sheet 1"/>
    </sheetNames>
    <sheetDataSet>
      <sheetData sheetId="0"/>
      <sheetData sheetId="1"/>
      <sheetData sheetId="2">
        <row r="25">
          <cell r="N25">
            <v>0.12072298472839749</v>
          </cell>
          <cell r="O25">
            <v>0.14991367734509864</v>
          </cell>
        </row>
      </sheetData>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ctual"/>
      <sheetName val="AAPP"/>
      <sheetName val="Comparación"/>
      <sheetName val="AvanceMensual"/>
      <sheetName val="NGEU"/>
    </sheetNames>
    <sheetDataSet>
      <sheetData sheetId="0">
        <row r="41">
          <cell r="G41">
            <v>-2620</v>
          </cell>
        </row>
      </sheetData>
      <sheetData sheetId="1">
        <row r="4">
          <cell r="AH4">
            <v>2022</v>
          </cell>
        </row>
        <row r="36">
          <cell r="AI36">
            <v>1497760.9999999995</v>
          </cell>
        </row>
        <row r="38">
          <cell r="AE38">
            <v>1253710</v>
          </cell>
          <cell r="AF38">
            <v>1129214</v>
          </cell>
          <cell r="AG38">
            <v>1235474</v>
          </cell>
          <cell r="AH38">
            <v>1375863</v>
          </cell>
        </row>
      </sheetData>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fo on source"/>
      <sheetName val="Summary"/>
      <sheetName val="Structure"/>
      <sheetName val="Sheet 1"/>
    </sheetNames>
    <sheetDataSet>
      <sheetData sheetId="0"/>
      <sheetData sheetId="1"/>
      <sheetData sheetId="2"/>
      <sheetData sheetId="3">
        <row r="88">
          <cell r="M88">
            <v>99033</v>
          </cell>
          <cell r="O88">
            <v>98960</v>
          </cell>
          <cell r="Q88">
            <v>106648</v>
          </cell>
          <cell r="S88">
            <v>123399</v>
          </cell>
          <cell r="U88">
            <v>134371</v>
          </cell>
        </row>
      </sheetData>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1. Fiscal"/>
      <sheetName val="2. Distributional by deciles o"/>
      <sheetName val="2. Distributional by HH type"/>
      <sheetName val="2. Distributional by employmen"/>
      <sheetName val="2. Distributional by gender"/>
      <sheetName val="2. Distributional by age group"/>
      <sheetName val="3. Inequality and Poverty"/>
      <sheetName val="Parameter settings"/>
      <sheetName val="Metadata"/>
    </sheetNames>
    <sheetDataSet>
      <sheetData sheetId="0"/>
      <sheetData sheetId="1">
        <row r="46">
          <cell r="I46">
            <v>0.71828319313113254</v>
          </cell>
        </row>
        <row r="47">
          <cell r="I47">
            <v>0.96098295034905956</v>
          </cell>
        </row>
        <row r="48">
          <cell r="I48">
            <v>0.99900618756045023</v>
          </cell>
        </row>
        <row r="49">
          <cell r="I49">
            <v>1</v>
          </cell>
        </row>
        <row r="50">
          <cell r="I50">
            <v>1</v>
          </cell>
        </row>
        <row r="51">
          <cell r="I51">
            <v>1</v>
          </cell>
        </row>
        <row r="52">
          <cell r="I52">
            <v>1</v>
          </cell>
        </row>
        <row r="53">
          <cell r="I53">
            <v>1</v>
          </cell>
        </row>
        <row r="54">
          <cell r="I54">
            <v>1</v>
          </cell>
        </row>
        <row r="55">
          <cell r="I55">
            <v>1</v>
          </cell>
        </row>
        <row r="56">
          <cell r="I56">
            <v>0.9596672800921473</v>
          </cell>
        </row>
        <row r="100">
          <cell r="B100">
            <v>249448035.7044</v>
          </cell>
          <cell r="C100">
            <v>251349265.04159984</v>
          </cell>
          <cell r="D100">
            <v>248289716.66639996</v>
          </cell>
          <cell r="E100">
            <v>251266890.76919988</v>
          </cell>
          <cell r="F100">
            <v>249294719.4876</v>
          </cell>
          <cell r="G100">
            <v>249198943.95959991</v>
          </cell>
          <cell r="H100">
            <v>248635630.32600001</v>
          </cell>
        </row>
        <row r="101">
          <cell r="B101">
            <v>532344985.23960018</v>
          </cell>
          <cell r="C101">
            <v>548823998.16119969</v>
          </cell>
          <cell r="D101">
            <v>536585434.61640024</v>
          </cell>
          <cell r="E101">
            <v>547816492.72079968</v>
          </cell>
          <cell r="F101">
            <v>544357809.41999996</v>
          </cell>
          <cell r="G101">
            <v>543545151.38400042</v>
          </cell>
          <cell r="H101">
            <v>536864131.4004004</v>
          </cell>
        </row>
        <row r="102">
          <cell r="B102">
            <v>1071877967.3219998</v>
          </cell>
          <cell r="C102">
            <v>1097390745.7152002</v>
          </cell>
          <cell r="D102">
            <v>1081871865.1032002</v>
          </cell>
          <cell r="E102">
            <v>1095268199.0640011</v>
          </cell>
          <cell r="F102">
            <v>1091472756.4139996</v>
          </cell>
          <cell r="G102">
            <v>1089803101.8804004</v>
          </cell>
          <cell r="H102">
            <v>1082223369.237601</v>
          </cell>
        </row>
        <row r="103">
          <cell r="B103">
            <v>1471568174.8488002</v>
          </cell>
          <cell r="C103">
            <v>1502895332.6891999</v>
          </cell>
          <cell r="D103">
            <v>1486061060.2991974</v>
          </cell>
          <cell r="E103">
            <v>1498718396.8271995</v>
          </cell>
          <cell r="F103">
            <v>1495471448.2092009</v>
          </cell>
          <cell r="G103">
            <v>1493301767.7216005</v>
          </cell>
          <cell r="H103">
            <v>1486517999.2187986</v>
          </cell>
        </row>
        <row r="104">
          <cell r="B104">
            <v>1743844112.2907972</v>
          </cell>
          <cell r="C104">
            <v>1779128193.7163992</v>
          </cell>
          <cell r="D104">
            <v>1761326156.4215984</v>
          </cell>
          <cell r="E104">
            <v>1772202422.8499985</v>
          </cell>
          <cell r="F104">
            <v>1769043380.0304012</v>
          </cell>
          <cell r="G104">
            <v>1765819450.7052002</v>
          </cell>
          <cell r="H104">
            <v>1761943030.4411995</v>
          </cell>
        </row>
        <row r="105">
          <cell r="B105">
            <v>2148339773.4803996</v>
          </cell>
          <cell r="C105">
            <v>2191708357.4891982</v>
          </cell>
          <cell r="D105">
            <v>2170254543.9059982</v>
          </cell>
          <cell r="E105">
            <v>2181527922.9492021</v>
          </cell>
          <cell r="F105">
            <v>2178403743.9059982</v>
          </cell>
          <cell r="G105">
            <v>2174543615.5944004</v>
          </cell>
          <cell r="H105">
            <v>2170990033.5840011</v>
          </cell>
        </row>
        <row r="106">
          <cell r="B106">
            <v>2735256413.4816008</v>
          </cell>
          <cell r="C106">
            <v>2787405705.2603965</v>
          </cell>
          <cell r="D106">
            <v>2763507100.7579994</v>
          </cell>
          <cell r="E106">
            <v>2775243992.7360015</v>
          </cell>
          <cell r="F106">
            <v>2771901120.3995981</v>
          </cell>
          <cell r="G106">
            <v>2767513231.2912006</v>
          </cell>
          <cell r="H106">
            <v>2764350592.0883999</v>
          </cell>
        </row>
        <row r="107">
          <cell r="B107">
            <v>3470485114.8816013</v>
          </cell>
          <cell r="C107">
            <v>3532865114.7851987</v>
          </cell>
          <cell r="D107">
            <v>3506566045.4040041</v>
          </cell>
          <cell r="E107">
            <v>3518073652.0931978</v>
          </cell>
          <cell r="F107">
            <v>3514767829.916398</v>
          </cell>
          <cell r="G107">
            <v>3509739752.3304014</v>
          </cell>
          <cell r="H107">
            <v>3507529545.7920027</v>
          </cell>
        </row>
        <row r="108">
          <cell r="B108">
            <v>4589044995.7056036</v>
          </cell>
          <cell r="C108">
            <v>4666814833.9332056</v>
          </cell>
          <cell r="D108">
            <v>4636554848.8428068</v>
          </cell>
          <cell r="E108">
            <v>4648137082.7124033</v>
          </cell>
          <cell r="F108">
            <v>4644847052.5908031</v>
          </cell>
          <cell r="G108">
            <v>4639314561.1260014</v>
          </cell>
          <cell r="H108">
            <v>4637621798.1456032</v>
          </cell>
        </row>
        <row r="109">
          <cell r="B109">
            <v>10116078763.033199</v>
          </cell>
          <cell r="C109">
            <v>10260005028.841188</v>
          </cell>
          <cell r="D109">
            <v>10219199296.041597</v>
          </cell>
          <cell r="E109">
            <v>10230503126.707191</v>
          </cell>
          <cell r="F109">
            <v>10227696643.696796</v>
          </cell>
          <cell r="G109">
            <v>10222247902.730385</v>
          </cell>
          <cell r="H109">
            <v>10220417024.569191</v>
          </cell>
        </row>
        <row r="110">
          <cell r="B110">
            <v>28128288335.988091</v>
          </cell>
          <cell r="C110">
            <v>28618386575.63282</v>
          </cell>
          <cell r="D110">
            <v>28410216068.059113</v>
          </cell>
          <cell r="E110">
            <v>28518758179.429237</v>
          </cell>
          <cell r="F110">
            <v>28487256504.070736</v>
          </cell>
          <cell r="G110">
            <v>28455027478.723103</v>
          </cell>
          <cell r="H110">
            <v>28417093154.803223</v>
          </cell>
        </row>
        <row r="118">
          <cell r="B118">
            <v>2295647552.7599969</v>
          </cell>
          <cell r="C118">
            <v>2318606373.4223967</v>
          </cell>
        </row>
        <row r="119">
          <cell r="B119">
            <v>6321648167.0015993</v>
          </cell>
          <cell r="C119">
            <v>6384866028.0275974</v>
          </cell>
        </row>
        <row r="120">
          <cell r="B120">
            <v>8445294608.5907974</v>
          </cell>
          <cell r="C120">
            <v>8529748966.7244015</v>
          </cell>
        </row>
        <row r="121">
          <cell r="B121">
            <v>10012217434.520397</v>
          </cell>
          <cell r="C121">
            <v>10112340250.989609</v>
          </cell>
        </row>
        <row r="122">
          <cell r="B122">
            <v>11281341708.691175</v>
          </cell>
          <cell r="C122">
            <v>11394155661.01078</v>
          </cell>
        </row>
        <row r="123">
          <cell r="B123">
            <v>12877127953.720798</v>
          </cell>
          <cell r="C123">
            <v>13005899596.96801</v>
          </cell>
        </row>
        <row r="124">
          <cell r="B124">
            <v>14995619955.769211</v>
          </cell>
          <cell r="C124">
            <v>15145577174.692818</v>
          </cell>
        </row>
        <row r="125">
          <cell r="B125">
            <v>17446179191.781578</v>
          </cell>
          <cell r="C125">
            <v>17620642140.583195</v>
          </cell>
        </row>
        <row r="126">
          <cell r="B126">
            <v>20688384170.528397</v>
          </cell>
          <cell r="C126">
            <v>20895269517.70797</v>
          </cell>
        </row>
        <row r="127">
          <cell r="B127">
            <v>35078229023.652023</v>
          </cell>
          <cell r="C127">
            <v>35429011732.944</v>
          </cell>
        </row>
        <row r="128">
          <cell r="B128">
            <v>139441689767.01593</v>
          </cell>
          <cell r="C128">
            <v>140836117443.07147</v>
          </cell>
        </row>
        <row r="136">
          <cell r="B136">
            <v>1040215328.7659998</v>
          </cell>
        </row>
        <row r="137">
          <cell r="B137">
            <v>2287764757.7507992</v>
          </cell>
        </row>
        <row r="138">
          <cell r="B138">
            <v>3163916482.1615992</v>
          </cell>
        </row>
        <row r="139">
          <cell r="B139">
            <v>4495384067.6460018</v>
          </cell>
        </row>
        <row r="140">
          <cell r="B140">
            <v>6868506456.4763966</v>
          </cell>
        </row>
        <row r="141">
          <cell r="B141">
            <v>8374208005.2144146</v>
          </cell>
        </row>
        <row r="142">
          <cell r="B142">
            <v>10319318093.110798</v>
          </cell>
        </row>
        <row r="143">
          <cell r="B143">
            <v>13060333568.588402</v>
          </cell>
        </row>
        <row r="144">
          <cell r="B144">
            <v>16124100628.03561</v>
          </cell>
        </row>
        <row r="145">
          <cell r="B145">
            <v>25317620057.643593</v>
          </cell>
        </row>
        <row r="146">
          <cell r="B146">
            <v>91051367445.393738</v>
          </cell>
        </row>
        <row r="154">
          <cell r="B154">
            <v>1160315970.9839997</v>
          </cell>
        </row>
        <row r="155">
          <cell r="B155">
            <v>3704795759.4876003</v>
          </cell>
        </row>
        <row r="156">
          <cell r="B156">
            <v>4853586538.7255974</v>
          </cell>
        </row>
        <row r="157">
          <cell r="B157">
            <v>4968318209.4011993</v>
          </cell>
        </row>
        <row r="158">
          <cell r="B158">
            <v>3847298506.1951995</v>
          </cell>
        </row>
        <row r="159">
          <cell r="B159">
            <v>3806411919.8004007</v>
          </cell>
        </row>
        <row r="160">
          <cell r="B160">
            <v>3687382969.4735942</v>
          </cell>
        </row>
        <row r="161">
          <cell r="B161">
            <v>3218635674.2976031</v>
          </cell>
        </row>
        <row r="162">
          <cell r="B162">
            <v>3015928413.7379999</v>
          </cell>
        </row>
        <row r="163">
          <cell r="B163">
            <v>4210072156.3475976</v>
          </cell>
        </row>
        <row r="164">
          <cell r="B164">
            <v>36472746118.450775</v>
          </cell>
        </row>
        <row r="172">
          <cell r="B172">
            <v>46508221.024800017</v>
          </cell>
        </row>
        <row r="173">
          <cell r="B173">
            <v>207886822.26000005</v>
          </cell>
        </row>
        <row r="174">
          <cell r="B174">
            <v>249911919.39479998</v>
          </cell>
        </row>
        <row r="175">
          <cell r="B175">
            <v>294329464.21199989</v>
          </cell>
        </row>
        <row r="176">
          <cell r="B176">
            <v>304976743.33319998</v>
          </cell>
        </row>
        <row r="177">
          <cell r="B177">
            <v>364081573.56599998</v>
          </cell>
        </row>
        <row r="178">
          <cell r="B178">
            <v>503486442.43320012</v>
          </cell>
        </row>
        <row r="179">
          <cell r="B179">
            <v>488046782.28240001</v>
          </cell>
        </row>
        <row r="180">
          <cell r="B180">
            <v>593848019.03760004</v>
          </cell>
        </row>
        <row r="181">
          <cell r="B181">
            <v>1423416272.4215996</v>
          </cell>
        </row>
        <row r="182">
          <cell r="B182">
            <v>4476492259.965601</v>
          </cell>
        </row>
        <row r="190">
          <cell r="B190">
            <v>48607767.760799982</v>
          </cell>
        </row>
        <row r="191">
          <cell r="B191">
            <v>121201647.53519997</v>
          </cell>
        </row>
        <row r="192">
          <cell r="B192">
            <v>177880087.81200016</v>
          </cell>
        </row>
        <row r="193">
          <cell r="B193">
            <v>254185392.60719991</v>
          </cell>
        </row>
        <row r="194">
          <cell r="B194">
            <v>260560393.18200004</v>
          </cell>
        </row>
        <row r="195">
          <cell r="B195">
            <v>332426400.10560018</v>
          </cell>
        </row>
        <row r="196">
          <cell r="B196">
            <v>485432658.36000061</v>
          </cell>
        </row>
        <row r="197">
          <cell r="B197">
            <v>679164522.55319941</v>
          </cell>
        </row>
        <row r="198">
          <cell r="B198">
            <v>954507337.94759989</v>
          </cell>
        </row>
        <row r="199">
          <cell r="B199">
            <v>4127121424.3572021</v>
          </cell>
        </row>
        <row r="200">
          <cell r="B200">
            <v>7441087632.2208166</v>
          </cell>
        </row>
      </sheetData>
      <sheetData sheetId="2"/>
      <sheetData sheetId="3"/>
      <sheetData sheetId="4"/>
      <sheetData sheetId="5"/>
      <sheetData sheetId="6">
        <row r="7">
          <cell r="B7">
            <v>0.34716603282854602</v>
          </cell>
          <cell r="C7">
            <v>0.34716600216839799</v>
          </cell>
        </row>
        <row r="8">
          <cell r="B8">
            <v>0.32923022016174802</v>
          </cell>
          <cell r="C8">
            <v>0.32905790136185797</v>
          </cell>
        </row>
        <row r="34">
          <cell r="B34">
            <v>0.39006948599399299</v>
          </cell>
          <cell r="C34">
            <v>0.38648867496135297</v>
          </cell>
        </row>
      </sheetData>
      <sheetData sheetId="7"/>
      <sheetData sheetId="8"/>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1. Fiscal"/>
      <sheetName val="2. Distributional by deciles o"/>
      <sheetName val="2. Distributional by HH type"/>
      <sheetName val="2. Distributional by employmen"/>
      <sheetName val="2. Distributional by gender"/>
      <sheetName val="2. Distributional by age group"/>
      <sheetName val="3. Inequality and Poverty"/>
      <sheetName val="Parameter settings"/>
      <sheetName val="Metadata"/>
    </sheetNames>
    <sheetDataSet>
      <sheetData sheetId="0"/>
      <sheetData sheetId="1">
        <row r="46">
          <cell r="I46">
            <v>0.63518300620727475</v>
          </cell>
        </row>
        <row r="47">
          <cell r="I47">
            <v>0.94999790225984893</v>
          </cell>
        </row>
        <row r="48">
          <cell r="I48">
            <v>0.99900415083523675</v>
          </cell>
        </row>
        <row r="49">
          <cell r="I49">
            <v>1</v>
          </cell>
        </row>
        <row r="50">
          <cell r="I50">
            <v>1</v>
          </cell>
        </row>
        <row r="51">
          <cell r="I51">
            <v>1</v>
          </cell>
        </row>
        <row r="52">
          <cell r="I52">
            <v>1</v>
          </cell>
        </row>
        <row r="53">
          <cell r="I53">
            <v>1</v>
          </cell>
        </row>
        <row r="54">
          <cell r="I54">
            <v>1</v>
          </cell>
        </row>
        <row r="55">
          <cell r="I55">
            <v>1</v>
          </cell>
        </row>
        <row r="56">
          <cell r="I56">
            <v>0.94773904020306776</v>
          </cell>
        </row>
        <row r="100">
          <cell r="B100">
            <v>258749133.70320016</v>
          </cell>
          <cell r="C100">
            <v>260509489.09800008</v>
          </cell>
          <cell r="D100">
            <v>257811412.28759998</v>
          </cell>
          <cell r="E100">
            <v>260456851.24800012</v>
          </cell>
          <cell r="F100">
            <v>260265758.38079998</v>
          </cell>
          <cell r="G100">
            <v>260115522.74039996</v>
          </cell>
          <cell r="H100">
            <v>259699386.7895999</v>
          </cell>
        </row>
        <row r="101">
          <cell r="B101">
            <v>552288902.06880009</v>
          </cell>
          <cell r="C101">
            <v>570627485.30879927</v>
          </cell>
          <cell r="D101">
            <v>557047435.69080043</v>
          </cell>
          <cell r="E101">
            <v>569785580.65320003</v>
          </cell>
          <cell r="F101">
            <v>568855290.11639929</v>
          </cell>
          <cell r="G101">
            <v>567739642.03679955</v>
          </cell>
          <cell r="H101">
            <v>560186365.33439994</v>
          </cell>
        </row>
        <row r="102">
          <cell r="B102">
            <v>1156856426.5595994</v>
          </cell>
          <cell r="C102">
            <v>1187440401.8603997</v>
          </cell>
          <cell r="D102">
            <v>1168257418.034399</v>
          </cell>
          <cell r="E102">
            <v>1185013307.3423996</v>
          </cell>
          <cell r="F102">
            <v>1183608716.3543994</v>
          </cell>
          <cell r="G102">
            <v>1181522237.9891999</v>
          </cell>
          <cell r="H102">
            <v>1171770184.2611995</v>
          </cell>
        </row>
        <row r="103">
          <cell r="B103">
            <v>1651870806.1860003</v>
          </cell>
          <cell r="C103">
            <v>1690065719.4276016</v>
          </cell>
          <cell r="D103">
            <v>1668628927.9980001</v>
          </cell>
          <cell r="E103">
            <v>1684664302.2000008</v>
          </cell>
          <cell r="F103">
            <v>1682626300.9020009</v>
          </cell>
          <cell r="G103">
            <v>1679818492.2420001</v>
          </cell>
          <cell r="H103">
            <v>1671613195.4928002</v>
          </cell>
        </row>
        <row r="104">
          <cell r="B104">
            <v>1964161712.2080007</v>
          </cell>
          <cell r="C104">
            <v>2005768142.8223987</v>
          </cell>
          <cell r="D104">
            <v>1984425536.0399981</v>
          </cell>
          <cell r="E104">
            <v>1997701702.7124014</v>
          </cell>
          <cell r="F104">
            <v>1994815073.5440006</v>
          </cell>
          <cell r="G104">
            <v>1990559680.3908029</v>
          </cell>
          <cell r="H104">
            <v>1986664040.1324019</v>
          </cell>
        </row>
        <row r="105">
          <cell r="B105">
            <v>2426773825.2395992</v>
          </cell>
          <cell r="C105">
            <v>2476491577.7123981</v>
          </cell>
          <cell r="D105">
            <v>2451788154.7919989</v>
          </cell>
          <cell r="E105">
            <v>2465219160.0432019</v>
          </cell>
          <cell r="F105">
            <v>2461670554.4220028</v>
          </cell>
          <cell r="G105">
            <v>2456624505.4548011</v>
          </cell>
          <cell r="H105">
            <v>2453715064.0560002</v>
          </cell>
        </row>
        <row r="106">
          <cell r="B106">
            <v>3068705809.0104032</v>
          </cell>
          <cell r="C106">
            <v>3128231555.6759968</v>
          </cell>
          <cell r="D106">
            <v>3100483601.3136024</v>
          </cell>
          <cell r="E106">
            <v>3114364920.2748017</v>
          </cell>
          <cell r="F106">
            <v>3110116880.6856031</v>
          </cell>
          <cell r="G106">
            <v>3104453501.9760027</v>
          </cell>
          <cell r="H106">
            <v>3102436213.9044013</v>
          </cell>
        </row>
        <row r="107">
          <cell r="B107">
            <v>3907702971.1944079</v>
          </cell>
          <cell r="C107">
            <v>3979918791.7427974</v>
          </cell>
          <cell r="D107">
            <v>3948371082.7103992</v>
          </cell>
          <cell r="E107">
            <v>3963313542.1116018</v>
          </cell>
          <cell r="F107">
            <v>3958395331.2023983</v>
          </cell>
          <cell r="G107">
            <v>3951872984.3495979</v>
          </cell>
          <cell r="H107">
            <v>3950074482.5567966</v>
          </cell>
        </row>
        <row r="108">
          <cell r="B108">
            <v>5204372221.2624025</v>
          </cell>
          <cell r="C108">
            <v>5293970472.681591</v>
          </cell>
          <cell r="D108">
            <v>5258270503.1963997</v>
          </cell>
          <cell r="E108">
            <v>5273437499.2475939</v>
          </cell>
          <cell r="F108">
            <v>5268182737.8024015</v>
          </cell>
          <cell r="G108">
            <v>5261245138.4556007</v>
          </cell>
          <cell r="H108">
            <v>5259863918.5908012</v>
          </cell>
        </row>
        <row r="109">
          <cell r="B109">
            <v>11492614602.621601</v>
          </cell>
          <cell r="C109">
            <v>11656689162.331196</v>
          </cell>
          <cell r="D109">
            <v>11610002087.377193</v>
          </cell>
          <cell r="E109">
            <v>11623759678.813198</v>
          </cell>
          <cell r="F109">
            <v>11619205696.03318</v>
          </cell>
          <cell r="G109">
            <v>11613124458.400793</v>
          </cell>
          <cell r="H109">
            <v>11611553954.157593</v>
          </cell>
        </row>
        <row r="110">
          <cell r="B110">
            <v>31684096410.054005</v>
          </cell>
          <cell r="C110">
            <v>32249712798.661274</v>
          </cell>
          <cell r="D110">
            <v>32005086159.440311</v>
          </cell>
          <cell r="E110">
            <v>32137716544.646515</v>
          </cell>
          <cell r="F110">
            <v>32107742339.443279</v>
          </cell>
          <cell r="G110">
            <v>32067076164.036018</v>
          </cell>
          <cell r="H110">
            <v>32027576805.27597</v>
          </cell>
        </row>
        <row r="118">
          <cell r="B118">
            <v>2574372783.4319968</v>
          </cell>
          <cell r="C118">
            <v>2600115888.7260008</v>
          </cell>
        </row>
        <row r="119">
          <cell r="B119">
            <v>7057831095.2591991</v>
          </cell>
          <cell r="C119">
            <v>7128408909.5376005</v>
          </cell>
        </row>
        <row r="120">
          <cell r="B120">
            <v>9409631420.0280018</v>
          </cell>
          <cell r="C120">
            <v>9503727461.3363991</v>
          </cell>
        </row>
        <row r="121">
          <cell r="B121">
            <v>11176840205.109591</v>
          </cell>
          <cell r="C121">
            <v>11288609130.352798</v>
          </cell>
        </row>
        <row r="122">
          <cell r="B122">
            <v>12651315382.313999</v>
          </cell>
          <cell r="C122">
            <v>12777828568.227598</v>
          </cell>
        </row>
        <row r="123">
          <cell r="B123">
            <v>14434378937.529594</v>
          </cell>
          <cell r="C123">
            <v>14578722955.004398</v>
          </cell>
        </row>
        <row r="124">
          <cell r="B124">
            <v>16753202711.753975</v>
          </cell>
          <cell r="C124">
            <v>16920734516.621979</v>
          </cell>
        </row>
        <row r="125">
          <cell r="B125">
            <v>19544529770.078426</v>
          </cell>
          <cell r="C125">
            <v>19739976765.973175</v>
          </cell>
        </row>
        <row r="126">
          <cell r="B126">
            <v>23192275360.296005</v>
          </cell>
          <cell r="C126">
            <v>23424198920.89798</v>
          </cell>
        </row>
        <row r="127">
          <cell r="B127">
            <v>39306343828.348862</v>
          </cell>
          <cell r="C127">
            <v>39699407549.514008</v>
          </cell>
        </row>
        <row r="128">
          <cell r="B128">
            <v>156100721494.14966</v>
          </cell>
          <cell r="C128">
            <v>157661730666.19174</v>
          </cell>
        </row>
      </sheetData>
      <sheetData sheetId="2"/>
      <sheetData sheetId="3"/>
      <sheetData sheetId="4"/>
      <sheetData sheetId="5"/>
      <sheetData sheetId="6"/>
      <sheetData sheetId="7"/>
      <sheetData sheetId="8"/>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1. Fiscal"/>
      <sheetName val="2. Distributional by deciles o"/>
      <sheetName val="2. Distributional by HH type"/>
      <sheetName val="2. Distributional by employmen"/>
      <sheetName val="2. Distributional by gender"/>
      <sheetName val="2. Distributional by age group"/>
      <sheetName val="3. Inequality and Poverty"/>
      <sheetName val="Parameter settings"/>
      <sheetName val="Metadata"/>
    </sheetNames>
    <sheetDataSet>
      <sheetData sheetId="0">
        <row r="126">
          <cell r="D126">
            <v>28451406756.160789</v>
          </cell>
          <cell r="E126">
            <v>28260739843.155571</v>
          </cell>
          <cell r="F126">
            <v>28139179828.304546</v>
          </cell>
          <cell r="G126">
            <v>28151942153.554932</v>
          </cell>
        </row>
        <row r="131">
          <cell r="D131">
            <v>140352212984.80853</v>
          </cell>
          <cell r="E131">
            <v>139806426321.13171</v>
          </cell>
          <cell r="F131">
            <v>139486455061.50873</v>
          </cell>
          <cell r="G131">
            <v>139516103015.95776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1. Fiscal"/>
      <sheetName val="Parameter settings"/>
      <sheetName val="Metadata"/>
    </sheetNames>
    <sheetDataSet>
      <sheetData sheetId="0">
        <row r="128">
          <cell r="D128">
            <v>32056984286.46489</v>
          </cell>
          <cell r="E128">
            <v>31837563912.267723</v>
          </cell>
          <cell r="F128">
            <v>31696418800.706383</v>
          </cell>
          <cell r="G128">
            <v>31710894337.323589</v>
          </cell>
        </row>
        <row r="133">
          <cell r="D133">
            <v>157122552446.88745</v>
          </cell>
          <cell r="E133">
            <v>156506036174.49057</v>
          </cell>
          <cell r="F133">
            <v>156150822177.76556</v>
          </cell>
          <cell r="G133">
            <v>156184485682.772</v>
          </cell>
        </row>
      </sheetData>
      <sheetData sheetId="1"/>
      <sheetData sheetId="2"/>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1. Fiscal"/>
      <sheetName val="2. Distributional by deciles o"/>
      <sheetName val="2. Distributional by HH type"/>
      <sheetName val="2. Distributional by employmen"/>
      <sheetName val="2. Distributional by gender"/>
      <sheetName val="2. Distributional by age group"/>
      <sheetName val="3. Inequality and Poverty"/>
      <sheetName val="Parameter settings"/>
      <sheetName val="Metadata"/>
    </sheetNames>
    <sheetDataSet>
      <sheetData sheetId="0"/>
      <sheetData sheetId="1">
        <row r="46">
          <cell r="N46">
            <v>0.71828319313113254</v>
          </cell>
        </row>
        <row r="100">
          <cell r="B100">
            <v>249448035.7044</v>
          </cell>
          <cell r="C100">
            <v>248994927.47640008</v>
          </cell>
          <cell r="D100">
            <v>247720437.89399984</v>
          </cell>
          <cell r="E100">
            <v>251518849.71480018</v>
          </cell>
          <cell r="F100">
            <v>258683572.80480015</v>
          </cell>
          <cell r="H100">
            <v>273766179.52199996</v>
          </cell>
          <cell r="I100">
            <v>231019708.20960018</v>
          </cell>
          <cell r="J100">
            <v>233495444.09160027</v>
          </cell>
          <cell r="K100">
            <v>224444157.8688001</v>
          </cell>
          <cell r="M100">
            <v>278239433.86080009</v>
          </cell>
        </row>
        <row r="101">
          <cell r="B101">
            <v>532344985.23960018</v>
          </cell>
          <cell r="C101">
            <v>517288327.80600053</v>
          </cell>
          <cell r="D101">
            <v>526611509.13120013</v>
          </cell>
          <cell r="E101">
            <v>539968616.58359981</v>
          </cell>
          <cell r="F101">
            <v>550232601.58440006</v>
          </cell>
          <cell r="H101">
            <v>720356762.41559982</v>
          </cell>
          <cell r="I101">
            <v>568018319.26199985</v>
          </cell>
          <cell r="J101">
            <v>578922023.60279989</v>
          </cell>
          <cell r="K101">
            <v>536831928.87719947</v>
          </cell>
          <cell r="M101">
            <v>600389572.03920007</v>
          </cell>
        </row>
        <row r="102">
          <cell r="B102">
            <v>1071877967.3219998</v>
          </cell>
          <cell r="C102">
            <v>1056497729.6735992</v>
          </cell>
          <cell r="D102">
            <v>1079005834.4639997</v>
          </cell>
          <cell r="E102">
            <v>1108565027.1720004</v>
          </cell>
          <cell r="F102">
            <v>1157043713.5619998</v>
          </cell>
          <cell r="H102">
            <v>1363255633.7915998</v>
          </cell>
          <cell r="I102">
            <v>1172848859.3711998</v>
          </cell>
          <cell r="J102">
            <v>1186769009.8644004</v>
          </cell>
          <cell r="K102">
            <v>1132742621.7599993</v>
          </cell>
          <cell r="M102">
            <v>1194272879.0736005</v>
          </cell>
        </row>
        <row r="103">
          <cell r="B103">
            <v>1471568174.8488002</v>
          </cell>
          <cell r="C103">
            <v>1459434184.8660004</v>
          </cell>
          <cell r="D103">
            <v>1497080585.6532001</v>
          </cell>
          <cell r="E103">
            <v>1539112451.3148007</v>
          </cell>
          <cell r="F103">
            <v>1644937081.2636003</v>
          </cell>
          <cell r="H103">
            <v>1826803147.8780007</v>
          </cell>
          <cell r="I103">
            <v>1623281560.0967989</v>
          </cell>
          <cell r="J103">
            <v>1638463831.7652001</v>
          </cell>
          <cell r="K103">
            <v>1579504342.8779988</v>
          </cell>
          <cell r="M103">
            <v>1640694054.0911999</v>
          </cell>
        </row>
        <row r="104">
          <cell r="B104">
            <v>1743844112.2907972</v>
          </cell>
          <cell r="C104">
            <v>1729056386.7419991</v>
          </cell>
          <cell r="D104">
            <v>1784852444.4528008</v>
          </cell>
          <cell r="E104">
            <v>1840888326.9504008</v>
          </cell>
          <cell r="F104">
            <v>1959190038.9096007</v>
          </cell>
          <cell r="H104">
            <v>2167624920.4764018</v>
          </cell>
          <cell r="I104">
            <v>1937075303.7768009</v>
          </cell>
          <cell r="J104">
            <v>1953061317.9791994</v>
          </cell>
          <cell r="K104">
            <v>1891780475.5524025</v>
          </cell>
          <cell r="M104">
            <v>1978513658.4455988</v>
          </cell>
        </row>
        <row r="105">
          <cell r="B105">
            <v>2148339773.4803996</v>
          </cell>
          <cell r="C105">
            <v>2129999204.8427975</v>
          </cell>
          <cell r="D105">
            <v>2203441611.3671999</v>
          </cell>
          <cell r="E105">
            <v>2276936413.0536022</v>
          </cell>
          <cell r="F105">
            <v>2417502232.3164001</v>
          </cell>
          <cell r="H105">
            <v>2660865218.7311993</v>
          </cell>
          <cell r="I105">
            <v>2393770250.5056019</v>
          </cell>
          <cell r="J105">
            <v>2413041316.6008005</v>
          </cell>
          <cell r="K105">
            <v>2338335101.5727987</v>
          </cell>
          <cell r="M105">
            <v>2445520719.1596003</v>
          </cell>
        </row>
        <row r="106">
          <cell r="B106">
            <v>2735256413.4816008</v>
          </cell>
          <cell r="C106">
            <v>2715938532.8675985</v>
          </cell>
          <cell r="D106">
            <v>2811678104.0963955</v>
          </cell>
          <cell r="E106">
            <v>2906187093.9324017</v>
          </cell>
          <cell r="F106">
            <v>3076305206.7180033</v>
          </cell>
          <cell r="H106">
            <v>3345932823.6972008</v>
          </cell>
          <cell r="I106">
            <v>3052502995.7880011</v>
          </cell>
          <cell r="J106">
            <v>3074053789.5564008</v>
          </cell>
          <cell r="K106">
            <v>2990392944.2123985</v>
          </cell>
          <cell r="M106">
            <v>3102419648.3759999</v>
          </cell>
        </row>
        <row r="107">
          <cell r="B107">
            <v>3470485114.8816013</v>
          </cell>
          <cell r="C107">
            <v>3442870634.6483994</v>
          </cell>
          <cell r="D107">
            <v>3573427471.4675951</v>
          </cell>
          <cell r="E107">
            <v>3698744068.7123976</v>
          </cell>
          <cell r="F107">
            <v>3917028731.9844065</v>
          </cell>
          <cell r="H107">
            <v>4218059820.9635983</v>
          </cell>
          <cell r="I107">
            <v>3887709827.0027981</v>
          </cell>
          <cell r="J107">
            <v>3911381360.4083991</v>
          </cell>
          <cell r="K107">
            <v>3819533540.8044019</v>
          </cell>
          <cell r="M107">
            <v>3929862084.2268004</v>
          </cell>
        </row>
        <row r="108">
          <cell r="B108">
            <v>4589044995.7056036</v>
          </cell>
          <cell r="C108">
            <v>4560295272.0588007</v>
          </cell>
          <cell r="D108">
            <v>4734076386.4091988</v>
          </cell>
          <cell r="E108">
            <v>4900587949.9679995</v>
          </cell>
          <cell r="F108">
            <v>5196143818.8960028</v>
          </cell>
          <cell r="H108">
            <v>5520796776.7368021</v>
          </cell>
          <cell r="I108">
            <v>5144903808.0515985</v>
          </cell>
          <cell r="J108">
            <v>5172151248.5759964</v>
          </cell>
          <cell r="K108">
            <v>5066662734.3900013</v>
          </cell>
          <cell r="M108">
            <v>5172526140.0636034</v>
          </cell>
        </row>
        <row r="109">
          <cell r="B109">
            <v>10116078763.033199</v>
          </cell>
          <cell r="C109">
            <v>10037647963.323587</v>
          </cell>
          <cell r="D109">
            <v>10466341500.10561</v>
          </cell>
          <cell r="E109">
            <v>10844565272.583588</v>
          </cell>
          <cell r="F109">
            <v>11507029412.014799</v>
          </cell>
          <cell r="H109">
            <v>11865352986.359993</v>
          </cell>
          <cell r="I109">
            <v>11360360808.440411</v>
          </cell>
          <cell r="J109">
            <v>11397058876.176001</v>
          </cell>
          <cell r="K109">
            <v>11254591058.277611</v>
          </cell>
          <cell r="M109">
            <v>11204827260.115191</v>
          </cell>
        </row>
        <row r="110">
          <cell r="B110">
            <v>28128288335.988091</v>
          </cell>
          <cell r="C110">
            <v>27898023164.305264</v>
          </cell>
          <cell r="D110">
            <v>28924235885.041176</v>
          </cell>
          <cell r="E110">
            <v>29907074069.985657</v>
          </cell>
          <cell r="F110">
            <v>31684096410.054005</v>
          </cell>
          <cell r="H110">
            <v>33962814270.572308</v>
          </cell>
          <cell r="I110">
            <v>31371491440.50473</v>
          </cell>
          <cell r="J110">
            <v>31558398218.620686</v>
          </cell>
          <cell r="K110">
            <v>30834818906.193619</v>
          </cell>
          <cell r="M110">
            <v>31547265449.451637</v>
          </cell>
        </row>
        <row r="118">
          <cell r="B118">
            <v>2295647552.7599969</v>
          </cell>
          <cell r="C118">
            <v>2316216536.2104025</v>
          </cell>
          <cell r="D118">
            <v>2368682346.5603981</v>
          </cell>
          <cell r="E118">
            <v>2434235445.4223981</v>
          </cell>
          <cell r="F118">
            <v>2564840830.763998</v>
          </cell>
        </row>
        <row r="119">
          <cell r="B119">
            <v>6321648167.0015993</v>
          </cell>
          <cell r="C119">
            <v>6381279174.960001</v>
          </cell>
          <cell r="D119">
            <v>6504093957.610796</v>
          </cell>
          <cell r="E119">
            <v>6677961422.4348068</v>
          </cell>
          <cell r="F119">
            <v>7054693135.306798</v>
          </cell>
        </row>
        <row r="120">
          <cell r="B120">
            <v>8445294608.5907974</v>
          </cell>
          <cell r="C120">
            <v>8521456684.2539921</v>
          </cell>
          <cell r="D120">
            <v>8686238502.5580082</v>
          </cell>
          <cell r="E120">
            <v>8919064616.6063957</v>
          </cell>
          <cell r="F120">
            <v>9424705574.4252014</v>
          </cell>
        </row>
        <row r="121">
          <cell r="B121">
            <v>10012217434.520397</v>
          </cell>
          <cell r="C121">
            <v>10097295209.337591</v>
          </cell>
          <cell r="D121">
            <v>10315012531.318798</v>
          </cell>
          <cell r="E121">
            <v>10598145930.72599</v>
          </cell>
          <cell r="F121">
            <v>11180830203.194391</v>
          </cell>
        </row>
        <row r="122">
          <cell r="B122">
            <v>11281341708.691175</v>
          </cell>
          <cell r="C122">
            <v>11359853439.337191</v>
          </cell>
          <cell r="D122">
            <v>11660172802.779606</v>
          </cell>
          <cell r="E122">
            <v>11997709759.852797</v>
          </cell>
          <cell r="F122">
            <v>12614449341.794401</v>
          </cell>
        </row>
        <row r="123">
          <cell r="B123">
            <v>12877127953.720798</v>
          </cell>
          <cell r="C123">
            <v>12959524949.973598</v>
          </cell>
          <cell r="D123">
            <v>13321421895.778801</v>
          </cell>
          <cell r="E123">
            <v>13713002855.163597</v>
          </cell>
          <cell r="F123">
            <v>14406700173.021599</v>
          </cell>
        </row>
        <row r="124">
          <cell r="B124">
            <v>14995619955.769211</v>
          </cell>
          <cell r="C124">
            <v>15086914015.844406</v>
          </cell>
          <cell r="D124">
            <v>15526746843.908392</v>
          </cell>
          <cell r="E124">
            <v>15987675410.893173</v>
          </cell>
          <cell r="F124">
            <v>16779090372.098377</v>
          </cell>
        </row>
        <row r="125">
          <cell r="B125">
            <v>17446179191.781578</v>
          </cell>
          <cell r="C125">
            <v>17525330391.548389</v>
          </cell>
          <cell r="D125">
            <v>18084128470.830032</v>
          </cell>
          <cell r="E125">
            <v>18637060564.269611</v>
          </cell>
          <cell r="F125">
            <v>19539790181.336422</v>
          </cell>
        </row>
        <row r="126">
          <cell r="B126">
            <v>20688384170.528397</v>
          </cell>
          <cell r="C126">
            <v>20772136630.666786</v>
          </cell>
          <cell r="D126">
            <v>21459334126.616436</v>
          </cell>
          <cell r="E126">
            <v>22122178162.274441</v>
          </cell>
          <cell r="F126">
            <v>23176405139.955616</v>
          </cell>
        </row>
        <row r="127">
          <cell r="B127">
            <v>35078229023.652023</v>
          </cell>
          <cell r="C127">
            <v>35000710173.625168</v>
          </cell>
          <cell r="D127">
            <v>36383324875.192734</v>
          </cell>
          <cell r="E127">
            <v>37576819790.937637</v>
          </cell>
          <cell r="F127">
            <v>39359216542.252861</v>
          </cell>
        </row>
        <row r="128">
          <cell r="B128">
            <v>139441689767.01593</v>
          </cell>
          <cell r="C128">
            <v>140020717205.75818</v>
          </cell>
          <cell r="D128">
            <v>144309156353.15497</v>
          </cell>
          <cell r="E128">
            <v>148663853958.58017</v>
          </cell>
          <cell r="F128">
            <v>156100721494.14966</v>
          </cell>
        </row>
      </sheetData>
      <sheetData sheetId="2"/>
      <sheetData sheetId="3"/>
      <sheetData sheetId="4"/>
      <sheetData sheetId="5"/>
      <sheetData sheetId="6">
        <row r="7">
          <cell r="B7">
            <v>0.34716603282854602</v>
          </cell>
        </row>
      </sheetData>
      <sheetData sheetId="7"/>
      <sheetData sheetId="8"/>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mmary"/>
      <sheetName val="Structure"/>
      <sheetName val="Sheet 1"/>
    </sheetNames>
    <sheetDataSet>
      <sheetData sheetId="0"/>
      <sheetData sheetId="1"/>
      <sheetData sheetId="2">
        <row r="39">
          <cell r="P39">
            <v>238518</v>
          </cell>
          <cell r="R39">
            <v>236387</v>
          </cell>
          <cell r="T39">
            <v>248764</v>
          </cell>
          <cell r="V39">
            <v>266124</v>
          </cell>
          <cell r="X39">
            <v>273320</v>
          </cell>
        </row>
      </sheetData>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fo on source"/>
      <sheetName val="Summary"/>
      <sheetName val="Structure"/>
      <sheetName val="Sheet 1"/>
    </sheetNames>
    <sheetDataSet>
      <sheetData sheetId="0"/>
      <sheetData sheetId="1"/>
      <sheetData sheetId="2"/>
      <sheetData sheetId="3">
        <row r="105">
          <cell r="M105">
            <v>29401</v>
          </cell>
          <cell r="O105">
            <v>29873</v>
          </cell>
          <cell r="Q105">
            <v>32270</v>
          </cell>
          <cell r="S105">
            <v>34604</v>
          </cell>
          <cell r="U105">
            <v>34788</v>
          </cell>
        </row>
      </sheetData>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Fiscal"/>
      <sheetName val="2. Distributional by deciles o"/>
      <sheetName val="2. Distributional by HH type"/>
      <sheetName val="2. Distributional by employmen"/>
      <sheetName val="2. Distributional by gender"/>
      <sheetName val="2. Distributional by age group"/>
      <sheetName val="3. Inequality and Poverty"/>
      <sheetName val="Parameter settings"/>
      <sheetName val="Metadata"/>
    </sheetNames>
    <sheetDataSet>
      <sheetData sheetId="0"/>
      <sheetData sheetId="1">
        <row r="46">
          <cell r="K46">
            <v>0.98182779328092173</v>
          </cell>
        </row>
        <row r="47">
          <cell r="K47">
            <v>1</v>
          </cell>
        </row>
        <row r="48">
          <cell r="K48">
            <v>1</v>
          </cell>
        </row>
        <row r="49">
          <cell r="K49">
            <v>1</v>
          </cell>
        </row>
        <row r="50">
          <cell r="K50">
            <v>1</v>
          </cell>
        </row>
        <row r="51">
          <cell r="K51">
            <v>1</v>
          </cell>
        </row>
        <row r="52">
          <cell r="K52">
            <v>1</v>
          </cell>
        </row>
        <row r="53">
          <cell r="K53">
            <v>1</v>
          </cell>
        </row>
        <row r="54">
          <cell r="K54">
            <v>1</v>
          </cell>
        </row>
        <row r="55">
          <cell r="K55">
            <v>1</v>
          </cell>
        </row>
        <row r="56">
          <cell r="K56">
            <v>0.99822348008164663</v>
          </cell>
        </row>
        <row r="100">
          <cell r="B100">
            <v>995052913.55880141</v>
          </cell>
          <cell r="C100">
            <v>1004031611.7048016</v>
          </cell>
          <cell r="D100">
            <v>1003991570.2296016</v>
          </cell>
          <cell r="E100">
            <v>1004007786.6672016</v>
          </cell>
          <cell r="F100">
            <v>1003992305.8824016</v>
          </cell>
          <cell r="G100">
            <v>1003991570.2296016</v>
          </cell>
          <cell r="H100">
            <v>1003991570.2296016</v>
          </cell>
        </row>
        <row r="101">
          <cell r="B101">
            <v>3167481368.9747996</v>
          </cell>
          <cell r="C101">
            <v>3204668282.6771979</v>
          </cell>
          <cell r="D101">
            <v>3196659328.6595984</v>
          </cell>
          <cell r="E101">
            <v>3204283598.5823979</v>
          </cell>
          <cell r="F101">
            <v>3204038953.4555984</v>
          </cell>
          <cell r="G101">
            <v>3196660479.3083982</v>
          </cell>
          <cell r="H101">
            <v>3196659328.6595984</v>
          </cell>
        </row>
        <row r="102">
          <cell r="B102">
            <v>5154027962.5787926</v>
          </cell>
          <cell r="C102">
            <v>5243107539.9671993</v>
          </cell>
          <cell r="D102">
            <v>5197452344.0712004</v>
          </cell>
          <cell r="E102">
            <v>5241277575.3467999</v>
          </cell>
          <cell r="F102">
            <v>5240247076.3764</v>
          </cell>
          <cell r="G102">
            <v>5197453853.2152004</v>
          </cell>
          <cell r="H102">
            <v>5197452344.0712004</v>
          </cell>
        </row>
        <row r="103">
          <cell r="B103">
            <v>7932178359.0516224</v>
          </cell>
          <cell r="C103">
            <v>8062077409.1136017</v>
          </cell>
          <cell r="D103">
            <v>8024462005.0499992</v>
          </cell>
          <cell r="E103">
            <v>8054426909.4720011</v>
          </cell>
          <cell r="F103">
            <v>8051123002.3127956</v>
          </cell>
          <cell r="G103">
            <v>8025959365.330801</v>
          </cell>
          <cell r="H103">
            <v>8024644886.855999</v>
          </cell>
        </row>
        <row r="104">
          <cell r="B104">
            <v>10251444720.508814</v>
          </cell>
          <cell r="C104">
            <v>10417554217.359615</v>
          </cell>
          <cell r="D104">
            <v>10352908250.894413</v>
          </cell>
          <cell r="E104">
            <v>10380407455.694403</v>
          </cell>
          <cell r="F104">
            <v>10359377796.790806</v>
          </cell>
          <cell r="G104">
            <v>10359250482.978004</v>
          </cell>
          <cell r="H104">
            <v>10353023452.12561</v>
          </cell>
        </row>
        <row r="105">
          <cell r="B105">
            <v>12978169694.11681</v>
          </cell>
          <cell r="C105">
            <v>13252171955.287228</v>
          </cell>
          <cell r="D105">
            <v>13104838349.589615</v>
          </cell>
          <cell r="E105">
            <v>13172642890.734003</v>
          </cell>
          <cell r="F105">
            <v>13132298940.178802</v>
          </cell>
          <cell r="G105">
            <v>13118803171.364399</v>
          </cell>
          <cell r="H105">
            <v>13105399332.602425</v>
          </cell>
        </row>
        <row r="106">
          <cell r="B106">
            <v>17312778286.196404</v>
          </cell>
          <cell r="C106">
            <v>17638461140.860798</v>
          </cell>
          <cell r="D106">
            <v>17491381912.493973</v>
          </cell>
          <cell r="E106">
            <v>17548485543.6912</v>
          </cell>
          <cell r="F106">
            <v>17513521796.560783</v>
          </cell>
          <cell r="G106">
            <v>17499800656.789181</v>
          </cell>
          <cell r="H106">
            <v>17493228547.07877</v>
          </cell>
        </row>
        <row r="107">
          <cell r="B107">
            <v>23115133441.003181</v>
          </cell>
          <cell r="C107">
            <v>23498550898.941593</v>
          </cell>
          <cell r="D107">
            <v>23342076559.754417</v>
          </cell>
          <cell r="E107">
            <v>23396567114.827225</v>
          </cell>
          <cell r="F107">
            <v>23375748264.664829</v>
          </cell>
          <cell r="G107">
            <v>23371496172.972031</v>
          </cell>
          <cell r="H107">
            <v>23346710473.777218</v>
          </cell>
        </row>
        <row r="108">
          <cell r="B108">
            <v>31761463955.278763</v>
          </cell>
          <cell r="C108">
            <v>32251761673.565987</v>
          </cell>
          <cell r="D108">
            <v>32070945702.794411</v>
          </cell>
          <cell r="E108">
            <v>32105559578.535606</v>
          </cell>
          <cell r="F108">
            <v>32095707639.897591</v>
          </cell>
          <cell r="G108">
            <v>32091482559.215988</v>
          </cell>
          <cell r="H108">
            <v>32086801334.456398</v>
          </cell>
        </row>
        <row r="109">
          <cell r="B109">
            <v>88359236927.608841</v>
          </cell>
          <cell r="C109">
            <v>89551217098.69696</v>
          </cell>
          <cell r="D109">
            <v>89245154622.221985</v>
          </cell>
          <cell r="E109">
            <v>89278923115.392151</v>
          </cell>
          <cell r="F109">
            <v>89284064277.874985</v>
          </cell>
          <cell r="G109">
            <v>89284064277.874985</v>
          </cell>
          <cell r="H109">
            <v>89281840472.844162</v>
          </cell>
        </row>
        <row r="110">
          <cell r="B110">
            <v>201026967628.87744</v>
          </cell>
          <cell r="C110">
            <v>204123601828.1745</v>
          </cell>
          <cell r="D110">
            <v>203029870645.75845</v>
          </cell>
          <cell r="E110">
            <v>203386581568.94214</v>
          </cell>
          <cell r="F110">
            <v>203260120053.9939</v>
          </cell>
          <cell r="G110">
            <v>203148962589.27747</v>
          </cell>
          <cell r="H110">
            <v>203089751742.69949</v>
          </cell>
        </row>
        <row r="118">
          <cell r="B118">
            <v>14143537526.668808</v>
          </cell>
          <cell r="C118">
            <v>14284902001.791601</v>
          </cell>
        </row>
        <row r="119">
          <cell r="B119">
            <v>47300676932.192444</v>
          </cell>
          <cell r="C119">
            <v>47771228898.101974</v>
          </cell>
        </row>
        <row r="120">
          <cell r="B120">
            <v>72017394376.222778</v>
          </cell>
          <cell r="C120">
            <v>72735606051.609543</v>
          </cell>
        </row>
        <row r="121">
          <cell r="B121">
            <v>87556740615.014618</v>
          </cell>
          <cell r="C121">
            <v>88430979861.615387</v>
          </cell>
        </row>
        <row r="122">
          <cell r="B122">
            <v>104616534707.35791</v>
          </cell>
          <cell r="C122">
            <v>105662436046.4986</v>
          </cell>
        </row>
        <row r="123">
          <cell r="B123">
            <v>118058375540.24043</v>
          </cell>
          <cell r="C123">
            <v>119236838763.52081</v>
          </cell>
        </row>
        <row r="124">
          <cell r="B124">
            <v>135924696429.7897</v>
          </cell>
          <cell r="C124">
            <v>137283751284.98749</v>
          </cell>
        </row>
        <row r="125">
          <cell r="B125">
            <v>160813627305.50742</v>
          </cell>
          <cell r="C125">
            <v>162421107571.25323</v>
          </cell>
        </row>
        <row r="126">
          <cell r="B126">
            <v>196022596576.20724</v>
          </cell>
          <cell r="C126">
            <v>197982064022.89902</v>
          </cell>
        </row>
        <row r="127">
          <cell r="B127">
            <v>375599533699.81201</v>
          </cell>
          <cell r="C127">
            <v>379355439082.82977</v>
          </cell>
        </row>
        <row r="128">
          <cell r="B128">
            <v>1312053713709.0142</v>
          </cell>
          <cell r="C128">
            <v>1325164353585.105</v>
          </cell>
        </row>
        <row r="136">
          <cell r="B136">
            <v>6324769225.4220028</v>
          </cell>
        </row>
        <row r="137">
          <cell r="B137">
            <v>24715731181.129185</v>
          </cell>
        </row>
        <row r="138">
          <cell r="B138">
            <v>33268190886.158356</v>
          </cell>
        </row>
        <row r="139">
          <cell r="B139">
            <v>47415415716.810036</v>
          </cell>
        </row>
        <row r="140">
          <cell r="B140">
            <v>57159408230.343674</v>
          </cell>
        </row>
        <row r="141">
          <cell r="B141">
            <v>67701685232.677277</v>
          </cell>
        </row>
        <row r="142">
          <cell r="B142">
            <v>81202794685.214401</v>
          </cell>
        </row>
        <row r="143">
          <cell r="B143">
            <v>98714354007.724762</v>
          </cell>
        </row>
        <row r="144">
          <cell r="B144">
            <v>127458009398.5766</v>
          </cell>
        </row>
        <row r="145">
          <cell r="B145">
            <v>233402443489.89825</v>
          </cell>
        </row>
        <row r="146">
          <cell r="B146">
            <v>777362802053.95557</v>
          </cell>
        </row>
        <row r="154">
          <cell r="B154">
            <v>5884483603.6907997</v>
          </cell>
        </row>
        <row r="155">
          <cell r="B155">
            <v>19261825664.926819</v>
          </cell>
        </row>
        <row r="156">
          <cell r="B156">
            <v>34818634784.897949</v>
          </cell>
        </row>
        <row r="157">
          <cell r="B157">
            <v>35042651426.268044</v>
          </cell>
        </row>
        <row r="158">
          <cell r="B158">
            <v>39289485993.879562</v>
          </cell>
        </row>
        <row r="159">
          <cell r="B159">
            <v>42494396901.550789</v>
          </cell>
        </row>
        <row r="160">
          <cell r="B160">
            <v>42286414754.937614</v>
          </cell>
        </row>
        <row r="161">
          <cell r="B161">
            <v>45786466371.435532</v>
          </cell>
        </row>
        <row r="162">
          <cell r="B162">
            <v>44677608674.001625</v>
          </cell>
        </row>
        <row r="163">
          <cell r="B163">
            <v>44242823230.903206</v>
          </cell>
        </row>
        <row r="164">
          <cell r="B164">
            <v>353784791406.4903</v>
          </cell>
        </row>
        <row r="172">
          <cell r="B172">
            <v>842865133.71239996</v>
          </cell>
        </row>
        <row r="173">
          <cell r="B173">
            <v>1800791517.8580003</v>
          </cell>
        </row>
        <row r="174">
          <cell r="B174">
            <v>1869663549.7907996</v>
          </cell>
        </row>
        <row r="175">
          <cell r="B175">
            <v>1740167216.2380004</v>
          </cell>
        </row>
        <row r="176">
          <cell r="B176">
            <v>4050441152.3939996</v>
          </cell>
        </row>
        <row r="177">
          <cell r="B177">
            <v>2481918574.7232003</v>
          </cell>
        </row>
        <row r="178">
          <cell r="B178">
            <v>4607435042.0051985</v>
          </cell>
        </row>
        <row r="179">
          <cell r="B179">
            <v>6376854181.046402</v>
          </cell>
        </row>
        <row r="180">
          <cell r="B180">
            <v>10401293912.367598</v>
          </cell>
        </row>
        <row r="181">
          <cell r="B181">
            <v>41760168762.084015</v>
          </cell>
        </row>
        <row r="182">
          <cell r="B182">
            <v>75931599042.21965</v>
          </cell>
        </row>
        <row r="190">
          <cell r="B190">
            <v>1091417987.8776016</v>
          </cell>
        </row>
        <row r="191">
          <cell r="B191">
            <v>1522329779.2140012</v>
          </cell>
        </row>
        <row r="192">
          <cell r="B192">
            <v>2060910437.7180014</v>
          </cell>
        </row>
        <row r="193">
          <cell r="B193">
            <v>3358513279.186801</v>
          </cell>
        </row>
        <row r="194">
          <cell r="B194">
            <v>4117202963.0339947</v>
          </cell>
        </row>
        <row r="195">
          <cell r="B195">
            <v>5380378057.2251978</v>
          </cell>
        </row>
        <row r="196">
          <cell r="B196">
            <v>7828057343.3771973</v>
          </cell>
        </row>
        <row r="197">
          <cell r="B197">
            <v>9935946929.8223839</v>
          </cell>
        </row>
        <row r="198">
          <cell r="B198">
            <v>13485692357.451622</v>
          </cell>
        </row>
        <row r="199">
          <cell r="B199">
            <v>56194105934.372337</v>
          </cell>
        </row>
        <row r="200">
          <cell r="B200">
            <v>104974555069.27908</v>
          </cell>
        </row>
      </sheetData>
      <sheetData sheetId="2"/>
      <sheetData sheetId="3"/>
      <sheetData sheetId="4"/>
      <sheetData sheetId="5"/>
      <sheetData sheetId="6">
        <row r="7">
          <cell r="B7">
            <v>0.38210868808640602</v>
          </cell>
          <cell r="C7">
            <v>0.38211257819603001</v>
          </cell>
        </row>
        <row r="8">
          <cell r="B8">
            <v>0.34973461938544798</v>
          </cell>
          <cell r="C8">
            <v>0.34960947194110897</v>
          </cell>
        </row>
        <row r="34">
          <cell r="B34">
            <v>0.18198792337035299</v>
          </cell>
          <cell r="C34">
            <v>0.18160286716066801</v>
          </cell>
        </row>
      </sheetData>
      <sheetData sheetId="7"/>
      <sheetData sheetId="8"/>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Fiscal"/>
      <sheetName val="2. Distributional by deciles o"/>
      <sheetName val="2. Distributional by HH type"/>
      <sheetName val="2. Distributional by employmen"/>
      <sheetName val="2. Distributional by gender"/>
      <sheetName val="2. Distributional by age group"/>
      <sheetName val="3. Inequality and Poverty"/>
      <sheetName val="Parameter settings"/>
      <sheetName val="Metadata"/>
    </sheetNames>
    <sheetDataSet>
      <sheetData sheetId="0"/>
      <sheetData sheetId="1">
        <row r="46">
          <cell r="F46">
            <v>0.98216699072190017</v>
          </cell>
        </row>
        <row r="47">
          <cell r="F47">
            <v>1</v>
          </cell>
        </row>
        <row r="48">
          <cell r="F48">
            <v>1</v>
          </cell>
        </row>
        <row r="49">
          <cell r="F49">
            <v>1</v>
          </cell>
        </row>
        <row r="50">
          <cell r="F50">
            <v>1</v>
          </cell>
        </row>
        <row r="51">
          <cell r="F51">
            <v>1</v>
          </cell>
        </row>
        <row r="52">
          <cell r="F52">
            <v>1</v>
          </cell>
        </row>
        <row r="53">
          <cell r="F53">
            <v>1</v>
          </cell>
        </row>
        <row r="54">
          <cell r="F54">
            <v>1</v>
          </cell>
        </row>
        <row r="55">
          <cell r="F55">
            <v>1</v>
          </cell>
        </row>
        <row r="56">
          <cell r="F56">
            <v>0.99822348008164663</v>
          </cell>
        </row>
        <row r="100">
          <cell r="B100">
            <v>1026824684.3136003</v>
          </cell>
          <cell r="C100">
            <v>1036028502.1175997</v>
          </cell>
          <cell r="D100">
            <v>1036003579.1519997</v>
          </cell>
          <cell r="E100">
            <v>9203817.80400002</v>
          </cell>
          <cell r="F100">
            <v>9178894.8384000063</v>
          </cell>
          <cell r="G100">
            <v>8.9633780182762964E-3</v>
          </cell>
          <cell r="H100">
            <v>8.9391061381971088E-3</v>
          </cell>
        </row>
        <row r="101">
          <cell r="B101">
            <v>3343995145.9392014</v>
          </cell>
          <cell r="C101">
            <v>3379889285.3616009</v>
          </cell>
          <cell r="D101">
            <v>3373712051.3087997</v>
          </cell>
          <cell r="E101">
            <v>35894139.422399998</v>
          </cell>
          <cell r="F101">
            <v>29716905.369600296</v>
          </cell>
          <cell r="G101">
            <v>1.0733908948997206E-2</v>
          </cell>
          <cell r="H101">
            <v>8.8866472804804159E-3</v>
          </cell>
        </row>
        <row r="102">
          <cell r="B102">
            <v>5722952848.3440084</v>
          </cell>
          <cell r="C102">
            <v>5845250056.7412052</v>
          </cell>
          <cell r="D102">
            <v>5779616058.3096104</v>
          </cell>
          <cell r="E102">
            <v>122297208.39719963</v>
          </cell>
          <cell r="F102">
            <v>56663209.965600014</v>
          </cell>
          <cell r="G102">
            <v>2.1369599162884566E-2</v>
          </cell>
          <cell r="H102">
            <v>9.901044350207432E-3</v>
          </cell>
        </row>
        <row r="103">
          <cell r="B103">
            <v>8701915264.8923855</v>
          </cell>
          <cell r="C103">
            <v>8813006940.4344025</v>
          </cell>
          <cell r="D103">
            <v>8791930217.6891975</v>
          </cell>
          <cell r="E103">
            <v>111091675.54201126</v>
          </cell>
          <cell r="F103">
            <v>90014952.79681015</v>
          </cell>
          <cell r="G103">
            <v>1.2766347655694484E-2</v>
          </cell>
          <cell r="H103">
            <v>1.0344269055339203E-2</v>
          </cell>
        </row>
        <row r="104">
          <cell r="B104">
            <v>11132345869.7136</v>
          </cell>
          <cell r="C104">
            <v>11297710001.895592</v>
          </cell>
          <cell r="D104">
            <v>11240833239.549601</v>
          </cell>
          <cell r="E104">
            <v>165364132.18199921</v>
          </cell>
          <cell r="F104">
            <v>108487369.83600044</v>
          </cell>
          <cell r="G104">
            <v>1.4854383264526913E-2</v>
          </cell>
          <cell r="H104">
            <v>9.7452388836703503E-3</v>
          </cell>
        </row>
        <row r="105">
          <cell r="B105">
            <v>14159214200.197214</v>
          </cell>
          <cell r="C105">
            <v>14437158961.610395</v>
          </cell>
          <cell r="D105">
            <v>14297414733.774002</v>
          </cell>
          <cell r="E105">
            <v>277944761.41319847</v>
          </cell>
          <cell r="F105">
            <v>138200533.57679939</v>
          </cell>
          <cell r="G105">
            <v>1.9629956682859346E-2</v>
          </cell>
          <cell r="H105">
            <v>9.7604663382290131E-3</v>
          </cell>
        </row>
        <row r="106">
          <cell r="B106">
            <v>18117975177.831635</v>
          </cell>
          <cell r="C106">
            <v>18428560072.462799</v>
          </cell>
          <cell r="D106">
            <v>18293575171.919968</v>
          </cell>
          <cell r="E106">
            <v>310584894.63119888</v>
          </cell>
          <cell r="F106">
            <v>175599994.08839798</v>
          </cell>
          <cell r="G106">
            <v>1.7142362299470294E-2</v>
          </cell>
          <cell r="H106">
            <v>9.6920319387154719E-3</v>
          </cell>
        </row>
        <row r="107">
          <cell r="B107">
            <v>23823256688.646015</v>
          </cell>
          <cell r="C107">
            <v>24211733059.05125</v>
          </cell>
          <cell r="D107">
            <v>24054455564.731262</v>
          </cell>
          <cell r="E107">
            <v>388476370.40530014</v>
          </cell>
          <cell r="F107">
            <v>231198876.08530045</v>
          </cell>
          <cell r="G107">
            <v>1.6306602219941038E-2</v>
          </cell>
          <cell r="H107">
            <v>9.704755277874658E-3</v>
          </cell>
        </row>
        <row r="108">
          <cell r="B108">
            <v>33378923588.976006</v>
          </cell>
          <cell r="C108">
            <v>33937054691.252392</v>
          </cell>
          <cell r="D108">
            <v>33706277354.952026</v>
          </cell>
          <cell r="E108">
            <v>558131102.27639771</v>
          </cell>
          <cell r="F108">
            <v>327353765.97599792</v>
          </cell>
          <cell r="G108">
            <v>1.672106354144778E-2</v>
          </cell>
          <cell r="H108">
            <v>9.8071995971767204E-3</v>
          </cell>
        </row>
        <row r="109">
          <cell r="B109">
            <v>96579881261.35318</v>
          </cell>
          <cell r="C109">
            <v>97902461868.634659</v>
          </cell>
          <cell r="D109">
            <v>97549739635.648911</v>
          </cell>
          <cell r="E109">
            <v>1322580607.2815094</v>
          </cell>
          <cell r="F109">
            <v>969858374.29570007</v>
          </cell>
          <cell r="G109">
            <v>1.3694162697327168E-2</v>
          </cell>
          <cell r="H109">
            <v>1.0042033202248226E-2</v>
          </cell>
        </row>
        <row r="110">
          <cell r="B110">
            <v>215987284730.20807</v>
          </cell>
          <cell r="C110">
            <v>219288853439.56137</v>
          </cell>
          <cell r="D110">
            <v>218123557607.03552</v>
          </cell>
          <cell r="E110">
            <v>3301568709.3529968</v>
          </cell>
          <cell r="F110">
            <v>2136272876.8280029</v>
          </cell>
          <cell r="G110">
            <v>1.528594015836175E-2</v>
          </cell>
          <cell r="H110">
            <v>9.8907344453005239E-3</v>
          </cell>
        </row>
      </sheetData>
      <sheetData sheetId="2"/>
      <sheetData sheetId="3"/>
      <sheetData sheetId="4"/>
      <sheetData sheetId="5"/>
      <sheetData sheetId="6"/>
      <sheetData sheetId="7"/>
      <sheetData sheetId="8"/>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Fiscal"/>
      <sheetName val="2. Distributional by deciles o"/>
      <sheetName val="2. Distributional by HH type"/>
      <sheetName val="2. Distributional by employmen"/>
      <sheetName val="2. Distributional by gender"/>
      <sheetName val="2. Distributional by age group"/>
      <sheetName val="3. Inequality and Poverty"/>
      <sheetName val="Parameter settings"/>
      <sheetName val="Metadata"/>
    </sheetNames>
    <sheetDataSet>
      <sheetData sheetId="0"/>
      <sheetData sheetId="1">
        <row r="110">
          <cell r="D110">
            <v>218003907985.83078</v>
          </cell>
          <cell r="E110">
            <v>216797616074.56622</v>
          </cell>
          <cell r="F110">
            <v>216186072929.36389</v>
          </cell>
          <cell r="G110">
            <v>216257704834.07629</v>
          </cell>
        </row>
        <row r="118">
          <cell r="B118">
            <v>15288573677.162422</v>
          </cell>
          <cell r="C118">
            <v>15441373184.618401</v>
          </cell>
        </row>
        <row r="119">
          <cell r="B119">
            <v>51466168419.715302</v>
          </cell>
          <cell r="C119">
            <v>51978251286.943153</v>
          </cell>
        </row>
        <row r="120">
          <cell r="B120">
            <v>77299067580.564026</v>
          </cell>
          <cell r="C120">
            <v>78070171472.780396</v>
          </cell>
        </row>
        <row r="121">
          <cell r="B121">
            <v>95386418107.901978</v>
          </cell>
          <cell r="C121">
            <v>96338482301.016022</v>
          </cell>
        </row>
        <row r="122">
          <cell r="B122">
            <v>114163200735.44655</v>
          </cell>
          <cell r="C122">
            <v>115304349652.24802</v>
          </cell>
        </row>
        <row r="123">
          <cell r="B123">
            <v>127674127122.60007</v>
          </cell>
          <cell r="C123">
            <v>128949229417.13998</v>
          </cell>
        </row>
        <row r="124">
          <cell r="B124">
            <v>147213964561.79871</v>
          </cell>
          <cell r="C124">
            <v>148685265685.50101</v>
          </cell>
        </row>
        <row r="125">
          <cell r="B125">
            <v>173845776722.06741</v>
          </cell>
          <cell r="C125">
            <v>175583411437.31384</v>
          </cell>
        </row>
        <row r="126">
          <cell r="B126">
            <v>213110930339.36554</v>
          </cell>
          <cell r="C126">
            <v>215241144442.4256</v>
          </cell>
        </row>
        <row r="127">
          <cell r="B127">
            <v>408326581341.6925</v>
          </cell>
          <cell r="C127">
            <v>412409730827.8775</v>
          </cell>
        </row>
        <row r="128">
          <cell r="B128">
            <v>1423774808608.3093</v>
          </cell>
          <cell r="C128">
            <v>1438001409707.8591</v>
          </cell>
          <cell r="D128">
            <v>1432429710777.875</v>
          </cell>
          <cell r="E128">
            <v>1427406570847.6853</v>
          </cell>
          <cell r="G128">
            <v>1424859015075.7683</v>
          </cell>
        </row>
      </sheetData>
      <sheetData sheetId="2"/>
      <sheetData sheetId="3"/>
      <sheetData sheetId="4"/>
      <sheetData sheetId="5"/>
      <sheetData sheetId="6"/>
      <sheetData sheetId="7"/>
      <sheetData sheetId="8"/>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Fiscal"/>
      <sheetName val="2. Distributional by deciles o"/>
      <sheetName val="2. Distributional by HH type"/>
      <sheetName val="2. Distributional by employmen"/>
      <sheetName val="2. Distributional by gender"/>
      <sheetName val="2. Distributional by age group"/>
      <sheetName val="3. Inequality and Poverty"/>
      <sheetName val="Parameter settings"/>
      <sheetName val="Metadata"/>
    </sheetNames>
    <sheetDataSet>
      <sheetData sheetId="0">
        <row r="154">
          <cell r="D154">
            <v>202851494649.32361</v>
          </cell>
          <cell r="E154">
            <v>201854630065.73627</v>
          </cell>
          <cell r="F154">
            <v>201201327960.20734</v>
          </cell>
          <cell r="G154">
            <v>201291237537.39563</v>
          </cell>
        </row>
        <row r="155">
          <cell r="D155">
            <v>1319820137791.2979</v>
          </cell>
          <cell r="E155">
            <v>1315589361363.083</v>
          </cell>
          <cell r="F155">
            <v>1312812659393.7534</v>
          </cell>
          <cell r="G155">
            <v>1313103446730.9666</v>
          </cell>
        </row>
      </sheetData>
      <sheetData sheetId="1"/>
      <sheetData sheetId="2"/>
      <sheetData sheetId="3"/>
      <sheetData sheetId="4"/>
      <sheetData sheetId="5"/>
      <sheetData sheetId="6"/>
      <sheetData sheetId="7"/>
      <sheetData sheetId="8"/>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Fiscal"/>
      <sheetName val="2. Distributional by deciles o"/>
      <sheetName val="2. Distributional by HH type"/>
      <sheetName val="2. Distributional by employmen"/>
      <sheetName val="2. Distributional by gender"/>
      <sheetName val="2. Distributional by age group"/>
      <sheetName val="3. Inequality and Poverty"/>
      <sheetName val="Parameter settings"/>
      <sheetName val="Metadata"/>
    </sheetNames>
    <sheetDataSet>
      <sheetData sheetId="0"/>
      <sheetData sheetId="1">
        <row r="100">
          <cell r="B100">
            <v>1026824684.3136003</v>
          </cell>
        </row>
        <row r="128">
          <cell r="F128">
            <v>1424630688857.0713</v>
          </cell>
        </row>
      </sheetData>
      <sheetData sheetId="2"/>
      <sheetData sheetId="3"/>
      <sheetData sheetId="4"/>
      <sheetData sheetId="5"/>
      <sheetData sheetId="6"/>
      <sheetData sheetId="7"/>
      <sheetData sheetId="8"/>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Fiscal"/>
      <sheetName val="2. Distributional by deciles o"/>
      <sheetName val="2. Distributional by HH type"/>
      <sheetName val="2. Distributional by employmen"/>
      <sheetName val="2. Distributional by gender"/>
      <sheetName val="2. Distributional by age group"/>
      <sheetName val="3. Inequality and Poverty"/>
      <sheetName val="Parameter settings"/>
      <sheetName val="Metadata"/>
      <sheetName val="FR_output_part2"/>
    </sheetNames>
    <sheetDataSet>
      <sheetData sheetId="0" refreshError="1"/>
      <sheetData sheetId="1">
        <row r="46">
          <cell r="M46">
            <v>0.98182779328092173</v>
          </cell>
        </row>
        <row r="100">
          <cell r="B100">
            <v>995052913.55880141</v>
          </cell>
          <cell r="C100">
            <v>966386450.15639973</v>
          </cell>
          <cell r="D100">
            <v>1007483836.1868002</v>
          </cell>
          <cell r="E100">
            <v>1052418978.8952012</v>
          </cell>
          <cell r="F100">
            <v>1096445938.5216005</v>
          </cell>
          <cell r="H100">
            <v>1091923230.7968013</v>
          </cell>
          <cell r="I100">
            <v>1091758640.6640012</v>
          </cell>
          <cell r="J100">
            <v>1091758640.6640012</v>
          </cell>
          <cell r="K100">
            <v>1091055860.2440012</v>
          </cell>
          <cell r="L100">
            <v>1096558695.7272005</v>
          </cell>
        </row>
        <row r="101">
          <cell r="B101">
            <v>3167481368.9747996</v>
          </cell>
          <cell r="C101">
            <v>3081810375.4752002</v>
          </cell>
          <cell r="D101">
            <v>3206658419.7503996</v>
          </cell>
          <cell r="E101">
            <v>3381993462.4055996</v>
          </cell>
          <cell r="F101">
            <v>3507683702.0148025</v>
          </cell>
          <cell r="H101">
            <v>3531674331.1380014</v>
          </cell>
          <cell r="I101">
            <v>3487289349.0744009</v>
          </cell>
          <cell r="J101">
            <v>3482360343.0576</v>
          </cell>
          <cell r="K101">
            <v>3475229716.8504009</v>
          </cell>
          <cell r="L101">
            <v>3528111130.8696032</v>
          </cell>
        </row>
        <row r="102">
          <cell r="B102">
            <v>5154027962.5787926</v>
          </cell>
          <cell r="C102">
            <v>4980930219.2999964</v>
          </cell>
          <cell r="D102">
            <v>5140261546.4412088</v>
          </cell>
          <cell r="E102">
            <v>5488519269.4380045</v>
          </cell>
          <cell r="F102">
            <v>5623295805.4752026</v>
          </cell>
          <cell r="H102">
            <v>5926347082.6919966</v>
          </cell>
          <cell r="I102">
            <v>5482844672.7671986</v>
          </cell>
          <cell r="J102">
            <v>5458905996.3323984</v>
          </cell>
          <cell r="K102">
            <v>5330976132.9455986</v>
          </cell>
          <cell r="L102">
            <v>5924076453.8088007</v>
          </cell>
        </row>
        <row r="103">
          <cell r="B103">
            <v>7932178359.0516224</v>
          </cell>
          <cell r="C103">
            <v>7674378095.3315983</v>
          </cell>
          <cell r="D103">
            <v>7969925404.7268181</v>
          </cell>
          <cell r="E103">
            <v>8410516933.5011902</v>
          </cell>
          <cell r="F103">
            <v>8645857490.4335842</v>
          </cell>
          <cell r="H103">
            <v>8986154947.1088028</v>
          </cell>
          <cell r="I103">
            <v>8662220547.2532215</v>
          </cell>
          <cell r="J103">
            <v>8593317234.6108246</v>
          </cell>
          <cell r="K103">
            <v>8337477180.712822</v>
          </cell>
          <cell r="L103">
            <v>8812348751.4755936</v>
          </cell>
        </row>
        <row r="104">
          <cell r="B104">
            <v>10251444720.508814</v>
          </cell>
          <cell r="C104">
            <v>9912073394.0760193</v>
          </cell>
          <cell r="D104">
            <v>10320592350.335999</v>
          </cell>
          <cell r="E104">
            <v>10867819033.230007</v>
          </cell>
          <cell r="F104">
            <v>11090557669.167599</v>
          </cell>
          <cell r="H104">
            <v>11888816393.889618</v>
          </cell>
          <cell r="I104">
            <v>11083067802.094799</v>
          </cell>
          <cell r="J104">
            <v>11002648585.832396</v>
          </cell>
          <cell r="K104">
            <v>10775710360.253994</v>
          </cell>
          <cell r="L104">
            <v>11351527616.224804</v>
          </cell>
        </row>
        <row r="105">
          <cell r="B105">
            <v>12978169694.11681</v>
          </cell>
          <cell r="C105">
            <v>12198741098.830818</v>
          </cell>
          <cell r="D105">
            <v>12794441161.203608</v>
          </cell>
          <cell r="E105">
            <v>13522138469.664019</v>
          </cell>
          <cell r="F105">
            <v>13723099142.019602</v>
          </cell>
          <cell r="H105">
            <v>15508484122.900795</v>
          </cell>
          <cell r="I105">
            <v>14015215463.392822</v>
          </cell>
          <cell r="J105">
            <v>13809835469.617203</v>
          </cell>
          <cell r="K105">
            <v>13346111634.331209</v>
          </cell>
          <cell r="L105">
            <v>14283043078.729225</v>
          </cell>
        </row>
        <row r="106">
          <cell r="B106">
            <v>17312778286.196404</v>
          </cell>
          <cell r="C106">
            <v>15924446103.742809</v>
          </cell>
          <cell r="D106">
            <v>16758145223.661615</v>
          </cell>
          <cell r="E106">
            <v>17714100452.800812</v>
          </cell>
          <cell r="F106">
            <v>18043878890.924435</v>
          </cell>
          <cell r="H106">
            <v>20300755659.391193</v>
          </cell>
          <cell r="I106">
            <v>18781291449.063622</v>
          </cell>
          <cell r="J106">
            <v>18528086300.953178</v>
          </cell>
          <cell r="K106">
            <v>17740566928.525173</v>
          </cell>
          <cell r="L106">
            <v>18646700580.949211</v>
          </cell>
        </row>
        <row r="107">
          <cell r="B107">
            <v>23115133441.003181</v>
          </cell>
          <cell r="C107">
            <v>21130699664.167198</v>
          </cell>
          <cell r="D107">
            <v>22288293031.536022</v>
          </cell>
          <cell r="E107">
            <v>23413258746.157211</v>
          </cell>
          <cell r="F107">
            <v>23981767479.186005</v>
          </cell>
          <cell r="H107">
            <v>26866127172.274796</v>
          </cell>
          <cell r="I107">
            <v>25157917960.718399</v>
          </cell>
          <cell r="J107">
            <v>24892266012.218388</v>
          </cell>
          <cell r="K107">
            <v>24163491804.231625</v>
          </cell>
          <cell r="L107">
            <v>24607633792.946384</v>
          </cell>
        </row>
        <row r="108">
          <cell r="B108">
            <v>31761463955.278763</v>
          </cell>
          <cell r="C108">
            <v>29422889714.7048</v>
          </cell>
          <cell r="D108">
            <v>31225429825.256409</v>
          </cell>
          <cell r="E108">
            <v>32569735709.749203</v>
          </cell>
          <cell r="F108">
            <v>33560349641.649597</v>
          </cell>
          <cell r="H108">
            <v>37136900031.231506</v>
          </cell>
          <cell r="I108">
            <v>34646554299.388763</v>
          </cell>
          <cell r="J108">
            <v>34374326555.413239</v>
          </cell>
          <cell r="K108">
            <v>33591706044.252007</v>
          </cell>
          <cell r="L108">
            <v>34119977192.145531</v>
          </cell>
        </row>
        <row r="109">
          <cell r="B109">
            <v>88359236927.608841</v>
          </cell>
          <cell r="C109">
            <v>84351270428.301636</v>
          </cell>
          <cell r="D109">
            <v>89357496740.362808</v>
          </cell>
          <cell r="E109">
            <v>93350890473.692322</v>
          </cell>
          <cell r="F109">
            <v>96714348970.814423</v>
          </cell>
          <cell r="H109">
            <v>101373333042.91081</v>
          </cell>
          <cell r="I109">
            <v>96985451267.504486</v>
          </cell>
          <cell r="J109">
            <v>96485950261.609344</v>
          </cell>
          <cell r="K109">
            <v>95055347884.958405</v>
          </cell>
          <cell r="L109">
            <v>97566127183.390808</v>
          </cell>
        </row>
        <row r="110">
          <cell r="B110">
            <v>201026967628.87744</v>
          </cell>
          <cell r="C110">
            <v>189643625544.08627</v>
          </cell>
          <cell r="D110">
            <v>200068727539.46033</v>
          </cell>
          <cell r="E110">
            <v>209771391529.53387</v>
          </cell>
          <cell r="F110">
            <v>215987284730.20807</v>
          </cell>
          <cell r="H110">
            <v>232610516014.33337</v>
          </cell>
          <cell r="I110">
            <v>219393611451.92102</v>
          </cell>
          <cell r="J110">
            <v>217719455400.30652</v>
          </cell>
          <cell r="K110">
            <v>212907673547.30518</v>
          </cell>
          <cell r="L110">
            <v>219936104476.26831</v>
          </cell>
        </row>
        <row r="118">
          <cell r="B118">
            <v>14143537526.668808</v>
          </cell>
          <cell r="C118">
            <v>13939107077.037605</v>
          </cell>
          <cell r="D118">
            <v>14313305279.348408</v>
          </cell>
          <cell r="E118">
            <v>14872900370.217613</v>
          </cell>
          <cell r="F118">
            <v>15171295093.150814</v>
          </cell>
        </row>
        <row r="119">
          <cell r="B119">
            <v>47300676932.192444</v>
          </cell>
          <cell r="C119">
            <v>46655612152.315193</v>
          </cell>
          <cell r="D119">
            <v>47920265143.651215</v>
          </cell>
          <cell r="E119">
            <v>49713616496.188797</v>
          </cell>
          <cell r="F119">
            <v>50732612078.811676</v>
          </cell>
        </row>
        <row r="120">
          <cell r="B120">
            <v>72017394376.222778</v>
          </cell>
          <cell r="C120">
            <v>71141594662.808319</v>
          </cell>
          <cell r="D120">
            <v>72933093120.355347</v>
          </cell>
          <cell r="E120">
            <v>75458338460.337555</v>
          </cell>
          <cell r="F120">
            <v>77287794218.014832</v>
          </cell>
        </row>
        <row r="121">
          <cell r="B121">
            <v>87556740615.014618</v>
          </cell>
          <cell r="C121">
            <v>86233749092.780441</v>
          </cell>
          <cell r="D121">
            <v>88747592144.664001</v>
          </cell>
          <cell r="E121">
            <v>91839148578.638397</v>
          </cell>
          <cell r="F121">
            <v>94535365061.636322</v>
          </cell>
        </row>
        <row r="122">
          <cell r="B122">
            <v>104616534707.35791</v>
          </cell>
          <cell r="C122">
            <v>102944943781.33557</v>
          </cell>
          <cell r="D122">
            <v>106063282088.69894</v>
          </cell>
          <cell r="E122">
            <v>109922993592.44638</v>
          </cell>
          <cell r="F122">
            <v>113412826370.61984</v>
          </cell>
        </row>
        <row r="123">
          <cell r="B123">
            <v>118058375540.24043</v>
          </cell>
          <cell r="C123">
            <v>116069791839.6075</v>
          </cell>
          <cell r="D123">
            <v>119728002808.6152</v>
          </cell>
          <cell r="E123">
            <v>123764786176.71341</v>
          </cell>
          <cell r="F123">
            <v>127916840316.41286</v>
          </cell>
        </row>
        <row r="124">
          <cell r="B124">
            <v>135924696429.7897</v>
          </cell>
          <cell r="C124">
            <v>133407344658.74995</v>
          </cell>
          <cell r="D124">
            <v>137875263542.44199</v>
          </cell>
          <cell r="E124">
            <v>142739697333.6564</v>
          </cell>
          <cell r="F124">
            <v>147700535046.00351</v>
          </cell>
        </row>
        <row r="125">
          <cell r="B125">
            <v>160813627305.50742</v>
          </cell>
          <cell r="C125">
            <v>157650569777.87854</v>
          </cell>
          <cell r="D125">
            <v>163169128573.12308</v>
          </cell>
          <cell r="E125">
            <v>168636203979.42145</v>
          </cell>
          <cell r="F125">
            <v>174886982774.05914</v>
          </cell>
        </row>
        <row r="126">
          <cell r="B126">
            <v>196022596576.20724</v>
          </cell>
          <cell r="C126">
            <v>191778289520.30295</v>
          </cell>
          <cell r="D126">
            <v>199049661152.66992</v>
          </cell>
          <cell r="E126">
            <v>204975591150.7644</v>
          </cell>
          <cell r="F126">
            <v>213160108150.99811</v>
          </cell>
        </row>
        <row r="127">
          <cell r="B127">
            <v>375599533699.81201</v>
          </cell>
          <cell r="C127">
            <v>365381491349.55609</v>
          </cell>
          <cell r="D127">
            <v>380909026296.09204</v>
          </cell>
          <cell r="E127">
            <v>393603797442.40771</v>
          </cell>
          <cell r="F127">
            <v>408970449498.60718</v>
          </cell>
        </row>
        <row r="128">
          <cell r="B128">
            <v>1312053713709.0142</v>
          </cell>
          <cell r="C128">
            <v>1285202493912.3667</v>
          </cell>
          <cell r="D128">
            <v>1330708620149.6575</v>
          </cell>
          <cell r="E128">
            <v>1375527073580.7969</v>
          </cell>
          <cell r="F128">
            <v>1423774808608.3093</v>
          </cell>
        </row>
      </sheetData>
      <sheetData sheetId="2" refreshError="1"/>
      <sheetData sheetId="3" refreshError="1"/>
      <sheetData sheetId="4" refreshError="1"/>
      <sheetData sheetId="5" refreshError="1"/>
      <sheetData sheetId="6">
        <row r="7">
          <cell r="B7">
            <v>0.38210868808640602</v>
          </cell>
        </row>
      </sheetData>
      <sheetData sheetId="7" refreshError="1"/>
      <sheetData sheetId="8" refreshError="1"/>
      <sheetData sheetId="9"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1. Fiscal"/>
      <sheetName val="2. Distributional by deciles o"/>
      <sheetName val="2. Distributional by HH type"/>
      <sheetName val="2. Distributional by employmen"/>
      <sheetName val="2. Distributional by gender"/>
      <sheetName val="2. Distributional by age group"/>
      <sheetName val="3. Inequality and Poverty"/>
      <sheetName val="Parameter settings"/>
      <sheetName val="Metadata"/>
    </sheetNames>
    <sheetDataSet>
      <sheetData sheetId="0"/>
      <sheetData sheetId="1"/>
      <sheetData sheetId="2"/>
      <sheetData sheetId="3"/>
      <sheetData sheetId="4"/>
      <sheetData sheetId="5"/>
      <sheetData sheetId="6">
        <row r="7">
          <cell r="B7">
            <v>0.34206893088882101</v>
          </cell>
          <cell r="G7">
            <v>0.34206893123267801</v>
          </cell>
        </row>
        <row r="8">
          <cell r="B8">
            <v>0.32935565071246697</v>
          </cell>
          <cell r="G8">
            <v>0.329361063496314</v>
          </cell>
        </row>
      </sheetData>
      <sheetData sheetId="7"/>
      <sheetData sheetId="8"/>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Fiscal"/>
      <sheetName val="2. Distributional by deciles o"/>
      <sheetName val="2. Distributional by HH type"/>
      <sheetName val="2. Distributional by employmen"/>
      <sheetName val="2. Distributional by gender"/>
      <sheetName val="2. Distributional by age group"/>
      <sheetName val="3. Inequality and Poverty"/>
      <sheetName val="Parameter settings"/>
      <sheetName val="Metadata"/>
    </sheetNames>
    <sheetDataSet>
      <sheetData sheetId="0"/>
      <sheetData sheetId="1">
        <row r="28">
          <cell r="J28">
            <v>2.1358805578308503E-2</v>
          </cell>
        </row>
        <row r="29">
          <cell r="J29">
            <v>0.40454384178855435</v>
          </cell>
        </row>
        <row r="30">
          <cell r="J30">
            <v>0.91638788518223735</v>
          </cell>
        </row>
        <row r="31">
          <cell r="J31">
            <v>1</v>
          </cell>
        </row>
        <row r="32">
          <cell r="J32">
            <v>1</v>
          </cell>
        </row>
        <row r="33">
          <cell r="J33">
            <v>1</v>
          </cell>
        </row>
        <row r="34">
          <cell r="J34">
            <v>1</v>
          </cell>
        </row>
        <row r="35">
          <cell r="J35">
            <v>1</v>
          </cell>
        </row>
        <row r="36">
          <cell r="J36">
            <v>1</v>
          </cell>
        </row>
        <row r="37">
          <cell r="J37">
            <v>1</v>
          </cell>
        </row>
        <row r="38">
          <cell r="J38">
            <v>0.83314555712479432</v>
          </cell>
        </row>
        <row r="64">
          <cell r="B64">
            <v>4263006.0348000014</v>
          </cell>
          <cell r="C64">
            <v>4696935.9876000006</v>
          </cell>
          <cell r="D64">
            <v>4319967.3792000003</v>
          </cell>
          <cell r="E64">
            <v>4696935.9876000006</v>
          </cell>
          <cell r="F64">
            <v>4551752.2944000009</v>
          </cell>
          <cell r="G64">
            <v>4417460.5824000007</v>
          </cell>
          <cell r="H64">
            <v>4319967.3792000003</v>
          </cell>
        </row>
        <row r="65">
          <cell r="B65">
            <v>-264885651.43320009</v>
          </cell>
          <cell r="C65">
            <v>-247373037.08160019</v>
          </cell>
          <cell r="D65">
            <v>-261301873.13880005</v>
          </cell>
          <cell r="E65">
            <v>-247544163.9552002</v>
          </cell>
          <cell r="F65">
            <v>-257192188.50240022</v>
          </cell>
          <cell r="G65">
            <v>-260053822.18559995</v>
          </cell>
          <cell r="H65">
            <v>-261301873.13880005</v>
          </cell>
        </row>
        <row r="66">
          <cell r="B66">
            <v>1937955505.5120013</v>
          </cell>
          <cell r="C66">
            <v>2043294307.1327996</v>
          </cell>
          <cell r="D66">
            <v>1959656377.2768049</v>
          </cell>
          <cell r="E66">
            <v>2037137123.6087985</v>
          </cell>
          <cell r="F66">
            <v>1985691771.0828023</v>
          </cell>
          <cell r="G66">
            <v>1973529180.1224024</v>
          </cell>
          <cell r="H66">
            <v>1959592900.5240047</v>
          </cell>
        </row>
        <row r="67">
          <cell r="B67">
            <v>5124268306.8011999</v>
          </cell>
          <cell r="C67">
            <v>5276634840.9024019</v>
          </cell>
          <cell r="D67">
            <v>5178329876.3903961</v>
          </cell>
          <cell r="E67">
            <v>5264658342.9323978</v>
          </cell>
          <cell r="F67">
            <v>5205124403.050806</v>
          </cell>
          <cell r="G67">
            <v>5197644688.8204021</v>
          </cell>
          <cell r="H67">
            <v>5178259526.7107973</v>
          </cell>
        </row>
        <row r="68">
          <cell r="B68">
            <v>9072629751.5700035</v>
          </cell>
          <cell r="C68">
            <v>9305059071.1703873</v>
          </cell>
          <cell r="D68">
            <v>9167627334.9791775</v>
          </cell>
          <cell r="E68">
            <v>9279733077.1176071</v>
          </cell>
          <cell r="F68">
            <v>9218290829.9375839</v>
          </cell>
          <cell r="G68">
            <v>9190288854.7895889</v>
          </cell>
          <cell r="H68">
            <v>9167063850.4991837</v>
          </cell>
        </row>
        <row r="69">
          <cell r="B69">
            <v>12401515881.824398</v>
          </cell>
          <cell r="C69">
            <v>12686021249.782831</v>
          </cell>
          <cell r="D69">
            <v>12532745237.504398</v>
          </cell>
          <cell r="E69">
            <v>12646786946.037613</v>
          </cell>
          <cell r="F69">
            <v>12581335818.165609</v>
          </cell>
          <cell r="G69">
            <v>12552228407.6964</v>
          </cell>
          <cell r="H69">
            <v>12532303663.7052</v>
          </cell>
        </row>
        <row r="70">
          <cell r="B70">
            <v>17253946837.760384</v>
          </cell>
          <cell r="C70">
            <v>17621539976.936378</v>
          </cell>
          <cell r="D70">
            <v>17436229742.799622</v>
          </cell>
          <cell r="E70">
            <v>17569011797.495964</v>
          </cell>
          <cell r="F70">
            <v>17496043149.873634</v>
          </cell>
          <cell r="G70">
            <v>17456707651.10524</v>
          </cell>
          <cell r="H70">
            <v>17437251766.792816</v>
          </cell>
        </row>
        <row r="71">
          <cell r="B71">
            <v>23086066426.95121</v>
          </cell>
          <cell r="C71">
            <v>23578243196.910015</v>
          </cell>
          <cell r="D71">
            <v>23330652920.176758</v>
          </cell>
          <cell r="E71">
            <v>23501072110.579193</v>
          </cell>
          <cell r="F71">
            <v>23419177547.723969</v>
          </cell>
          <cell r="G71">
            <v>23349769236.584381</v>
          </cell>
          <cell r="H71">
            <v>23331268236.62516</v>
          </cell>
        </row>
        <row r="72">
          <cell r="B72">
            <v>32607804387.438091</v>
          </cell>
          <cell r="C72">
            <v>33197585109.585629</v>
          </cell>
          <cell r="D72">
            <v>32951551593.061172</v>
          </cell>
          <cell r="E72">
            <v>33085767690.037163</v>
          </cell>
          <cell r="F72">
            <v>33006054156.903618</v>
          </cell>
          <cell r="G72">
            <v>32972747192.345982</v>
          </cell>
          <cell r="H72">
            <v>32952222020.866768</v>
          </cell>
        </row>
        <row r="73">
          <cell r="B73">
            <v>75486419225.155167</v>
          </cell>
          <cell r="C73">
            <v>76518055989.526855</v>
          </cell>
          <cell r="D73">
            <v>76258150761.157196</v>
          </cell>
          <cell r="E73">
            <v>76337551052.284958</v>
          </cell>
          <cell r="F73">
            <v>76285954124.517609</v>
          </cell>
          <cell r="G73">
            <v>76270118468.272873</v>
          </cell>
          <cell r="H73">
            <v>76258947838.410004</v>
          </cell>
        </row>
        <row r="74">
          <cell r="B74">
            <v>176709983677.61444</v>
          </cell>
          <cell r="C74">
            <v>179983757640.85211</v>
          </cell>
          <cell r="D74">
            <v>178557961937.58612</v>
          </cell>
          <cell r="E74">
            <v>179478870912.12549</v>
          </cell>
          <cell r="F74">
            <v>178945031365.04761</v>
          </cell>
          <cell r="G74">
            <v>178707397318.13409</v>
          </cell>
          <cell r="H74">
            <v>178559927898.37457</v>
          </cell>
        </row>
        <row r="82">
          <cell r="B82">
            <v>4947069771.3803997</v>
          </cell>
          <cell r="C82">
            <v>4996550222.2260094</v>
          </cell>
        </row>
        <row r="83">
          <cell r="B83">
            <v>23979991062.689995</v>
          </cell>
          <cell r="C83">
            <v>24219803314.495224</v>
          </cell>
        </row>
        <row r="84">
          <cell r="B84">
            <v>41788847973.835182</v>
          </cell>
          <cell r="C84">
            <v>42206742629.301575</v>
          </cell>
        </row>
        <row r="85">
          <cell r="B85">
            <v>55823634082.272079</v>
          </cell>
          <cell r="C85">
            <v>56381872269.633606</v>
          </cell>
        </row>
        <row r="86">
          <cell r="B86">
            <v>71812501087.02478</v>
          </cell>
          <cell r="C86">
            <v>72530628986.155106</v>
          </cell>
        </row>
        <row r="87">
          <cell r="B87">
            <v>85273291803.188522</v>
          </cell>
          <cell r="C87">
            <v>86126027509.484528</v>
          </cell>
        </row>
        <row r="88">
          <cell r="B88">
            <v>103813992816.1655</v>
          </cell>
          <cell r="C88">
            <v>104852130681.85571</v>
          </cell>
        </row>
        <row r="89">
          <cell r="B89">
            <v>126269795561.9147</v>
          </cell>
          <cell r="C89">
            <v>127532509012.76401</v>
          </cell>
        </row>
        <row r="90">
          <cell r="B90">
            <v>153854584686.97043</v>
          </cell>
          <cell r="C90">
            <v>155392627248.28088</v>
          </cell>
        </row>
        <row r="91">
          <cell r="B91">
            <v>266730665958.70047</v>
          </cell>
          <cell r="C91">
            <v>269385653297.75854</v>
          </cell>
        </row>
        <row r="92">
          <cell r="B92">
            <v>934294374804.14539</v>
          </cell>
          <cell r="C92">
            <v>943624545171.94824</v>
          </cell>
        </row>
        <row r="100">
          <cell r="B100">
            <v>1707974535.3875999</v>
          </cell>
        </row>
        <row r="101">
          <cell r="B101">
            <v>9416041117.1124001</v>
          </cell>
        </row>
        <row r="102">
          <cell r="B102">
            <v>17120005694.623192</v>
          </cell>
        </row>
        <row r="103">
          <cell r="B103">
            <v>25895361451.22039</v>
          </cell>
        </row>
        <row r="104">
          <cell r="B104">
            <v>35283876877.430382</v>
          </cell>
        </row>
        <row r="105">
          <cell r="B105">
            <v>45832476703.272041</v>
          </cell>
        </row>
        <row r="106">
          <cell r="B106">
            <v>60753003166.850372</v>
          </cell>
        </row>
        <row r="107">
          <cell r="B107">
            <v>78696263823.415253</v>
          </cell>
        </row>
        <row r="108">
          <cell r="B108">
            <v>98474337793.729126</v>
          </cell>
        </row>
        <row r="109">
          <cell r="B109">
            <v>155717147633.73941</v>
          </cell>
        </row>
        <row r="110">
          <cell r="B110">
            <v>528896488796.78125</v>
          </cell>
        </row>
        <row r="118">
          <cell r="B118">
            <v>1473576107.9676001</v>
          </cell>
        </row>
        <row r="119">
          <cell r="B119">
            <v>8368914299.8608017</v>
          </cell>
        </row>
        <row r="120">
          <cell r="B120">
            <v>20215875728.536804</v>
          </cell>
        </row>
        <row r="121">
          <cell r="B121">
            <v>23920037585.031593</v>
          </cell>
        </row>
        <row r="122">
          <cell r="B122">
            <v>28604699821.642784</v>
          </cell>
        </row>
        <row r="123">
          <cell r="B123">
            <v>29854672598.177982</v>
          </cell>
        </row>
        <row r="124">
          <cell r="B124">
            <v>33285874905.112823</v>
          </cell>
        </row>
        <row r="125">
          <cell r="B125">
            <v>35773618750.484406</v>
          </cell>
        </row>
        <row r="126">
          <cell r="B126">
            <v>41199116863.751999</v>
          </cell>
        </row>
        <row r="127">
          <cell r="B127">
            <v>66057582659.762329</v>
          </cell>
        </row>
        <row r="128">
          <cell r="B128">
            <v>288753969320.32886</v>
          </cell>
        </row>
        <row r="136">
          <cell r="B136">
            <v>1659306192.5195994</v>
          </cell>
        </row>
        <row r="137">
          <cell r="B137">
            <v>5763434491.9919996</v>
          </cell>
        </row>
        <row r="138">
          <cell r="B138">
            <v>3686130557.1336012</v>
          </cell>
        </row>
        <row r="139">
          <cell r="B139">
            <v>5483321470.0199986</v>
          </cell>
        </row>
        <row r="140">
          <cell r="B140">
            <v>7125658666.7147999</v>
          </cell>
        </row>
        <row r="141">
          <cell r="B141">
            <v>8212289683.9008064</v>
          </cell>
        </row>
        <row r="142">
          <cell r="B142">
            <v>8447523389.5847969</v>
          </cell>
        </row>
        <row r="143">
          <cell r="B143">
            <v>9892092726.8243923</v>
          </cell>
        </row>
        <row r="144">
          <cell r="B144">
            <v>11806504563.465595</v>
          </cell>
        </row>
        <row r="145">
          <cell r="B145">
            <v>36299956347.76442</v>
          </cell>
        </row>
        <row r="146">
          <cell r="B146">
            <v>98376218089.920074</v>
          </cell>
        </row>
        <row r="154">
          <cell r="B154">
            <v>106213082.28240001</v>
          </cell>
        </row>
        <row r="155">
          <cell r="B155">
            <v>431601581.53320003</v>
          </cell>
        </row>
        <row r="156">
          <cell r="B156">
            <v>766836946.3499999</v>
          </cell>
        </row>
        <row r="157">
          <cell r="B157">
            <v>524912981.83080006</v>
          </cell>
        </row>
        <row r="158">
          <cell r="B158">
            <v>798265895.09039998</v>
          </cell>
        </row>
        <row r="159">
          <cell r="B159">
            <v>1373853850.4291999</v>
          </cell>
        </row>
        <row r="160">
          <cell r="B160">
            <v>1327591392.5675998</v>
          </cell>
        </row>
        <row r="161">
          <cell r="B161">
            <v>1907822061.5472</v>
          </cell>
        </row>
        <row r="162">
          <cell r="B162">
            <v>2374625421.6995993</v>
          </cell>
        </row>
        <row r="163">
          <cell r="B163">
            <v>8655979888.1952038</v>
          </cell>
        </row>
        <row r="164">
          <cell r="B164">
            <v>18267703101.525604</v>
          </cell>
        </row>
      </sheetData>
      <sheetData sheetId="2"/>
      <sheetData sheetId="3"/>
      <sheetData sheetId="4"/>
      <sheetData sheetId="5"/>
      <sheetData sheetId="6">
        <row r="7">
          <cell r="B7">
            <v>0.41597724523420598</v>
          </cell>
          <cell r="C7">
            <v>0.415970230660416</v>
          </cell>
        </row>
        <row r="8">
          <cell r="B8">
            <v>0.37185029858937502</v>
          </cell>
          <cell r="C8">
            <v>0.37186009418656801</v>
          </cell>
        </row>
        <row r="34">
          <cell r="B34">
            <v>0.196394354539802</v>
          </cell>
          <cell r="C34">
            <v>0.194235390642131</v>
          </cell>
        </row>
      </sheetData>
      <sheetData sheetId="7"/>
      <sheetData sheetId="8"/>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Fiscal"/>
      <sheetName val="2. Distributional by deciles o"/>
      <sheetName val="2. Distributional by HH type"/>
      <sheetName val="2. Distributional by employmen"/>
      <sheetName val="2. Distributional by gender"/>
      <sheetName val="2. Distributional by age group"/>
      <sheetName val="3. Inequality and Poverty"/>
      <sheetName val="Parameter settings"/>
      <sheetName val="Metadata"/>
    </sheetNames>
    <sheetDataSet>
      <sheetData sheetId="0"/>
      <sheetData sheetId="1">
        <row r="28">
          <cell r="J28">
            <v>4.2384736360053944E-2</v>
          </cell>
        </row>
        <row r="29">
          <cell r="J29">
            <v>0.46340682940280525</v>
          </cell>
        </row>
        <row r="30">
          <cell r="J30">
            <v>0.94436147233563761</v>
          </cell>
        </row>
        <row r="31">
          <cell r="J31">
            <v>0.99953617222143321</v>
          </cell>
        </row>
        <row r="32">
          <cell r="J32">
            <v>1</v>
          </cell>
        </row>
        <row r="33">
          <cell r="J33">
            <v>1</v>
          </cell>
        </row>
        <row r="34">
          <cell r="J34">
            <v>1</v>
          </cell>
        </row>
        <row r="35">
          <cell r="J35">
            <v>1</v>
          </cell>
        </row>
        <row r="36">
          <cell r="J36">
            <v>1</v>
          </cell>
        </row>
        <row r="37">
          <cell r="J37">
            <v>1</v>
          </cell>
        </row>
        <row r="38">
          <cell r="J38">
            <v>0.84366557341074677</v>
          </cell>
        </row>
        <row r="64">
          <cell r="B64">
            <v>4674166.2732000016</v>
          </cell>
          <cell r="C64">
            <v>2946368.5056000059</v>
          </cell>
          <cell r="D64">
            <v>4792012.6584000029</v>
          </cell>
          <cell r="E64">
            <v>2946368.5056000059</v>
          </cell>
          <cell r="F64">
            <v>2561240.0244000019</v>
          </cell>
          <cell r="G64">
            <v>4921604.9844000004</v>
          </cell>
          <cell r="H64">
            <v>4792012.6584000029</v>
          </cell>
        </row>
        <row r="65">
          <cell r="B65">
            <v>-63011177.668799967</v>
          </cell>
          <cell r="C65">
            <v>-31462755.123600002</v>
          </cell>
          <cell r="D65">
            <v>-61566453.263999984</v>
          </cell>
          <cell r="E65">
            <v>-32052286.801199995</v>
          </cell>
          <cell r="F65">
            <v>-42737212.401600003</v>
          </cell>
          <cell r="G65">
            <v>-53702420.378400005</v>
          </cell>
          <cell r="H65">
            <v>-56671395.130800001</v>
          </cell>
        </row>
        <row r="66">
          <cell r="B66">
            <v>2854864316.9016013</v>
          </cell>
          <cell r="C66">
            <v>2977698725.3532023</v>
          </cell>
          <cell r="D66">
            <v>2886895034.4767995</v>
          </cell>
          <cell r="E66">
            <v>2973554513.4395981</v>
          </cell>
          <cell r="F66">
            <v>2931614007.4260044</v>
          </cell>
          <cell r="G66">
            <v>2917910570.9880066</v>
          </cell>
          <cell r="H66">
            <v>2904212212.4387999</v>
          </cell>
        </row>
        <row r="67">
          <cell r="B67">
            <v>6258879200.1000042</v>
          </cell>
          <cell r="C67">
            <v>6434323739.2739887</v>
          </cell>
          <cell r="D67">
            <v>6326665798.8323956</v>
          </cell>
          <cell r="E67">
            <v>6421292747.1719942</v>
          </cell>
          <cell r="F67">
            <v>6355287557.803194</v>
          </cell>
          <cell r="G67">
            <v>6347224697.750392</v>
          </cell>
          <cell r="H67">
            <v>6335879315.811594</v>
          </cell>
        </row>
        <row r="68">
          <cell r="B68">
            <v>10291657264.178381</v>
          </cell>
          <cell r="C68">
            <v>10519976253.392414</v>
          </cell>
          <cell r="D68">
            <v>10399304436.538797</v>
          </cell>
          <cell r="E68">
            <v>10495169050.045206</v>
          </cell>
          <cell r="F68">
            <v>10421804016.272406</v>
          </cell>
          <cell r="G68">
            <v>10407431130.913208</v>
          </cell>
          <cell r="H68">
            <v>10396700934.664801</v>
          </cell>
        </row>
        <row r="69">
          <cell r="B69">
            <v>14207366893.582798</v>
          </cell>
          <cell r="C69">
            <v>14514175295.686827</v>
          </cell>
          <cell r="D69">
            <v>14359497341.943615</v>
          </cell>
          <cell r="E69">
            <v>14475708146.762398</v>
          </cell>
          <cell r="F69">
            <v>14378417863.4664</v>
          </cell>
          <cell r="G69">
            <v>14376940854.043184</v>
          </cell>
          <cell r="H69">
            <v>14366333399.582386</v>
          </cell>
        </row>
        <row r="70">
          <cell r="B70">
            <v>19073224354.368011</v>
          </cell>
          <cell r="C70">
            <v>19466505407.822388</v>
          </cell>
          <cell r="D70">
            <v>19276808896.377567</v>
          </cell>
          <cell r="E70">
            <v>19410677785.972832</v>
          </cell>
          <cell r="F70">
            <v>19304231899.101563</v>
          </cell>
          <cell r="G70">
            <v>19292149650.46315</v>
          </cell>
          <cell r="H70">
            <v>19279547665.918747</v>
          </cell>
        </row>
        <row r="71">
          <cell r="B71">
            <v>25253271374.815182</v>
          </cell>
          <cell r="C71">
            <v>25740877930.083591</v>
          </cell>
          <cell r="D71">
            <v>25525263094.126854</v>
          </cell>
          <cell r="E71">
            <v>25653206047.017605</v>
          </cell>
          <cell r="F71">
            <v>25527788182.786819</v>
          </cell>
          <cell r="G71">
            <v>25528025877.739216</v>
          </cell>
          <cell r="H71">
            <v>25516218046.686043</v>
          </cell>
        </row>
        <row r="72">
          <cell r="B72">
            <v>35194908580.979935</v>
          </cell>
          <cell r="C72">
            <v>35829431286.646805</v>
          </cell>
          <cell r="D72">
            <v>35570450153.630409</v>
          </cell>
          <cell r="E72">
            <v>35709984728.038773</v>
          </cell>
          <cell r="F72">
            <v>35583917148.550789</v>
          </cell>
          <cell r="G72">
            <v>35581474676.7108</v>
          </cell>
          <cell r="H72">
            <v>35568026986.455658</v>
          </cell>
        </row>
        <row r="73">
          <cell r="B73">
            <v>80864522351.68692</v>
          </cell>
          <cell r="C73">
            <v>81990309691.518021</v>
          </cell>
          <cell r="D73">
            <v>81705311446.08107</v>
          </cell>
          <cell r="E73">
            <v>81779668613.198395</v>
          </cell>
          <cell r="F73">
            <v>81707788035.393616</v>
          </cell>
          <cell r="G73">
            <v>81706095786.463226</v>
          </cell>
          <cell r="H73">
            <v>81701844969.385315</v>
          </cell>
        </row>
        <row r="74">
          <cell r="B74">
            <v>193940357325.21643</v>
          </cell>
          <cell r="C74">
            <v>197444781943.15921</v>
          </cell>
          <cell r="D74">
            <v>195993421761.40228</v>
          </cell>
          <cell r="E74">
            <v>196890155713.35184</v>
          </cell>
          <cell r="F74">
            <v>196170672738.42371</v>
          </cell>
          <cell r="G74">
            <v>196108472429.67743</v>
          </cell>
          <cell r="H74">
            <v>196016884148.47104</v>
          </cell>
        </row>
        <row r="82">
          <cell r="B82">
            <v>5431600963.5192041</v>
          </cell>
          <cell r="C82">
            <v>5485920573.2784023</v>
          </cell>
        </row>
        <row r="83">
          <cell r="B83">
            <v>26404768619.694016</v>
          </cell>
          <cell r="C83">
            <v>26668820154.352764</v>
          </cell>
        </row>
        <row r="84">
          <cell r="B84">
            <v>44914130378.123962</v>
          </cell>
          <cell r="C84">
            <v>45363274788.74881</v>
          </cell>
        </row>
        <row r="85">
          <cell r="B85">
            <v>60966913812.070724</v>
          </cell>
          <cell r="C85">
            <v>61576587247.264694</v>
          </cell>
        </row>
        <row r="86">
          <cell r="B86">
            <v>77186170261.651199</v>
          </cell>
          <cell r="C86">
            <v>77958036214.322449</v>
          </cell>
        </row>
        <row r="87">
          <cell r="B87">
            <v>92331225543.27475</v>
          </cell>
          <cell r="C87">
            <v>93254532901.025955</v>
          </cell>
        </row>
        <row r="88">
          <cell r="B88">
            <v>112004663638.59711</v>
          </cell>
          <cell r="C88">
            <v>113124708520.17102</v>
          </cell>
        </row>
        <row r="89">
          <cell r="B89">
            <v>135929076331.91727</v>
          </cell>
          <cell r="C89">
            <v>137288356949.62706</v>
          </cell>
        </row>
        <row r="90">
          <cell r="B90">
            <v>166883719226.57858</v>
          </cell>
          <cell r="C90">
            <v>168552563168.12177</v>
          </cell>
        </row>
        <row r="91">
          <cell r="B91">
            <v>286531656186.65881</v>
          </cell>
          <cell r="C91">
            <v>289396971851.69965</v>
          </cell>
        </row>
        <row r="92">
          <cell r="B92">
            <v>1008583924962.0903</v>
          </cell>
          <cell r="C92">
            <v>1018669772368.6199</v>
          </cell>
        </row>
      </sheetData>
      <sheetData sheetId="2"/>
      <sheetData sheetId="3"/>
      <sheetData sheetId="4"/>
      <sheetData sheetId="5"/>
      <sheetData sheetId="6"/>
      <sheetData sheetId="7"/>
      <sheetData sheetId="8"/>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Fiscal"/>
      <sheetName val="2. Distributional by deciles o"/>
      <sheetName val="2. Distributional by HH type"/>
      <sheetName val="2. Distributional by employmen"/>
      <sheetName val="2. Distributional by gender"/>
      <sheetName val="2. Distributional by age group"/>
      <sheetName val="3. Inequality and Poverty"/>
      <sheetName val="Parameter settings"/>
      <sheetName val="Metadata"/>
    </sheetNames>
    <sheetDataSet>
      <sheetData sheetId="0">
        <row r="184">
          <cell r="D184">
            <v>178664412659.90442</v>
          </cell>
          <cell r="E184">
            <v>177720829576.57718</v>
          </cell>
          <cell r="F184">
            <v>176949559591.18555</v>
          </cell>
          <cell r="G184">
            <v>176779191348.3559</v>
          </cell>
        </row>
        <row r="185">
          <cell r="D185">
            <v>939583376366.21155</v>
          </cell>
          <cell r="E185">
            <v>937169123499.94019</v>
          </cell>
          <cell r="F185">
            <v>935278138812.27319</v>
          </cell>
          <cell r="G185">
            <v>934477054649.95532</v>
          </cell>
        </row>
      </sheetData>
      <sheetData sheetId="1"/>
      <sheetData sheetId="2"/>
      <sheetData sheetId="3"/>
      <sheetData sheetId="4"/>
      <sheetData sheetId="5"/>
      <sheetData sheetId="6"/>
      <sheetData sheetId="7"/>
      <sheetData sheetId="8"/>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Fiscal"/>
      <sheetName val="2. Distributional by deciles o"/>
      <sheetName val="2. Distributional by HH type"/>
      <sheetName val="2. Distributional by employmen"/>
      <sheetName val="2. Distributional by gender"/>
      <sheetName val="2. Distributional by age group"/>
      <sheetName val="3. Inequality and Poverty"/>
      <sheetName val="Parameter settings"/>
      <sheetName val="Metadata"/>
    </sheetNames>
    <sheetDataSet>
      <sheetData sheetId="0">
        <row r="196">
          <cell r="D196">
            <v>195940221758.1781</v>
          </cell>
          <cell r="E196">
            <v>195038744626.96313</v>
          </cell>
          <cell r="F196">
            <v>194249634603.58716</v>
          </cell>
          <cell r="G196">
            <v>194021841509.97638</v>
          </cell>
        </row>
        <row r="197">
          <cell r="D197">
            <v>1014159011969.3606</v>
          </cell>
          <cell r="E197">
            <v>1011729694428.3267</v>
          </cell>
          <cell r="F197">
            <v>1009737559135.734</v>
          </cell>
          <cell r="G197">
            <v>1008795271612.6146</v>
          </cell>
        </row>
      </sheetData>
      <sheetData sheetId="1"/>
      <sheetData sheetId="2"/>
      <sheetData sheetId="3"/>
      <sheetData sheetId="4"/>
      <sheetData sheetId="5"/>
      <sheetData sheetId="6"/>
      <sheetData sheetId="7"/>
      <sheetData sheetId="8"/>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Fiscal"/>
      <sheetName val="2. Distributional by deciles o"/>
      <sheetName val="2. Distributional by HH type"/>
      <sheetName val="2. Distributional by employmen"/>
      <sheetName val="2. Distributional by gender"/>
      <sheetName val="2. Distributional by age group"/>
      <sheetName val="Parameter settings"/>
      <sheetName val="Metadata"/>
    </sheetNames>
    <sheetDataSet>
      <sheetData sheetId="0"/>
      <sheetData sheetId="1">
        <row r="28">
          <cell r="L28">
            <v>2.084895095422264E-2</v>
          </cell>
        </row>
        <row r="64">
          <cell r="B64">
            <v>4263006.0348000014</v>
          </cell>
          <cell r="C64">
            <v>2764538.8872000007</v>
          </cell>
          <cell r="D64">
            <v>1415989.6979999996</v>
          </cell>
          <cell r="E64">
            <v>17625950.481600001</v>
          </cell>
          <cell r="F64">
            <v>22272371.042400002</v>
          </cell>
          <cell r="H64">
            <v>5654437.2048000004</v>
          </cell>
          <cell r="I64">
            <v>3408735.7764000017</v>
          </cell>
          <cell r="J64">
            <v>7967947.7700000014</v>
          </cell>
          <cell r="K64">
            <v>10221660.2064</v>
          </cell>
        </row>
        <row r="65">
          <cell r="B65">
            <v>-264885651.43320009</v>
          </cell>
          <cell r="C65">
            <v>-335248024.16880006</v>
          </cell>
          <cell r="D65">
            <v>-381238895.38799977</v>
          </cell>
          <cell r="E65">
            <v>-176033132.10360005</v>
          </cell>
          <cell r="F65">
            <v>-12105381.685200037</v>
          </cell>
          <cell r="H65">
            <v>-119260207.57800002</v>
          </cell>
          <cell r="I65">
            <v>-205067363.2464</v>
          </cell>
          <cell r="J65">
            <v>-237772786.30079994</v>
          </cell>
          <cell r="K65">
            <v>-293298168.66119987</v>
          </cell>
        </row>
        <row r="66">
          <cell r="B66">
            <v>1937955505.5120013</v>
          </cell>
          <cell r="C66">
            <v>1822793558.048399</v>
          </cell>
          <cell r="D66">
            <v>1801181449.7544</v>
          </cell>
          <cell r="E66">
            <v>2101048330.5695987</v>
          </cell>
          <cell r="F66">
            <v>2849404568.8788004</v>
          </cell>
          <cell r="H66">
            <v>2843720239.3607984</v>
          </cell>
          <cell r="I66">
            <v>2224234114.036797</v>
          </cell>
          <cell r="J66">
            <v>1988501190.674401</v>
          </cell>
          <cell r="K66">
            <v>1618108060.7808003</v>
          </cell>
        </row>
        <row r="67">
          <cell r="B67">
            <v>5124268306.8011999</v>
          </cell>
          <cell r="C67">
            <v>4881370827.9648094</v>
          </cell>
          <cell r="D67">
            <v>4857502162.8732014</v>
          </cell>
          <cell r="E67">
            <v>5206819543.582799</v>
          </cell>
          <cell r="F67">
            <v>6306462625.5240002</v>
          </cell>
          <cell r="H67">
            <v>6487563322.4352016</v>
          </cell>
          <cell r="I67">
            <v>5571322168.1219969</v>
          </cell>
          <cell r="J67">
            <v>5214825683.7768021</v>
          </cell>
          <cell r="K67">
            <v>4633267175.1575994</v>
          </cell>
        </row>
        <row r="68">
          <cell r="B68">
            <v>9072629751.5700035</v>
          </cell>
          <cell r="C68">
            <v>8745640921.4315929</v>
          </cell>
          <cell r="D68">
            <v>8720633354.0976028</v>
          </cell>
          <cell r="E68">
            <v>9060636997.1711845</v>
          </cell>
          <cell r="F68">
            <v>10542255922.165176</v>
          </cell>
          <cell r="H68">
            <v>10915319356.475988</v>
          </cell>
          <cell r="I68">
            <v>9804882009.3168068</v>
          </cell>
          <cell r="J68">
            <v>9348438158.1996078</v>
          </cell>
          <cell r="K68">
            <v>8610341730.9719982</v>
          </cell>
        </row>
        <row r="69">
          <cell r="B69">
            <v>12401515881.824398</v>
          </cell>
          <cell r="C69">
            <v>11980407927.079199</v>
          </cell>
          <cell r="D69">
            <v>11922885447.104397</v>
          </cell>
          <cell r="E69">
            <v>12394321356.066008</v>
          </cell>
          <cell r="F69">
            <v>14173208074.07399</v>
          </cell>
          <cell r="H69">
            <v>14575662132.769196</v>
          </cell>
          <cell r="I69">
            <v>13317311678.396397</v>
          </cell>
          <cell r="J69">
            <v>12802172722.384796</v>
          </cell>
          <cell r="K69">
            <v>11933342508.228004</v>
          </cell>
        </row>
        <row r="70">
          <cell r="B70">
            <v>17253946837.760384</v>
          </cell>
          <cell r="C70">
            <v>16768128120.814785</v>
          </cell>
          <cell r="D70">
            <v>16696967774.203201</v>
          </cell>
          <cell r="E70">
            <v>17036341703.492409</v>
          </cell>
          <cell r="F70">
            <v>19114825320.834007</v>
          </cell>
          <cell r="H70">
            <v>19895489342.724003</v>
          </cell>
          <cell r="I70">
            <v>18377842358.109612</v>
          </cell>
          <cell r="J70">
            <v>17759103665.679642</v>
          </cell>
          <cell r="K70">
            <v>16750467922.357224</v>
          </cell>
        </row>
        <row r="71">
          <cell r="B71">
            <v>23086066426.95121</v>
          </cell>
          <cell r="C71">
            <v>22397492390.806816</v>
          </cell>
          <cell r="D71">
            <v>22197002634.086372</v>
          </cell>
          <cell r="E71">
            <v>22534621796.211609</v>
          </cell>
          <cell r="F71">
            <v>25111611046.031986</v>
          </cell>
          <cell r="H71">
            <v>26411554292.383156</v>
          </cell>
          <cell r="I71">
            <v>24445403406.04203</v>
          </cell>
          <cell r="J71">
            <v>23612918156.201984</v>
          </cell>
          <cell r="K71">
            <v>22339948620.054016</v>
          </cell>
        </row>
        <row r="72">
          <cell r="B72">
            <v>32607804387.438091</v>
          </cell>
          <cell r="C72">
            <v>31917530048.917202</v>
          </cell>
          <cell r="D72">
            <v>31906817329.17601</v>
          </cell>
          <cell r="E72">
            <v>32003995711.514427</v>
          </cell>
          <cell r="F72">
            <v>34734707696.229553</v>
          </cell>
          <cell r="H72">
            <v>36488214269.779175</v>
          </cell>
          <cell r="I72">
            <v>34506744216.746353</v>
          </cell>
          <cell r="J72">
            <v>33641601873.113976</v>
          </cell>
          <cell r="K72">
            <v>32203015039.830017</v>
          </cell>
        </row>
        <row r="73">
          <cell r="B73">
            <v>75486419225.155167</v>
          </cell>
          <cell r="C73">
            <v>74799164335.9608</v>
          </cell>
          <cell r="D73">
            <v>76493346091.028503</v>
          </cell>
          <cell r="E73">
            <v>77061408963.716263</v>
          </cell>
          <cell r="F73">
            <v>81097715082.122513</v>
          </cell>
          <cell r="H73">
            <v>82873351945.148422</v>
          </cell>
          <cell r="I73">
            <v>80794314189.382629</v>
          </cell>
          <cell r="J73">
            <v>79900765847.252411</v>
          </cell>
          <cell r="K73">
            <v>78419532691.830017</v>
          </cell>
        </row>
        <row r="74">
          <cell r="B74">
            <v>176709983677.61444</v>
          </cell>
          <cell r="C74">
            <v>172980044645.74103</v>
          </cell>
          <cell r="D74">
            <v>174216513336.63385</v>
          </cell>
          <cell r="E74">
            <v>177240787220.70224</v>
          </cell>
          <cell r="F74">
            <v>193940357325.21643</v>
          </cell>
          <cell r="H74">
            <v>200377269130.70276</v>
          </cell>
          <cell r="I74">
            <v>188840395512.68277</v>
          </cell>
          <cell r="J74">
            <v>184038522458.75284</v>
          </cell>
          <cell r="K74">
            <v>176224947240.75488</v>
          </cell>
        </row>
        <row r="82">
          <cell r="B82">
            <v>4947069771.3803997</v>
          </cell>
          <cell r="C82">
            <v>4821905312.1719971</v>
          </cell>
          <cell r="D82">
            <v>5054980878.9072084</v>
          </cell>
          <cell r="E82">
            <v>5227161538.6044025</v>
          </cell>
          <cell r="F82">
            <v>5493866102.2860022</v>
          </cell>
        </row>
        <row r="83">
          <cell r="B83">
            <v>23979991062.689995</v>
          </cell>
          <cell r="C83">
            <v>23584694114.450375</v>
          </cell>
          <cell r="D83">
            <v>24426584898.36837</v>
          </cell>
          <cell r="E83">
            <v>25146797141.546391</v>
          </cell>
          <cell r="F83">
            <v>26398324598.158825</v>
          </cell>
        </row>
        <row r="84">
          <cell r="B84">
            <v>41788847973.835182</v>
          </cell>
          <cell r="C84">
            <v>41675917415.79126</v>
          </cell>
          <cell r="D84">
            <v>42321275032.472359</v>
          </cell>
          <cell r="E84">
            <v>43276119748.694504</v>
          </cell>
          <cell r="F84">
            <v>45524069107.761581</v>
          </cell>
        </row>
        <row r="85">
          <cell r="B85">
            <v>55823634082.272079</v>
          </cell>
          <cell r="C85">
            <v>55616599583.193588</v>
          </cell>
          <cell r="D85">
            <v>56540707410.624161</v>
          </cell>
          <cell r="E85">
            <v>57777533577.953964</v>
          </cell>
          <cell r="F85">
            <v>60703250426.947159</v>
          </cell>
        </row>
        <row r="86">
          <cell r="B86">
            <v>71812501087.02478</v>
          </cell>
          <cell r="C86">
            <v>71526756230.270386</v>
          </cell>
          <cell r="D86">
            <v>72724079968.270752</v>
          </cell>
          <cell r="E86">
            <v>74295736775.48027</v>
          </cell>
          <cell r="F86">
            <v>77959137428.746796</v>
          </cell>
        </row>
        <row r="87">
          <cell r="B87">
            <v>85273291803.188522</v>
          </cell>
          <cell r="C87">
            <v>84942614829.721222</v>
          </cell>
          <cell r="D87">
            <v>86345101796.885895</v>
          </cell>
          <cell r="E87">
            <v>88161675716.340057</v>
          </cell>
          <cell r="F87">
            <v>92356690910.677048</v>
          </cell>
        </row>
        <row r="88">
          <cell r="B88">
            <v>103813992816.1655</v>
          </cell>
          <cell r="C88">
            <v>103550812003.68735</v>
          </cell>
          <cell r="D88">
            <v>105086691937.58766</v>
          </cell>
          <cell r="E88">
            <v>107117233835.89786</v>
          </cell>
          <cell r="F88">
            <v>111953809095.27359</v>
          </cell>
        </row>
        <row r="89">
          <cell r="B89">
            <v>126269795561.9147</v>
          </cell>
          <cell r="C89">
            <v>125976253642.40872</v>
          </cell>
          <cell r="D89">
            <v>127828797797.75308</v>
          </cell>
          <cell r="E89">
            <v>130225113790.94409</v>
          </cell>
          <cell r="F89">
            <v>135836950143.23845</v>
          </cell>
        </row>
        <row r="90">
          <cell r="B90">
            <v>153854584686.97043</v>
          </cell>
          <cell r="C90">
            <v>153505377984.30957</v>
          </cell>
          <cell r="D90">
            <v>155756939153.3678</v>
          </cell>
          <cell r="E90">
            <v>158607385325.39624</v>
          </cell>
          <cell r="F90">
            <v>164994221924.96271</v>
          </cell>
        </row>
        <row r="91">
          <cell r="B91">
            <v>266730665958.70047</v>
          </cell>
          <cell r="C91">
            <v>264608524117.44446</v>
          </cell>
          <cell r="D91">
            <v>270572288341.60901</v>
          </cell>
          <cell r="E91">
            <v>276995807506.18555</v>
          </cell>
          <cell r="F91">
            <v>287363605224.03375</v>
          </cell>
        </row>
        <row r="92">
          <cell r="B92">
            <v>934294374804.14539</v>
          </cell>
          <cell r="C92">
            <v>929809455233.43823</v>
          </cell>
          <cell r="D92">
            <v>946657447215.84338</v>
          </cell>
          <cell r="E92">
            <v>966830564957.03833</v>
          </cell>
          <cell r="F92">
            <v>1008583924962.0903</v>
          </cell>
        </row>
      </sheetData>
      <sheetData sheetId="2"/>
      <sheetData sheetId="3"/>
      <sheetData sheetId="4"/>
      <sheetData sheetId="5"/>
      <sheetData sheetId="6"/>
      <sheetData sheetId="7"/>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Fiscal"/>
      <sheetName val="2. Distributional by deciles o"/>
      <sheetName val="2. Distributional by HH type"/>
      <sheetName val="2. Distributional by employmen"/>
      <sheetName val="2. Distributional by gender"/>
      <sheetName val="2. Distributional by age group"/>
      <sheetName val="3. Inequality and Poverty"/>
      <sheetName val="Parameter settings"/>
      <sheetName val="Metadata"/>
    </sheetNames>
    <sheetDataSet>
      <sheetData sheetId="0">
        <row r="41">
          <cell r="B41">
            <v>72880722320.168121</v>
          </cell>
        </row>
      </sheetData>
      <sheetData sheetId="1">
        <row r="28">
          <cell r="M28">
            <v>2.084895095422264E-2</v>
          </cell>
        </row>
        <row r="64">
          <cell r="L64">
            <v>22352538.303600002</v>
          </cell>
        </row>
        <row r="65">
          <cell r="L65">
            <v>-10941018.2904</v>
          </cell>
        </row>
        <row r="66">
          <cell r="L66">
            <v>2852988739.8144002</v>
          </cell>
        </row>
        <row r="67">
          <cell r="L67">
            <v>6311525119.1700039</v>
          </cell>
        </row>
        <row r="68">
          <cell r="L68">
            <v>10546687163.488781</v>
          </cell>
        </row>
        <row r="69">
          <cell r="L69">
            <v>14179505274.743992</v>
          </cell>
        </row>
        <row r="70">
          <cell r="L70">
            <v>19121054928.860397</v>
          </cell>
        </row>
        <row r="71">
          <cell r="L71">
            <v>25119316587.073204</v>
          </cell>
        </row>
        <row r="72">
          <cell r="L72">
            <v>34745706553.617569</v>
          </cell>
        </row>
        <row r="73">
          <cell r="L73">
            <v>81299259273.277283</v>
          </cell>
        </row>
        <row r="74">
          <cell r="L74">
            <v>194187455160.05807</v>
          </cell>
        </row>
      </sheetData>
      <sheetData sheetId="2"/>
      <sheetData sheetId="3"/>
      <sheetData sheetId="4"/>
      <sheetData sheetId="5"/>
      <sheetData sheetId="6">
        <row r="7">
          <cell r="B7">
            <v>0.41597724523420598</v>
          </cell>
        </row>
      </sheetData>
      <sheetData sheetId="7"/>
      <sheetData sheetId="8"/>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1. Fiscal"/>
      <sheetName val="2. Distributional by deciles o"/>
      <sheetName val="2. Distributional by HH type"/>
      <sheetName val="2. Distributional by employmen"/>
      <sheetName val="2. Distributional by gender"/>
      <sheetName val="2. Distributional by age group"/>
      <sheetName val="3. Inequality and Poverty"/>
      <sheetName val="Parameter settings"/>
      <sheetName val="Metadata"/>
    </sheetNames>
    <sheetDataSet>
      <sheetData sheetId="0" refreshError="1"/>
      <sheetData sheetId="1">
        <row r="28">
          <cell r="H28">
            <v>0</v>
          </cell>
        </row>
        <row r="29">
          <cell r="H29">
            <v>0.75235539280927188</v>
          </cell>
        </row>
        <row r="30">
          <cell r="H30">
            <v>0.87926791899983137</v>
          </cell>
        </row>
        <row r="31">
          <cell r="H31">
            <v>0.9986767782187479</v>
          </cell>
        </row>
        <row r="32">
          <cell r="H32">
            <v>0.99718103218657628</v>
          </cell>
        </row>
        <row r="33">
          <cell r="H33">
            <v>0.98391195038997814</v>
          </cell>
        </row>
        <row r="34">
          <cell r="H34">
            <v>0.9995407467089209</v>
          </cell>
        </row>
        <row r="35">
          <cell r="H35">
            <v>0.99883463099321868</v>
          </cell>
        </row>
        <row r="36">
          <cell r="H36">
            <v>1</v>
          </cell>
        </row>
        <row r="37">
          <cell r="H37">
            <v>0.99012191427750817</v>
          </cell>
        </row>
        <row r="38">
          <cell r="H38">
            <v>0.74892859040925852</v>
          </cell>
        </row>
      </sheetData>
      <sheetData sheetId="2" refreshError="1"/>
      <sheetData sheetId="3" refreshError="1"/>
      <sheetData sheetId="4" refreshError="1"/>
      <sheetData sheetId="5" refreshError="1"/>
      <sheetData sheetId="6">
        <row r="7">
          <cell r="B7">
            <v>0.49101876217204898</v>
          </cell>
          <cell r="C7">
            <v>0.491030086178254</v>
          </cell>
        </row>
        <row r="8">
          <cell r="B8">
            <v>0.47885007320035999</v>
          </cell>
          <cell r="C8">
            <v>0.47896701322174001</v>
          </cell>
        </row>
        <row r="34">
          <cell r="B34">
            <v>6.8769748807886E-2</v>
          </cell>
          <cell r="C34">
            <v>6.7933581145279004E-2</v>
          </cell>
        </row>
      </sheetData>
      <sheetData sheetId="7" refreshError="1"/>
      <sheetData sheetId="8"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1. Fiscal"/>
      <sheetName val="2. Distributional by deciles o"/>
      <sheetName val="2. Distributional by HH type"/>
      <sheetName val="2. Distributional by employmen"/>
      <sheetName val="2. Distributional by gender"/>
      <sheetName val="2. Distributional by age group"/>
      <sheetName val="3. Inequality and Poverty"/>
      <sheetName val="Parameter settings"/>
      <sheetName val="Metadata"/>
    </sheetNames>
    <sheetDataSet>
      <sheetData sheetId="0" refreshError="1"/>
      <sheetData sheetId="1">
        <row r="28">
          <cell r="M28">
            <v>0</v>
          </cell>
        </row>
        <row r="64">
          <cell r="B64">
            <v>0</v>
          </cell>
          <cell r="C64">
            <v>0</v>
          </cell>
          <cell r="D64">
            <v>0</v>
          </cell>
          <cell r="E64">
            <v>0</v>
          </cell>
          <cell r="F64">
            <v>0</v>
          </cell>
          <cell r="H64">
            <v>0</v>
          </cell>
          <cell r="I64">
            <v>0</v>
          </cell>
          <cell r="J64">
            <v>0</v>
          </cell>
          <cell r="K64">
            <v>0</v>
          </cell>
          <cell r="L64">
            <v>0</v>
          </cell>
        </row>
        <row r="65">
          <cell r="B65">
            <v>4848320.1552000027</v>
          </cell>
          <cell r="C65">
            <v>5057354.79</v>
          </cell>
          <cell r="D65">
            <v>5412965.6172000002</v>
          </cell>
          <cell r="E65">
            <v>6056387.3952000011</v>
          </cell>
          <cell r="F65">
            <v>6640766.3556000022</v>
          </cell>
          <cell r="H65">
            <v>7821244.9128000028</v>
          </cell>
          <cell r="I65">
            <v>6762799.7807999998</v>
          </cell>
          <cell r="J65">
            <v>6988339.8671999993</v>
          </cell>
          <cell r="K65">
            <v>6878710.2227999987</v>
          </cell>
          <cell r="L65">
            <v>7822959.3132000016</v>
          </cell>
        </row>
        <row r="66">
          <cell r="B66">
            <v>51258700.946399979</v>
          </cell>
          <cell r="C66">
            <v>43715370.574800044</v>
          </cell>
          <cell r="D66">
            <v>54304182.212399997</v>
          </cell>
          <cell r="E66">
            <v>50041780.268399991</v>
          </cell>
          <cell r="F66">
            <v>54207009.643199995</v>
          </cell>
          <cell r="H66">
            <v>109328548.00079992</v>
          </cell>
          <cell r="I66">
            <v>76787474.570400029</v>
          </cell>
          <cell r="J66">
            <v>89519673.992399961</v>
          </cell>
          <cell r="K66">
            <v>84258547.852800012</v>
          </cell>
          <cell r="L66">
            <v>109280398.97519997</v>
          </cell>
        </row>
        <row r="67">
          <cell r="B67">
            <v>127773088.92720005</v>
          </cell>
          <cell r="C67">
            <v>121031021.51280007</v>
          </cell>
          <cell r="D67">
            <v>143180673.9984</v>
          </cell>
          <cell r="E67">
            <v>146165325.20880011</v>
          </cell>
          <cell r="F67">
            <v>164025414.91320002</v>
          </cell>
          <cell r="H67">
            <v>245882018.96640006</v>
          </cell>
          <cell r="I67">
            <v>192388119.58919984</v>
          </cell>
          <cell r="J67">
            <v>213935505.45479995</v>
          </cell>
          <cell r="K67">
            <v>205263828.3899999</v>
          </cell>
          <cell r="L67">
            <v>253723408.824</v>
          </cell>
        </row>
        <row r="68">
          <cell r="B68">
            <v>208624151.69399992</v>
          </cell>
          <cell r="C68">
            <v>206730483.75720018</v>
          </cell>
          <cell r="D68">
            <v>240407800.90800017</v>
          </cell>
          <cell r="E68">
            <v>261221513.62560022</v>
          </cell>
          <cell r="F68">
            <v>297480647.06880027</v>
          </cell>
          <cell r="H68">
            <v>383866615.03319997</v>
          </cell>
          <cell r="I68">
            <v>315280304.86079985</v>
          </cell>
          <cell r="J68">
            <v>342692197.73400009</v>
          </cell>
          <cell r="K68">
            <v>331692610.79399979</v>
          </cell>
          <cell r="L68">
            <v>400463644.72199988</v>
          </cell>
        </row>
        <row r="69">
          <cell r="B69">
            <v>266723486.64959997</v>
          </cell>
          <cell r="C69">
            <v>272418957.37800026</v>
          </cell>
          <cell r="D69">
            <v>312465803.84159988</v>
          </cell>
          <cell r="E69">
            <v>348915994.02480024</v>
          </cell>
          <cell r="F69">
            <v>403083445.96560019</v>
          </cell>
          <cell r="H69">
            <v>471593054.80560046</v>
          </cell>
          <cell r="I69">
            <v>400172215.99920011</v>
          </cell>
          <cell r="J69">
            <v>429584407.71840012</v>
          </cell>
          <cell r="K69">
            <v>417710956.35719991</v>
          </cell>
          <cell r="L69">
            <v>493707580.10999984</v>
          </cell>
        </row>
        <row r="70">
          <cell r="B70">
            <v>387577363.55399978</v>
          </cell>
          <cell r="C70">
            <v>400644354.02159965</v>
          </cell>
          <cell r="D70">
            <v>457167575.55719972</v>
          </cell>
          <cell r="E70">
            <v>514538995.43640029</v>
          </cell>
          <cell r="F70">
            <v>590987742.52560079</v>
          </cell>
          <cell r="H70">
            <v>665445169.40880036</v>
          </cell>
          <cell r="I70">
            <v>581907502.93079948</v>
          </cell>
          <cell r="J70">
            <v>617146847.40360022</v>
          </cell>
          <cell r="K70">
            <v>603085745.74559975</v>
          </cell>
          <cell r="L70">
            <v>691142092.36199963</v>
          </cell>
        </row>
        <row r="71">
          <cell r="B71">
            <v>505981294.00199986</v>
          </cell>
          <cell r="C71">
            <v>535184195.02920038</v>
          </cell>
          <cell r="D71">
            <v>603775789.5156002</v>
          </cell>
          <cell r="E71">
            <v>686506776.9684</v>
          </cell>
          <cell r="F71">
            <v>788117360.76479971</v>
          </cell>
          <cell r="H71">
            <v>843133192.31760013</v>
          </cell>
          <cell r="I71">
            <v>760538040.18480003</v>
          </cell>
          <cell r="J71">
            <v>796149145.63799965</v>
          </cell>
          <cell r="K71">
            <v>782112832.95959997</v>
          </cell>
          <cell r="L71">
            <v>864165478.6523999</v>
          </cell>
        </row>
        <row r="72">
          <cell r="B72">
            <v>675452886.62880039</v>
          </cell>
          <cell r="C72">
            <v>726076059.72599995</v>
          </cell>
          <cell r="D72">
            <v>812111965.57800007</v>
          </cell>
          <cell r="E72">
            <v>918782855.41799974</v>
          </cell>
          <cell r="F72">
            <v>1046851269.6312001</v>
          </cell>
          <cell r="H72">
            <v>1092249909.2304008</v>
          </cell>
          <cell r="I72">
            <v>1011256347.2304003</v>
          </cell>
          <cell r="J72">
            <v>1049009358.9887998</v>
          </cell>
          <cell r="K72">
            <v>1034512837.4051993</v>
          </cell>
          <cell r="L72">
            <v>1107021355.026001</v>
          </cell>
        </row>
        <row r="73">
          <cell r="B73">
            <v>1306427603.6123998</v>
          </cell>
          <cell r="C73">
            <v>1418445851.5416002</v>
          </cell>
          <cell r="D73">
            <v>1572464929.4987998</v>
          </cell>
          <cell r="E73">
            <v>1762571435.2535987</v>
          </cell>
          <cell r="F73">
            <v>1978603080.7499995</v>
          </cell>
          <cell r="H73">
            <v>2023309740.3395996</v>
          </cell>
          <cell r="I73">
            <v>1940138842.6259995</v>
          </cell>
          <cell r="J73">
            <v>1971245487.9264011</v>
          </cell>
          <cell r="K73">
            <v>1958188075.3547988</v>
          </cell>
          <cell r="L73">
            <v>1981867945.0332007</v>
          </cell>
        </row>
        <row r="74">
          <cell r="B74">
            <v>3534666896.1696033</v>
          </cell>
          <cell r="C74">
            <v>3729303648.3311977</v>
          </cell>
          <cell r="D74">
            <v>4201291686.7271938</v>
          </cell>
          <cell r="E74">
            <v>4694801063.5991945</v>
          </cell>
          <cell r="F74">
            <v>5329996737.6179981</v>
          </cell>
          <cell r="H74">
            <v>5842629493.0151978</v>
          </cell>
          <cell r="I74">
            <v>5285231647.7724142</v>
          </cell>
          <cell r="J74">
            <v>5516270964.7235966</v>
          </cell>
          <cell r="K74">
            <v>5423704145.0820093</v>
          </cell>
          <cell r="L74">
            <v>5909194863.0179996</v>
          </cell>
        </row>
        <row r="82">
          <cell r="B82">
            <v>0</v>
          </cell>
          <cell r="C82">
            <v>0</v>
          </cell>
          <cell r="D82">
            <v>458802.71279999998</v>
          </cell>
          <cell r="E82">
            <v>503576.72399999999</v>
          </cell>
          <cell r="F82">
            <v>564222.90240000002</v>
          </cell>
        </row>
        <row r="83">
          <cell r="B83">
            <v>109782598.53959998</v>
          </cell>
          <cell r="C83">
            <v>119129886.3132</v>
          </cell>
          <cell r="D83">
            <v>129784240.02840003</v>
          </cell>
          <cell r="E83">
            <v>145589183.19120002</v>
          </cell>
          <cell r="F83">
            <v>162421744.41959995</v>
          </cell>
        </row>
        <row r="84">
          <cell r="B84">
            <v>697077438.22199988</v>
          </cell>
          <cell r="C84">
            <v>756836320.66080034</v>
          </cell>
          <cell r="D84">
            <v>829738475.16720033</v>
          </cell>
          <cell r="E84">
            <v>930227530.10399902</v>
          </cell>
          <cell r="F84">
            <v>1046146658.5452001</v>
          </cell>
        </row>
        <row r="85">
          <cell r="B85">
            <v>1189421903.0675998</v>
          </cell>
          <cell r="C85">
            <v>1299810091.7604008</v>
          </cell>
          <cell r="D85">
            <v>1421230893.6491985</v>
          </cell>
          <cell r="E85">
            <v>1591145655.5820012</v>
          </cell>
          <cell r="F85">
            <v>1786545941.3772016</v>
          </cell>
        </row>
        <row r="86">
          <cell r="B86">
            <v>1696971154.9079998</v>
          </cell>
          <cell r="C86">
            <v>1855217773.6056004</v>
          </cell>
          <cell r="D86">
            <v>2030913615.9899993</v>
          </cell>
          <cell r="E86">
            <v>2275232078.1900005</v>
          </cell>
          <cell r="F86">
            <v>2550312830.5740004</v>
          </cell>
        </row>
        <row r="87">
          <cell r="B87">
            <v>2007690499.7219989</v>
          </cell>
          <cell r="C87">
            <v>2195742247.5311985</v>
          </cell>
          <cell r="D87">
            <v>2399901636.4787998</v>
          </cell>
          <cell r="E87">
            <v>2681415197.0244017</v>
          </cell>
          <cell r="F87">
            <v>3013999199.8895979</v>
          </cell>
        </row>
        <row r="88">
          <cell r="B88">
            <v>2580197510.7227993</v>
          </cell>
          <cell r="C88">
            <v>2819068152.8388009</v>
          </cell>
          <cell r="D88">
            <v>3086043207.6588001</v>
          </cell>
          <cell r="E88">
            <v>3447215284.9211988</v>
          </cell>
          <cell r="F88">
            <v>3864537586.1028042</v>
          </cell>
        </row>
        <row r="89">
          <cell r="B89">
            <v>3215973504.6695986</v>
          </cell>
          <cell r="C89">
            <v>3520201225.9776006</v>
          </cell>
          <cell r="D89">
            <v>3846590211.3839979</v>
          </cell>
          <cell r="E89">
            <v>4295108170.3511992</v>
          </cell>
          <cell r="F89">
            <v>4814443772.085598</v>
          </cell>
        </row>
        <row r="90">
          <cell r="B90">
            <v>4095161764.8719974</v>
          </cell>
          <cell r="C90">
            <v>4488600346.4784031</v>
          </cell>
          <cell r="D90">
            <v>4897250686.0811977</v>
          </cell>
          <cell r="E90">
            <v>5452764386.3064003</v>
          </cell>
          <cell r="F90">
            <v>6104993089.5072012</v>
          </cell>
        </row>
        <row r="91">
          <cell r="B91">
            <v>7349782636.8720016</v>
          </cell>
          <cell r="C91">
            <v>8004155305.604413</v>
          </cell>
          <cell r="D91">
            <v>8702765699.6952057</v>
          </cell>
          <cell r="E91">
            <v>9691139407.3368034</v>
          </cell>
          <cell r="F91">
            <v>10810047906.568802</v>
          </cell>
        </row>
        <row r="92">
          <cell r="B92">
            <v>22942059011.595512</v>
          </cell>
          <cell r="C92">
            <v>25058761350.770458</v>
          </cell>
          <cell r="D92">
            <v>27344677468.845596</v>
          </cell>
          <cell r="E92">
            <v>30510340469.731155</v>
          </cell>
          <cell r="F92">
            <v>34154012951.97245</v>
          </cell>
        </row>
      </sheetData>
      <sheetData sheetId="2" refreshError="1"/>
      <sheetData sheetId="3" refreshError="1"/>
      <sheetData sheetId="4" refreshError="1"/>
      <sheetData sheetId="5" refreshError="1"/>
      <sheetData sheetId="6">
        <row r="7">
          <cell r="B7">
            <v>0.49101876217204898</v>
          </cell>
        </row>
      </sheetData>
      <sheetData sheetId="7" refreshError="1"/>
      <sheetData sheetId="8"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mmary"/>
      <sheetName val="Structure"/>
      <sheetName val="Sheet 1"/>
    </sheetNames>
    <sheetDataSet>
      <sheetData sheetId="0" refreshError="1"/>
      <sheetData sheetId="1" refreshError="1"/>
      <sheetData sheetId="2">
        <row r="28">
          <cell r="P28">
            <v>49239.199999999997</v>
          </cell>
          <cell r="R28">
            <v>50264.6</v>
          </cell>
          <cell r="T28">
            <v>56679.7</v>
          </cell>
          <cell r="V28">
            <v>67455.5</v>
          </cell>
          <cell r="X28">
            <v>73792.800000000003</v>
          </cell>
        </row>
      </sheetData>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fo on source"/>
      <sheetName val="Summary"/>
      <sheetName val="Structure"/>
      <sheetName val="Sheet 1"/>
    </sheetNames>
    <sheetDataSet>
      <sheetData sheetId="0" refreshError="1"/>
      <sheetData sheetId="1" refreshError="1"/>
      <sheetData sheetId="2" refreshError="1"/>
      <sheetData sheetId="3">
        <row r="61">
          <cell r="M61">
            <v>3529.3</v>
          </cell>
          <cell r="O61">
            <v>3628.3</v>
          </cell>
          <cell r="Q61">
            <v>4214.8</v>
          </cell>
          <cell r="S61">
            <v>5104.8</v>
          </cell>
          <cell r="U61">
            <v>5709.9</v>
          </cell>
        </row>
      </sheetData>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1. Fiscal"/>
      <sheetName val="2. Distributional by deciles o"/>
      <sheetName val="2. Distributional by HH type"/>
      <sheetName val="2. Distributional by employmen"/>
      <sheetName val="2. Distributional by gender"/>
      <sheetName val="2. Distributional by age group"/>
      <sheetName val="3. Inequality and Poverty"/>
      <sheetName val="Parameter settings"/>
      <sheetName val="Metadata"/>
    </sheetNames>
    <sheetDataSet>
      <sheetData sheetId="0"/>
      <sheetData sheetId="1">
        <row r="28">
          <cell r="I28">
            <v>0.21938678575418477</v>
          </cell>
        </row>
        <row r="29">
          <cell r="I29">
            <v>0.95182884664622425</v>
          </cell>
        </row>
        <row r="30">
          <cell r="I30">
            <v>0.99431955171639763</v>
          </cell>
        </row>
        <row r="31">
          <cell r="I31">
            <v>1</v>
          </cell>
        </row>
        <row r="32">
          <cell r="I32">
            <v>1</v>
          </cell>
        </row>
        <row r="33">
          <cell r="I33">
            <v>1</v>
          </cell>
        </row>
        <row r="34">
          <cell r="I34">
            <v>1</v>
          </cell>
        </row>
        <row r="35">
          <cell r="I35">
            <v>1</v>
          </cell>
        </row>
        <row r="36">
          <cell r="I36">
            <v>1</v>
          </cell>
        </row>
        <row r="37">
          <cell r="I37">
            <v>1</v>
          </cell>
        </row>
        <row r="38">
          <cell r="I38">
            <v>0.899717079948538</v>
          </cell>
        </row>
        <row r="64">
          <cell r="B64">
            <v>2173758.7332000001</v>
          </cell>
          <cell r="C64">
            <v>2287991.8620000011</v>
          </cell>
          <cell r="D64">
            <v>2195595.7440000004</v>
          </cell>
          <cell r="E64">
            <v>2287991.8620000011</v>
          </cell>
          <cell r="F64">
            <v>2197629.0360000008</v>
          </cell>
          <cell r="G64">
            <v>2195595.7440000004</v>
          </cell>
        </row>
        <row r="65">
          <cell r="B65">
            <v>19932931.236000001</v>
          </cell>
          <cell r="C65">
            <v>20899997.054399982</v>
          </cell>
          <cell r="D65">
            <v>20132467.813200004</v>
          </cell>
          <cell r="E65">
            <v>20897333.317199983</v>
          </cell>
          <cell r="F65">
            <v>20173357.599600006</v>
          </cell>
          <cell r="G65">
            <v>20132467.813200004</v>
          </cell>
        </row>
        <row r="66">
          <cell r="B66">
            <v>45157582.049999967</v>
          </cell>
          <cell r="C66">
            <v>46567463.574000038</v>
          </cell>
          <cell r="D66">
            <v>45610606.797599956</v>
          </cell>
          <cell r="E66">
            <v>46563920.988000035</v>
          </cell>
          <cell r="F66">
            <v>45742717.66079998</v>
          </cell>
          <cell r="G66">
            <v>45610606.797599956</v>
          </cell>
        </row>
        <row r="67">
          <cell r="B67">
            <v>84644742.169200003</v>
          </cell>
          <cell r="C67">
            <v>86600263.265999973</v>
          </cell>
          <cell r="D67">
            <v>85495269.554399848</v>
          </cell>
          <cell r="E67">
            <v>86586297.896399975</v>
          </cell>
          <cell r="F67">
            <v>85698814.917599887</v>
          </cell>
          <cell r="G67">
            <v>85495269.554399848</v>
          </cell>
        </row>
        <row r="68">
          <cell r="B68">
            <v>120900741.89159995</v>
          </cell>
          <cell r="C68">
            <v>123247170.41159999</v>
          </cell>
          <cell r="D68">
            <v>122114567.25360002</v>
          </cell>
          <cell r="E68">
            <v>123225047.47920001</v>
          </cell>
          <cell r="F68">
            <v>122356350.76080006</v>
          </cell>
          <cell r="G68">
            <v>122114567.25360002</v>
          </cell>
        </row>
        <row r="69">
          <cell r="B69">
            <v>163732840.85760006</v>
          </cell>
          <cell r="C69">
            <v>166461508.03560004</v>
          </cell>
          <cell r="D69">
            <v>165377975.97240001</v>
          </cell>
          <cell r="E69">
            <v>166418232.11760008</v>
          </cell>
          <cell r="F69">
            <v>165637951.35719994</v>
          </cell>
          <cell r="G69">
            <v>165377975.97240001</v>
          </cell>
        </row>
        <row r="70">
          <cell r="B70">
            <v>222457450.46640009</v>
          </cell>
          <cell r="C70">
            <v>225744743.79119977</v>
          </cell>
          <cell r="D70">
            <v>224691920.40599984</v>
          </cell>
          <cell r="E70">
            <v>225682468.96199971</v>
          </cell>
          <cell r="F70">
            <v>224912558.22839993</v>
          </cell>
          <cell r="G70">
            <v>224691920.40599984</v>
          </cell>
        </row>
        <row r="71">
          <cell r="B71">
            <v>285059557.48320001</v>
          </cell>
          <cell r="C71">
            <v>288914259.49199992</v>
          </cell>
          <cell r="D71">
            <v>287924219.09039968</v>
          </cell>
          <cell r="E71">
            <v>288793517.39520001</v>
          </cell>
          <cell r="F71">
            <v>288144133.73759991</v>
          </cell>
          <cell r="G71">
            <v>287924219.09039968</v>
          </cell>
        </row>
        <row r="72">
          <cell r="B72">
            <v>399311968.53840023</v>
          </cell>
          <cell r="C72">
            <v>404310526.52879977</v>
          </cell>
          <cell r="D72">
            <v>403321662.24600023</v>
          </cell>
          <cell r="E72">
            <v>404020686.75839978</v>
          </cell>
          <cell r="F72">
            <v>403524533.7828002</v>
          </cell>
          <cell r="G72">
            <v>403321662.24600023</v>
          </cell>
        </row>
        <row r="73">
          <cell r="B73">
            <v>782575742.83320069</v>
          </cell>
          <cell r="C73">
            <v>791523496.48080015</v>
          </cell>
          <cell r="D73">
            <v>790447388.32679904</v>
          </cell>
          <cell r="E73">
            <v>790973821.91639948</v>
          </cell>
          <cell r="F73">
            <v>790669799.27879918</v>
          </cell>
          <cell r="G73">
            <v>790447388.32679904</v>
          </cell>
        </row>
        <row r="74">
          <cell r="B74">
            <v>2125947316.2587936</v>
          </cell>
          <cell r="C74">
            <v>2156557420.4963989</v>
          </cell>
          <cell r="D74">
            <v>2147311673.2044001</v>
          </cell>
          <cell r="E74">
            <v>2155449318.6924047</v>
          </cell>
          <cell r="F74">
            <v>2149057846.3595991</v>
          </cell>
          <cell r="G74">
            <v>2147311673.2044001</v>
          </cell>
        </row>
        <row r="82">
          <cell r="B82">
            <v>244242016.95479995</v>
          </cell>
          <cell r="C82">
            <v>246683678.88960004</v>
          </cell>
        </row>
        <row r="83">
          <cell r="B83">
            <v>588365264.04119992</v>
          </cell>
          <cell r="C83">
            <v>594247453.10880017</v>
          </cell>
        </row>
        <row r="84">
          <cell r="B84">
            <v>738264992.25479972</v>
          </cell>
          <cell r="C84">
            <v>745646533.42200089</v>
          </cell>
        </row>
        <row r="85">
          <cell r="B85">
            <v>926469501.42599988</v>
          </cell>
          <cell r="C85">
            <v>935733399.21000087</v>
          </cell>
        </row>
        <row r="86">
          <cell r="B86">
            <v>1100798638.0932012</v>
          </cell>
          <cell r="C86">
            <v>1111806592.1915991</v>
          </cell>
        </row>
        <row r="87">
          <cell r="B87">
            <v>1295724428.7780004</v>
          </cell>
          <cell r="C87">
            <v>1308681542.5991998</v>
          </cell>
        </row>
        <row r="88">
          <cell r="B88">
            <v>1588943261.6819994</v>
          </cell>
          <cell r="C88">
            <v>1604832834.9755995</v>
          </cell>
        </row>
        <row r="89">
          <cell r="B89">
            <v>1898289166.3871999</v>
          </cell>
          <cell r="C89">
            <v>1917272020.5395985</v>
          </cell>
        </row>
        <row r="90">
          <cell r="B90">
            <v>2463707781.8171978</v>
          </cell>
          <cell r="C90">
            <v>2488344713.6640019</v>
          </cell>
        </row>
        <row r="91">
          <cell r="B91">
            <v>4326571171.9956007</v>
          </cell>
          <cell r="C91">
            <v>4369837233.6372051</v>
          </cell>
        </row>
        <row r="92">
          <cell r="B92">
            <v>15171376223.429989</v>
          </cell>
          <cell r="C92">
            <v>15323086002.237585</v>
          </cell>
        </row>
        <row r="100">
          <cell r="B100">
            <v>88508565.663600028</v>
          </cell>
        </row>
        <row r="101">
          <cell r="B101">
            <v>183312445.79160005</v>
          </cell>
        </row>
        <row r="102">
          <cell r="B102">
            <v>347502207.5316</v>
          </cell>
        </row>
        <row r="103">
          <cell r="B103">
            <v>607288351.5708003</v>
          </cell>
        </row>
        <row r="104">
          <cell r="B104">
            <v>838327192.602</v>
          </cell>
        </row>
        <row r="105">
          <cell r="B105">
            <v>1071144271.4484003</v>
          </cell>
        </row>
        <row r="106">
          <cell r="B106">
            <v>1346047665.5592003</v>
          </cell>
        </row>
        <row r="107">
          <cell r="B107">
            <v>1646779706.8284011</v>
          </cell>
        </row>
        <row r="108">
          <cell r="B108">
            <v>2139321244.2767992</v>
          </cell>
        </row>
        <row r="109">
          <cell r="B109">
            <v>3707864453.4083967</v>
          </cell>
        </row>
        <row r="110">
          <cell r="B110">
            <v>11976096104.68082</v>
          </cell>
        </row>
        <row r="118">
          <cell r="B118">
            <v>139751616.78480005</v>
          </cell>
        </row>
        <row r="119">
          <cell r="B119">
            <v>381355383.73320019</v>
          </cell>
        </row>
        <row r="120">
          <cell r="B120">
            <v>359331211.34640002</v>
          </cell>
        </row>
        <row r="121">
          <cell r="B121">
            <v>264607609.91999969</v>
          </cell>
        </row>
        <row r="122">
          <cell r="B122">
            <v>221442845.7216002</v>
          </cell>
        </row>
        <row r="123">
          <cell r="B123">
            <v>177047206.29119995</v>
          </cell>
        </row>
        <row r="124">
          <cell r="B124">
            <v>197617404.96960002</v>
          </cell>
        </row>
        <row r="125">
          <cell r="B125">
            <v>198819106.07879996</v>
          </cell>
        </row>
        <row r="126">
          <cell r="B126">
            <v>236346784.90799999</v>
          </cell>
        </row>
        <row r="127">
          <cell r="B127">
            <v>237468301.00320011</v>
          </cell>
        </row>
        <row r="128">
          <cell r="B128">
            <v>2413787470.7568116</v>
          </cell>
        </row>
        <row r="136">
          <cell r="B136">
            <v>14539815.693599999</v>
          </cell>
        </row>
        <row r="137">
          <cell r="B137">
            <v>18597314.342400003</v>
          </cell>
        </row>
        <row r="138">
          <cell r="B138">
            <v>24668582.806800004</v>
          </cell>
        </row>
        <row r="139">
          <cell r="B139">
            <v>46945560.184800006</v>
          </cell>
        </row>
        <row r="140">
          <cell r="B140">
            <v>31489726.59359999</v>
          </cell>
        </row>
        <row r="141">
          <cell r="B141">
            <v>31410769.707599994</v>
          </cell>
        </row>
        <row r="142">
          <cell r="B142">
            <v>37046012.884799995</v>
          </cell>
        </row>
        <row r="143">
          <cell r="B143">
            <v>41449512.310800001</v>
          </cell>
        </row>
        <row r="144">
          <cell r="B144">
            <v>48719760.955200002</v>
          </cell>
        </row>
        <row r="145">
          <cell r="B145">
            <v>225715162.11239997</v>
          </cell>
        </row>
        <row r="146">
          <cell r="B146">
            <v>520582217.59199989</v>
          </cell>
        </row>
        <row r="154">
          <cell r="B154">
            <v>1442131.9392000004</v>
          </cell>
        </row>
        <row r="155">
          <cell r="B155">
            <v>5100371.9256000007</v>
          </cell>
        </row>
        <row r="156">
          <cell r="B156">
            <v>6763572.6444000006</v>
          </cell>
        </row>
        <row r="157">
          <cell r="B157">
            <v>7627970.6784000015</v>
          </cell>
        </row>
        <row r="158">
          <cell r="B158">
            <v>9539622.1236000024</v>
          </cell>
        </row>
        <row r="159">
          <cell r="B159">
            <v>16122509.200800009</v>
          </cell>
        </row>
        <row r="160">
          <cell r="B160">
            <v>8232819.3143999996</v>
          </cell>
        </row>
        <row r="161">
          <cell r="B161">
            <v>11241507.450000003</v>
          </cell>
        </row>
        <row r="162">
          <cell r="B162">
            <v>39320364.996000014</v>
          </cell>
        </row>
        <row r="163">
          <cell r="B163">
            <v>155524010.76600003</v>
          </cell>
        </row>
        <row r="164">
          <cell r="B164">
            <v>260914881.03840002</v>
          </cell>
        </row>
      </sheetData>
      <sheetData sheetId="2"/>
      <sheetData sheetId="3"/>
      <sheetData sheetId="4"/>
      <sheetData sheetId="5"/>
      <sheetData sheetId="6">
        <row r="7">
          <cell r="B7">
            <v>0.39846898497754502</v>
          </cell>
          <cell r="C7">
            <v>0.39846920842870798</v>
          </cell>
        </row>
        <row r="8">
          <cell r="B8">
            <v>0.37430057468238798</v>
          </cell>
          <cell r="C8">
            <v>0.37446397595347303</v>
          </cell>
        </row>
        <row r="34">
          <cell r="B34">
            <v>0.14990669054889</v>
          </cell>
          <cell r="C34">
            <v>0.14813119261297999</v>
          </cell>
        </row>
      </sheetData>
      <sheetData sheetId="7"/>
      <sheetData sheetId="8"/>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1. Fiscal"/>
      <sheetName val="2. Distributional by deciles o"/>
      <sheetName val="2. Distributional by HH type"/>
      <sheetName val="2. Distributional by employmen"/>
      <sheetName val="2. Distributional by gender"/>
      <sheetName val="2. Distributional by age group"/>
      <sheetName val="3. Inequality and Poverty"/>
      <sheetName val="Parameter settings"/>
      <sheetName val="Metadata"/>
    </sheetNames>
    <sheetDataSet>
      <sheetData sheetId="0" refreshError="1"/>
      <sheetData sheetId="1">
        <row r="28">
          <cell r="I28">
            <v>0.11273372452416817</v>
          </cell>
        </row>
        <row r="29">
          <cell r="I29">
            <v>0.2996517076747095</v>
          </cell>
        </row>
        <row r="30">
          <cell r="I30">
            <v>0.90776037797710041</v>
          </cell>
        </row>
        <row r="31">
          <cell r="I31">
            <v>1</v>
          </cell>
        </row>
        <row r="32">
          <cell r="I32">
            <v>1</v>
          </cell>
        </row>
        <row r="33">
          <cell r="I33">
            <v>1</v>
          </cell>
        </row>
        <row r="34">
          <cell r="I34">
            <v>1</v>
          </cell>
        </row>
        <row r="35">
          <cell r="I35">
            <v>1</v>
          </cell>
        </row>
        <row r="36">
          <cell r="I36">
            <v>1</v>
          </cell>
        </row>
        <row r="37">
          <cell r="I37">
            <v>1</v>
          </cell>
        </row>
        <row r="38">
          <cell r="I38">
            <v>0.78956511581809541</v>
          </cell>
        </row>
        <row r="64">
          <cell r="B64">
            <v>1664620.2852000003</v>
          </cell>
          <cell r="C64">
            <v>1722896.8152000001</v>
          </cell>
          <cell r="D64">
            <v>1681820.3784000003</v>
          </cell>
          <cell r="E64">
            <v>1722896.8152000001</v>
          </cell>
          <cell r="F64">
            <v>1681820.3784000003</v>
          </cell>
          <cell r="G64">
            <v>1681820.3784000003</v>
          </cell>
        </row>
        <row r="65">
          <cell r="B65">
            <v>6218690.8955999995</v>
          </cell>
          <cell r="C65">
            <v>6690796.5336000072</v>
          </cell>
          <cell r="D65">
            <v>6295022.0279999971</v>
          </cell>
          <cell r="E65">
            <v>6688407.5640000068</v>
          </cell>
          <cell r="F65">
            <v>6343463.5439999979</v>
          </cell>
          <cell r="G65">
            <v>6295022.0279999971</v>
          </cell>
        </row>
        <row r="66">
          <cell r="B66">
            <v>33440617.389600098</v>
          </cell>
          <cell r="C66">
            <v>35151728.478</v>
          </cell>
          <cell r="D66">
            <v>33842192.473199964</v>
          </cell>
          <cell r="E66">
            <v>35140107.423600003</v>
          </cell>
          <cell r="F66">
            <v>33976351.327199996</v>
          </cell>
          <cell r="G66">
            <v>33842192.473199964</v>
          </cell>
        </row>
        <row r="67">
          <cell r="B67">
            <v>85542731.401200116</v>
          </cell>
          <cell r="C67">
            <v>88205119.477200001</v>
          </cell>
          <cell r="D67">
            <v>86480313.840000004</v>
          </cell>
          <cell r="E67">
            <v>88171268.429999992</v>
          </cell>
          <cell r="F67">
            <v>86687089.25999999</v>
          </cell>
          <cell r="G67">
            <v>86480313.840000004</v>
          </cell>
        </row>
        <row r="68">
          <cell r="B68">
            <v>140020169.45279992</v>
          </cell>
          <cell r="C68">
            <v>143353812.38639987</v>
          </cell>
          <cell r="D68">
            <v>141505241.60759991</v>
          </cell>
          <cell r="E68">
            <v>143281466.06159988</v>
          </cell>
          <cell r="F68">
            <v>141768259.7076</v>
          </cell>
          <cell r="G68">
            <v>141505241.60759991</v>
          </cell>
        </row>
        <row r="69">
          <cell r="B69">
            <v>206273481.62639999</v>
          </cell>
          <cell r="C69">
            <v>210326375.98799992</v>
          </cell>
          <cell r="D69">
            <v>208424976.49919993</v>
          </cell>
          <cell r="E69">
            <v>210195770.22239983</v>
          </cell>
          <cell r="F69">
            <v>208701316.6991998</v>
          </cell>
          <cell r="G69">
            <v>208424976.49919993</v>
          </cell>
        </row>
        <row r="70">
          <cell r="B70">
            <v>288038709.24359971</v>
          </cell>
          <cell r="C70">
            <v>292965481.21200013</v>
          </cell>
          <cell r="D70">
            <v>291010316.43360001</v>
          </cell>
          <cell r="E70">
            <v>292754736.69839996</v>
          </cell>
          <cell r="F70">
            <v>291244041.69359982</v>
          </cell>
          <cell r="G70">
            <v>291010316.43360001</v>
          </cell>
        </row>
        <row r="71">
          <cell r="B71">
            <v>382734448.31159997</v>
          </cell>
          <cell r="C71">
            <v>388663731.90239996</v>
          </cell>
          <cell r="D71">
            <v>386668098.89160007</v>
          </cell>
          <cell r="E71">
            <v>388281535.93799984</v>
          </cell>
          <cell r="F71">
            <v>386903654.45159996</v>
          </cell>
          <cell r="G71">
            <v>386668098.89160007</v>
          </cell>
        </row>
        <row r="72">
          <cell r="B72">
            <v>548362678.45919991</v>
          </cell>
          <cell r="C72">
            <v>555823109.26559925</v>
          </cell>
          <cell r="D72">
            <v>553963428.89400077</v>
          </cell>
          <cell r="E72">
            <v>555273168.71160018</v>
          </cell>
          <cell r="F72">
            <v>554177600.32800102</v>
          </cell>
          <cell r="G72">
            <v>553963428.89400077</v>
          </cell>
        </row>
        <row r="73">
          <cell r="B73">
            <v>1092358330.2347987</v>
          </cell>
          <cell r="C73">
            <v>1104970172.0304008</v>
          </cell>
          <cell r="D73">
            <v>1103441610.4715991</v>
          </cell>
          <cell r="E73">
            <v>1104298692.9528005</v>
          </cell>
          <cell r="F73">
            <v>1103692932.7199998</v>
          </cell>
          <cell r="G73">
            <v>1103441610.4715991</v>
          </cell>
        </row>
        <row r="74">
          <cell r="B74">
            <v>2784654477.2999964</v>
          </cell>
          <cell r="C74">
            <v>2827873224.0887914</v>
          </cell>
          <cell r="D74">
            <v>2813313021.5172</v>
          </cell>
          <cell r="E74">
            <v>2825808050.8175893</v>
          </cell>
          <cell r="F74">
            <v>2815176530.1096001</v>
          </cell>
          <cell r="G74">
            <v>2813313021.5172</v>
          </cell>
        </row>
        <row r="82">
          <cell r="B82">
            <v>342765412.35479999</v>
          </cell>
          <cell r="C82">
            <v>346193016.60839987</v>
          </cell>
        </row>
        <row r="83">
          <cell r="B83">
            <v>839355242.05079961</v>
          </cell>
          <cell r="C83">
            <v>847748419.98240018</v>
          </cell>
        </row>
        <row r="84">
          <cell r="B84">
            <v>1054740974.9855987</v>
          </cell>
          <cell r="C84">
            <v>1065288678.4272012</v>
          </cell>
        </row>
        <row r="85">
          <cell r="B85">
            <v>1310525785.9236</v>
          </cell>
          <cell r="C85">
            <v>1323630606.7655997</v>
          </cell>
        </row>
        <row r="86">
          <cell r="B86">
            <v>1534226594.1408012</v>
          </cell>
          <cell r="C86">
            <v>1549569379.3152013</v>
          </cell>
        </row>
        <row r="87">
          <cell r="B87">
            <v>1824485814.2940011</v>
          </cell>
          <cell r="C87">
            <v>1842730543.6583986</v>
          </cell>
        </row>
        <row r="88">
          <cell r="B88">
            <v>2221593940.0104003</v>
          </cell>
          <cell r="C88">
            <v>2243810239.5900021</v>
          </cell>
        </row>
        <row r="89">
          <cell r="B89">
            <v>2657979574.6428003</v>
          </cell>
          <cell r="C89">
            <v>2684558679.8015981</v>
          </cell>
        </row>
        <row r="90">
          <cell r="B90">
            <v>3411986757.197998</v>
          </cell>
          <cell r="C90">
            <v>3446106644.8451977</v>
          </cell>
        </row>
        <row r="91">
          <cell r="B91">
            <v>5980916514.2484007</v>
          </cell>
          <cell r="C91">
            <v>6040725359.2668028</v>
          </cell>
        </row>
        <row r="92">
          <cell r="B92">
            <v>21178576609.849232</v>
          </cell>
          <cell r="C92">
            <v>21390361568.260868</v>
          </cell>
        </row>
      </sheetData>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1. Fiscal"/>
      <sheetName val="Parameter settings"/>
      <sheetName val="Metadata"/>
    </sheetNames>
    <sheetDataSet>
      <sheetData sheetId="0">
        <row r="11">
          <cell r="D11">
            <v>2150451649.7231951</v>
          </cell>
          <cell r="E11">
            <v>2130457864.1255994</v>
          </cell>
          <cell r="F11">
            <v>2126991372.7667964</v>
          </cell>
          <cell r="G11">
            <v>2126494793.9663987</v>
          </cell>
        </row>
        <row r="116">
          <cell r="D116">
            <v>15291138835.090834</v>
          </cell>
          <cell r="E116">
            <v>15195508593.260387</v>
          </cell>
          <cell r="F116">
            <v>15176582059.328413</v>
          </cell>
          <cell r="G116">
            <v>15173985222.81485</v>
          </cell>
        </row>
      </sheetData>
      <sheetData sheetId="1"/>
      <sheetData sheetId="2"/>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1. Fiscal"/>
      <sheetName val="Parameter settings"/>
      <sheetName val="Metadata"/>
    </sheetNames>
    <sheetDataSet>
      <sheetData sheetId="0">
        <row r="11">
          <cell r="D11">
            <v>2821124595.8592005</v>
          </cell>
          <cell r="E11">
            <v>2789459587.2035947</v>
          </cell>
          <cell r="F11">
            <v>2786013950.2919979</v>
          </cell>
          <cell r="G11">
            <v>2785237057.2839999</v>
          </cell>
        </row>
        <row r="120">
          <cell r="D120">
            <v>21346548579.009621</v>
          </cell>
          <cell r="E120">
            <v>21212474629.693138</v>
          </cell>
          <cell r="F120">
            <v>21185745538.732796</v>
          </cell>
          <cell r="G120">
            <v>21181321624.271973</v>
          </cell>
        </row>
      </sheetData>
      <sheetData sheetId="1"/>
      <sheetData sheetId="2"/>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1. Fiscal"/>
      <sheetName val="2. Distributional by deciles o"/>
      <sheetName val="2. Distributional by HH type"/>
      <sheetName val="2. Distributional by employmen"/>
      <sheetName val="2. Distributional by gender"/>
      <sheetName val="2. Distributional by age group"/>
      <sheetName val="3. Inequality and Poverty"/>
      <sheetName val="Parameter settings"/>
      <sheetName val="Metadata"/>
    </sheetNames>
    <sheetDataSet>
      <sheetData sheetId="0" refreshError="1"/>
      <sheetData sheetId="1">
        <row r="28">
          <cell r="B28">
            <v>1294306.0032000004</v>
          </cell>
          <cell r="C28">
            <v>1341102.9227999989</v>
          </cell>
          <cell r="D28">
            <v>1308295.3523999986</v>
          </cell>
          <cell r="E28">
            <v>1311217.7003999986</v>
          </cell>
          <cell r="F28">
            <v>1308295.3523999986</v>
          </cell>
          <cell r="G28">
            <v>1308295.3523999986</v>
          </cell>
          <cell r="H28">
            <v>1308295.3523999986</v>
          </cell>
        </row>
        <row r="29">
          <cell r="B29">
            <v>4752172.4592000004</v>
          </cell>
          <cell r="C29">
            <v>4941187.95</v>
          </cell>
          <cell r="D29">
            <v>4802692.5263999989</v>
          </cell>
          <cell r="E29">
            <v>4803179.5835999958</v>
          </cell>
          <cell r="F29">
            <v>4799037.6839999994</v>
          </cell>
          <cell r="G29">
            <v>4802786.1695999987</v>
          </cell>
          <cell r="H29">
            <v>4802786.1695999987</v>
          </cell>
        </row>
        <row r="30">
          <cell r="B30">
            <v>11555035.685999999</v>
          </cell>
          <cell r="C30">
            <v>12004002.886800015</v>
          </cell>
          <cell r="D30">
            <v>11679400.963200008</v>
          </cell>
          <cell r="E30">
            <v>11692506.465600006</v>
          </cell>
          <cell r="F30">
            <v>11682063.182400012</v>
          </cell>
          <cell r="G30">
            <v>11679797.827200007</v>
          </cell>
          <cell r="H30">
            <v>11679797.827200007</v>
          </cell>
        </row>
        <row r="31">
          <cell r="B31">
            <v>22996120.741199985</v>
          </cell>
          <cell r="C31">
            <v>23792728.390799992</v>
          </cell>
          <cell r="D31">
            <v>23250375.346799992</v>
          </cell>
          <cell r="E31">
            <v>23274321.171599999</v>
          </cell>
          <cell r="F31">
            <v>23261904.982799992</v>
          </cell>
          <cell r="G31">
            <v>23253836.281199992</v>
          </cell>
          <cell r="H31">
            <v>23253805.621199992</v>
          </cell>
        </row>
        <row r="32">
          <cell r="B32">
            <v>34947371.961600013</v>
          </cell>
          <cell r="C32">
            <v>36009264.161999986</v>
          </cell>
          <cell r="D32">
            <v>35322307.877999984</v>
          </cell>
          <cell r="E32">
            <v>35348972.575200014</v>
          </cell>
          <cell r="F32">
            <v>35338532.864399984</v>
          </cell>
          <cell r="G32">
            <v>35333841.380399987</v>
          </cell>
          <cell r="H32">
            <v>35333626.364399984</v>
          </cell>
        </row>
        <row r="33">
          <cell r="B33">
            <v>54154396.662000038</v>
          </cell>
          <cell r="C33">
            <v>55608009.450000033</v>
          </cell>
          <cell r="D33">
            <v>54739416.784800053</v>
          </cell>
          <cell r="E33">
            <v>54763609.093199983</v>
          </cell>
          <cell r="F33">
            <v>54750140.37120004</v>
          </cell>
          <cell r="G33">
            <v>54741641.632800058</v>
          </cell>
          <cell r="H33">
            <v>54741102.250800043</v>
          </cell>
        </row>
        <row r="34">
          <cell r="B34">
            <v>80191439.998800069</v>
          </cell>
          <cell r="C34">
            <v>81952566.240000039</v>
          </cell>
          <cell r="D34">
            <v>81023695.577999949</v>
          </cell>
          <cell r="E34">
            <v>81059986.634399995</v>
          </cell>
          <cell r="F34">
            <v>81045539.331599981</v>
          </cell>
          <cell r="G34">
            <v>81042229.02959995</v>
          </cell>
          <cell r="H34">
            <v>81041477.170799956</v>
          </cell>
        </row>
        <row r="35">
          <cell r="B35">
            <v>116901196.32959995</v>
          </cell>
          <cell r="C35">
            <v>119086489.33559994</v>
          </cell>
          <cell r="D35">
            <v>118094989.00559999</v>
          </cell>
          <cell r="E35">
            <v>118118890.48560007</v>
          </cell>
          <cell r="F35">
            <v>118101189.71880007</v>
          </cell>
          <cell r="G35">
            <v>118103113.39800002</v>
          </cell>
          <cell r="H35">
            <v>118103113.39800002</v>
          </cell>
        </row>
        <row r="36">
          <cell r="B36">
            <v>173907978.29879993</v>
          </cell>
          <cell r="C36">
            <v>176840517.56279993</v>
          </cell>
          <cell r="D36">
            <v>175687624.03919995</v>
          </cell>
          <cell r="E36">
            <v>175725964.91879997</v>
          </cell>
          <cell r="F36">
            <v>175703019.65399995</v>
          </cell>
          <cell r="G36">
            <v>175702310.75519997</v>
          </cell>
          <cell r="H36">
            <v>175702310.75519997</v>
          </cell>
        </row>
        <row r="37">
          <cell r="B37">
            <v>434460540.88319993</v>
          </cell>
          <cell r="C37">
            <v>440546905.51200032</v>
          </cell>
          <cell r="D37">
            <v>438851961.17879981</v>
          </cell>
          <cell r="E37">
            <v>438875111.09519988</v>
          </cell>
          <cell r="F37">
            <v>438870365.17079991</v>
          </cell>
          <cell r="G37">
            <v>438865330.66559994</v>
          </cell>
          <cell r="H37">
            <v>438863966.83799976</v>
          </cell>
        </row>
        <row r="38">
          <cell r="B38">
            <v>935160559.02359962</v>
          </cell>
          <cell r="C38">
            <v>952122774.41279697</v>
          </cell>
          <cell r="D38">
            <v>944760758.65319932</v>
          </cell>
          <cell r="E38">
            <v>944973759.72359848</v>
          </cell>
          <cell r="F38">
            <v>944860088.31239855</v>
          </cell>
          <cell r="G38">
            <v>944833182.49199963</v>
          </cell>
          <cell r="H38">
            <v>944830281.7475996</v>
          </cell>
        </row>
      </sheetData>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1. Fiscal"/>
      <sheetName val="2. Distributional by deciles o"/>
      <sheetName val="2. Distributional by HH type"/>
      <sheetName val="2. Distributional by employmen"/>
      <sheetName val="2. Distributional by gender"/>
      <sheetName val="2. Distributional by age group"/>
      <sheetName val="3. Inequality and Poverty"/>
      <sheetName val="Parameter settings"/>
      <sheetName val="Metadata"/>
    </sheetNames>
    <sheetDataSet>
      <sheetData sheetId="0" refreshError="1"/>
      <sheetData sheetId="1">
        <row r="10">
          <cell r="I10">
            <v>0.82952479325856354</v>
          </cell>
        </row>
        <row r="11">
          <cell r="I11">
            <v>0.9763080391172364</v>
          </cell>
        </row>
        <row r="12">
          <cell r="I12">
            <v>0.98632800994999759</v>
          </cell>
        </row>
        <row r="13">
          <cell r="I13">
            <v>1</v>
          </cell>
        </row>
        <row r="14">
          <cell r="I14">
            <v>1</v>
          </cell>
        </row>
        <row r="15">
          <cell r="I15">
            <v>1</v>
          </cell>
        </row>
        <row r="16">
          <cell r="I16">
            <v>1</v>
          </cell>
        </row>
        <row r="17">
          <cell r="I17">
            <v>1</v>
          </cell>
        </row>
        <row r="18">
          <cell r="I18">
            <v>1</v>
          </cell>
        </row>
        <row r="19">
          <cell r="I19">
            <v>1</v>
          </cell>
        </row>
        <row r="20">
          <cell r="I20">
            <v>0.97587546663153912</v>
          </cell>
        </row>
        <row r="38">
          <cell r="D38">
            <v>948759441.08880019</v>
          </cell>
          <cell r="E38">
            <v>936094319.22840035</v>
          </cell>
          <cell r="F38">
            <v>937063143.56040072</v>
          </cell>
          <cell r="G38">
            <v>935703754.18319845</v>
          </cell>
        </row>
        <row r="64">
          <cell r="B64">
            <v>147193254.41759998</v>
          </cell>
          <cell r="C64">
            <v>148665236.50440013</v>
          </cell>
        </row>
        <row r="65">
          <cell r="B65">
            <v>319972960.1436004</v>
          </cell>
          <cell r="C65">
            <v>323172537.97439992</v>
          </cell>
        </row>
        <row r="66">
          <cell r="B66">
            <v>425687193.74999976</v>
          </cell>
          <cell r="C66">
            <v>429944081.67599988</v>
          </cell>
        </row>
        <row r="67">
          <cell r="B67">
            <v>499854267.20639944</v>
          </cell>
          <cell r="C67">
            <v>504852881.41080004</v>
          </cell>
        </row>
        <row r="68">
          <cell r="B68">
            <v>557924069.6748004</v>
          </cell>
          <cell r="C68">
            <v>563503201.15439987</v>
          </cell>
        </row>
        <row r="69">
          <cell r="B69">
            <v>656662621.76760054</v>
          </cell>
          <cell r="C69">
            <v>663229161.55679989</v>
          </cell>
        </row>
        <row r="70">
          <cell r="B70">
            <v>786765987.01079988</v>
          </cell>
          <cell r="C70">
            <v>794633600.03759992</v>
          </cell>
        </row>
        <row r="71">
          <cell r="B71">
            <v>935623252.44239998</v>
          </cell>
          <cell r="C71">
            <v>944979385.41119993</v>
          </cell>
        </row>
        <row r="72">
          <cell r="B72">
            <v>1171165648.7208009</v>
          </cell>
          <cell r="C72">
            <v>1182877337.9976001</v>
          </cell>
        </row>
        <row r="73">
          <cell r="B73">
            <v>2057018168.1491995</v>
          </cell>
          <cell r="C73">
            <v>2077588446.1019998</v>
          </cell>
        </row>
        <row r="74">
          <cell r="B74">
            <v>7557867423.2832012</v>
          </cell>
          <cell r="C74">
            <v>7633445869.8251953</v>
          </cell>
          <cell r="D74">
            <v>7612863195.9215794</v>
          </cell>
          <cell r="E74">
            <v>7568086427.0388193</v>
          </cell>
          <cell r="F74">
            <v>7565545609.1208019</v>
          </cell>
          <cell r="G74">
            <v>7560553706.1468163</v>
          </cell>
        </row>
        <row r="82">
          <cell r="B82">
            <v>52362624.624000013</v>
          </cell>
        </row>
        <row r="83">
          <cell r="B83">
            <v>93053686.469999999</v>
          </cell>
        </row>
        <row r="84">
          <cell r="B84">
            <v>211238702.88959992</v>
          </cell>
        </row>
        <row r="85">
          <cell r="B85">
            <v>286898720.77920008</v>
          </cell>
        </row>
        <row r="86">
          <cell r="B86">
            <v>377928964.88520002</v>
          </cell>
        </row>
        <row r="87">
          <cell r="B87">
            <v>472426971.62279981</v>
          </cell>
        </row>
        <row r="88">
          <cell r="B88">
            <v>606489113.99880004</v>
          </cell>
        </row>
        <row r="89">
          <cell r="B89">
            <v>765722158.43040013</v>
          </cell>
        </row>
        <row r="90">
          <cell r="B90">
            <v>1014904353.2171996</v>
          </cell>
        </row>
        <row r="91">
          <cell r="B91">
            <v>1618561531.026</v>
          </cell>
        </row>
        <row r="92">
          <cell r="B92">
            <v>5499586827.9432011</v>
          </cell>
        </row>
        <row r="100">
          <cell r="B100">
            <v>73510627.266000003</v>
          </cell>
        </row>
        <row r="101">
          <cell r="B101">
            <v>179291755.2624</v>
          </cell>
        </row>
        <row r="102">
          <cell r="B102">
            <v>163215854.79480007</v>
          </cell>
        </row>
        <row r="103">
          <cell r="B103">
            <v>140012704.03679997</v>
          </cell>
        </row>
        <row r="104">
          <cell r="B104">
            <v>106452697.58039993</v>
          </cell>
        </row>
        <row r="105">
          <cell r="B105">
            <v>100442126.43719999</v>
          </cell>
        </row>
        <row r="106">
          <cell r="B106">
            <v>90274629.554400042</v>
          </cell>
        </row>
        <row r="107">
          <cell r="B107">
            <v>58640505.748800009</v>
          </cell>
        </row>
        <row r="108">
          <cell r="B108">
            <v>43832885.25</v>
          </cell>
        </row>
        <row r="109">
          <cell r="B109">
            <v>66233219.003999978</v>
          </cell>
        </row>
        <row r="110">
          <cell r="B110">
            <v>1021907004.9348006</v>
          </cell>
        </row>
        <row r="118">
          <cell r="B118">
            <v>16554390.267600004</v>
          </cell>
        </row>
        <row r="119">
          <cell r="B119">
            <v>33965138.038800009</v>
          </cell>
        </row>
        <row r="120">
          <cell r="B120">
            <v>38693351.291999981</v>
          </cell>
        </row>
        <row r="121">
          <cell r="B121">
            <v>53558327.820000015</v>
          </cell>
        </row>
        <row r="122">
          <cell r="B122">
            <v>55071167.609999992</v>
          </cell>
        </row>
        <row r="123">
          <cell r="B123">
            <v>59939425.860000014</v>
          </cell>
        </row>
        <row r="124">
          <cell r="B124">
            <v>59925042.439199992</v>
          </cell>
        </row>
        <row r="125">
          <cell r="B125">
            <v>77949994.599599987</v>
          </cell>
        </row>
        <row r="126">
          <cell r="B126">
            <v>72566191.501199976</v>
          </cell>
        </row>
        <row r="127">
          <cell r="B127">
            <v>299593562.17439997</v>
          </cell>
        </row>
        <row r="128">
          <cell r="B128">
            <v>767816591.60279977</v>
          </cell>
        </row>
        <row r="136">
          <cell r="B136">
            <v>4765693.3835999984</v>
          </cell>
        </row>
        <row r="137">
          <cell r="B137">
            <v>13662503.371200003</v>
          </cell>
        </row>
        <row r="138">
          <cell r="B138">
            <v>12539354.467200007</v>
          </cell>
        </row>
        <row r="139">
          <cell r="B139">
            <v>19384452.215999972</v>
          </cell>
        </row>
        <row r="140">
          <cell r="B140">
            <v>18471263.722799994</v>
          </cell>
        </row>
        <row r="141">
          <cell r="B141">
            <v>23854232.063999992</v>
          </cell>
        </row>
        <row r="142">
          <cell r="B142">
            <v>30077330.17200001</v>
          </cell>
        </row>
        <row r="143">
          <cell r="B143">
            <v>33310892.036399994</v>
          </cell>
        </row>
        <row r="144">
          <cell r="B144">
            <v>39862310.354400001</v>
          </cell>
        </row>
        <row r="145">
          <cell r="B145">
            <v>72629935.033200011</v>
          </cell>
        </row>
        <row r="146">
          <cell r="B146">
            <v>268557966.82079923</v>
          </cell>
        </row>
      </sheetData>
      <sheetData sheetId="2" refreshError="1"/>
      <sheetData sheetId="3" refreshError="1"/>
      <sheetData sheetId="4" refreshError="1"/>
      <sheetData sheetId="5" refreshError="1"/>
      <sheetData sheetId="6">
        <row r="7">
          <cell r="B7">
            <v>0.36772412938635402</v>
          </cell>
          <cell r="C7">
            <v>0.36772415870265301</v>
          </cell>
        </row>
        <row r="8">
          <cell r="B8">
            <v>0.32988943714866897</v>
          </cell>
          <cell r="C8">
            <v>0.32984723702076801</v>
          </cell>
        </row>
        <row r="34">
          <cell r="B34">
            <v>0.26761424504826198</v>
          </cell>
          <cell r="C34">
            <v>0.26545730187296301</v>
          </cell>
        </row>
      </sheetData>
      <sheetData sheetId="7" refreshError="1"/>
      <sheetData sheetId="8"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1. Fiscal"/>
      <sheetName val="2. Distributional by deciles o"/>
      <sheetName val="2. Distributional by HH type"/>
      <sheetName val="2. Distributional by employmen"/>
      <sheetName val="2. Distributional by gender"/>
      <sheetName val="2. Distributional by age group"/>
      <sheetName val="3. Inequality and Poverty"/>
      <sheetName val="Parameter settings"/>
      <sheetName val="Metadata"/>
    </sheetNames>
    <sheetDataSet>
      <sheetData sheetId="0"/>
      <sheetData sheetId="1">
        <row r="28">
          <cell r="B28">
            <v>1777929.7943999986</v>
          </cell>
          <cell r="C28">
            <v>1839645.9359999979</v>
          </cell>
          <cell r="D28">
            <v>1796993.2175999982</v>
          </cell>
          <cell r="E28">
            <v>1799563.6295999985</v>
          </cell>
          <cell r="F28">
            <v>1796993.2175999982</v>
          </cell>
          <cell r="G28">
            <v>1796993.2175999982</v>
          </cell>
          <cell r="H28">
            <v>1796993.2175999982</v>
          </cell>
        </row>
        <row r="29">
          <cell r="B29">
            <v>6381554.5116000045</v>
          </cell>
          <cell r="C29">
            <v>6596269.498800002</v>
          </cell>
          <cell r="D29">
            <v>6449215.3008000031</v>
          </cell>
          <cell r="E29">
            <v>6456538.8096000031</v>
          </cell>
          <cell r="F29">
            <v>6449355.7656000033</v>
          </cell>
          <cell r="G29">
            <v>6449156.4156000037</v>
          </cell>
          <cell r="H29">
            <v>6449156.4156000037</v>
          </cell>
        </row>
        <row r="30">
          <cell r="B30">
            <v>14867661.807599995</v>
          </cell>
          <cell r="C30">
            <v>15376522.776000001</v>
          </cell>
          <cell r="D30">
            <v>15028692.086400004</v>
          </cell>
          <cell r="E30">
            <v>15049543.831200002</v>
          </cell>
          <cell r="F30">
            <v>15028692.086400004</v>
          </cell>
          <cell r="G30">
            <v>15027996.836400004</v>
          </cell>
          <cell r="H30">
            <v>15027996.836400004</v>
          </cell>
        </row>
        <row r="31">
          <cell r="B31">
            <v>26788681.676399983</v>
          </cell>
          <cell r="C31">
            <v>27575309.478</v>
          </cell>
          <cell r="D31">
            <v>27080024.185199998</v>
          </cell>
          <cell r="E31">
            <v>27116774.15640001</v>
          </cell>
          <cell r="F31">
            <v>27085074.259199999</v>
          </cell>
          <cell r="G31">
            <v>27080695.665599998</v>
          </cell>
          <cell r="H31">
            <v>27079686.165599998</v>
          </cell>
        </row>
        <row r="32">
          <cell r="B32">
            <v>41379723.013199992</v>
          </cell>
          <cell r="C32">
            <v>42521362.798800036</v>
          </cell>
          <cell r="D32">
            <v>41832017.754000016</v>
          </cell>
          <cell r="E32">
            <v>41870171.404800005</v>
          </cell>
          <cell r="F32">
            <v>41842977.276000008</v>
          </cell>
          <cell r="G32">
            <v>41839867.156800009</v>
          </cell>
          <cell r="H32">
            <v>41839082.076000012</v>
          </cell>
        </row>
        <row r="33">
          <cell r="B33">
            <v>63610582.462799974</v>
          </cell>
          <cell r="C33">
            <v>65109281.869199999</v>
          </cell>
          <cell r="D33">
            <v>64278377.46360001</v>
          </cell>
          <cell r="E33">
            <v>64328223.420000002</v>
          </cell>
          <cell r="F33">
            <v>64287851.244000033</v>
          </cell>
          <cell r="G33">
            <v>64276550.904000044</v>
          </cell>
          <cell r="H33">
            <v>64274918.168400034</v>
          </cell>
        </row>
        <row r="34">
          <cell r="B34">
            <v>91871645.53079994</v>
          </cell>
          <cell r="C34">
            <v>93812183.110799998</v>
          </cell>
          <cell r="D34">
            <v>92837590.388399988</v>
          </cell>
          <cell r="E34">
            <v>92899528.796399951</v>
          </cell>
          <cell r="F34">
            <v>92859305.749200031</v>
          </cell>
          <cell r="G34">
            <v>92844544.826400056</v>
          </cell>
          <cell r="H34">
            <v>92842188.433200046</v>
          </cell>
        </row>
        <row r="35">
          <cell r="B35">
            <v>133126533.98279995</v>
          </cell>
          <cell r="C35">
            <v>135563726.62799984</v>
          </cell>
          <cell r="D35">
            <v>134499440.89800018</v>
          </cell>
          <cell r="E35">
            <v>134570782.03080013</v>
          </cell>
          <cell r="F35">
            <v>134512112.42160016</v>
          </cell>
          <cell r="G35">
            <v>134497638.85800019</v>
          </cell>
          <cell r="H35">
            <v>134497255.2528002</v>
          </cell>
        </row>
        <row r="36">
          <cell r="B36">
            <v>200708274.82319999</v>
          </cell>
          <cell r="C36">
            <v>203961557.39040011</v>
          </cell>
          <cell r="D36">
            <v>202757754.18359998</v>
          </cell>
          <cell r="E36">
            <v>202800276.36000001</v>
          </cell>
          <cell r="F36">
            <v>202772351.382</v>
          </cell>
          <cell r="G36">
            <v>202781243.72399998</v>
          </cell>
          <cell r="H36">
            <v>202780167.31439996</v>
          </cell>
        </row>
        <row r="37">
          <cell r="B37">
            <v>493608170.22239983</v>
          </cell>
          <cell r="C37">
            <v>500421323.49720025</v>
          </cell>
          <cell r="D37">
            <v>498608218.82159972</v>
          </cell>
          <cell r="E37">
            <v>498628854.88319975</v>
          </cell>
          <cell r="F37">
            <v>498621365.03639978</v>
          </cell>
          <cell r="G37">
            <v>498611311.73999965</v>
          </cell>
          <cell r="H37">
            <v>498609319.73639971</v>
          </cell>
        </row>
        <row r="38">
          <cell r="B38">
            <v>1074120757.8251975</v>
          </cell>
          <cell r="C38">
            <v>1092777182.9832006</v>
          </cell>
          <cell r="D38">
            <v>1085168324.2992003</v>
          </cell>
          <cell r="E38">
            <v>1085520257.3219993</v>
          </cell>
          <cell r="F38">
            <v>1085256078.4380002</v>
          </cell>
          <cell r="G38">
            <v>1085205999.3443995</v>
          </cell>
          <cell r="H38">
            <v>1085196763.6163995</v>
          </cell>
        </row>
      </sheetData>
      <sheetData sheetId="2"/>
      <sheetData sheetId="3"/>
      <sheetData sheetId="4"/>
      <sheetData sheetId="5"/>
      <sheetData sheetId="6"/>
      <sheetData sheetId="7"/>
      <sheetData sheetId="8"/>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1. Fiscal"/>
      <sheetName val="2. Distributional by deciles o"/>
      <sheetName val="2. Distributional by HH type"/>
      <sheetName val="2. Distributional by employmen"/>
      <sheetName val="2. Distributional by gender"/>
      <sheetName val="2. Distributional by age group"/>
      <sheetName val="3. Inequality and Poverty"/>
      <sheetName val="Parameter settings"/>
      <sheetName val="Metadata"/>
    </sheetNames>
    <sheetDataSet>
      <sheetData sheetId="0" refreshError="1"/>
      <sheetData sheetId="1">
        <row r="10">
          <cell r="I10">
            <v>0.83851601371998108</v>
          </cell>
        </row>
        <row r="11">
          <cell r="I11">
            <v>0.97545407051819122</v>
          </cell>
        </row>
        <row r="12">
          <cell r="I12">
            <v>0.98661475494797324</v>
          </cell>
        </row>
        <row r="13">
          <cell r="I13">
            <v>1</v>
          </cell>
        </row>
        <row r="14">
          <cell r="I14">
            <v>1</v>
          </cell>
        </row>
        <row r="15">
          <cell r="I15">
            <v>1</v>
          </cell>
        </row>
        <row r="16">
          <cell r="I16">
            <v>1</v>
          </cell>
        </row>
        <row r="17">
          <cell r="I17">
            <v>1</v>
          </cell>
        </row>
        <row r="18">
          <cell r="I18">
            <v>1</v>
          </cell>
        </row>
        <row r="19">
          <cell r="I19">
            <v>1</v>
          </cell>
        </row>
        <row r="20">
          <cell r="I20">
            <v>0.97740368567916946</v>
          </cell>
        </row>
        <row r="38">
          <cell r="D38">
            <v>1089302761.7159982</v>
          </cell>
          <cell r="E38">
            <v>1074653213.6183989</v>
          </cell>
          <cell r="F38">
            <v>1076357209.2347982</v>
          </cell>
          <cell r="G38">
            <v>1074723330.6779993</v>
          </cell>
        </row>
        <row r="64">
          <cell r="B64">
            <v>164867614.88760006</v>
          </cell>
          <cell r="C64">
            <v>166516402.72680014</v>
          </cell>
        </row>
        <row r="65">
          <cell r="B65">
            <v>359922492.37920016</v>
          </cell>
          <cell r="C65">
            <v>363521646.59640044</v>
          </cell>
        </row>
        <row r="66">
          <cell r="B66">
            <v>478763382.43440002</v>
          </cell>
          <cell r="C66">
            <v>483551106.33839977</v>
          </cell>
        </row>
        <row r="67">
          <cell r="B67">
            <v>550040324.95200014</v>
          </cell>
          <cell r="C67">
            <v>555540953.7420001</v>
          </cell>
        </row>
        <row r="68">
          <cell r="B68">
            <v>615105506.21279991</v>
          </cell>
          <cell r="C68">
            <v>621256620.40920019</v>
          </cell>
        </row>
        <row r="69">
          <cell r="B69">
            <v>732597473.39279997</v>
          </cell>
          <cell r="C69">
            <v>739923356.47079968</v>
          </cell>
        </row>
        <row r="70">
          <cell r="B70">
            <v>871002952.79879999</v>
          </cell>
          <cell r="C70">
            <v>879713068.16159999</v>
          </cell>
        </row>
        <row r="71">
          <cell r="B71">
            <v>1016848890.1788003</v>
          </cell>
          <cell r="C71">
            <v>1027017288.6264</v>
          </cell>
        </row>
        <row r="72">
          <cell r="B72">
            <v>1295214184.6475992</v>
          </cell>
          <cell r="C72">
            <v>1308166565.2835994</v>
          </cell>
        </row>
        <row r="73">
          <cell r="B73">
            <v>2275842115.7724004</v>
          </cell>
          <cell r="C73">
            <v>2298600675.1043997</v>
          </cell>
        </row>
        <row r="74">
          <cell r="B74">
            <v>8360204937.6564083</v>
          </cell>
          <cell r="C74">
            <v>8443807683.4595947</v>
          </cell>
          <cell r="D74">
            <v>8420462860.184391</v>
          </cell>
          <cell r="E74">
            <v>8371706164.8372364</v>
          </cell>
          <cell r="F74">
            <v>8368856581.3752041</v>
          </cell>
          <cell r="G74">
            <v>8363410877.2500153</v>
          </cell>
        </row>
      </sheetData>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1. Fiscal"/>
      <sheetName val="2. Distributional by deciles o"/>
      <sheetName val="2. Distributional by HH type"/>
      <sheetName val="2. Distributional by employmen"/>
      <sheetName val="2. Distributional by gender"/>
      <sheetName val="2. Distributional by age group"/>
      <sheetName val="3. Inequality and Poverty"/>
      <sheetName val="Parameter settings"/>
      <sheetName val="Metadata"/>
    </sheetNames>
    <sheetDataSet>
      <sheetData sheetId="0"/>
      <sheetData sheetId="1">
        <row r="28">
          <cell r="B28">
            <v>1294306.0032000004</v>
          </cell>
        </row>
        <row r="64">
          <cell r="B64">
            <v>147193254.41759998</v>
          </cell>
          <cell r="C64">
            <v>149267448.03119993</v>
          </cell>
          <cell r="D64">
            <v>154698188.55360019</v>
          </cell>
          <cell r="E64">
            <v>160727177.83319992</v>
          </cell>
          <cell r="F64">
            <v>170194935.63720012</v>
          </cell>
        </row>
        <row r="65">
          <cell r="B65">
            <v>319972960.1436004</v>
          </cell>
          <cell r="C65">
            <v>323463950.64480031</v>
          </cell>
          <cell r="D65">
            <v>333992154.59519982</v>
          </cell>
          <cell r="E65">
            <v>344950551.98760027</v>
          </cell>
          <cell r="F65">
            <v>362489870.20200014</v>
          </cell>
        </row>
        <row r="66">
          <cell r="B66">
            <v>425687193.74999976</v>
          </cell>
          <cell r="C66">
            <v>424856186.5752002</v>
          </cell>
          <cell r="D66">
            <v>439988367.9491998</v>
          </cell>
          <cell r="E66">
            <v>454052394.68159992</v>
          </cell>
          <cell r="F66">
            <v>474844023.55320013</v>
          </cell>
        </row>
        <row r="67">
          <cell r="B67">
            <v>499854267.20639944</v>
          </cell>
          <cell r="C67">
            <v>495469140.40920007</v>
          </cell>
          <cell r="D67">
            <v>513680009.64240021</v>
          </cell>
          <cell r="E67">
            <v>530179303.95119989</v>
          </cell>
          <cell r="F67">
            <v>553058889.66960001</v>
          </cell>
        </row>
        <row r="68">
          <cell r="B68">
            <v>557924069.6748004</v>
          </cell>
          <cell r="C68">
            <v>554088366.84360003</v>
          </cell>
          <cell r="D68">
            <v>575211742.0631994</v>
          </cell>
          <cell r="E68">
            <v>594092773.01880038</v>
          </cell>
          <cell r="F68">
            <v>619051532.10599995</v>
          </cell>
        </row>
        <row r="69">
          <cell r="B69">
            <v>656662621.76760054</v>
          </cell>
          <cell r="C69">
            <v>649088399.49960041</v>
          </cell>
          <cell r="D69">
            <v>674842581.09480023</v>
          </cell>
          <cell r="E69">
            <v>697000533.50159991</v>
          </cell>
          <cell r="F69">
            <v>725840523.42479992</v>
          </cell>
        </row>
        <row r="70">
          <cell r="B70">
            <v>786765987.01079988</v>
          </cell>
          <cell r="C70">
            <v>770853195.07320011</v>
          </cell>
          <cell r="D70">
            <v>802439788.61880028</v>
          </cell>
          <cell r="E70">
            <v>828946667.95200026</v>
          </cell>
          <cell r="F70">
            <v>862994741.4072001</v>
          </cell>
        </row>
        <row r="71">
          <cell r="B71">
            <v>935623252.44239998</v>
          </cell>
          <cell r="C71">
            <v>920003580.78479981</v>
          </cell>
          <cell r="D71">
            <v>959118762.01440072</v>
          </cell>
          <cell r="E71">
            <v>991541519.88719964</v>
          </cell>
          <cell r="F71">
            <v>1031891305.9883997</v>
          </cell>
        </row>
        <row r="72">
          <cell r="B72">
            <v>1171165648.7208009</v>
          </cell>
          <cell r="C72">
            <v>1151988778.6127999</v>
          </cell>
          <cell r="D72">
            <v>1201047149.1312006</v>
          </cell>
          <cell r="E72">
            <v>1240637166.9731989</v>
          </cell>
          <cell r="F72">
            <v>1290181019.3483996</v>
          </cell>
        </row>
        <row r="73">
          <cell r="B73">
            <v>2057018168.1491995</v>
          </cell>
          <cell r="C73">
            <v>2014404048.408</v>
          </cell>
          <cell r="D73">
            <v>2102644388.0279984</v>
          </cell>
          <cell r="E73">
            <v>2178817609.7663999</v>
          </cell>
          <cell r="F73">
            <v>2269658096.3196011</v>
          </cell>
        </row>
        <row r="74">
          <cell r="B74">
            <v>7557867423.2832012</v>
          </cell>
          <cell r="C74">
            <v>7453483094.8824091</v>
          </cell>
          <cell r="D74">
            <v>7757663131.6907997</v>
          </cell>
          <cell r="E74">
            <v>8020945699.5527945</v>
          </cell>
          <cell r="F74">
            <v>8360204937.6564083</v>
          </cell>
        </row>
      </sheetData>
      <sheetData sheetId="2"/>
      <sheetData sheetId="3"/>
      <sheetData sheetId="4"/>
      <sheetData sheetId="5"/>
      <sheetData sheetId="6"/>
      <sheetData sheetId="7"/>
      <sheetData sheetId="8"/>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1. Fiscal"/>
      <sheetName val="2. Distributional by deciles o"/>
      <sheetName val="2. Distributional by HH type"/>
      <sheetName val="2. Distributional by employmen"/>
      <sheetName val="2. Distributional by gender"/>
      <sheetName val="2. Distributional by age group"/>
      <sheetName val="3. Inequality and Poverty"/>
      <sheetName val="Parameter settings"/>
      <sheetName val="Metadata"/>
    </sheetNames>
    <sheetDataSet>
      <sheetData sheetId="0" refreshError="1"/>
      <sheetData sheetId="1">
        <row r="28">
          <cell r="I28">
            <v>0.94561233647912712</v>
          </cell>
        </row>
        <row r="29">
          <cell r="I29">
            <v>0.99951520018332385</v>
          </cell>
        </row>
        <row r="30">
          <cell r="I30">
            <v>1</v>
          </cell>
        </row>
        <row r="31">
          <cell r="I31">
            <v>0.99851600034852883</v>
          </cell>
        </row>
        <row r="32">
          <cell r="I32">
            <v>1</v>
          </cell>
        </row>
        <row r="33">
          <cell r="I33">
            <v>1</v>
          </cell>
        </row>
        <row r="34">
          <cell r="I34">
            <v>0.99969799051240416</v>
          </cell>
        </row>
        <row r="35">
          <cell r="I35">
            <v>1</v>
          </cell>
        </row>
        <row r="36">
          <cell r="I36">
            <v>1</v>
          </cell>
        </row>
        <row r="37">
          <cell r="I37">
            <v>0.99968524825936989</v>
          </cell>
        </row>
        <row r="38">
          <cell r="I38">
            <v>0.99319069366643331</v>
          </cell>
        </row>
        <row r="64">
          <cell r="B64">
            <v>397847393.99640006</v>
          </cell>
          <cell r="C64">
            <v>401008389.45959997</v>
          </cell>
          <cell r="D64">
            <v>394813246.25999999</v>
          </cell>
          <cell r="E64">
            <v>400391680.2432</v>
          </cell>
          <cell r="F64">
            <v>394908605.95560002</v>
          </cell>
          <cell r="G64">
            <v>394816064.81039995</v>
          </cell>
        </row>
        <row r="65">
          <cell r="B65">
            <v>556766320.14479959</v>
          </cell>
          <cell r="C65">
            <v>574756431.14279997</v>
          </cell>
          <cell r="D65">
            <v>562419745.75560093</v>
          </cell>
          <cell r="E65">
            <v>569905082.53079987</v>
          </cell>
          <cell r="F65">
            <v>562688018.66640127</v>
          </cell>
          <cell r="G65">
            <v>562440739.73880112</v>
          </cell>
        </row>
        <row r="66">
          <cell r="B66">
            <v>1097591364.3491998</v>
          </cell>
          <cell r="C66">
            <v>1138805340.4488006</v>
          </cell>
          <cell r="D66">
            <v>1110164138.6267998</v>
          </cell>
          <cell r="E66">
            <v>1126536454.507199</v>
          </cell>
          <cell r="F66">
            <v>1110526027.0631998</v>
          </cell>
          <cell r="G66">
            <v>1110096896.8379998</v>
          </cell>
        </row>
        <row r="67">
          <cell r="B67">
            <v>1748794022.7275999</v>
          </cell>
          <cell r="C67">
            <v>1806006252.0611987</v>
          </cell>
          <cell r="D67">
            <v>1769270341.1087971</v>
          </cell>
          <cell r="E67">
            <v>1786731436.6080012</v>
          </cell>
          <cell r="F67">
            <v>1769847380.9363985</v>
          </cell>
          <cell r="G67">
            <v>1769359518.7895973</v>
          </cell>
        </row>
        <row r="68">
          <cell r="B68">
            <v>2640427348.656004</v>
          </cell>
          <cell r="C68">
            <v>2722838913.268805</v>
          </cell>
          <cell r="D68">
            <v>2671898231.7696004</v>
          </cell>
          <cell r="E68">
            <v>2690171372.3507934</v>
          </cell>
          <cell r="F68">
            <v>2672660913.279604</v>
          </cell>
          <cell r="G68">
            <v>2672089341.282001</v>
          </cell>
        </row>
        <row r="69">
          <cell r="B69">
            <v>3839283052.7807961</v>
          </cell>
          <cell r="C69">
            <v>3965682294.0732021</v>
          </cell>
          <cell r="D69">
            <v>3884611806.6360035</v>
          </cell>
          <cell r="E69">
            <v>3907360574.528399</v>
          </cell>
          <cell r="F69">
            <v>3886170224.3652062</v>
          </cell>
          <cell r="G69">
            <v>3885392778.3228054</v>
          </cell>
        </row>
        <row r="70">
          <cell r="B70">
            <v>5380300034.1011963</v>
          </cell>
          <cell r="C70">
            <v>5539366039.8420038</v>
          </cell>
          <cell r="D70">
            <v>5444363210.1215982</v>
          </cell>
          <cell r="E70">
            <v>5468228498.5691957</v>
          </cell>
          <cell r="F70">
            <v>5445965762.2308035</v>
          </cell>
          <cell r="G70">
            <v>5445256367.4911995</v>
          </cell>
        </row>
        <row r="71">
          <cell r="B71">
            <v>7645432182.9323988</v>
          </cell>
          <cell r="C71">
            <v>7848234124.9223986</v>
          </cell>
          <cell r="D71">
            <v>7735119110.9676075</v>
          </cell>
          <cell r="E71">
            <v>7760262093.7164116</v>
          </cell>
          <cell r="F71">
            <v>7737012703.3296118</v>
          </cell>
          <cell r="G71">
            <v>7735981454.256012</v>
          </cell>
        </row>
        <row r="72">
          <cell r="B72">
            <v>12098600137.576807</v>
          </cell>
          <cell r="C72">
            <v>12374240725.225204</v>
          </cell>
          <cell r="D72">
            <v>12237502914.6252</v>
          </cell>
          <cell r="E72">
            <v>12260772704.995184</v>
          </cell>
          <cell r="F72">
            <v>12239204203.797588</v>
          </cell>
          <cell r="G72">
            <v>12237921459.329988</v>
          </cell>
        </row>
        <row r="73">
          <cell r="B73">
            <v>34343937490.299557</v>
          </cell>
          <cell r="C73">
            <v>34898900841.651527</v>
          </cell>
          <cell r="D73">
            <v>34711424588.000381</v>
          </cell>
          <cell r="E73">
            <v>34733466538.394363</v>
          </cell>
          <cell r="F73">
            <v>34717784097.171524</v>
          </cell>
          <cell r="G73">
            <v>34712926393.523979</v>
          </cell>
        </row>
        <row r="74">
          <cell r="B74">
            <v>69748979347.564926</v>
          </cell>
          <cell r="C74">
            <v>71269839352.095505</v>
          </cell>
          <cell r="D74">
            <v>70521587333.87207</v>
          </cell>
          <cell r="E74">
            <v>70703826436.443512</v>
          </cell>
          <cell r="F74">
            <v>70536767936.796326</v>
          </cell>
          <cell r="G74">
            <v>70526281014.38327</v>
          </cell>
        </row>
        <row r="82">
          <cell r="B82">
            <v>8670886036.6044006</v>
          </cell>
          <cell r="C82">
            <v>8757391065.6887989</v>
          </cell>
        </row>
        <row r="83">
          <cell r="B83">
            <v>23646266616.452366</v>
          </cell>
          <cell r="C83">
            <v>23882626761.807613</v>
          </cell>
        </row>
        <row r="84">
          <cell r="B84">
            <v>28442063878.322418</v>
          </cell>
          <cell r="C84">
            <v>28726252926.044388</v>
          </cell>
        </row>
        <row r="85">
          <cell r="B85">
            <v>33362738789.713249</v>
          </cell>
          <cell r="C85">
            <v>33695998879.939201</v>
          </cell>
        </row>
        <row r="86">
          <cell r="B86">
            <v>37992011894.285995</v>
          </cell>
          <cell r="C86">
            <v>38371782571.290001</v>
          </cell>
        </row>
        <row r="87">
          <cell r="B87">
            <v>44355787035.81842</v>
          </cell>
          <cell r="C87">
            <v>44799295131.373238</v>
          </cell>
        </row>
        <row r="88">
          <cell r="B88">
            <v>50444333537.089249</v>
          </cell>
          <cell r="C88">
            <v>50948621744.357986</v>
          </cell>
        </row>
        <row r="89">
          <cell r="B89">
            <v>59095704862.990883</v>
          </cell>
          <cell r="C89">
            <v>59686546491.54129</v>
          </cell>
        </row>
        <row r="90">
          <cell r="B90">
            <v>71936439658.412354</v>
          </cell>
          <cell r="C90">
            <v>72655804562.416748</v>
          </cell>
        </row>
        <row r="91">
          <cell r="B91">
            <v>133860102417.21976</v>
          </cell>
          <cell r="C91">
            <v>135198669140.95802</v>
          </cell>
        </row>
        <row r="92">
          <cell r="B92">
            <v>491806334726.90942</v>
          </cell>
          <cell r="C92">
            <v>496722989275.41895</v>
          </cell>
        </row>
        <row r="100">
          <cell r="B100">
            <v>4736027474.1647997</v>
          </cell>
        </row>
        <row r="101">
          <cell r="B101">
            <v>7155580071.7020016</v>
          </cell>
        </row>
        <row r="102">
          <cell r="B102">
            <v>12864847728.976797</v>
          </cell>
        </row>
        <row r="103">
          <cell r="B103">
            <v>18178821422.959221</v>
          </cell>
        </row>
        <row r="104">
          <cell r="B104">
            <v>23732349003.625183</v>
          </cell>
        </row>
        <row r="105">
          <cell r="B105">
            <v>29559053853.260387</v>
          </cell>
        </row>
        <row r="106">
          <cell r="B106">
            <v>36678903844.310379</v>
          </cell>
        </row>
        <row r="107">
          <cell r="B107">
            <v>41483636324.365204</v>
          </cell>
        </row>
        <row r="108">
          <cell r="B108">
            <v>50964488448.822037</v>
          </cell>
        </row>
        <row r="109">
          <cell r="B109">
            <v>76842996826.636841</v>
          </cell>
        </row>
        <row r="110">
          <cell r="B110">
            <v>302196704998.82257</v>
          </cell>
        </row>
        <row r="118">
          <cell r="B118">
            <v>2622009446.4203987</v>
          </cell>
        </row>
        <row r="119">
          <cell r="B119">
            <v>14398953443.226006</v>
          </cell>
        </row>
        <row r="120">
          <cell r="B120">
            <v>12903441826.863596</v>
          </cell>
        </row>
        <row r="121">
          <cell r="B121">
            <v>12023241585.089993</v>
          </cell>
        </row>
        <row r="122">
          <cell r="B122">
            <v>10284303411.307199</v>
          </cell>
        </row>
        <row r="123">
          <cell r="B123">
            <v>10571444650.4088</v>
          </cell>
        </row>
        <row r="124">
          <cell r="B124">
            <v>9362738201.5235996</v>
          </cell>
        </row>
        <row r="125">
          <cell r="B125">
            <v>10726809497.405996</v>
          </cell>
        </row>
        <row r="126">
          <cell r="B126">
            <v>10391115111.889204</v>
          </cell>
        </row>
        <row r="127">
          <cell r="B127">
            <v>14512693205.683205</v>
          </cell>
        </row>
        <row r="128">
          <cell r="B128">
            <v>107796750379.81827</v>
          </cell>
        </row>
        <row r="136">
          <cell r="B136">
            <v>1072158774.4752004</v>
          </cell>
        </row>
        <row r="137">
          <cell r="B137">
            <v>1576642729.8336</v>
          </cell>
        </row>
        <row r="138">
          <cell r="B138">
            <v>1927133606.9471998</v>
          </cell>
        </row>
        <row r="139">
          <cell r="B139">
            <v>2213620718.1228004</v>
          </cell>
        </row>
        <row r="140">
          <cell r="B140">
            <v>2915925815.5344014</v>
          </cell>
        </row>
        <row r="141">
          <cell r="B141">
            <v>2935104333.0024009</v>
          </cell>
        </row>
        <row r="142">
          <cell r="B142">
            <v>2952756297.922801</v>
          </cell>
        </row>
        <row r="143">
          <cell r="B143">
            <v>4811485921.1784</v>
          </cell>
        </row>
        <row r="144">
          <cell r="B144">
            <v>8232276801.3948059</v>
          </cell>
        </row>
        <row r="145">
          <cell r="B145">
            <v>16902861807.884388</v>
          </cell>
        </row>
        <row r="146">
          <cell r="B146">
            <v>45539966806.296013</v>
          </cell>
        </row>
        <row r="154">
          <cell r="B154">
            <v>240692422.01040003</v>
          </cell>
        </row>
        <row r="155">
          <cell r="B155">
            <v>515092353.52320075</v>
          </cell>
        </row>
        <row r="156">
          <cell r="B156">
            <v>746641250.19600034</v>
          </cell>
        </row>
        <row r="157">
          <cell r="B157">
            <v>947055337.60080028</v>
          </cell>
        </row>
        <row r="158">
          <cell r="B158">
            <v>1059434693.7371991</v>
          </cell>
        </row>
        <row r="159">
          <cell r="B159">
            <v>1290184016.1359992</v>
          </cell>
        </row>
        <row r="160">
          <cell r="B160">
            <v>1449937950.1703973</v>
          </cell>
        </row>
        <row r="161">
          <cell r="B161">
            <v>2073773153.1827979</v>
          </cell>
        </row>
        <row r="162">
          <cell r="B162">
            <v>2348562041.177999</v>
          </cell>
        </row>
        <row r="163">
          <cell r="B163">
            <v>25601549038.642784</v>
          </cell>
        </row>
        <row r="164">
          <cell r="B164">
            <v>36272922256.377625</v>
          </cell>
        </row>
      </sheetData>
      <sheetData sheetId="2" refreshError="1"/>
      <sheetData sheetId="3" refreshError="1"/>
      <sheetData sheetId="4" refreshError="1"/>
      <sheetData sheetId="5" refreshError="1"/>
      <sheetData sheetId="6">
        <row r="7">
          <cell r="B7">
            <v>0.35991038103255901</v>
          </cell>
          <cell r="C7">
            <v>0.35991211626472802</v>
          </cell>
        </row>
        <row r="8">
          <cell r="B8">
            <v>0.31471624279733201</v>
          </cell>
          <cell r="C8">
            <v>0.314505255798052</v>
          </cell>
        </row>
        <row r="34">
          <cell r="B34">
            <v>0.27451485472389597</v>
          </cell>
          <cell r="C34">
            <v>0.27223623013327503</v>
          </cell>
        </row>
      </sheetData>
      <sheetData sheetId="7" refreshError="1"/>
      <sheetData sheetId="8"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1. Fiscal"/>
      <sheetName val="2. Distributional by deciles o"/>
      <sheetName val="2. Distributional by HH type"/>
      <sheetName val="2. Distributional by employmen"/>
      <sheetName val="2. Distributional by gender"/>
      <sheetName val="2. Distributional by age group"/>
      <sheetName val="3. Inequality and Poverty"/>
      <sheetName val="Parameter settings"/>
      <sheetName val="Metadata"/>
    </sheetNames>
    <sheetDataSet>
      <sheetData sheetId="0" refreshError="1"/>
      <sheetData sheetId="1">
        <row r="28">
          <cell r="I28">
            <v>0.94875174961777686</v>
          </cell>
        </row>
        <row r="29">
          <cell r="I29">
            <v>0.99952071915399399</v>
          </cell>
        </row>
        <row r="30">
          <cell r="I30">
            <v>1</v>
          </cell>
        </row>
        <row r="31">
          <cell r="I31">
            <v>0.9985249766707156</v>
          </cell>
        </row>
        <row r="32">
          <cell r="I32">
            <v>1</v>
          </cell>
        </row>
        <row r="33">
          <cell r="I33">
            <v>1</v>
          </cell>
        </row>
        <row r="34">
          <cell r="I34">
            <v>0.99969423405743563</v>
          </cell>
        </row>
        <row r="35">
          <cell r="I35">
            <v>1</v>
          </cell>
        </row>
        <row r="36">
          <cell r="I36">
            <v>1</v>
          </cell>
        </row>
        <row r="37">
          <cell r="I37">
            <v>0.99968030975690747</v>
          </cell>
        </row>
        <row r="38">
          <cell r="I38">
            <v>0.99356407127806856</v>
          </cell>
        </row>
        <row r="64">
          <cell r="B64">
            <v>385044145.62720001</v>
          </cell>
          <cell r="C64">
            <v>388267131.08880001</v>
          </cell>
          <cell r="D64">
            <v>380687728.51559961</v>
          </cell>
        </row>
        <row r="65">
          <cell r="B65">
            <v>553769009.19959998</v>
          </cell>
          <cell r="C65">
            <v>573673621.46520042</v>
          </cell>
          <cell r="D65">
            <v>559303172.12159991</v>
          </cell>
        </row>
        <row r="66">
          <cell r="B66">
            <v>1152229993.5192013</v>
          </cell>
          <cell r="C66">
            <v>1198578900.9744</v>
          </cell>
          <cell r="D66">
            <v>1165721825.1780014</v>
          </cell>
        </row>
        <row r="67">
          <cell r="B67">
            <v>1888751951.0196011</v>
          </cell>
          <cell r="C67">
            <v>1955544482.7048001</v>
          </cell>
          <cell r="D67">
            <v>1911546020.7803988</v>
          </cell>
        </row>
        <row r="68">
          <cell r="B68">
            <v>2945032650.4776006</v>
          </cell>
          <cell r="C68">
            <v>3045573997.6452017</v>
          </cell>
          <cell r="D68">
            <v>2980705066.2564001</v>
          </cell>
        </row>
        <row r="69">
          <cell r="B69">
            <v>4456436099.9027958</v>
          </cell>
          <cell r="C69">
            <v>4609763118.4115992</v>
          </cell>
          <cell r="D69">
            <v>4510398653.2800016</v>
          </cell>
        </row>
        <row r="70">
          <cell r="B70">
            <v>6263559362.2379971</v>
          </cell>
          <cell r="C70">
            <v>6449581603.1507931</v>
          </cell>
          <cell r="D70">
            <v>6339201780.9179964</v>
          </cell>
        </row>
        <row r="71">
          <cell r="B71">
            <v>9017178512.1060143</v>
          </cell>
          <cell r="C71">
            <v>9258905320.6920109</v>
          </cell>
          <cell r="D71">
            <v>9124577380.4148121</v>
          </cell>
        </row>
        <row r="72">
          <cell r="B72">
            <v>14252662281.213593</v>
          </cell>
          <cell r="C72">
            <v>14578870058.332787</v>
          </cell>
          <cell r="D72">
            <v>14417224719.261627</v>
          </cell>
        </row>
        <row r="73">
          <cell r="B73">
            <v>41072484242.910004</v>
          </cell>
          <cell r="C73">
            <v>41720455923.708008</v>
          </cell>
          <cell r="D73">
            <v>41508274436.320831</v>
          </cell>
        </row>
        <row r="74">
          <cell r="B74">
            <v>81987148248.213593</v>
          </cell>
          <cell r="C74">
            <v>83779214158.173645</v>
          </cell>
          <cell r="D74">
            <v>82897640783.047043</v>
          </cell>
        </row>
        <row r="82">
          <cell r="B82">
            <v>10031277934.654819</v>
          </cell>
          <cell r="C82">
            <v>10131355658.725206</v>
          </cell>
        </row>
        <row r="83">
          <cell r="B83">
            <v>27375154440.794441</v>
          </cell>
          <cell r="C83">
            <v>27648764495.846436</v>
          </cell>
        </row>
        <row r="84">
          <cell r="B84">
            <v>32746179926.838051</v>
          </cell>
          <cell r="C84">
            <v>33073336275.286823</v>
          </cell>
        </row>
        <row r="85">
          <cell r="B85">
            <v>38148397408.263626</v>
          </cell>
          <cell r="C85">
            <v>38529641331.201584</v>
          </cell>
        </row>
        <row r="86">
          <cell r="B86">
            <v>43339355139.950378</v>
          </cell>
          <cell r="C86">
            <v>43772626010.189964</v>
          </cell>
        </row>
        <row r="87">
          <cell r="B87">
            <v>50854121337.265182</v>
          </cell>
          <cell r="C87">
            <v>51362490815.062752</v>
          </cell>
        </row>
        <row r="88">
          <cell r="B88">
            <v>57827590338.142685</v>
          </cell>
          <cell r="C88">
            <v>58405866891.223183</v>
          </cell>
        </row>
        <row r="89">
          <cell r="B89">
            <v>67952696311.773582</v>
          </cell>
          <cell r="C89">
            <v>68632225786.815651</v>
          </cell>
        </row>
        <row r="90">
          <cell r="B90">
            <v>82732009732.681061</v>
          </cell>
          <cell r="C90">
            <v>83559290719.830002</v>
          </cell>
        </row>
        <row r="91">
          <cell r="B91">
            <v>155492885914.44501</v>
          </cell>
          <cell r="C91">
            <v>157047813695.33783</v>
          </cell>
        </row>
        <row r="92">
          <cell r="B92">
            <v>566499668484.81006</v>
          </cell>
          <cell r="C92">
            <v>572163411679.52429</v>
          </cell>
        </row>
      </sheetData>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1. Fiscal"/>
      <sheetName val="2. Distributional by deciles o"/>
      <sheetName val="2. Distributional by HH type"/>
      <sheetName val="2. Distributional by employmen"/>
      <sheetName val="2. Distributional by gender"/>
      <sheetName val="2. Distributional by age group"/>
      <sheetName val="Parameter settings"/>
      <sheetName val="Metadata"/>
    </sheetNames>
    <sheetDataSet>
      <sheetData sheetId="0">
        <row r="112">
          <cell r="D112">
            <v>494827488038.97632</v>
          </cell>
          <cell r="E112">
            <v>492883984499.81628</v>
          </cell>
          <cell r="F112">
            <v>492261458398.78217</v>
          </cell>
          <cell r="G112">
            <v>492169055344.01788</v>
          </cell>
        </row>
      </sheetData>
      <sheetData sheetId="1">
        <row r="56">
          <cell r="D56">
            <v>70806875677.969604</v>
          </cell>
          <cell r="E56">
            <v>70007913058.126373</v>
          </cell>
          <cell r="F56">
            <v>69881046272.790558</v>
          </cell>
          <cell r="G56">
            <v>69823621700.053253</v>
          </cell>
        </row>
      </sheetData>
      <sheetData sheetId="2" refreshError="1"/>
      <sheetData sheetId="3" refreshError="1"/>
      <sheetData sheetId="4" refreshError="1"/>
      <sheetData sheetId="5" refreshError="1"/>
      <sheetData sheetId="6" refreshError="1"/>
      <sheetData sheetId="7"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1. Fiscal"/>
      <sheetName val="2. Distributional by deciles o"/>
      <sheetName val="2. Distributional by HH type"/>
      <sheetName val="2. Distributional by employmen"/>
      <sheetName val="2. Distributional by gender"/>
      <sheetName val="2. Distributional by age group"/>
      <sheetName val="Parameter settings"/>
      <sheetName val="Metadata"/>
    </sheetNames>
    <sheetDataSet>
      <sheetData sheetId="0" refreshError="1"/>
      <sheetData sheetId="1">
        <row r="56">
          <cell r="D56">
            <v>83256813268.591156</v>
          </cell>
          <cell r="E56">
            <v>82251323554.232635</v>
          </cell>
          <cell r="F56">
            <v>82155311711.133698</v>
          </cell>
          <cell r="G56">
            <v>82079264256.213547</v>
          </cell>
        </row>
        <row r="74">
          <cell r="D74">
            <v>570046161207.20972</v>
          </cell>
          <cell r="E74">
            <v>567674584052.33057</v>
          </cell>
          <cell r="F74">
            <v>567033937825.67908</v>
          </cell>
          <cell r="G74">
            <v>566907751557.80591</v>
          </cell>
        </row>
      </sheetData>
      <sheetData sheetId="2" refreshError="1"/>
      <sheetData sheetId="3" refreshError="1"/>
      <sheetData sheetId="4" refreshError="1"/>
      <sheetData sheetId="5" refreshError="1"/>
      <sheetData sheetId="6" refreshError="1"/>
      <sheetData sheetId="7"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1. Fiscal"/>
      <sheetName val="2. Distributional by deciles o"/>
      <sheetName val="2. Distributional by HH type"/>
      <sheetName val="2. Distributional by employmen"/>
      <sheetName val="2. Distributional by gender"/>
      <sheetName val="2. Distributional by age group"/>
      <sheetName val="3. Inequality and Poverty"/>
      <sheetName val="Parameter settings"/>
      <sheetName val="Metadata"/>
    </sheetNames>
    <sheetDataSet>
      <sheetData sheetId="0"/>
      <sheetData sheetId="1">
        <row r="10">
          <cell r="M10">
            <v>0.67424340697516993</v>
          </cell>
        </row>
        <row r="46">
          <cell r="B46">
            <v>397847393.99640024</v>
          </cell>
          <cell r="C46">
            <v>441191437.24079978</v>
          </cell>
          <cell r="D46">
            <v>403387609.73040009</v>
          </cell>
          <cell r="E46">
            <v>381254524.26479959</v>
          </cell>
          <cell r="F46">
            <v>390099278.80559999</v>
          </cell>
          <cell r="H46">
            <v>463126401.03599977</v>
          </cell>
          <cell r="I46">
            <v>366099007.04640049</v>
          </cell>
          <cell r="J46">
            <v>343389849.93599975</v>
          </cell>
          <cell r="K46">
            <v>334313527.51919985</v>
          </cell>
          <cell r="L46">
            <v>475683942.12840039</v>
          </cell>
        </row>
        <row r="47">
          <cell r="B47">
            <v>556766320.14479983</v>
          </cell>
          <cell r="C47">
            <v>592601597.2572006</v>
          </cell>
          <cell r="D47">
            <v>555413935.86119974</v>
          </cell>
          <cell r="E47">
            <v>597411824.92199945</v>
          </cell>
          <cell r="F47">
            <v>603641954.31479955</v>
          </cell>
          <cell r="H47">
            <v>837554077.40880156</v>
          </cell>
          <cell r="I47">
            <v>643416522.1608007</v>
          </cell>
          <cell r="J47">
            <v>606602276.04600024</v>
          </cell>
          <cell r="K47">
            <v>592047289.22160053</v>
          </cell>
          <cell r="L47">
            <v>914015999.50439823</v>
          </cell>
        </row>
        <row r="48">
          <cell r="B48">
            <v>1097591364.3491983</v>
          </cell>
          <cell r="C48">
            <v>1161740384.0735998</v>
          </cell>
          <cell r="D48">
            <v>1097113999.8732004</v>
          </cell>
          <cell r="E48">
            <v>1179213616.2024016</v>
          </cell>
          <cell r="F48">
            <v>1180745647.672801</v>
          </cell>
          <cell r="H48">
            <v>1654118173.8132005</v>
          </cell>
          <cell r="I48">
            <v>1184874688.8912013</v>
          </cell>
          <cell r="J48">
            <v>1089881705.2715998</v>
          </cell>
          <cell r="K48">
            <v>1053690362.1431992</v>
          </cell>
          <cell r="L48">
            <v>1726392149.671205</v>
          </cell>
        </row>
        <row r="49">
          <cell r="B49">
            <v>1748794022.7276011</v>
          </cell>
          <cell r="C49">
            <v>1831892062.6823997</v>
          </cell>
          <cell r="D49">
            <v>1762532449.2516007</v>
          </cell>
          <cell r="E49">
            <v>1886274494.8776016</v>
          </cell>
          <cell r="F49">
            <v>1893084029.8547983</v>
          </cell>
          <cell r="H49">
            <v>2561850942.9096012</v>
          </cell>
          <cell r="I49">
            <v>1942509343.0944035</v>
          </cell>
          <cell r="J49">
            <v>1802379840.7871997</v>
          </cell>
          <cell r="K49">
            <v>1747427403.4644034</v>
          </cell>
          <cell r="L49">
            <v>2545249644.0179973</v>
          </cell>
        </row>
        <row r="50">
          <cell r="B50">
            <v>2640427348.6559987</v>
          </cell>
          <cell r="C50">
            <v>2775983282.8236022</v>
          </cell>
          <cell r="D50">
            <v>2719047165.6107979</v>
          </cell>
          <cell r="E50">
            <v>2913838484.6088052</v>
          </cell>
          <cell r="F50">
            <v>2959190379.5376034</v>
          </cell>
          <cell r="H50">
            <v>3897595690.3715987</v>
          </cell>
          <cell r="I50">
            <v>3009388518.6516013</v>
          </cell>
          <cell r="J50">
            <v>2823923780.4131966</v>
          </cell>
          <cell r="K50">
            <v>2750227294.5923953</v>
          </cell>
          <cell r="L50">
            <v>3837368999.3627958</v>
          </cell>
        </row>
        <row r="51">
          <cell r="B51">
            <v>3839283052.7807989</v>
          </cell>
          <cell r="C51">
            <v>4054819017.6048021</v>
          </cell>
          <cell r="D51">
            <v>4014550799.5895877</v>
          </cell>
          <cell r="E51">
            <v>4297172841.5603924</v>
          </cell>
          <cell r="F51">
            <v>4392668466.6240025</v>
          </cell>
          <cell r="H51">
            <v>5631944317.4964027</v>
          </cell>
          <cell r="I51">
            <v>4331890629.374402</v>
          </cell>
          <cell r="J51">
            <v>4051761446.9208012</v>
          </cell>
          <cell r="K51">
            <v>3944107830.4116011</v>
          </cell>
          <cell r="L51">
            <v>5556406721.8163996</v>
          </cell>
        </row>
        <row r="52">
          <cell r="B52">
            <v>5380300034.1012115</v>
          </cell>
          <cell r="C52">
            <v>5693423295.9096079</v>
          </cell>
          <cell r="D52">
            <v>5677178179.5983973</v>
          </cell>
          <cell r="E52">
            <v>6049391635.5000019</v>
          </cell>
          <cell r="F52">
            <v>6216160595.8560095</v>
          </cell>
          <cell r="H52">
            <v>7682182227.0288086</v>
          </cell>
          <cell r="I52">
            <v>6133920899.1816006</v>
          </cell>
          <cell r="J52">
            <v>5774213751.638422</v>
          </cell>
          <cell r="K52">
            <v>5631333010.5383968</v>
          </cell>
          <cell r="L52">
            <v>7512697215.3347912</v>
          </cell>
        </row>
        <row r="53">
          <cell r="B53">
            <v>7645432182.9323864</v>
          </cell>
          <cell r="C53">
            <v>8080465077.0995836</v>
          </cell>
          <cell r="D53">
            <v>8116255427.4264069</v>
          </cell>
          <cell r="E53">
            <v>8616435179.98559</v>
          </cell>
          <cell r="F53">
            <v>8936605227.9180069</v>
          </cell>
          <cell r="H53">
            <v>10602476674.021242</v>
          </cell>
          <cell r="I53">
            <v>8742745753.5852127</v>
          </cell>
          <cell r="J53">
            <v>8298891867.3804045</v>
          </cell>
          <cell r="K53">
            <v>8121082016.2223911</v>
          </cell>
          <cell r="L53">
            <v>10366591345.537212</v>
          </cell>
        </row>
        <row r="54">
          <cell r="B54">
            <v>12098600137.57679</v>
          </cell>
          <cell r="C54">
            <v>12720358872.821976</v>
          </cell>
          <cell r="D54">
            <v>12870265496.386816</v>
          </cell>
          <cell r="E54">
            <v>13620626361.085197</v>
          </cell>
          <cell r="F54">
            <v>14253418448.504396</v>
          </cell>
          <cell r="H54">
            <v>16237155555.128372</v>
          </cell>
          <cell r="I54">
            <v>14011285385.923216</v>
          </cell>
          <cell r="J54">
            <v>13471918840.066826</v>
          </cell>
          <cell r="K54">
            <v>13252768511.080799</v>
          </cell>
          <cell r="L54">
            <v>15838699766.950802</v>
          </cell>
        </row>
        <row r="55">
          <cell r="B55">
            <v>34343937490.299545</v>
          </cell>
          <cell r="C55">
            <v>35348260352.659164</v>
          </cell>
          <cell r="D55">
            <v>36592363106.240417</v>
          </cell>
          <cell r="E55">
            <v>38202804755.36161</v>
          </cell>
          <cell r="F55">
            <v>41161534219.125603</v>
          </cell>
          <cell r="H55">
            <v>42858308239.780762</v>
          </cell>
          <cell r="I55">
            <v>39862590106.339172</v>
          </cell>
          <cell r="J55">
            <v>39123365904.932426</v>
          </cell>
          <cell r="K55">
            <v>38823718036.028381</v>
          </cell>
          <cell r="L55">
            <v>42999177051.661148</v>
          </cell>
        </row>
        <row r="56">
          <cell r="B56">
            <v>69748979347.565369</v>
          </cell>
          <cell r="C56">
            <v>72700735380.172913</v>
          </cell>
          <cell r="D56">
            <v>73808108169.568817</v>
          </cell>
          <cell r="E56">
            <v>77744423718.368759</v>
          </cell>
          <cell r="F56">
            <v>81987148248.213913</v>
          </cell>
          <cell r="H56">
            <v>92426312298.994629</v>
          </cell>
          <cell r="I56">
            <v>80228720854.247986</v>
          </cell>
          <cell r="J56">
            <v>77386329263.392792</v>
          </cell>
          <cell r="K56">
            <v>76250715281.222382</v>
          </cell>
          <cell r="L56">
            <v>91772282835.984848</v>
          </cell>
        </row>
        <row r="64">
          <cell r="B64">
            <v>8670886036.6044044</v>
          </cell>
          <cell r="C64">
            <v>9013641025.5960007</v>
          </cell>
          <cell r="D64">
            <v>9180930228.0096149</v>
          </cell>
          <cell r="E64">
            <v>9452507880.1271877</v>
          </cell>
          <cell r="F64">
            <v>10052747214.975628</v>
          </cell>
        </row>
        <row r="65">
          <cell r="B65">
            <v>23646266616.452473</v>
          </cell>
          <cell r="C65">
            <v>24409101296.402428</v>
          </cell>
          <cell r="D65">
            <v>24870353096.272781</v>
          </cell>
          <cell r="E65">
            <v>25495577965.625988</v>
          </cell>
          <cell r="F65">
            <v>27168129098.341217</v>
          </cell>
        </row>
        <row r="66">
          <cell r="B66">
            <v>28442063878.322365</v>
          </cell>
          <cell r="C66">
            <v>29404080965.052002</v>
          </cell>
          <cell r="D66">
            <v>29903630386.174828</v>
          </cell>
          <cell r="E66">
            <v>30723516531.273613</v>
          </cell>
          <cell r="F66">
            <v>32416926219.954033</v>
          </cell>
        </row>
        <row r="67">
          <cell r="B67">
            <v>33362738789.713135</v>
          </cell>
          <cell r="C67">
            <v>34545740865.12957</v>
          </cell>
          <cell r="D67">
            <v>35127056108.867966</v>
          </cell>
          <cell r="E67">
            <v>36160376763.971947</v>
          </cell>
          <cell r="F67">
            <v>38016075934.772354</v>
          </cell>
        </row>
        <row r="68">
          <cell r="B68">
            <v>37992011894.285904</v>
          </cell>
          <cell r="C68">
            <v>39426066168.029976</v>
          </cell>
          <cell r="D68">
            <v>40096525440.594055</v>
          </cell>
          <cell r="E68">
            <v>41356318736.840408</v>
          </cell>
          <cell r="F68">
            <v>43444343877.961182</v>
          </cell>
        </row>
        <row r="69">
          <cell r="B69">
            <v>44355787035.818398</v>
          </cell>
          <cell r="C69">
            <v>46064827703.770782</v>
          </cell>
          <cell r="D69">
            <v>46855777872.272423</v>
          </cell>
          <cell r="E69">
            <v>48371212923.528015</v>
          </cell>
          <cell r="F69">
            <v>50797265427.891685</v>
          </cell>
        </row>
        <row r="70">
          <cell r="B70">
            <v>50444333537.089211</v>
          </cell>
          <cell r="C70">
            <v>52479751570.579239</v>
          </cell>
          <cell r="D70">
            <v>53398479433.485657</v>
          </cell>
          <cell r="E70">
            <v>55176502737.888016</v>
          </cell>
          <cell r="F70">
            <v>57955696477.678787</v>
          </cell>
        </row>
        <row r="71">
          <cell r="B71">
            <v>59095704862.990791</v>
          </cell>
          <cell r="C71">
            <v>61479120312.730789</v>
          </cell>
          <cell r="D71">
            <v>62551070238.642082</v>
          </cell>
          <cell r="E71">
            <v>64644875158.102722</v>
          </cell>
          <cell r="F71">
            <v>67884136211.83078</v>
          </cell>
        </row>
        <row r="72">
          <cell r="B72">
            <v>71936439658.412506</v>
          </cell>
          <cell r="C72">
            <v>74917299770.228333</v>
          </cell>
          <cell r="D72">
            <v>76243133908.229858</v>
          </cell>
          <cell r="E72">
            <v>78878807983.47467</v>
          </cell>
          <cell r="F72">
            <v>82865245605.997284</v>
          </cell>
        </row>
        <row r="73">
          <cell r="B73">
            <v>133860102417.21977</v>
          </cell>
          <cell r="C73">
            <v>139360105205.48285</v>
          </cell>
          <cell r="D73">
            <v>142461511974.58563</v>
          </cell>
          <cell r="E73">
            <v>147449386527.43811</v>
          </cell>
          <cell r="F73">
            <v>155899102415.40546</v>
          </cell>
        </row>
        <row r="74">
          <cell r="B74">
            <v>491806334726.90869</v>
          </cell>
          <cell r="C74">
            <v>511099734883.00146</v>
          </cell>
          <cell r="D74">
            <v>520688468687.13489</v>
          </cell>
          <cell r="E74">
            <v>537709083208.2702</v>
          </cell>
          <cell r="F74">
            <v>566499668484.8147</v>
          </cell>
        </row>
      </sheetData>
      <sheetData sheetId="2"/>
      <sheetData sheetId="3"/>
      <sheetData sheetId="4"/>
      <sheetData sheetId="5"/>
      <sheetData sheetId="6"/>
      <sheetData sheetId="7"/>
      <sheetData sheetId="8"/>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mmary"/>
      <sheetName val="Structure"/>
      <sheetName val="Sheet 1"/>
    </sheetNames>
    <sheetDataSet>
      <sheetData sheetId="0" refreshError="1"/>
      <sheetData sheetId="1" refreshError="1"/>
      <sheetData sheetId="2">
        <row r="32">
          <cell r="P32">
            <v>829767</v>
          </cell>
          <cell r="R32">
            <v>816463</v>
          </cell>
          <cell r="T32">
            <v>891550</v>
          </cell>
          <cell r="V32">
            <v>993820</v>
          </cell>
          <cell r="X32">
            <v>1067599</v>
          </cell>
        </row>
      </sheetData>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Hoja1"/>
    </sheetNames>
    <sheetDataSet>
      <sheetData sheetId="0">
        <row r="24">
          <cell r="J24" vm="5">
            <v>7.9476789999999999</v>
          </cell>
          <cell r="K24" vm="1">
            <v>8.4632649999999998</v>
          </cell>
          <cell r="L24" vm="2">
            <v>9.0722260000000006</v>
          </cell>
          <cell r="M24" vm="3">
            <v>8.5290730000000003</v>
          </cell>
          <cell r="N24" vm="4">
            <v>8.1742299999999997</v>
          </cell>
        </row>
      </sheetData>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1. Fiscal"/>
      <sheetName val="2. Distributional by deciles o"/>
      <sheetName val="2. Distributional by HH type"/>
      <sheetName val="2. Distributional by employmen"/>
      <sheetName val="2. Distributional by gender"/>
      <sheetName val="2. Distributional by age group"/>
      <sheetName val="3. Inequality and Poverty"/>
      <sheetName val="Parameter settings"/>
      <sheetName val="Metadata"/>
    </sheetNames>
    <sheetDataSet>
      <sheetData sheetId="0"/>
      <sheetData sheetId="1">
        <row r="28">
          <cell r="J28">
            <v>8.5206575405597007E-2</v>
          </cell>
        </row>
        <row r="29">
          <cell r="J29">
            <v>0.19560507728694035</v>
          </cell>
        </row>
        <row r="30">
          <cell r="J30">
            <v>0.40785684902872477</v>
          </cell>
        </row>
        <row r="31">
          <cell r="J31">
            <v>0.73847606661194876</v>
          </cell>
        </row>
        <row r="32">
          <cell r="J32">
            <v>0.94549124615336766</v>
          </cell>
        </row>
        <row r="33">
          <cell r="J33">
            <v>0.98711289521940271</v>
          </cell>
        </row>
        <row r="34">
          <cell r="J34">
            <v>0.98960102179084863</v>
          </cell>
        </row>
        <row r="35">
          <cell r="J35">
            <v>0.99990653588502199</v>
          </cell>
        </row>
        <row r="36">
          <cell r="J36">
            <v>0.999960532562023</v>
          </cell>
        </row>
        <row r="37">
          <cell r="J37">
            <v>0.99944957091923337</v>
          </cell>
        </row>
        <row r="38">
          <cell r="J38">
            <v>0.72107749085160822</v>
          </cell>
        </row>
        <row r="64">
          <cell r="B64">
            <v>10682931.704400003</v>
          </cell>
          <cell r="C64">
            <v>11104345.238399997</v>
          </cell>
          <cell r="D64">
            <v>10801290.42</v>
          </cell>
          <cell r="E64">
            <v>11100757.409999998</v>
          </cell>
          <cell r="F64">
            <v>11047043.235599998</v>
          </cell>
          <cell r="G64">
            <v>10848626.252399998</v>
          </cell>
          <cell r="H64">
            <v>10801290.42</v>
          </cell>
        </row>
        <row r="65">
          <cell r="B65">
            <v>24660129.689999983</v>
          </cell>
          <cell r="C65">
            <v>26498747.509199977</v>
          </cell>
          <cell r="D65">
            <v>24970724.026800014</v>
          </cell>
          <cell r="E65">
            <v>26413598.621999983</v>
          </cell>
          <cell r="F65">
            <v>26021372.816399984</v>
          </cell>
          <cell r="G65">
            <v>25256510.72639998</v>
          </cell>
          <cell r="H65">
            <v>25022051.674800009</v>
          </cell>
        </row>
        <row r="66">
          <cell r="B66">
            <v>77312471.604000017</v>
          </cell>
          <cell r="C66">
            <v>81718520.781599909</v>
          </cell>
          <cell r="D66">
            <v>78325704.60359998</v>
          </cell>
          <cell r="E66">
            <v>81398176.611599907</v>
          </cell>
          <cell r="F66">
            <v>80074526.025600046</v>
          </cell>
          <cell r="G66">
            <v>79246788.520800054</v>
          </cell>
          <cell r="H66">
            <v>78567377.528399959</v>
          </cell>
        </row>
        <row r="67">
          <cell r="B67">
            <v>168059789.09879968</v>
          </cell>
          <cell r="C67">
            <v>178292574.33719999</v>
          </cell>
          <cell r="D67">
            <v>170155272.24359998</v>
          </cell>
          <cell r="E67">
            <v>177538070.50199983</v>
          </cell>
          <cell r="F67">
            <v>175050991.11959988</v>
          </cell>
          <cell r="G67">
            <v>171750470.51399985</v>
          </cell>
          <cell r="H67">
            <v>170658794.046</v>
          </cell>
        </row>
        <row r="68">
          <cell r="B68">
            <v>333159850.38360029</v>
          </cell>
          <cell r="C68">
            <v>347754382.73759991</v>
          </cell>
          <cell r="D68">
            <v>337391097.60960031</v>
          </cell>
          <cell r="E68">
            <v>345717313.82280022</v>
          </cell>
          <cell r="F68">
            <v>341554098.57119966</v>
          </cell>
          <cell r="G68">
            <v>339899860.51799965</v>
          </cell>
          <cell r="H68">
            <v>338362424.02080035</v>
          </cell>
        </row>
        <row r="69">
          <cell r="B69">
            <v>580414997.54879951</v>
          </cell>
          <cell r="C69">
            <v>600159118.40880013</v>
          </cell>
          <cell r="D69">
            <v>587181290.45280075</v>
          </cell>
          <cell r="E69">
            <v>596991700.5612011</v>
          </cell>
          <cell r="F69">
            <v>591667948.82520044</v>
          </cell>
          <cell r="G69">
            <v>589810692.51720023</v>
          </cell>
          <cell r="H69">
            <v>588069562.48920047</v>
          </cell>
        </row>
        <row r="70">
          <cell r="B70">
            <v>984885033.40679991</v>
          </cell>
          <cell r="C70">
            <v>1012314772.0788013</v>
          </cell>
          <cell r="D70">
            <v>995903084.20799923</v>
          </cell>
          <cell r="E70">
            <v>1006364592.7020009</v>
          </cell>
          <cell r="F70">
            <v>999594662.62799978</v>
          </cell>
          <cell r="G70">
            <v>998970226.82519996</v>
          </cell>
          <cell r="H70">
            <v>997170277.35120034</v>
          </cell>
        </row>
        <row r="71">
          <cell r="B71">
            <v>1634339357.4900019</v>
          </cell>
          <cell r="C71">
            <v>1671539616.220798</v>
          </cell>
          <cell r="D71">
            <v>1652130258.0852027</v>
          </cell>
          <cell r="E71">
            <v>1663285382.1275988</v>
          </cell>
          <cell r="F71">
            <v>1656030157.0428019</v>
          </cell>
          <cell r="G71">
            <v>1655310762.2256021</v>
          </cell>
          <cell r="H71">
            <v>1653426196.4304006</v>
          </cell>
        </row>
        <row r="72">
          <cell r="B72">
            <v>2974603188.0648022</v>
          </cell>
          <cell r="C72">
            <v>3032333960.3807983</v>
          </cell>
          <cell r="D72">
            <v>3006063861.5639949</v>
          </cell>
          <cell r="E72">
            <v>3018327310.454402</v>
          </cell>
          <cell r="F72">
            <v>3009860127.8604012</v>
          </cell>
          <cell r="G72">
            <v>3009469401.2268014</v>
          </cell>
          <cell r="H72">
            <v>3007519340.0159979</v>
          </cell>
        </row>
        <row r="73">
          <cell r="B73">
            <v>8318059402.0896034</v>
          </cell>
          <cell r="C73">
            <v>8445263044.7916031</v>
          </cell>
          <cell r="D73">
            <v>8403147105.9791908</v>
          </cell>
          <cell r="E73">
            <v>8414286286.1615953</v>
          </cell>
          <cell r="F73">
            <v>8406726184.2275934</v>
          </cell>
          <cell r="G73">
            <v>8406367765.9115944</v>
          </cell>
          <cell r="H73">
            <v>8404407670.4783936</v>
          </cell>
        </row>
        <row r="74">
          <cell r="B74">
            <v>15106177151.080799</v>
          </cell>
          <cell r="C74">
            <v>15406979082.484783</v>
          </cell>
          <cell r="D74">
            <v>15266069689.192886</v>
          </cell>
          <cell r="E74">
            <v>15341423188.975267</v>
          </cell>
          <cell r="F74">
            <v>15297627112.352491</v>
          </cell>
          <cell r="G74">
            <v>15286931105.238091</v>
          </cell>
          <cell r="H74">
            <v>15274004984.45528</v>
          </cell>
        </row>
        <row r="82">
          <cell r="B82">
            <v>2143661668.7568021</v>
          </cell>
          <cell r="C82">
            <v>2165097722.1611991</v>
          </cell>
        </row>
        <row r="83">
          <cell r="B83">
            <v>4423369217.5799942</v>
          </cell>
          <cell r="C83">
            <v>4467604305.6924</v>
          </cell>
        </row>
        <row r="84">
          <cell r="B84">
            <v>5754016316.1264</v>
          </cell>
          <cell r="C84">
            <v>5811555390.4512024</v>
          </cell>
        </row>
        <row r="85">
          <cell r="B85">
            <v>6713951195.7360058</v>
          </cell>
          <cell r="C85">
            <v>6781089615.1979961</v>
          </cell>
        </row>
        <row r="86">
          <cell r="B86">
            <v>7909729591.6391964</v>
          </cell>
          <cell r="C86">
            <v>7988824280.9040051</v>
          </cell>
        </row>
        <row r="87">
          <cell r="B87">
            <v>9405428923.4184017</v>
          </cell>
          <cell r="C87">
            <v>9499482360.5208073</v>
          </cell>
        </row>
        <row r="88">
          <cell r="B88">
            <v>11088047402.480398</v>
          </cell>
          <cell r="C88">
            <v>11198925362.484001</v>
          </cell>
        </row>
        <row r="89">
          <cell r="B89">
            <v>13510719078.505215</v>
          </cell>
          <cell r="C89">
            <v>13645823929.796385</v>
          </cell>
        </row>
        <row r="90">
          <cell r="B90">
            <v>18183066607.023575</v>
          </cell>
          <cell r="C90">
            <v>18364895508.68399</v>
          </cell>
        </row>
        <row r="91">
          <cell r="B91">
            <v>33667873124.578823</v>
          </cell>
          <cell r="C91">
            <v>34004547113.821163</v>
          </cell>
        </row>
        <row r="92">
          <cell r="B92">
            <v>112799863125.84506</v>
          </cell>
          <cell r="C92">
            <v>113927845589.71347</v>
          </cell>
        </row>
        <row r="100">
          <cell r="B100">
            <v>929707041.36120093</v>
          </cell>
        </row>
        <row r="101">
          <cell r="B101">
            <v>1979000722.7363992</v>
          </cell>
        </row>
        <row r="102">
          <cell r="B102">
            <v>2982634129.9524012</v>
          </cell>
        </row>
        <row r="103">
          <cell r="B103">
            <v>4113692573.7540016</v>
          </cell>
        </row>
        <row r="104">
          <cell r="B104">
            <v>5614038938.1383982</v>
          </cell>
        </row>
        <row r="105">
          <cell r="B105">
            <v>6699569211.5339956</v>
          </cell>
        </row>
        <row r="106">
          <cell r="B106">
            <v>8086535068.2936096</v>
          </cell>
        </row>
        <row r="107">
          <cell r="B107">
            <v>9487862592.6455994</v>
          </cell>
        </row>
        <row r="108">
          <cell r="B108">
            <v>12590433978.405605</v>
          </cell>
        </row>
        <row r="109">
          <cell r="B109">
            <v>20478121209.16082</v>
          </cell>
        </row>
        <row r="110">
          <cell r="B110">
            <v>72961595465.981918</v>
          </cell>
        </row>
        <row r="118">
          <cell r="B118">
            <v>1000365109.0751994</v>
          </cell>
        </row>
        <row r="119">
          <cell r="B119">
            <v>2231147370.1055989</v>
          </cell>
        </row>
        <row r="120">
          <cell r="B120">
            <v>2468971266.5207987</v>
          </cell>
        </row>
        <row r="121">
          <cell r="B121">
            <v>2250470502.6252003</v>
          </cell>
        </row>
        <row r="122">
          <cell r="B122">
            <v>1886569420.9992008</v>
          </cell>
        </row>
        <row r="123">
          <cell r="B123">
            <v>2206809604.6236024</v>
          </cell>
        </row>
        <row r="124">
          <cell r="B124">
            <v>2371825089.4068012</v>
          </cell>
        </row>
        <row r="125">
          <cell r="B125">
            <v>3026619544.8263988</v>
          </cell>
        </row>
        <row r="126">
          <cell r="B126">
            <v>4038347238.1739931</v>
          </cell>
        </row>
        <row r="127">
          <cell r="B127">
            <v>7190218326.2639999</v>
          </cell>
        </row>
        <row r="128">
          <cell r="B128">
            <v>28671343472.620903</v>
          </cell>
        </row>
        <row r="136">
          <cell r="B136">
            <v>173733440.55360001</v>
          </cell>
        </row>
        <row r="137">
          <cell r="B137">
            <v>173648508.94560003</v>
          </cell>
        </row>
        <row r="138">
          <cell r="B138">
            <v>247939887.79559997</v>
          </cell>
        </row>
        <row r="139">
          <cell r="B139">
            <v>257280167.19599998</v>
          </cell>
        </row>
        <row r="140">
          <cell r="B140">
            <v>268861246.26000011</v>
          </cell>
        </row>
        <row r="141">
          <cell r="B141">
            <v>330716484.99240017</v>
          </cell>
        </row>
        <row r="142">
          <cell r="B142">
            <v>445105318.16159987</v>
          </cell>
        </row>
        <row r="143">
          <cell r="B143">
            <v>686034565.57439971</v>
          </cell>
        </row>
        <row r="144">
          <cell r="B144">
            <v>1168518237.7247996</v>
          </cell>
        </row>
        <row r="145">
          <cell r="B145">
            <v>4585570423.3739996</v>
          </cell>
        </row>
        <row r="146">
          <cell r="B146">
            <v>8337408280.5780048</v>
          </cell>
        </row>
        <row r="154">
          <cell r="B154">
            <v>39855914.100000001</v>
          </cell>
        </row>
        <row r="155">
          <cell r="B155">
            <v>39572753.18280001</v>
          </cell>
        </row>
        <row r="156">
          <cell r="B156">
            <v>54471143.649599999</v>
          </cell>
        </row>
        <row r="157">
          <cell r="B157">
            <v>92507915.933999985</v>
          </cell>
        </row>
        <row r="158">
          <cell r="B158">
            <v>140260102.92000002</v>
          </cell>
        </row>
        <row r="159">
          <cell r="B159">
            <v>168334196.27759999</v>
          </cell>
        </row>
        <row r="160">
          <cell r="B160">
            <v>184581851.46240005</v>
          </cell>
        </row>
        <row r="161">
          <cell r="B161">
            <v>310201636.91759998</v>
          </cell>
        </row>
        <row r="162">
          <cell r="B162">
            <v>385767360.32879996</v>
          </cell>
        </row>
        <row r="163">
          <cell r="B163">
            <v>1413961573.6499999</v>
          </cell>
        </row>
        <row r="164">
          <cell r="B164">
            <v>2829514448.4227977</v>
          </cell>
        </row>
      </sheetData>
      <sheetData sheetId="2"/>
      <sheetData sheetId="3"/>
      <sheetData sheetId="4"/>
      <sheetData sheetId="5"/>
      <sheetData sheetId="6">
        <row r="7">
          <cell r="B7">
            <v>0.39338243110232901</v>
          </cell>
          <cell r="C7">
            <v>0.39338244416310802</v>
          </cell>
        </row>
        <row r="8">
          <cell r="B8">
            <v>0.343912278929418</v>
          </cell>
          <cell r="C8">
            <v>0.34372760795249302</v>
          </cell>
        </row>
        <row r="34">
          <cell r="B34">
            <v>0.32440527394457702</v>
          </cell>
          <cell r="C34">
            <v>0.32195672788011298</v>
          </cell>
        </row>
      </sheetData>
      <sheetData sheetId="7"/>
      <sheetData sheetId="8"/>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1. Fiscal"/>
      <sheetName val="2. Distributional by deciles o"/>
      <sheetName val="2. Distributional by HH type"/>
      <sheetName val="2. Distributional by employmen"/>
      <sheetName val="2. Distributional by gender"/>
      <sheetName val="2. Distributional by age group"/>
      <sheetName val="3. Inequality and Poverty"/>
      <sheetName val="Parameter settings"/>
      <sheetName val="Metadata"/>
    </sheetNames>
    <sheetDataSet>
      <sheetData sheetId="0"/>
      <sheetData sheetId="1">
        <row r="28">
          <cell r="J28">
            <v>3.6951177716899875E-2</v>
          </cell>
        </row>
        <row r="29">
          <cell r="J29">
            <v>1.2115848930469006</v>
          </cell>
        </row>
        <row r="30">
          <cell r="J30">
            <v>0.62250753242980017</v>
          </cell>
        </row>
        <row r="31">
          <cell r="J31">
            <v>1.6365612554539</v>
          </cell>
        </row>
        <row r="32">
          <cell r="J32">
            <v>1.0412161574938961</v>
          </cell>
        </row>
        <row r="33">
          <cell r="J33">
            <v>0.56978840437650335</v>
          </cell>
        </row>
        <row r="34">
          <cell r="J34">
            <v>1.4714819746408647E-2</v>
          </cell>
        </row>
        <row r="35">
          <cell r="J35">
            <v>0</v>
          </cell>
        </row>
        <row r="36">
          <cell r="J36">
            <v>0</v>
          </cell>
        </row>
        <row r="37">
          <cell r="J37">
            <v>0</v>
          </cell>
        </row>
        <row r="38">
          <cell r="J38">
            <v>0.51937729322790727</v>
          </cell>
        </row>
        <row r="64">
          <cell r="B64">
            <v>8493817.6644000001</v>
          </cell>
          <cell r="C64">
            <v>8721126.5231999978</v>
          </cell>
          <cell r="D64">
            <v>8582326.0799999982</v>
          </cell>
        </row>
        <row r="65">
          <cell r="B65">
            <v>15675644.073600005</v>
          </cell>
          <cell r="C65">
            <v>16913686.000799995</v>
          </cell>
          <cell r="D65">
            <v>15881588.132400004</v>
          </cell>
        </row>
        <row r="66">
          <cell r="B66">
            <v>75911623.592399925</v>
          </cell>
          <cell r="C66">
            <v>80215213.15080002</v>
          </cell>
          <cell r="D66">
            <v>76801223.037600026</v>
          </cell>
        </row>
        <row r="67">
          <cell r="B67">
            <v>134034910.58519995</v>
          </cell>
          <cell r="C67">
            <v>143829588.52680004</v>
          </cell>
          <cell r="D67">
            <v>135667484.67480001</v>
          </cell>
        </row>
        <row r="68">
          <cell r="B68">
            <v>334459545.69599992</v>
          </cell>
          <cell r="C68">
            <v>353152473.34919983</v>
          </cell>
          <cell r="D68">
            <v>338550644.88720053</v>
          </cell>
        </row>
        <row r="69">
          <cell r="B69">
            <v>687589981.70519936</v>
          </cell>
          <cell r="C69">
            <v>715724538.39720047</v>
          </cell>
          <cell r="D69">
            <v>695408600.76719797</v>
          </cell>
        </row>
        <row r="70">
          <cell r="B70">
            <v>1245750671.2836003</v>
          </cell>
          <cell r="C70">
            <v>1282344083.5668004</v>
          </cell>
          <cell r="D70">
            <v>1259454672.5903993</v>
          </cell>
        </row>
        <row r="71">
          <cell r="B71">
            <v>2106382464.670804</v>
          </cell>
          <cell r="C71">
            <v>2153760551.1251998</v>
          </cell>
          <cell r="D71">
            <v>2129028165.1475987</v>
          </cell>
        </row>
        <row r="72">
          <cell r="B72">
            <v>3768573218.5548067</v>
          </cell>
          <cell r="C72">
            <v>3839132420.8487968</v>
          </cell>
          <cell r="D72">
            <v>3808116868.8240037</v>
          </cell>
        </row>
        <row r="73">
          <cell r="B73">
            <v>10085388707.319595</v>
          </cell>
          <cell r="C73">
            <v>10234735681.308012</v>
          </cell>
          <cell r="D73">
            <v>10188307957.860016</v>
          </cell>
        </row>
        <row r="74">
          <cell r="B74">
            <v>18462260585.14566</v>
          </cell>
          <cell r="C74">
            <v>18828529362.796677</v>
          </cell>
          <cell r="D74">
            <v>18655799532.001221</v>
          </cell>
        </row>
        <row r="82">
          <cell r="B82">
            <v>2545080425.2092047</v>
          </cell>
          <cell r="C82">
            <v>2570533566.3384027</v>
          </cell>
        </row>
        <row r="83">
          <cell r="B83">
            <v>5141244706.8227978</v>
          </cell>
          <cell r="C83">
            <v>5192657571.382803</v>
          </cell>
        </row>
        <row r="84">
          <cell r="B84">
            <v>6658498182.7583904</v>
          </cell>
          <cell r="C84">
            <v>6725081839.7759857</v>
          </cell>
        </row>
        <row r="85">
          <cell r="B85">
            <v>7878162078.0011902</v>
          </cell>
          <cell r="C85">
            <v>7956945614.6807957</v>
          </cell>
        </row>
        <row r="86">
          <cell r="B86">
            <v>9334740231.0527992</v>
          </cell>
          <cell r="C86">
            <v>9428088120.7536144</v>
          </cell>
        </row>
        <row r="87">
          <cell r="B87">
            <v>11079757577.920799</v>
          </cell>
          <cell r="C87">
            <v>11190556142.230795</v>
          </cell>
        </row>
        <row r="88">
          <cell r="B88">
            <v>13214035207.555199</v>
          </cell>
          <cell r="C88">
            <v>13346177541.468</v>
          </cell>
        </row>
        <row r="89">
          <cell r="B89">
            <v>15915408115.629604</v>
          </cell>
          <cell r="C89">
            <v>16074560661.987631</v>
          </cell>
        </row>
        <row r="90">
          <cell r="B90">
            <v>21461187244.815601</v>
          </cell>
          <cell r="C90">
            <v>21675796615.456787</v>
          </cell>
        </row>
        <row r="91">
          <cell r="B91">
            <v>39289624486.041588</v>
          </cell>
          <cell r="C91">
            <v>39682518835.286415</v>
          </cell>
        </row>
        <row r="92">
          <cell r="B92">
            <v>132517738255.80658</v>
          </cell>
          <cell r="C92">
            <v>133842916509.36203</v>
          </cell>
        </row>
      </sheetData>
      <sheetData sheetId="2"/>
      <sheetData sheetId="3"/>
      <sheetData sheetId="4"/>
      <sheetData sheetId="5"/>
      <sheetData sheetId="6"/>
      <sheetData sheetId="7"/>
      <sheetData sheetId="8"/>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Fiscal"/>
      <sheetName val="2. Distributional by deciles o"/>
      <sheetName val="2. Distributional by HH type"/>
      <sheetName val="2. Distributional by employmen"/>
      <sheetName val="2. Distributional by gender"/>
      <sheetName val="2. Distributional by age group"/>
      <sheetName val="3. Inequality and Poverty"/>
      <sheetName val="Parameter settings"/>
      <sheetName val="Metadata"/>
    </sheetNames>
    <sheetDataSet>
      <sheetData sheetId="0">
        <row r="12">
          <cell r="D12">
            <v>229608487.68000025</v>
          </cell>
          <cell r="E12">
            <v>229608487.68000025</v>
          </cell>
          <cell r="F12">
            <v>229608487.68000025</v>
          </cell>
          <cell r="G12">
            <v>231891392.948401</v>
          </cell>
        </row>
        <row r="13">
          <cell r="D13">
            <v>15082641989.894444</v>
          </cell>
          <cell r="E13">
            <v>14940492172.280445</v>
          </cell>
          <cell r="F13">
            <v>14898140454.118809</v>
          </cell>
          <cell r="G13">
            <v>14883497865.367184</v>
          </cell>
        </row>
        <row r="96">
          <cell r="D96">
            <v>113529455156.00305</v>
          </cell>
          <cell r="E96">
            <v>113086584598.41113</v>
          </cell>
          <cell r="F96">
            <v>112883236759.72318</v>
          </cell>
          <cell r="G96">
            <v>112828155613.29883</v>
          </cell>
        </row>
      </sheetData>
      <sheetData sheetId="1"/>
      <sheetData sheetId="2"/>
      <sheetData sheetId="3"/>
      <sheetData sheetId="4"/>
      <sheetData sheetId="5"/>
      <sheetData sheetId="6"/>
      <sheetData sheetId="7"/>
      <sheetData sheetId="8"/>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Fiscal"/>
      <sheetName val="2. Distributional by deciles o"/>
      <sheetName val="2. Distributional by HH type"/>
      <sheetName val="2. Distributional by employmen"/>
      <sheetName val="2. Distributional by gender"/>
      <sheetName val="2. Distributional by age group"/>
      <sheetName val="3. Inequality and Poverty"/>
      <sheetName val="Parameter settings"/>
      <sheetName val="Metadata"/>
    </sheetNames>
    <sheetDataSet>
      <sheetData sheetId="0">
        <row r="12">
          <cell r="D12">
            <v>237449989.17359978</v>
          </cell>
          <cell r="E12">
            <v>237449989.17359978</v>
          </cell>
          <cell r="F12">
            <v>237449989.17359978</v>
          </cell>
          <cell r="G12">
            <v>239800573.94999981</v>
          </cell>
        </row>
        <row r="13">
          <cell r="D13">
            <v>18487227417.586792</v>
          </cell>
          <cell r="E13">
            <v>18290850413.118019</v>
          </cell>
          <cell r="F13">
            <v>18251474640.466881</v>
          </cell>
          <cell r="G13">
            <v>18231441752.498459</v>
          </cell>
        </row>
        <row r="100">
          <cell r="D100">
            <v>133405108429.29562</v>
          </cell>
          <cell r="E100">
            <v>132825329353.80374</v>
          </cell>
          <cell r="F100">
            <v>132619379706.65744</v>
          </cell>
          <cell r="G100">
            <v>132546311168.58295</v>
          </cell>
        </row>
      </sheetData>
      <sheetData sheetId="1"/>
      <sheetData sheetId="2"/>
      <sheetData sheetId="3"/>
      <sheetData sheetId="4"/>
      <sheetData sheetId="5"/>
      <sheetData sheetId="6"/>
      <sheetData sheetId="7"/>
      <sheetData sheetId="8"/>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1. Fiscal"/>
      <sheetName val="2. Distributional by deciles o"/>
      <sheetName val="2. Distributional by HH type"/>
      <sheetName val="2. Distributional by employmen"/>
      <sheetName val="2. Distributional by gender"/>
      <sheetName val="2. Distributional by age group"/>
      <sheetName val="3. Inequality and Poverty"/>
      <sheetName val="Parameter settings"/>
      <sheetName val="Metadata"/>
    </sheetNames>
    <sheetDataSet>
      <sheetData sheetId="0"/>
      <sheetData sheetId="1">
        <row r="28">
          <cell r="M28">
            <v>8.2006727835984408E-2</v>
          </cell>
        </row>
        <row r="64">
          <cell r="B64">
            <v>10682931.704400003</v>
          </cell>
          <cell r="C64">
            <v>10460005.342799995</v>
          </cell>
          <cell r="D64">
            <v>11659240.182</v>
          </cell>
          <cell r="E64">
            <v>13433189.473200005</v>
          </cell>
          <cell r="F64">
            <v>8288840.2620000001</v>
          </cell>
          <cell r="H64">
            <v>18102903.290399991</v>
          </cell>
          <cell r="I64">
            <v>12180077.736</v>
          </cell>
          <cell r="J64">
            <v>14498550.949200001</v>
          </cell>
          <cell r="K64">
            <v>12616247.487599999</v>
          </cell>
          <cell r="L64">
            <v>8282172.4524000008</v>
          </cell>
        </row>
        <row r="65">
          <cell r="B65">
            <v>24660129.689999983</v>
          </cell>
          <cell r="C65">
            <v>25445244.459600009</v>
          </cell>
          <cell r="D65">
            <v>30967119.800399996</v>
          </cell>
          <cell r="E65">
            <v>37757575.159200013</v>
          </cell>
          <cell r="F65">
            <v>19624620.493200015</v>
          </cell>
          <cell r="H65">
            <v>60960131.304000005</v>
          </cell>
          <cell r="I65">
            <v>31440092.386799991</v>
          </cell>
          <cell r="J65">
            <v>43861671.517200001</v>
          </cell>
          <cell r="K65">
            <v>35416424.275200017</v>
          </cell>
          <cell r="L65">
            <v>20046603.161999997</v>
          </cell>
        </row>
        <row r="66">
          <cell r="B66">
            <v>77312471.604000017</v>
          </cell>
          <cell r="C66">
            <v>81262769.777999923</v>
          </cell>
          <cell r="D66">
            <v>96534868.683600068</v>
          </cell>
          <cell r="E66">
            <v>119542174.20120016</v>
          </cell>
          <cell r="F66">
            <v>74370778.538399965</v>
          </cell>
          <cell r="H66">
            <v>184494970.52399999</v>
          </cell>
          <cell r="I66">
            <v>97910045.883599877</v>
          </cell>
          <cell r="J66">
            <v>127241631.90239994</v>
          </cell>
          <cell r="K66">
            <v>106017510.53760003</v>
          </cell>
          <cell r="L66">
            <v>75922674.071999982</v>
          </cell>
        </row>
        <row r="67">
          <cell r="B67">
            <v>168059789.09879968</v>
          </cell>
          <cell r="C67">
            <v>175830698.10960022</v>
          </cell>
          <cell r="D67">
            <v>204300500.4408001</v>
          </cell>
          <cell r="E67">
            <v>246763497.64080021</v>
          </cell>
          <cell r="F67">
            <v>136767535.44359991</v>
          </cell>
          <cell r="H67">
            <v>351152786.37839997</v>
          </cell>
          <cell r="I67">
            <v>201280043.87159982</v>
          </cell>
          <cell r="J67">
            <v>265947676.74720001</v>
          </cell>
          <cell r="K67">
            <v>220991725.91280025</v>
          </cell>
          <cell r="L67">
            <v>140270542.09800002</v>
          </cell>
        </row>
        <row r="68">
          <cell r="B68">
            <v>333159850.38360029</v>
          </cell>
          <cell r="C68">
            <v>346651093.41360027</v>
          </cell>
          <cell r="D68">
            <v>402452056.61519969</v>
          </cell>
          <cell r="E68">
            <v>472610803.99319971</v>
          </cell>
          <cell r="F68">
            <v>342089015.5607999</v>
          </cell>
          <cell r="H68">
            <v>619283264.20680046</v>
          </cell>
          <cell r="I68">
            <v>417724378.51200038</v>
          </cell>
          <cell r="J68">
            <v>504488158.85999978</v>
          </cell>
          <cell r="K68">
            <v>445449583.73520005</v>
          </cell>
          <cell r="L68">
            <v>352353221.37959981</v>
          </cell>
        </row>
        <row r="69">
          <cell r="B69">
            <v>580414997.54879951</v>
          </cell>
          <cell r="C69">
            <v>596789560.14479995</v>
          </cell>
          <cell r="D69">
            <v>671229876.51959991</v>
          </cell>
          <cell r="E69">
            <v>754886603.87999988</v>
          </cell>
          <cell r="F69">
            <v>658713205.7555995</v>
          </cell>
          <cell r="H69">
            <v>959622704.68799877</v>
          </cell>
          <cell r="I69">
            <v>712953204.97920036</v>
          </cell>
          <cell r="J69">
            <v>823797124.31879997</v>
          </cell>
          <cell r="K69">
            <v>748305477.7835989</v>
          </cell>
          <cell r="L69">
            <v>675947310.80280006</v>
          </cell>
        </row>
        <row r="70">
          <cell r="B70">
            <v>984885033.40679991</v>
          </cell>
          <cell r="C70">
            <v>1010479284.8507998</v>
          </cell>
          <cell r="D70">
            <v>1119218267.8967981</v>
          </cell>
          <cell r="E70">
            <v>1243560036.727201</v>
          </cell>
          <cell r="F70">
            <v>1266470868.6408014</v>
          </cell>
          <cell r="H70">
            <v>1507070266.1580012</v>
          </cell>
          <cell r="I70">
            <v>1201723071.9192002</v>
          </cell>
          <cell r="J70">
            <v>1338048532.7939997</v>
          </cell>
          <cell r="K70">
            <v>1246218610.275599</v>
          </cell>
          <cell r="L70">
            <v>1296174399.2040014</v>
          </cell>
        </row>
        <row r="71">
          <cell r="B71">
            <v>1634339357.4900019</v>
          </cell>
          <cell r="C71">
            <v>1670672056.056</v>
          </cell>
          <cell r="D71">
            <v>1813516199.2020001</v>
          </cell>
          <cell r="E71">
            <v>1974759173.6903982</v>
          </cell>
          <cell r="F71">
            <v>2090130379.6896019</v>
          </cell>
          <cell r="H71">
            <v>2323274135.7816019</v>
          </cell>
          <cell r="I71">
            <v>1962000715.2588024</v>
          </cell>
          <cell r="J71">
            <v>2122766629.8899989</v>
          </cell>
          <cell r="K71">
            <v>2015354215.6032014</v>
          </cell>
          <cell r="L71">
            <v>2134408039.0464025</v>
          </cell>
        </row>
        <row r="72">
          <cell r="B72">
            <v>2974603188.0648022</v>
          </cell>
          <cell r="C72">
            <v>3030175673.1132007</v>
          </cell>
          <cell r="D72">
            <v>3254392290.2183971</v>
          </cell>
          <cell r="E72">
            <v>3516284004.3912063</v>
          </cell>
          <cell r="F72">
            <v>3748194468.8004055</v>
          </cell>
          <cell r="H72">
            <v>4044632631.8700037</v>
          </cell>
          <cell r="I72">
            <v>3554793399.7236032</v>
          </cell>
          <cell r="J72">
            <v>3774910324.3908052</v>
          </cell>
          <cell r="K72">
            <v>3627607120.2971983</v>
          </cell>
          <cell r="L72">
            <v>3814530534.1187997</v>
          </cell>
        </row>
        <row r="73">
          <cell r="B73">
            <v>8318059402.0896034</v>
          </cell>
          <cell r="C73">
            <v>8437150292.7707977</v>
          </cell>
          <cell r="D73">
            <v>8918701746.0600033</v>
          </cell>
          <cell r="E73">
            <v>9512156520.4080124</v>
          </cell>
          <cell r="F73">
            <v>10117610871.961187</v>
          </cell>
          <cell r="H73">
            <v>10544397490.61161</v>
          </cell>
          <cell r="I73">
            <v>9784012724.3424149</v>
          </cell>
          <cell r="J73">
            <v>10127782132.20001</v>
          </cell>
          <cell r="K73">
            <v>9898670082.1907806</v>
          </cell>
          <cell r="L73">
            <v>10241815190.339987</v>
          </cell>
        </row>
        <row r="74">
          <cell r="B74">
            <v>15106177151.080799</v>
          </cell>
          <cell r="C74">
            <v>15384916678.039173</v>
          </cell>
          <cell r="D74">
            <v>16522972165.61883</v>
          </cell>
          <cell r="E74">
            <v>17891753579.564384</v>
          </cell>
          <cell r="F74">
            <v>18462260585.14566</v>
          </cell>
          <cell r="H74">
            <v>20612991284.812832</v>
          </cell>
          <cell r="I74">
            <v>17976017754.613194</v>
          </cell>
          <cell r="J74">
            <v>19143342433.569595</v>
          </cell>
          <cell r="K74">
            <v>18356646998.098751</v>
          </cell>
          <cell r="L74">
            <v>18759750686.675907</v>
          </cell>
        </row>
        <row r="82">
          <cell r="B82">
            <v>2143661668.7568021</v>
          </cell>
          <cell r="C82">
            <v>2165302606.1051979</v>
          </cell>
          <cell r="D82">
            <v>2223293440.5347967</v>
          </cell>
          <cell r="E82">
            <v>2318909790.6527987</v>
          </cell>
          <cell r="F82">
            <v>2473146269.9760032</v>
          </cell>
        </row>
        <row r="83">
          <cell r="B83">
            <v>4423369217.5799942</v>
          </cell>
          <cell r="C83">
            <v>4469763307.8167915</v>
          </cell>
          <cell r="D83">
            <v>4581653637.4475899</v>
          </cell>
          <cell r="E83">
            <v>4762732770.9623947</v>
          </cell>
          <cell r="F83">
            <v>5087740237.8971939</v>
          </cell>
        </row>
        <row r="84">
          <cell r="B84">
            <v>5754016316.1264</v>
          </cell>
          <cell r="C84">
            <v>5817566902.8372021</v>
          </cell>
          <cell r="D84">
            <v>5985171601.1927891</v>
          </cell>
          <cell r="E84">
            <v>6234403793.1084003</v>
          </cell>
          <cell r="F84">
            <v>6675466009.7615852</v>
          </cell>
        </row>
        <row r="85">
          <cell r="B85">
            <v>6713951195.7360058</v>
          </cell>
          <cell r="C85">
            <v>6790897765.1736002</v>
          </cell>
          <cell r="D85">
            <v>7018058275.9355946</v>
          </cell>
          <cell r="E85">
            <v>7329146911.7544136</v>
          </cell>
          <cell r="F85">
            <v>7854300817.2923985</v>
          </cell>
        </row>
        <row r="86">
          <cell r="B86">
            <v>7909729591.6391964</v>
          </cell>
          <cell r="C86">
            <v>8006088692.4492044</v>
          </cell>
          <cell r="D86">
            <v>8310995464.3524027</v>
          </cell>
          <cell r="E86">
            <v>8703480399.319191</v>
          </cell>
          <cell r="F86">
            <v>9363252598.6716042</v>
          </cell>
        </row>
        <row r="87">
          <cell r="B87">
            <v>9405428923.4184017</v>
          </cell>
          <cell r="C87">
            <v>9517720630.2672176</v>
          </cell>
          <cell r="D87">
            <v>9882662986.274395</v>
          </cell>
          <cell r="E87">
            <v>10353374337.296396</v>
          </cell>
          <cell r="F87">
            <v>11109616108.18679</v>
          </cell>
        </row>
        <row r="88">
          <cell r="B88">
            <v>11088047402.480398</v>
          </cell>
          <cell r="C88">
            <v>11221359920.268005</v>
          </cell>
          <cell r="D88">
            <v>11664291858.958801</v>
          </cell>
          <cell r="E88">
            <v>12223769906.252415</v>
          </cell>
          <cell r="F88">
            <v>13117879830.574797</v>
          </cell>
        </row>
        <row r="89">
          <cell r="B89">
            <v>13510719078.505215</v>
          </cell>
          <cell r="C89">
            <v>13666683901.101566</v>
          </cell>
          <cell r="D89">
            <v>14195799291.153614</v>
          </cell>
          <cell r="E89">
            <v>14859606601.767601</v>
          </cell>
          <cell r="F89">
            <v>15934377440.980812</v>
          </cell>
        </row>
        <row r="90">
          <cell r="B90">
            <v>18183066607.023575</v>
          </cell>
          <cell r="C90">
            <v>18392364064.160427</v>
          </cell>
          <cell r="D90">
            <v>19107216493.135201</v>
          </cell>
          <cell r="E90">
            <v>19992723206.098797</v>
          </cell>
          <cell r="F90">
            <v>21410665504.688404</v>
          </cell>
        </row>
        <row r="91">
          <cell r="B91">
            <v>33667873124.578823</v>
          </cell>
          <cell r="C91">
            <v>34017681734.968815</v>
          </cell>
          <cell r="D91">
            <v>35330188511.284821</v>
          </cell>
          <cell r="E91">
            <v>36932724081.294029</v>
          </cell>
          <cell r="F91">
            <v>39491293437.777573</v>
          </cell>
        </row>
        <row r="92">
          <cell r="B92">
            <v>112799863125.84506</v>
          </cell>
          <cell r="C92">
            <v>114065429525.14819</v>
          </cell>
          <cell r="D92">
            <v>118299331560.27066</v>
          </cell>
          <cell r="E92">
            <v>123710871798.50652</v>
          </cell>
          <cell r="F92">
            <v>132517738255.80658</v>
          </cell>
        </row>
      </sheetData>
      <sheetData sheetId="2"/>
      <sheetData sheetId="3"/>
      <sheetData sheetId="4"/>
      <sheetData sheetId="5"/>
      <sheetData sheetId="6">
        <row r="7">
          <cell r="B7">
            <v>0.39338243110232901</v>
          </cell>
        </row>
      </sheetData>
      <sheetData sheetId="7"/>
      <sheetData sheetId="8"/>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mmary"/>
      <sheetName val="Structure"/>
      <sheetName val="Sheet 1"/>
    </sheetNames>
    <sheetDataSet>
      <sheetData sheetId="0"/>
      <sheetData sheetId="1"/>
      <sheetData sheetId="2">
        <row r="38">
          <cell r="N38">
            <v>9.3133462282398494E-2</v>
          </cell>
          <cell r="O38">
            <v>0.14723748915244439</v>
          </cell>
        </row>
      </sheetData>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mmary"/>
      <sheetName val="Structure"/>
      <sheetName val="Sheet 1"/>
    </sheetNames>
    <sheetDataSet>
      <sheetData sheetId="0"/>
      <sheetData sheetId="1"/>
      <sheetData sheetId="2">
        <row r="35">
          <cell r="P35">
            <v>214489.9</v>
          </cell>
          <cell r="R35">
            <v>201032.7</v>
          </cell>
          <cell r="T35">
            <v>216493.7</v>
          </cell>
          <cell r="V35">
            <v>243957.1</v>
          </cell>
          <cell r="X35">
            <v>267384.3</v>
          </cell>
        </row>
      </sheetData>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fo on source"/>
      <sheetName val="Summary"/>
      <sheetName val="Structure"/>
      <sheetName val="Sheet 1"/>
    </sheetNames>
    <sheetDataSet>
      <sheetData sheetId="0"/>
      <sheetData sheetId="1"/>
      <sheetData sheetId="2"/>
      <sheetData sheetId="3">
        <row r="101">
          <cell r="M101">
            <v>13579.9</v>
          </cell>
          <cell r="O101">
            <v>13993.5</v>
          </cell>
          <cell r="Q101">
            <v>14972.9</v>
          </cell>
          <cell r="S101">
            <v>16911</v>
          </cell>
          <cell r="U101">
            <v>18494.900000000001</v>
          </cell>
        </row>
      </sheetData>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Fiscal"/>
      <sheetName val="2. Distributional by deciles o"/>
      <sheetName val="2. Distributional by HH type"/>
      <sheetName val="2. Distributional by employmen"/>
      <sheetName val="2. Distributional by gender"/>
      <sheetName val="2. Distributional by age group"/>
      <sheetName val="3. Inequality and Poverty"/>
      <sheetName val="Parameter settings"/>
      <sheetName val="Metadata"/>
    </sheetNames>
    <sheetDataSet>
      <sheetData sheetId="0" refreshError="1"/>
      <sheetData sheetId="1">
        <row r="28">
          <cell r="I28">
            <v>0.10874588616059327</v>
          </cell>
        </row>
        <row r="29">
          <cell r="I29">
            <v>0.36089652355909008</v>
          </cell>
        </row>
        <row r="30">
          <cell r="I30">
            <v>0.58761213538964541</v>
          </cell>
        </row>
        <row r="31">
          <cell r="I31">
            <v>0.87026420836865537</v>
          </cell>
        </row>
        <row r="32">
          <cell r="I32">
            <v>0.96927040291710442</v>
          </cell>
        </row>
        <row r="33">
          <cell r="I33">
            <v>0.9990978561538727</v>
          </cell>
        </row>
        <row r="34">
          <cell r="I34">
            <v>1</v>
          </cell>
        </row>
        <row r="35">
          <cell r="I35">
            <v>1</v>
          </cell>
        </row>
        <row r="36">
          <cell r="I36">
            <v>1</v>
          </cell>
        </row>
        <row r="37">
          <cell r="I37">
            <v>1</v>
          </cell>
        </row>
        <row r="38">
          <cell r="I38">
            <v>0.73728807618627901</v>
          </cell>
        </row>
        <row r="64">
          <cell r="B64">
            <v>1914278.5907999994</v>
          </cell>
          <cell r="C64">
            <v>2092953.801599999</v>
          </cell>
          <cell r="D64">
            <v>1932752.7419999996</v>
          </cell>
          <cell r="E64">
            <v>2092782.861599999</v>
          </cell>
          <cell r="F64">
            <v>1970020.8935999998</v>
          </cell>
          <cell r="G64">
            <v>1932752.7419999996</v>
          </cell>
        </row>
        <row r="65">
          <cell r="B65">
            <v>13911125.677199993</v>
          </cell>
          <cell r="C65">
            <v>14679927.497999996</v>
          </cell>
          <cell r="D65">
            <v>14050686.76679999</v>
          </cell>
          <cell r="E65">
            <v>14672007.643199997</v>
          </cell>
          <cell r="F65">
            <v>14241275.054399997</v>
          </cell>
          <cell r="G65">
            <v>14050686.76679999</v>
          </cell>
        </row>
        <row r="66">
          <cell r="B66">
            <v>40979101.076400027</v>
          </cell>
          <cell r="C66">
            <v>42642647.284799993</v>
          </cell>
          <cell r="D66">
            <v>41391108.500400022</v>
          </cell>
          <cell r="E66">
            <v>42574906.224000037</v>
          </cell>
          <cell r="F66">
            <v>41588792.185200028</v>
          </cell>
          <cell r="G66">
            <v>41391989.362800017</v>
          </cell>
        </row>
        <row r="67">
          <cell r="B67">
            <v>83695844.079599991</v>
          </cell>
          <cell r="C67">
            <v>86368635.27959995</v>
          </cell>
          <cell r="D67">
            <v>84538453.796400055</v>
          </cell>
          <cell r="E67">
            <v>86083050.369599998</v>
          </cell>
          <cell r="F67">
            <v>84802029.921599999</v>
          </cell>
          <cell r="G67">
            <v>84540747.375600055</v>
          </cell>
        </row>
        <row r="68">
          <cell r="B68">
            <v>128038100.8091999</v>
          </cell>
          <cell r="C68">
            <v>131447826.83639991</v>
          </cell>
          <cell r="D68">
            <v>129328163.49600011</v>
          </cell>
          <cell r="E68">
            <v>130906567.33199993</v>
          </cell>
          <cell r="F68">
            <v>129642226.3608001</v>
          </cell>
          <cell r="G68">
            <v>129329514.85920012</v>
          </cell>
        </row>
        <row r="69">
          <cell r="B69">
            <v>184167839.90639994</v>
          </cell>
          <cell r="C69">
            <v>188528249.70239979</v>
          </cell>
          <cell r="D69">
            <v>186023649.3179999</v>
          </cell>
          <cell r="E69">
            <v>187810740.57840008</v>
          </cell>
          <cell r="F69">
            <v>186348490.03439996</v>
          </cell>
          <cell r="G69">
            <v>186024498.13079992</v>
          </cell>
        </row>
        <row r="70">
          <cell r="B70">
            <v>255157272.22679946</v>
          </cell>
          <cell r="C70">
            <v>260463531.43679994</v>
          </cell>
          <cell r="D70">
            <v>257731369.76880017</v>
          </cell>
          <cell r="E70">
            <v>259529004.17279953</v>
          </cell>
          <cell r="F70">
            <v>258067534.61879998</v>
          </cell>
          <cell r="G70">
            <v>257732381.78640014</v>
          </cell>
        </row>
        <row r="71">
          <cell r="B71">
            <v>330810455.1408</v>
          </cell>
          <cell r="C71">
            <v>337143636.88559985</v>
          </cell>
          <cell r="D71">
            <v>334143752.20440018</v>
          </cell>
          <cell r="E71">
            <v>336001270.10760015</v>
          </cell>
          <cell r="F71">
            <v>334535666.70000011</v>
          </cell>
          <cell r="G71">
            <v>334145726.97720027</v>
          </cell>
        </row>
        <row r="72">
          <cell r="B72">
            <v>467030223.78360003</v>
          </cell>
          <cell r="C72">
            <v>475134977.3760007</v>
          </cell>
          <cell r="D72">
            <v>471733590.4320004</v>
          </cell>
          <cell r="E72">
            <v>473587669.82160044</v>
          </cell>
          <cell r="F72">
            <v>472118052.17640018</v>
          </cell>
          <cell r="G72">
            <v>471736375.81800038</v>
          </cell>
        </row>
        <row r="73">
          <cell r="B73">
            <v>1073216514.954</v>
          </cell>
          <cell r="C73">
            <v>1089073722.9779999</v>
          </cell>
          <cell r="D73">
            <v>1084022582.4756017</v>
          </cell>
          <cell r="E73">
            <v>1086118047.2003992</v>
          </cell>
          <cell r="F73">
            <v>1084473110.9112008</v>
          </cell>
          <cell r="G73">
            <v>1084024786.1844015</v>
          </cell>
        </row>
        <row r="74">
          <cell r="B74">
            <v>2578920756.2448044</v>
          </cell>
          <cell r="C74">
            <v>2627576109.0791979</v>
          </cell>
          <cell r="D74">
            <v>2604896109.5004015</v>
          </cell>
          <cell r="E74">
            <v>2619376046.3111949</v>
          </cell>
          <cell r="F74">
            <v>2607787198.8563957</v>
          </cell>
          <cell r="G74">
            <v>2604909460.003202</v>
          </cell>
        </row>
        <row r="136">
          <cell r="B136">
            <v>782029151.48279965</v>
          </cell>
          <cell r="C136">
            <v>789851229.38519931</v>
          </cell>
        </row>
        <row r="137">
          <cell r="B137">
            <v>1341534907.6140008</v>
          </cell>
          <cell r="C137">
            <v>1354950985.0067987</v>
          </cell>
        </row>
        <row r="138">
          <cell r="B138">
            <v>1649030756.2632022</v>
          </cell>
          <cell r="C138">
            <v>1665523275.2580009</v>
          </cell>
        </row>
        <row r="139">
          <cell r="B139">
            <v>1864374819.1248007</v>
          </cell>
          <cell r="C139">
            <v>1883023459.5335989</v>
          </cell>
        </row>
        <row r="140">
          <cell r="B140">
            <v>2103498219.6936021</v>
          </cell>
          <cell r="C140">
            <v>2124534263.5692022</v>
          </cell>
        </row>
        <row r="141">
          <cell r="B141">
            <v>2397674159.1071987</v>
          </cell>
          <cell r="C141">
            <v>2421652735.2168007</v>
          </cell>
        </row>
        <row r="142">
          <cell r="B142">
            <v>2736190970.2955999</v>
          </cell>
          <cell r="C142">
            <v>2763562550.3831978</v>
          </cell>
        </row>
        <row r="143">
          <cell r="B143">
            <v>3128656821.1968007</v>
          </cell>
          <cell r="C143">
            <v>3159949562.5319996</v>
          </cell>
        </row>
        <row r="144">
          <cell r="B144">
            <v>3741548753.2608032</v>
          </cell>
          <cell r="C144">
            <v>3778965319.0223999</v>
          </cell>
        </row>
        <row r="145">
          <cell r="B145">
            <v>6001718540.5139952</v>
          </cell>
          <cell r="C145">
            <v>6061748318.2235937</v>
          </cell>
        </row>
        <row r="146">
          <cell r="B146">
            <v>25746257098.552658</v>
          </cell>
          <cell r="C146">
            <v>26003761698.130692</v>
          </cell>
        </row>
      </sheetData>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Fiscal"/>
      <sheetName val="2. Distributional by deciles o"/>
      <sheetName val="2. Distributional by HH type"/>
      <sheetName val="2. Distributional by employmen"/>
      <sheetName val="2. Distributional by gender"/>
      <sheetName val="2. Distributional by age group"/>
      <sheetName val="3. Inequality and Poverty"/>
      <sheetName val="Parameter settings"/>
      <sheetName val="Metadata"/>
    </sheetNames>
    <sheetDataSet>
      <sheetData sheetId="0" refreshError="1"/>
      <sheetData sheetId="1">
        <row r="74">
          <cell r="D74">
            <v>2618274745.8395967</v>
          </cell>
          <cell r="E74">
            <v>2583533010.3696022</v>
          </cell>
          <cell r="F74">
            <v>2582143446.8556132</v>
          </cell>
          <cell r="G74">
            <v>2580345720.1836014</v>
          </cell>
        </row>
        <row r="146">
          <cell r="D146">
            <v>25924184587.885262</v>
          </cell>
          <cell r="E146">
            <v>25807182514.600834</v>
          </cell>
          <cell r="F146">
            <v>25759211918.167149</v>
          </cell>
          <cell r="G146">
            <v>25751953087.457855</v>
          </cell>
        </row>
        <row r="154">
          <cell r="B154">
            <v>205589800.52279994</v>
          </cell>
        </row>
        <row r="155">
          <cell r="B155">
            <v>413429831.77560031</v>
          </cell>
        </row>
        <row r="156">
          <cell r="B156">
            <v>668494748.56319988</v>
          </cell>
        </row>
        <row r="157">
          <cell r="B157">
            <v>1033236543.9060004</v>
          </cell>
        </row>
        <row r="158">
          <cell r="B158">
            <v>1336425689.884799</v>
          </cell>
        </row>
        <row r="159">
          <cell r="B159">
            <v>1687548084.9216003</v>
          </cell>
        </row>
        <row r="160">
          <cell r="B160">
            <v>2047676393.5548041</v>
          </cell>
        </row>
        <row r="161">
          <cell r="B161">
            <v>2439099837.4727993</v>
          </cell>
        </row>
        <row r="162">
          <cell r="B162">
            <v>3124451132.4120016</v>
          </cell>
        </row>
        <row r="163">
          <cell r="B163">
            <v>4833465771.5280018</v>
          </cell>
        </row>
        <row r="164">
          <cell r="B164">
            <v>17789417834.541637</v>
          </cell>
        </row>
        <row r="172">
          <cell r="B172">
            <v>482095936.53479993</v>
          </cell>
        </row>
        <row r="173">
          <cell r="B173">
            <v>822663079.50719869</v>
          </cell>
        </row>
        <row r="174">
          <cell r="B174">
            <v>859617721.65000093</v>
          </cell>
        </row>
        <row r="175">
          <cell r="B175">
            <v>718928667.90120053</v>
          </cell>
        </row>
        <row r="176">
          <cell r="B176">
            <v>656188380.2256</v>
          </cell>
        </row>
        <row r="177">
          <cell r="B177">
            <v>578651552.9016</v>
          </cell>
        </row>
        <row r="178">
          <cell r="B178">
            <v>528439691.81879944</v>
          </cell>
        </row>
        <row r="179">
          <cell r="B179">
            <v>564075030.56160021</v>
          </cell>
        </row>
        <row r="180">
          <cell r="B180">
            <v>462376609.18079978</v>
          </cell>
        </row>
        <row r="181">
          <cell r="B181">
            <v>419248417.68840015</v>
          </cell>
        </row>
        <row r="182">
          <cell r="B182">
            <v>6092285087.9699945</v>
          </cell>
        </row>
        <row r="190">
          <cell r="B190">
            <v>92907974.564400047</v>
          </cell>
        </row>
        <row r="191">
          <cell r="B191">
            <v>102289082.90760005</v>
          </cell>
        </row>
        <row r="192">
          <cell r="B192">
            <v>114656159.85959999</v>
          </cell>
        </row>
        <row r="193">
          <cell r="B193">
            <v>106700358.09720004</v>
          </cell>
        </row>
        <row r="194">
          <cell r="B194">
            <v>102431930.64839999</v>
          </cell>
        </row>
        <row r="195">
          <cell r="B195">
            <v>120416109.9384001</v>
          </cell>
        </row>
        <row r="196">
          <cell r="B196">
            <v>142387475.61960003</v>
          </cell>
        </row>
        <row r="197">
          <cell r="B197">
            <v>110741909.07599989</v>
          </cell>
        </row>
        <row r="198">
          <cell r="B198">
            <v>125452288.90080005</v>
          </cell>
        </row>
        <row r="199">
          <cell r="B199">
            <v>276904867.73760003</v>
          </cell>
        </row>
        <row r="200">
          <cell r="B200">
            <v>1294888157.3495998</v>
          </cell>
        </row>
        <row r="208">
          <cell r="B208">
            <v>1435237.1796000001</v>
          </cell>
        </row>
        <row r="209">
          <cell r="B209">
            <v>3153067.5335999997</v>
          </cell>
        </row>
        <row r="210">
          <cell r="B210">
            <v>6262213.2384000001</v>
          </cell>
        </row>
        <row r="211">
          <cell r="B211">
            <v>5509376.6940000011</v>
          </cell>
        </row>
        <row r="212">
          <cell r="B212">
            <v>8452255.3788000029</v>
          </cell>
        </row>
        <row r="213">
          <cell r="B213">
            <v>11058349.597200006</v>
          </cell>
        </row>
        <row r="214">
          <cell r="B214">
            <v>17687579.003999993</v>
          </cell>
        </row>
        <row r="215">
          <cell r="B215">
            <v>14739875.409600008</v>
          </cell>
        </row>
        <row r="216">
          <cell r="B216">
            <v>29268816.497999996</v>
          </cell>
        </row>
        <row r="217">
          <cell r="B217">
            <v>472099602.45359999</v>
          </cell>
        </row>
        <row r="218">
          <cell r="B218">
            <v>569666372.98679972</v>
          </cell>
        </row>
      </sheetData>
      <sheetData sheetId="2" refreshError="1"/>
      <sheetData sheetId="3" refreshError="1"/>
      <sheetData sheetId="4" refreshError="1"/>
      <sheetData sheetId="5" refreshError="1"/>
      <sheetData sheetId="6">
        <row r="7">
          <cell r="B7">
            <v>0.30941219711948098</v>
          </cell>
          <cell r="C7">
            <v>0.30941226601982103</v>
          </cell>
        </row>
        <row r="8">
          <cell r="B8">
            <v>0.27805196325074799</v>
          </cell>
          <cell r="C8">
            <v>0.27799545156963901</v>
          </cell>
        </row>
        <row r="34">
          <cell r="B34">
            <v>0.279900009196414</v>
          </cell>
          <cell r="C34">
            <v>0.27769014895452898</v>
          </cell>
        </row>
      </sheetData>
      <sheetData sheetId="7" refreshError="1"/>
      <sheetData sheetId="8"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Fiscal"/>
      <sheetName val="2. Distributional by deciles o"/>
      <sheetName val="2. Distributional by HH type"/>
      <sheetName val="2. Distributional by employmen"/>
      <sheetName val="2. Distributional by gender"/>
      <sheetName val="2. Distributional by age group"/>
      <sheetName val="3. Inequality and Poverty"/>
      <sheetName val="Parameter settings"/>
      <sheetName val="Metadata"/>
    </sheetNames>
    <sheetDataSet>
      <sheetData sheetId="0"/>
      <sheetData sheetId="1">
        <row r="28">
          <cell r="F28">
            <v>9.6881478229671608E-2</v>
          </cell>
        </row>
        <row r="29">
          <cell r="F29">
            <v>0.35788121432133674</v>
          </cell>
        </row>
        <row r="30">
          <cell r="F30">
            <v>0.58562968170532248</v>
          </cell>
        </row>
        <row r="31">
          <cell r="F31">
            <v>0.83887052638733339</v>
          </cell>
        </row>
        <row r="32">
          <cell r="F32">
            <v>0.96997002380743358</v>
          </cell>
        </row>
        <row r="33">
          <cell r="F33">
            <v>0.99924403249135985</v>
          </cell>
        </row>
        <row r="34">
          <cell r="F34">
            <v>1</v>
          </cell>
        </row>
        <row r="35">
          <cell r="F35">
            <v>1</v>
          </cell>
        </row>
        <row r="36">
          <cell r="F36">
            <v>1</v>
          </cell>
        </row>
        <row r="37">
          <cell r="F37">
            <v>1</v>
          </cell>
        </row>
        <row r="38">
          <cell r="F38">
            <v>0.7297451278060112</v>
          </cell>
        </row>
        <row r="64">
          <cell r="B64">
            <v>2433149.6760000009</v>
          </cell>
          <cell r="C64">
            <v>2595007.3956000004</v>
          </cell>
          <cell r="D64">
            <v>2457899.9160000007</v>
          </cell>
        </row>
        <row r="65">
          <cell r="B65">
            <v>15990500.424000006</v>
          </cell>
          <cell r="C65">
            <v>16847397.816</v>
          </cell>
          <cell r="D65">
            <v>16151173.222799996</v>
          </cell>
        </row>
        <row r="66">
          <cell r="B66">
            <v>51599348.341200009</v>
          </cell>
          <cell r="C66">
            <v>53552519.752800018</v>
          </cell>
          <cell r="D66">
            <v>52116621.554400012</v>
          </cell>
        </row>
        <row r="67">
          <cell r="B67">
            <v>102512422.8672</v>
          </cell>
          <cell r="C67">
            <v>105460706.00520003</v>
          </cell>
          <cell r="D67">
            <v>103544865.39959994</v>
          </cell>
        </row>
        <row r="68">
          <cell r="B68">
            <v>160342654.65840012</v>
          </cell>
          <cell r="C68">
            <v>164377076.81519997</v>
          </cell>
          <cell r="D68">
            <v>161958489.54120004</v>
          </cell>
        </row>
        <row r="69">
          <cell r="B69">
            <v>231708421.04399991</v>
          </cell>
          <cell r="C69">
            <v>236984807.03759986</v>
          </cell>
          <cell r="D69">
            <v>234042736.35360008</v>
          </cell>
        </row>
        <row r="70">
          <cell r="B70">
            <v>313947972.47040039</v>
          </cell>
          <cell r="C70">
            <v>320340467.14920026</v>
          </cell>
          <cell r="D70">
            <v>317115381.53039998</v>
          </cell>
        </row>
        <row r="71">
          <cell r="B71">
            <v>416379621.92039979</v>
          </cell>
          <cell r="C71">
            <v>424073815.77119994</v>
          </cell>
          <cell r="D71">
            <v>420576294.14880013</v>
          </cell>
        </row>
        <row r="72">
          <cell r="B72">
            <v>574760402.38799906</v>
          </cell>
          <cell r="C72">
            <v>584597513.69159985</v>
          </cell>
          <cell r="D72">
            <v>580547336.97359955</v>
          </cell>
        </row>
        <row r="73">
          <cell r="B73">
            <v>1308471336.3912005</v>
          </cell>
          <cell r="C73">
            <v>1328120486.3544006</v>
          </cell>
          <cell r="D73">
            <v>1321641705.0324006</v>
          </cell>
        </row>
        <row r="74">
          <cell r="B74">
            <v>3178145830.1807995</v>
          </cell>
          <cell r="C74">
            <v>3236949797.7888012</v>
          </cell>
          <cell r="D74">
            <v>3210152503.6728139</v>
          </cell>
        </row>
      </sheetData>
      <sheetData sheetId="2"/>
      <sheetData sheetId="3"/>
      <sheetData sheetId="4"/>
      <sheetData sheetId="5"/>
      <sheetData sheetId="6"/>
      <sheetData sheetId="7"/>
      <sheetData sheetId="8"/>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Fiscal"/>
      <sheetName val="2. Distributional by deciles o"/>
      <sheetName val="2. Distributional by HH type"/>
      <sheetName val="2. Distributional by employmen"/>
      <sheetName val="2. Distributional by gender"/>
      <sheetName val="2. Distributional by age group"/>
      <sheetName val="3. Inequality and Poverty"/>
      <sheetName val="Parameter settings"/>
      <sheetName val="Metadata"/>
    </sheetNames>
    <sheetDataSet>
      <sheetData sheetId="0"/>
      <sheetData sheetId="1">
        <row r="74">
          <cell r="D74">
            <v>3226875131.2632055</v>
          </cell>
          <cell r="E74">
            <v>3183227363.5776043</v>
          </cell>
          <cell r="F74">
            <v>3181748997.0995932</v>
          </cell>
          <cell r="G74">
            <v>3179454934.0344048</v>
          </cell>
        </row>
        <row r="136">
          <cell r="B136">
            <v>980614476.55079937</v>
          </cell>
          <cell r="C136">
            <v>990421059.85559988</v>
          </cell>
        </row>
        <row r="137">
          <cell r="B137">
            <v>1671072393.0864005</v>
          </cell>
          <cell r="C137">
            <v>1687782567.7188001</v>
          </cell>
        </row>
        <row r="138">
          <cell r="B138">
            <v>2053147266.4847996</v>
          </cell>
          <cell r="C138">
            <v>2073680773.4292018</v>
          </cell>
        </row>
        <row r="139">
          <cell r="B139">
            <v>2337286127.313602</v>
          </cell>
          <cell r="C139">
            <v>2360662172.4492011</v>
          </cell>
        </row>
        <row r="140">
          <cell r="B140">
            <v>2651227486.6104002</v>
          </cell>
          <cell r="C140">
            <v>2677743373.9823995</v>
          </cell>
        </row>
        <row r="141">
          <cell r="B141">
            <v>3028960859.5428038</v>
          </cell>
          <cell r="C141">
            <v>3059251157.4971991</v>
          </cell>
        </row>
        <row r="142">
          <cell r="B142">
            <v>3468938019.3060017</v>
          </cell>
          <cell r="C142">
            <v>3503638962.1872015</v>
          </cell>
        </row>
        <row r="143">
          <cell r="B143">
            <v>3958415155.6464028</v>
          </cell>
          <cell r="C143">
            <v>3998005766.8187933</v>
          </cell>
        </row>
        <row r="144">
          <cell r="B144">
            <v>4756985208.0024014</v>
          </cell>
          <cell r="C144">
            <v>4804555766.0436068</v>
          </cell>
        </row>
        <row r="145">
          <cell r="B145">
            <v>7471403675.312396</v>
          </cell>
          <cell r="C145">
            <v>7546133974.7220068</v>
          </cell>
        </row>
        <row r="146">
          <cell r="B146">
            <v>32378050667.855911</v>
          </cell>
          <cell r="C146">
            <v>32701875574.703857</v>
          </cell>
          <cell r="D146">
            <v>32606084926.0896</v>
          </cell>
          <cell r="E146">
            <v>32453008289.513985</v>
          </cell>
          <cell r="F146">
            <v>32393647696.657196</v>
          </cell>
          <cell r="G146">
            <v>32383286013.916763</v>
          </cell>
        </row>
      </sheetData>
      <sheetData sheetId="2"/>
      <sheetData sheetId="3"/>
      <sheetData sheetId="4"/>
      <sheetData sheetId="5"/>
      <sheetData sheetId="6"/>
      <sheetData sheetId="7"/>
      <sheetData sheetId="8"/>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Fiscal"/>
      <sheetName val="2. Distributional by deciles o"/>
      <sheetName val="2. Distributional by HH type"/>
      <sheetName val="2. Distributional by employmen"/>
      <sheetName val="2. Distributional by gender"/>
      <sheetName val="2. Distributional by age group"/>
      <sheetName val="3. Inequality and Poverty"/>
      <sheetName val="Parameter settings"/>
      <sheetName val="Metadata"/>
    </sheetNames>
    <sheetDataSet>
      <sheetData sheetId="0"/>
      <sheetData sheetId="1">
        <row r="28">
          <cell r="M28">
            <v>0.10804740796445018</v>
          </cell>
        </row>
        <row r="64">
          <cell r="B64">
            <v>1914278.5907999994</v>
          </cell>
          <cell r="C64">
            <v>1903975.4567999998</v>
          </cell>
          <cell r="D64">
            <v>3528215.0099999979</v>
          </cell>
          <cell r="E64">
            <v>2883418.9956</v>
          </cell>
          <cell r="F64">
            <v>2620689.4116000012</v>
          </cell>
          <cell r="H64">
            <v>8250491.7672000015</v>
          </cell>
          <cell r="I64">
            <v>2336048.1587999999</v>
          </cell>
          <cell r="J64">
            <v>4771736.5343999993</v>
          </cell>
          <cell r="K64">
            <v>3513223.3284</v>
          </cell>
          <cell r="L64">
            <v>2837135.026800001</v>
          </cell>
        </row>
        <row r="65">
          <cell r="B65">
            <v>13911125.677199993</v>
          </cell>
          <cell r="C65">
            <v>13520543.215199998</v>
          </cell>
          <cell r="D65">
            <v>20557369.507199988</v>
          </cell>
          <cell r="E65">
            <v>18223846.474800002</v>
          </cell>
          <cell r="F65">
            <v>17812947.092400003</v>
          </cell>
          <cell r="H65">
            <v>34476351.00720001</v>
          </cell>
          <cell r="I65">
            <v>17986308.494399998</v>
          </cell>
          <cell r="J65">
            <v>25577028.363600001</v>
          </cell>
          <cell r="K65">
            <v>21902425.237199996</v>
          </cell>
          <cell r="L65">
            <v>18400674.152399987</v>
          </cell>
        </row>
        <row r="66">
          <cell r="B66">
            <v>40979101.076400027</v>
          </cell>
          <cell r="C66">
            <v>42379211.642399997</v>
          </cell>
          <cell r="D66">
            <v>57246247.0524</v>
          </cell>
          <cell r="E66">
            <v>53385681.717599988</v>
          </cell>
          <cell r="F66">
            <v>53799760.112400055</v>
          </cell>
          <cell r="H66">
            <v>87802143.226800069</v>
          </cell>
          <cell r="I66">
            <v>52959872.09040004</v>
          </cell>
          <cell r="J66">
            <v>68790252.772800043</v>
          </cell>
          <cell r="K66">
            <v>61120574.961600021</v>
          </cell>
          <cell r="L66">
            <v>54872313.817200005</v>
          </cell>
        </row>
        <row r="67">
          <cell r="B67">
            <v>83695844.079599991</v>
          </cell>
          <cell r="C67">
            <v>85258715.527199879</v>
          </cell>
          <cell r="D67">
            <v>105887942.94120005</v>
          </cell>
          <cell r="E67">
            <v>98896674.51000002</v>
          </cell>
          <cell r="F67">
            <v>105439857.12239999</v>
          </cell>
          <cell r="H67">
            <v>156764920.55160004</v>
          </cell>
          <cell r="I67">
            <v>107414561.71800002</v>
          </cell>
          <cell r="J67">
            <v>130581502.15079993</v>
          </cell>
          <cell r="K67">
            <v>119432878.56359994</v>
          </cell>
          <cell r="L67">
            <v>107324199.7608</v>
          </cell>
        </row>
        <row r="68">
          <cell r="B68">
            <v>128038100.8091999</v>
          </cell>
          <cell r="C68">
            <v>128312114.45759994</v>
          </cell>
          <cell r="D68">
            <v>155259609.15240008</v>
          </cell>
          <cell r="E68">
            <v>146625506.83559996</v>
          </cell>
          <cell r="F68">
            <v>159239565.08760008</v>
          </cell>
          <cell r="H68">
            <v>221443900.78920013</v>
          </cell>
          <cell r="I68">
            <v>164619374.74919975</v>
          </cell>
          <cell r="J68">
            <v>191246872.05119976</v>
          </cell>
          <cell r="K68">
            <v>178121791.46040013</v>
          </cell>
          <cell r="L68">
            <v>162017860.27560008</v>
          </cell>
        </row>
        <row r="69">
          <cell r="B69">
            <v>184167839.90639994</v>
          </cell>
          <cell r="C69">
            <v>184016845.35239986</v>
          </cell>
          <cell r="D69">
            <v>218975161.33439994</v>
          </cell>
          <cell r="E69">
            <v>210321868.78559977</v>
          </cell>
          <cell r="F69">
            <v>229639050.56279996</v>
          </cell>
          <cell r="H69">
            <v>302991011.61119974</v>
          </cell>
          <cell r="I69">
            <v>236960862.34320003</v>
          </cell>
          <cell r="J69">
            <v>268857178.30440003</v>
          </cell>
          <cell r="K69">
            <v>253216400.87039971</v>
          </cell>
          <cell r="L69">
            <v>233080604.50680012</v>
          </cell>
        </row>
        <row r="70">
          <cell r="B70">
            <v>255157272.22679946</v>
          </cell>
          <cell r="C70">
            <v>252891894.61199969</v>
          </cell>
          <cell r="D70">
            <v>296467250.24040002</v>
          </cell>
          <cell r="E70">
            <v>288111903.27959996</v>
          </cell>
          <cell r="F70">
            <v>315875125.31520027</v>
          </cell>
          <cell r="H70">
            <v>400793275.03799999</v>
          </cell>
          <cell r="I70">
            <v>327282462.33599961</v>
          </cell>
          <cell r="J70">
            <v>361789000.00200003</v>
          </cell>
          <cell r="K70">
            <v>344873178.20040023</v>
          </cell>
          <cell r="L70">
            <v>319804915.30080014</v>
          </cell>
        </row>
        <row r="71">
          <cell r="B71">
            <v>330810455.1408</v>
          </cell>
          <cell r="C71">
            <v>327487513.58160007</v>
          </cell>
          <cell r="D71">
            <v>377001602.10120016</v>
          </cell>
          <cell r="E71">
            <v>371754377.68080026</v>
          </cell>
          <cell r="F71">
            <v>409866307.61519998</v>
          </cell>
          <cell r="H71">
            <v>509273035.43279946</v>
          </cell>
          <cell r="I71">
            <v>425108362.01759988</v>
          </cell>
          <cell r="J71">
            <v>464131529.80920017</v>
          </cell>
          <cell r="K71">
            <v>444644402.86799979</v>
          </cell>
          <cell r="L71">
            <v>414573708.56639993</v>
          </cell>
        </row>
        <row r="72">
          <cell r="B72">
            <v>467030223.78360003</v>
          </cell>
          <cell r="C72">
            <v>458289376.47359973</v>
          </cell>
          <cell r="D72">
            <v>522324331.07519978</v>
          </cell>
          <cell r="E72">
            <v>521259237.5292002</v>
          </cell>
          <cell r="F72">
            <v>576767616.06839895</v>
          </cell>
          <cell r="H72">
            <v>699337149.45239973</v>
          </cell>
          <cell r="I72">
            <v>599320391.74319983</v>
          </cell>
          <cell r="J72">
            <v>645309395.57999992</v>
          </cell>
          <cell r="K72">
            <v>622231972.30919981</v>
          </cell>
          <cell r="L72">
            <v>582800508.64440012</v>
          </cell>
        </row>
        <row r="73">
          <cell r="B73">
            <v>1073216514.954</v>
          </cell>
          <cell r="C73">
            <v>1020964446.5087996</v>
          </cell>
          <cell r="D73">
            <v>1171430451.9935992</v>
          </cell>
          <cell r="E73">
            <v>1177817173.5708017</v>
          </cell>
          <cell r="F73">
            <v>1307084911.7928004</v>
          </cell>
          <cell r="H73">
            <v>1474831380.1955993</v>
          </cell>
          <cell r="I73">
            <v>1333507228.4135997</v>
          </cell>
          <cell r="J73">
            <v>1399509565.9163997</v>
          </cell>
          <cell r="K73">
            <v>1366791487.1291986</v>
          </cell>
          <cell r="L73">
            <v>1319283683.0855994</v>
          </cell>
        </row>
        <row r="74">
          <cell r="B74">
            <v>2578920756.2448044</v>
          </cell>
          <cell r="C74">
            <v>2515024636.8275995</v>
          </cell>
          <cell r="D74">
            <v>2928678180.4080019</v>
          </cell>
          <cell r="E74">
            <v>2889279689.3795948</v>
          </cell>
          <cell r="F74">
            <v>3178145830.1807995</v>
          </cell>
          <cell r="H74">
            <v>3895963659.072011</v>
          </cell>
          <cell r="I74">
            <v>3267495472.0643935</v>
          </cell>
          <cell r="J74">
            <v>3560564061.484787</v>
          </cell>
          <cell r="K74">
            <v>3415848334.9284139</v>
          </cell>
          <cell r="L74">
            <v>3214995603.136796</v>
          </cell>
        </row>
        <row r="136">
          <cell r="B136">
            <v>782029151.48279965</v>
          </cell>
          <cell r="C136">
            <v>807809478.31560016</v>
          </cell>
          <cell r="D136">
            <v>864381406.72439969</v>
          </cell>
          <cell r="E136">
            <v>913210217.86200047</v>
          </cell>
          <cell r="F136">
            <v>966673074.29159927</v>
          </cell>
        </row>
        <row r="137">
          <cell r="B137">
            <v>1341534907.6140008</v>
          </cell>
          <cell r="C137">
            <v>1389987012.3216</v>
          </cell>
          <cell r="D137">
            <v>1481979849.5172012</v>
          </cell>
          <cell r="E137">
            <v>1565499771.3300004</v>
          </cell>
          <cell r="F137">
            <v>1662837387.3623993</v>
          </cell>
        </row>
        <row r="138">
          <cell r="B138">
            <v>1649030756.2632022</v>
          </cell>
          <cell r="C138">
            <v>1705500484.4315996</v>
          </cell>
          <cell r="D138">
            <v>1824241984.9704013</v>
          </cell>
          <cell r="E138">
            <v>1925187219.1452036</v>
          </cell>
          <cell r="F138">
            <v>2053346915.0615995</v>
          </cell>
        </row>
        <row r="139">
          <cell r="B139">
            <v>1864374819.1248007</v>
          </cell>
          <cell r="C139">
            <v>1926947269.2275982</v>
          </cell>
          <cell r="D139">
            <v>2069129400.3899996</v>
          </cell>
          <cell r="E139">
            <v>2180940760.6476021</v>
          </cell>
          <cell r="F139">
            <v>2342204803.9296021</v>
          </cell>
        </row>
        <row r="140">
          <cell r="B140">
            <v>2103498219.6936021</v>
          </cell>
          <cell r="C140">
            <v>2171595017.6352015</v>
          </cell>
          <cell r="D140">
            <v>2336253482.3027992</v>
          </cell>
          <cell r="E140">
            <v>2461767961.4724007</v>
          </cell>
          <cell r="F140">
            <v>2651549550.3528032</v>
          </cell>
        </row>
        <row r="141">
          <cell r="B141">
            <v>2397674159.1071987</v>
          </cell>
          <cell r="C141">
            <v>2471772502.0631967</v>
          </cell>
          <cell r="D141">
            <v>2664952079.9532003</v>
          </cell>
          <cell r="E141">
            <v>2805017694.3227968</v>
          </cell>
          <cell r="F141">
            <v>3030058078.4988031</v>
          </cell>
        </row>
        <row r="142">
          <cell r="B142">
            <v>2736190970.2955999</v>
          </cell>
          <cell r="C142">
            <v>2818150770.2388029</v>
          </cell>
          <cell r="D142">
            <v>3044045700.8087988</v>
          </cell>
          <cell r="E142">
            <v>3200788536.7560015</v>
          </cell>
          <cell r="F142">
            <v>3465025918.0175986</v>
          </cell>
        </row>
        <row r="143">
          <cell r="B143">
            <v>3128656821.1968007</v>
          </cell>
          <cell r="C143">
            <v>3226823263.8647985</v>
          </cell>
          <cell r="D143">
            <v>3480652822.8719974</v>
          </cell>
          <cell r="E143">
            <v>3661330995.7043982</v>
          </cell>
          <cell r="F143">
            <v>3969500748.1608024</v>
          </cell>
        </row>
        <row r="144">
          <cell r="B144">
            <v>3741548753.2608032</v>
          </cell>
          <cell r="C144">
            <v>3851803109.9712057</v>
          </cell>
          <cell r="D144">
            <v>4164078316.8360028</v>
          </cell>
          <cell r="E144">
            <v>4377149632.0979948</v>
          </cell>
          <cell r="F144">
            <v>4755852695.2140017</v>
          </cell>
        </row>
        <row r="145">
          <cell r="B145">
            <v>6001718540.5139952</v>
          </cell>
          <cell r="C145">
            <v>6016952799.1896076</v>
          </cell>
          <cell r="D145">
            <v>6588303207.2136021</v>
          </cell>
          <cell r="E145">
            <v>6910012923.7631979</v>
          </cell>
          <cell r="F145">
            <v>7481001496.9667959</v>
          </cell>
        </row>
        <row r="146">
          <cell r="B146">
            <v>25746257098.552658</v>
          </cell>
          <cell r="C146">
            <v>26387341707.259171</v>
          </cell>
          <cell r="D146">
            <v>28518018251.58828</v>
          </cell>
          <cell r="E146">
            <v>30000905713.101597</v>
          </cell>
          <cell r="F146">
            <v>32378050667.855911</v>
          </cell>
        </row>
      </sheetData>
      <sheetData sheetId="2"/>
      <sheetData sheetId="3"/>
      <sheetData sheetId="4"/>
      <sheetData sheetId="5"/>
      <sheetData sheetId="6">
        <row r="7">
          <cell r="B7">
            <v>0.30941219711948098</v>
          </cell>
        </row>
      </sheetData>
      <sheetData sheetId="7"/>
      <sheetData sheetId="8"/>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1. Fiscal"/>
      <sheetName val="2. Distributional by deciles o"/>
      <sheetName val="2. Distributional by HH type"/>
      <sheetName val="2. Distributional by employmen"/>
      <sheetName val="2. Distributional by gender"/>
      <sheetName val="2. Distributional by age group"/>
      <sheetName val="3. Inequality and Poverty"/>
      <sheetName val="Parameter settings"/>
      <sheetName val="Metadata"/>
    </sheetNames>
    <sheetDataSet>
      <sheetData sheetId="0"/>
      <sheetData sheetId="1">
        <row r="46">
          <cell r="B46">
            <v>0</v>
          </cell>
          <cell r="C46">
            <v>0</v>
          </cell>
        </row>
        <row r="47">
          <cell r="B47">
            <v>8828118.4680000022</v>
          </cell>
          <cell r="C47">
            <v>8992336.0739999972</v>
          </cell>
        </row>
        <row r="48">
          <cell r="B48">
            <v>50554293.658800051</v>
          </cell>
          <cell r="C48">
            <v>51900194.812799975</v>
          </cell>
        </row>
        <row r="49">
          <cell r="B49">
            <v>109795028.84279998</v>
          </cell>
          <cell r="C49">
            <v>112672455.28680003</v>
          </cell>
        </row>
        <row r="50">
          <cell r="B50">
            <v>161385226.20839995</v>
          </cell>
          <cell r="C50">
            <v>165059903.7744</v>
          </cell>
        </row>
        <row r="51">
          <cell r="B51">
            <v>211997742.99720013</v>
          </cell>
          <cell r="C51">
            <v>216311777.91719961</v>
          </cell>
        </row>
        <row r="52">
          <cell r="B52">
            <v>267089742.86399996</v>
          </cell>
          <cell r="C52">
            <v>272497469.73360014</v>
          </cell>
        </row>
        <row r="53">
          <cell r="B53">
            <v>345483023.57160008</v>
          </cell>
          <cell r="C53">
            <v>352020264.85200018</v>
          </cell>
        </row>
        <row r="54">
          <cell r="B54">
            <v>465206897.48640013</v>
          </cell>
          <cell r="C54">
            <v>473343786.38999981</v>
          </cell>
        </row>
        <row r="55">
          <cell r="B55">
            <v>765091211.72039998</v>
          </cell>
          <cell r="C55">
            <v>776804327.81879997</v>
          </cell>
        </row>
        <row r="56">
          <cell r="B56">
            <v>2385431285.8175964</v>
          </cell>
          <cell r="C56">
            <v>2429602516.6595917</v>
          </cell>
          <cell r="D56">
            <v>2426050749.2255936</v>
          </cell>
          <cell r="E56">
            <v>2385454566.8387957</v>
          </cell>
          <cell r="F56">
            <v>2388888557.3147974</v>
          </cell>
          <cell r="G56">
            <v>2385503136.9275956</v>
          </cell>
        </row>
        <row r="64">
          <cell r="B64">
            <v>0</v>
          </cell>
          <cell r="C64">
            <v>0</v>
          </cell>
        </row>
        <row r="65">
          <cell r="B65">
            <v>336878628.42000008</v>
          </cell>
          <cell r="C65">
            <v>340246733.44440019</v>
          </cell>
        </row>
        <row r="66">
          <cell r="B66">
            <v>1420285471.9164</v>
          </cell>
          <cell r="C66">
            <v>1434489130.5624006</v>
          </cell>
        </row>
        <row r="67">
          <cell r="B67">
            <v>2063482628.408401</v>
          </cell>
          <cell r="C67">
            <v>2084117660.563199</v>
          </cell>
        </row>
        <row r="68">
          <cell r="B68">
            <v>2570232094.895998</v>
          </cell>
          <cell r="C68">
            <v>2595934835.9724016</v>
          </cell>
        </row>
        <row r="69">
          <cell r="B69">
            <v>3113928710.7672005</v>
          </cell>
          <cell r="C69">
            <v>3145068617.497201</v>
          </cell>
        </row>
        <row r="70">
          <cell r="B70">
            <v>3578856665.2908001</v>
          </cell>
          <cell r="C70">
            <v>3614645624.8572016</v>
          </cell>
        </row>
        <row r="71">
          <cell r="B71">
            <v>4306547233.1975994</v>
          </cell>
          <cell r="C71">
            <v>4349613902.8176022</v>
          </cell>
        </row>
        <row r="72">
          <cell r="B72">
            <v>5208798457.5179987</v>
          </cell>
          <cell r="C72">
            <v>5260888765.2719946</v>
          </cell>
        </row>
        <row r="73">
          <cell r="B73">
            <v>7242790792.6836052</v>
          </cell>
          <cell r="C73">
            <v>7315219227.8879957</v>
          </cell>
        </row>
        <row r="74">
          <cell r="B74">
            <v>29841800683.098038</v>
          </cell>
          <cell r="C74">
            <v>30140224498.874405</v>
          </cell>
          <cell r="D74">
            <v>30096365316.087631</v>
          </cell>
          <cell r="E74">
            <v>29841923279.755234</v>
          </cell>
          <cell r="F74">
            <v>29885003227.756794</v>
          </cell>
          <cell r="G74">
            <v>29842339601.040012</v>
          </cell>
        </row>
      </sheetData>
      <sheetData sheetId="2"/>
      <sheetData sheetId="3"/>
      <sheetData sheetId="4"/>
      <sheetData sheetId="5"/>
      <sheetData sheetId="6"/>
      <sheetData sheetId="7"/>
      <sheetData sheetId="8"/>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1. Fiscal"/>
      <sheetName val="2. Distributional by deciles o"/>
      <sheetName val="2. Distributional by HH type"/>
      <sheetName val="2. Distributional by employmen"/>
      <sheetName val="2. Distributional by gender"/>
      <sheetName val="2. Distributional by age group"/>
      <sheetName val="3. Inequality and Poverty"/>
      <sheetName val="Parameter settings"/>
      <sheetName val="Metadata"/>
    </sheetNames>
    <sheetDataSet>
      <sheetData sheetId="0"/>
      <sheetData sheetId="1">
        <row r="28">
          <cell r="I28">
            <v>0</v>
          </cell>
        </row>
        <row r="29">
          <cell r="I29">
            <v>0.71438041439594724</v>
          </cell>
        </row>
        <row r="30">
          <cell r="I30">
            <v>0.71984473009963967</v>
          </cell>
        </row>
        <row r="31">
          <cell r="I31">
            <v>0.89566548113154321</v>
          </cell>
        </row>
        <row r="32">
          <cell r="I32">
            <v>0.95291033466749098</v>
          </cell>
        </row>
        <row r="33">
          <cell r="I33">
            <v>0.98038796561186348</v>
          </cell>
        </row>
        <row r="34">
          <cell r="I34">
            <v>1</v>
          </cell>
        </row>
        <row r="35">
          <cell r="I35">
            <v>1</v>
          </cell>
        </row>
        <row r="36">
          <cell r="I36">
            <v>1</v>
          </cell>
        </row>
        <row r="37">
          <cell r="I37">
            <v>1</v>
          </cell>
        </row>
        <row r="38">
          <cell r="I38">
            <v>0.74915194551104125</v>
          </cell>
        </row>
        <row r="64">
          <cell r="D64">
            <v>0</v>
          </cell>
          <cell r="E64">
            <v>0</v>
          </cell>
          <cell r="F64">
            <v>0</v>
          </cell>
          <cell r="G64">
            <v>0</v>
          </cell>
        </row>
        <row r="65">
          <cell r="D65">
            <v>8893715.2595999986</v>
          </cell>
          <cell r="E65">
            <v>8992336.0739999972</v>
          </cell>
          <cell r="F65">
            <v>8902772.746799998</v>
          </cell>
          <cell r="G65">
            <v>8893715.2595999986</v>
          </cell>
        </row>
        <row r="66">
          <cell r="D66">
            <v>51145164.632399991</v>
          </cell>
          <cell r="E66">
            <v>51900194.812799975</v>
          </cell>
          <cell r="F66">
            <v>51170088.555599973</v>
          </cell>
          <cell r="G66">
            <v>51145164.632399991</v>
          </cell>
        </row>
        <row r="67">
          <cell r="D67">
            <v>111409978.3308</v>
          </cell>
          <cell r="E67">
            <v>112672455.28680003</v>
          </cell>
          <cell r="F67">
            <v>111463953.06</v>
          </cell>
          <cell r="G67">
            <v>111409978.3308</v>
          </cell>
        </row>
        <row r="68">
          <cell r="D68">
            <v>163418760.89640003</v>
          </cell>
          <cell r="E68">
            <v>165059903.7744</v>
          </cell>
          <cell r="F68">
            <v>163487151.17159998</v>
          </cell>
          <cell r="G68">
            <v>163418760.89640003</v>
          </cell>
        </row>
        <row r="69">
          <cell r="D69">
            <v>214342762.61279982</v>
          </cell>
          <cell r="E69">
            <v>216311777.91719961</v>
          </cell>
          <cell r="F69">
            <v>214366394.0867998</v>
          </cell>
          <cell r="G69">
            <v>214342762.61279982</v>
          </cell>
        </row>
        <row r="70">
          <cell r="D70">
            <v>270248501.82599998</v>
          </cell>
          <cell r="E70">
            <v>272497469.73360014</v>
          </cell>
          <cell r="F70">
            <v>270287649.23640001</v>
          </cell>
          <cell r="G70">
            <v>270248501.82599998</v>
          </cell>
        </row>
        <row r="71">
          <cell r="D71">
            <v>349387625.07720035</v>
          </cell>
          <cell r="E71">
            <v>352018037.03160012</v>
          </cell>
          <cell r="F71">
            <v>349412593.96560031</v>
          </cell>
          <cell r="G71">
            <v>349387625.07720035</v>
          </cell>
        </row>
        <row r="72">
          <cell r="D72">
            <v>470298107.91959989</v>
          </cell>
          <cell r="E72">
            <v>473343786.38999981</v>
          </cell>
          <cell r="F72">
            <v>470327304.71999985</v>
          </cell>
          <cell r="G72">
            <v>470298107.91959989</v>
          </cell>
        </row>
        <row r="73">
          <cell r="D73">
            <v>773047807.6595999</v>
          </cell>
          <cell r="E73">
            <v>776711856.92280006</v>
          </cell>
          <cell r="F73">
            <v>773060762.44079983</v>
          </cell>
          <cell r="G73">
            <v>773047807.6595999</v>
          </cell>
        </row>
        <row r="74">
          <cell r="D74">
            <v>2412192424.2144017</v>
          </cell>
          <cell r="E74">
            <v>2429507817.9431915</v>
          </cell>
          <cell r="F74">
            <v>2412478669.9836006</v>
          </cell>
          <cell r="G74">
            <v>2412192424.2144017</v>
          </cell>
        </row>
        <row r="100">
          <cell r="B100">
            <v>0</v>
          </cell>
        </row>
        <row r="101">
          <cell r="B101">
            <v>255082180.07160035</v>
          </cell>
        </row>
        <row r="102">
          <cell r="B102">
            <v>1169326754.8931999</v>
          </cell>
        </row>
        <row r="103">
          <cell r="B103">
            <v>1781704803.1007996</v>
          </cell>
        </row>
        <row r="104">
          <cell r="B104">
            <v>2267863449.7644</v>
          </cell>
        </row>
        <row r="105">
          <cell r="B105">
            <v>2635497987.9684005</v>
          </cell>
        </row>
        <row r="106">
          <cell r="B106">
            <v>3116681726.3592005</v>
          </cell>
        </row>
        <row r="107">
          <cell r="B107">
            <v>3665448423.0300016</v>
          </cell>
        </row>
        <row r="108">
          <cell r="B108">
            <v>4439514925.4304047</v>
          </cell>
        </row>
        <row r="109">
          <cell r="B109">
            <v>6124572412.0392056</v>
          </cell>
        </row>
        <row r="110">
          <cell r="B110">
            <v>25455692662.657188</v>
          </cell>
        </row>
        <row r="118">
          <cell r="B118">
            <v>0</v>
          </cell>
        </row>
        <row r="119">
          <cell r="B119">
            <v>3399134.9783999994</v>
          </cell>
        </row>
        <row r="120">
          <cell r="B120">
            <v>282138.89280000003</v>
          </cell>
        </row>
        <row r="121">
          <cell r="B121">
            <v>843424.92480000015</v>
          </cell>
        </row>
        <row r="122">
          <cell r="B122">
            <v>295858.25399999996</v>
          </cell>
        </row>
        <row r="123">
          <cell r="B123">
            <v>0</v>
          </cell>
        </row>
        <row r="124">
          <cell r="B124">
            <v>1213370.9183999998</v>
          </cell>
        </row>
        <row r="125">
          <cell r="B125">
            <v>542409.46439999994</v>
          </cell>
        </row>
        <row r="126">
          <cell r="B126">
            <v>3386399.7480000006</v>
          </cell>
        </row>
        <row r="127">
          <cell r="B127">
            <v>2302003.068</v>
          </cell>
        </row>
        <row r="128">
          <cell r="B128">
            <v>12264740.248799998</v>
          </cell>
        </row>
        <row r="136">
          <cell r="B136">
            <v>0</v>
          </cell>
        </row>
        <row r="137">
          <cell r="B137">
            <v>70759900.970400006</v>
          </cell>
        </row>
        <row r="138">
          <cell r="B138">
            <v>244640509.82999998</v>
          </cell>
        </row>
        <row r="139">
          <cell r="B139">
            <v>277083525.04920006</v>
          </cell>
        </row>
        <row r="140">
          <cell r="B140">
            <v>298906183.2432</v>
          </cell>
        </row>
        <row r="141">
          <cell r="B141">
            <v>476821533.08279991</v>
          </cell>
        </row>
        <row r="142">
          <cell r="B142">
            <v>455781841.64760005</v>
          </cell>
        </row>
        <row r="143">
          <cell r="B143">
            <v>631009973.03159988</v>
          </cell>
        </row>
        <row r="144">
          <cell r="B144">
            <v>760767701.12880015</v>
          </cell>
        </row>
        <row r="145">
          <cell r="B145">
            <v>1104308007.3288</v>
          </cell>
        </row>
        <row r="146">
          <cell r="B146">
            <v>4320079175.3124008</v>
          </cell>
        </row>
        <row r="154">
          <cell r="B154">
            <v>0</v>
          </cell>
        </row>
        <row r="155">
          <cell r="B155">
            <v>7637318.7203999981</v>
          </cell>
        </row>
        <row r="156">
          <cell r="B156">
            <v>6036027.2748000007</v>
          </cell>
        </row>
        <row r="157">
          <cell r="B157">
            <v>3850877.2859999989</v>
          </cell>
        </row>
        <row r="158">
          <cell r="B158">
            <v>3166463.554800001</v>
          </cell>
        </row>
        <row r="159">
          <cell r="B159">
            <v>1609543.9308000009</v>
          </cell>
        </row>
        <row r="160">
          <cell r="B160">
            <v>5179425.680399999</v>
          </cell>
        </row>
        <row r="161">
          <cell r="B161">
            <v>9546468.894000005</v>
          </cell>
        </row>
        <row r="162">
          <cell r="B162">
            <v>5129401.8983999984</v>
          </cell>
        </row>
        <row r="163">
          <cell r="B163">
            <v>11608408.489200003</v>
          </cell>
        </row>
        <row r="164">
          <cell r="B164">
            <v>53763935.728800133</v>
          </cell>
        </row>
      </sheetData>
      <sheetData sheetId="2"/>
      <sheetData sheetId="3"/>
      <sheetData sheetId="4"/>
      <sheetData sheetId="5"/>
      <sheetData sheetId="6">
        <row r="7">
          <cell r="B7">
            <v>0.38867558617044801</v>
          </cell>
          <cell r="C7">
            <v>0.38867559892554299</v>
          </cell>
        </row>
        <row r="8">
          <cell r="B8">
            <v>0.379028979130487</v>
          </cell>
          <cell r="C8">
            <v>0.37904336281554302</v>
          </cell>
        </row>
        <row r="34">
          <cell r="B34">
            <v>0.118107405741447</v>
          </cell>
          <cell r="C34">
            <v>0.116818765671689</v>
          </cell>
        </row>
      </sheetData>
      <sheetData sheetId="7"/>
      <sheetData sheetId="8"/>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Fiscal"/>
      <sheetName val="2. Distributional by deciles o"/>
      <sheetName val="2. Distributional by HH type"/>
      <sheetName val="2. Distributional by employmen"/>
      <sheetName val="2. Distributional by gender"/>
      <sheetName val="2. Distributional by age group"/>
      <sheetName val="3. Inequality and Poverty"/>
      <sheetName val="Parameter settings"/>
      <sheetName val="Metadata"/>
    </sheetNames>
    <sheetDataSet>
      <sheetData sheetId="0"/>
      <sheetData sheetId="1">
        <row r="64">
          <cell r="B64">
            <v>0</v>
          </cell>
          <cell r="C64">
            <v>0</v>
          </cell>
        </row>
        <row r="65">
          <cell r="B65">
            <v>12068158.279199997</v>
          </cell>
          <cell r="C65">
            <v>12287232.260400001</v>
          </cell>
        </row>
        <row r="66">
          <cell r="B66">
            <v>55352946.331200004</v>
          </cell>
          <cell r="C66">
            <v>56615309.373599991</v>
          </cell>
        </row>
        <row r="67">
          <cell r="B67">
            <v>111836978.68079996</v>
          </cell>
          <cell r="C67">
            <v>114175342.36439997</v>
          </cell>
        </row>
        <row r="68">
          <cell r="B68">
            <v>167833016.10119995</v>
          </cell>
          <cell r="C68">
            <v>171381666.8567999</v>
          </cell>
        </row>
        <row r="69">
          <cell r="B69">
            <v>230194034.30760032</v>
          </cell>
          <cell r="C69">
            <v>235063969.68359965</v>
          </cell>
        </row>
        <row r="70">
          <cell r="B70">
            <v>276373496.85479981</v>
          </cell>
          <cell r="C70">
            <v>282391557.28800011</v>
          </cell>
        </row>
        <row r="71">
          <cell r="B71">
            <v>404039608.63680017</v>
          </cell>
          <cell r="C71">
            <v>412368640.9247998</v>
          </cell>
        </row>
        <row r="72">
          <cell r="B72">
            <v>570694471.84079957</v>
          </cell>
          <cell r="C72">
            <v>581886216.06719971</v>
          </cell>
        </row>
        <row r="73">
          <cell r="B73">
            <v>1052289819.7919996</v>
          </cell>
          <cell r="C73">
            <v>1069692497.0255988</v>
          </cell>
        </row>
        <row r="74">
          <cell r="B74">
            <v>2880682530.8244047</v>
          </cell>
          <cell r="C74">
            <v>2935862431.8444018</v>
          </cell>
          <cell r="D74">
            <v>2927158287.7440023</v>
          </cell>
          <cell r="E74">
            <v>2880705850.6812057</v>
          </cell>
          <cell r="F74">
            <v>2889259993.1064062</v>
          </cell>
          <cell r="G74">
            <v>2880799201.730402</v>
          </cell>
        </row>
        <row r="82">
          <cell r="B82">
            <v>0</v>
          </cell>
          <cell r="C82">
            <v>0</v>
          </cell>
        </row>
        <row r="83">
          <cell r="B83">
            <v>458348560.80720037</v>
          </cell>
          <cell r="C83">
            <v>462925497.26639968</v>
          </cell>
        </row>
        <row r="84">
          <cell r="B84">
            <v>1869535718.2631989</v>
          </cell>
          <cell r="C84">
            <v>1888229901.1703992</v>
          </cell>
        </row>
        <row r="85">
          <cell r="B85">
            <v>2700757336.6163993</v>
          </cell>
          <cell r="C85">
            <v>2727764279.1804013</v>
          </cell>
        </row>
        <row r="86">
          <cell r="B86">
            <v>3375545765.8871999</v>
          </cell>
          <cell r="C86">
            <v>3409301220.848402</v>
          </cell>
        </row>
        <row r="87">
          <cell r="B87">
            <v>4120393898.8235979</v>
          </cell>
          <cell r="C87">
            <v>4161596954.3759966</v>
          </cell>
        </row>
        <row r="88">
          <cell r="B88">
            <v>4690076417.7480011</v>
          </cell>
          <cell r="C88">
            <v>4736976837.3635998</v>
          </cell>
        </row>
        <row r="89">
          <cell r="B89">
            <v>5686032774.625205</v>
          </cell>
          <cell r="C89">
            <v>5742891920.1203976</v>
          </cell>
        </row>
        <row r="90">
          <cell r="B90">
            <v>6830622883.7663975</v>
          </cell>
          <cell r="C90">
            <v>6898929240.1584015</v>
          </cell>
        </row>
        <row r="91">
          <cell r="B91">
            <v>9539727637.9584045</v>
          </cell>
          <cell r="C91">
            <v>9635123303.821207</v>
          </cell>
        </row>
        <row r="92">
          <cell r="B92">
            <v>39271040994.495689</v>
          </cell>
          <cell r="C92">
            <v>39663739154.305222</v>
          </cell>
          <cell r="D92">
            <v>39605709809.254868</v>
          </cell>
          <cell r="E92">
            <v>39271163526.864082</v>
          </cell>
          <cell r="F92">
            <v>39327888639.901253</v>
          </cell>
          <cell r="G92">
            <v>39272098124.428894</v>
          </cell>
        </row>
      </sheetData>
      <sheetData sheetId="2"/>
      <sheetData sheetId="3"/>
      <sheetData sheetId="4"/>
      <sheetData sheetId="5"/>
      <sheetData sheetId="6"/>
      <sheetData sheetId="7"/>
      <sheetData sheetId="8"/>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Fiscal"/>
      <sheetName val="2. Distributional by deciles o"/>
      <sheetName val="2. Distributional by HH type"/>
      <sheetName val="2. Distributional by employmen"/>
      <sheetName val="2. Distributional by gender"/>
      <sheetName val="2. Distributional by age group"/>
      <sheetName val="3. Inequality and Poverty"/>
      <sheetName val="Parameter settings"/>
      <sheetName val="Metadata"/>
    </sheetNames>
    <sheetDataSet>
      <sheetData sheetId="0"/>
      <sheetData sheetId="1">
        <row r="28">
          <cell r="F28">
            <v>0</v>
          </cell>
        </row>
        <row r="29">
          <cell r="F29">
            <v>0.7259134717023622</v>
          </cell>
        </row>
        <row r="30">
          <cell r="F30">
            <v>0.5600650186840741</v>
          </cell>
        </row>
        <row r="31">
          <cell r="F31">
            <v>0.68962227121320996</v>
          </cell>
        </row>
        <row r="32">
          <cell r="F32">
            <v>0.82835781964169042</v>
          </cell>
        </row>
        <row r="33">
          <cell r="F33">
            <v>0.95377231575447086</v>
          </cell>
        </row>
        <row r="34">
          <cell r="F34">
            <v>0.98872571463071635</v>
          </cell>
        </row>
        <row r="35">
          <cell r="F35">
            <v>0.99366856322575647</v>
          </cell>
        </row>
        <row r="36">
          <cell r="F36">
            <v>1</v>
          </cell>
        </row>
        <row r="37">
          <cell r="F37">
            <v>1</v>
          </cell>
        </row>
        <row r="38">
          <cell r="F38">
            <v>0.7058408188958698</v>
          </cell>
        </row>
        <row r="64">
          <cell r="D64">
            <v>0</v>
          </cell>
        </row>
        <row r="65">
          <cell r="D65">
            <v>12178166.939999999</v>
          </cell>
        </row>
        <row r="66">
          <cell r="D66">
            <v>55900964.681999959</v>
          </cell>
        </row>
        <row r="67">
          <cell r="D67">
            <v>113065546.84200004</v>
          </cell>
        </row>
        <row r="68">
          <cell r="D68">
            <v>169811261.98799992</v>
          </cell>
        </row>
        <row r="69">
          <cell r="D69">
            <v>232771947.46079975</v>
          </cell>
        </row>
        <row r="70">
          <cell r="D70">
            <v>279812486.62319994</v>
          </cell>
        </row>
        <row r="71">
          <cell r="D71">
            <v>408886885.62119991</v>
          </cell>
        </row>
        <row r="72">
          <cell r="D72">
            <v>577608560.41799986</v>
          </cell>
        </row>
        <row r="73">
          <cell r="D73">
            <v>1063792001.0796003</v>
          </cell>
        </row>
        <row r="74">
          <cell r="D74">
            <v>2913827821.6548042</v>
          </cell>
        </row>
      </sheetData>
      <sheetData sheetId="2"/>
      <sheetData sheetId="3"/>
      <sheetData sheetId="4"/>
      <sheetData sheetId="5"/>
      <sheetData sheetId="6"/>
      <sheetData sheetId="7"/>
      <sheetData sheetId="8"/>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1. Fiscal"/>
      <sheetName val="2. Distributional by deciles o"/>
      <sheetName val="2. Distributional by HH type"/>
      <sheetName val="2. Distributional by employmen"/>
      <sheetName val="2. Distributional by gender"/>
      <sheetName val="2. Distributional by age group"/>
      <sheetName val="3. Inequality and Poverty"/>
      <sheetName val="Parameter settings"/>
      <sheetName val="Metadata"/>
    </sheetNames>
    <sheetDataSet>
      <sheetData sheetId="0"/>
      <sheetData sheetId="1">
        <row r="28">
          <cell r="M28">
            <v>0</v>
          </cell>
        </row>
        <row r="64">
          <cell r="B64">
            <v>0</v>
          </cell>
          <cell r="C64">
            <v>0</v>
          </cell>
          <cell r="D64">
            <v>0</v>
          </cell>
          <cell r="E64">
            <v>0</v>
          </cell>
          <cell r="F64">
            <v>0</v>
          </cell>
          <cell r="H64">
            <v>0</v>
          </cell>
          <cell r="I64">
            <v>0</v>
          </cell>
          <cell r="J64">
            <v>0</v>
          </cell>
          <cell r="K64">
            <v>0</v>
          </cell>
          <cell r="L64">
            <v>0</v>
          </cell>
        </row>
        <row r="65">
          <cell r="B65">
            <v>8828118.4680000022</v>
          </cell>
          <cell r="C65">
            <v>8097828.9095999999</v>
          </cell>
          <cell r="D65">
            <v>9009265.4040000029</v>
          </cell>
          <cell r="E65">
            <v>10357728.237599993</v>
          </cell>
          <cell r="F65">
            <v>12293262.507599995</v>
          </cell>
          <cell r="H65">
            <v>16243480.78559999</v>
          </cell>
          <cell r="I65">
            <v>12153867.315599997</v>
          </cell>
          <cell r="J65">
            <v>13302662.226</v>
          </cell>
          <cell r="K65">
            <v>12256975.4256</v>
          </cell>
          <cell r="L65">
            <v>13715395.728000004</v>
          </cell>
        </row>
        <row r="66">
          <cell r="B66">
            <v>50554293.658800051</v>
          </cell>
          <cell r="C66">
            <v>45294428.423999965</v>
          </cell>
          <cell r="D66">
            <v>52295191.001999997</v>
          </cell>
          <cell r="E66">
            <v>56683533.359999985</v>
          </cell>
          <cell r="F66">
            <v>58024857.564000003</v>
          </cell>
          <cell r="H66">
            <v>100390633.98120001</v>
          </cell>
          <cell r="I66">
            <v>72399856.360799953</v>
          </cell>
          <cell r="J66">
            <v>81307569.949200004</v>
          </cell>
          <cell r="K66">
            <v>73201560.60239999</v>
          </cell>
          <cell r="L66">
            <v>66933444.621599987</v>
          </cell>
        </row>
        <row r="67">
          <cell r="B67">
            <v>109795028.84279998</v>
          </cell>
          <cell r="C67">
            <v>101151825.4224</v>
          </cell>
          <cell r="D67">
            <v>115335929.39280006</v>
          </cell>
          <cell r="E67">
            <v>118202160.20519994</v>
          </cell>
          <cell r="F67">
            <v>111626261.86319995</v>
          </cell>
          <cell r="H67">
            <v>200275085.45760012</v>
          </cell>
          <cell r="I67">
            <v>157095244.61040014</v>
          </cell>
          <cell r="J67">
            <v>171161182.7604</v>
          </cell>
          <cell r="K67">
            <v>158486391.4248001</v>
          </cell>
          <cell r="L67">
            <v>125811738.29999985</v>
          </cell>
        </row>
        <row r="68">
          <cell r="B68">
            <v>161385226.20839995</v>
          </cell>
          <cell r="C68">
            <v>149281559.81040007</v>
          </cell>
          <cell r="D68">
            <v>171522507.5819999</v>
          </cell>
          <cell r="E68">
            <v>178640551.85879993</v>
          </cell>
          <cell r="F68">
            <v>165514067.11320001</v>
          </cell>
          <cell r="H68">
            <v>281846911.61040014</v>
          </cell>
          <cell r="I68">
            <v>225943565.00400004</v>
          </cell>
          <cell r="J68">
            <v>244457722.35360008</v>
          </cell>
          <cell r="K68">
            <v>227765044.78439993</v>
          </cell>
          <cell r="L68">
            <v>185779225.44239983</v>
          </cell>
        </row>
        <row r="69">
          <cell r="B69">
            <v>211997742.99720013</v>
          </cell>
          <cell r="C69">
            <v>198603823.2912001</v>
          </cell>
          <cell r="D69">
            <v>230270511.30360013</v>
          </cell>
          <cell r="E69">
            <v>242714677.8635999</v>
          </cell>
          <cell r="F69">
            <v>230573009.11800018</v>
          </cell>
          <cell r="H69">
            <v>356891576.61239988</v>
          </cell>
          <cell r="I69">
            <v>291114508.22759998</v>
          </cell>
          <cell r="J69">
            <v>312880110.81720006</v>
          </cell>
          <cell r="K69">
            <v>293259464.26799989</v>
          </cell>
          <cell r="L69">
            <v>258016606.52639991</v>
          </cell>
        </row>
        <row r="70">
          <cell r="B70">
            <v>267089742.86399996</v>
          </cell>
          <cell r="C70">
            <v>253644443.90639994</v>
          </cell>
          <cell r="D70">
            <v>289280791.99560004</v>
          </cell>
          <cell r="E70">
            <v>301873731.78599977</v>
          </cell>
          <cell r="F70">
            <v>278131552.62119997</v>
          </cell>
          <cell r="H70">
            <v>440924071.86000019</v>
          </cell>
          <cell r="I70">
            <v>366487131.11039972</v>
          </cell>
          <cell r="J70">
            <v>391025516.17799962</v>
          </cell>
          <cell r="K70">
            <v>368910540.15479988</v>
          </cell>
          <cell r="L70">
            <v>310642096.5612002</v>
          </cell>
        </row>
        <row r="71">
          <cell r="B71">
            <v>345483023.57160008</v>
          </cell>
          <cell r="C71">
            <v>329288625.85080004</v>
          </cell>
          <cell r="D71">
            <v>380978969.75040001</v>
          </cell>
          <cell r="E71">
            <v>409732787.34000003</v>
          </cell>
          <cell r="F71">
            <v>401027381.64840007</v>
          </cell>
          <cell r="H71">
            <v>551583410.36279988</v>
          </cell>
          <cell r="I71">
            <v>466309274.20079994</v>
          </cell>
          <cell r="J71">
            <v>494714671.30320001</v>
          </cell>
          <cell r="K71">
            <v>469124331.47880006</v>
          </cell>
          <cell r="L71">
            <v>442203894.49679959</v>
          </cell>
        </row>
        <row r="72">
          <cell r="B72">
            <v>465206897.48640013</v>
          </cell>
          <cell r="C72">
            <v>452433052.35720026</v>
          </cell>
          <cell r="D72">
            <v>523328112.24120015</v>
          </cell>
          <cell r="E72">
            <v>567163947.96239924</v>
          </cell>
          <cell r="F72">
            <v>571821638.32559955</v>
          </cell>
          <cell r="H72">
            <v>720950564.63399971</v>
          </cell>
          <cell r="I72">
            <v>621234920.28719926</v>
          </cell>
          <cell r="J72">
            <v>654240936.20639932</v>
          </cell>
          <cell r="K72">
            <v>624489758.27640021</v>
          </cell>
          <cell r="L72">
            <v>624494539.1184001</v>
          </cell>
        </row>
        <row r="73">
          <cell r="B73">
            <v>765091211.72039998</v>
          </cell>
          <cell r="C73">
            <v>768541795.40039945</v>
          </cell>
          <cell r="D73">
            <v>894044502.99000013</v>
          </cell>
          <cell r="E73">
            <v>980813005.32240093</v>
          </cell>
          <cell r="F73">
            <v>1051670500.0631995</v>
          </cell>
          <cell r="H73">
            <v>1139200245.9143991</v>
          </cell>
          <cell r="I73">
            <v>1011989520.3851995</v>
          </cell>
          <cell r="J73">
            <v>1052971667.8775997</v>
          </cell>
          <cell r="K73">
            <v>1015991884.9907992</v>
          </cell>
          <cell r="L73">
            <v>1122045408.9971988</v>
          </cell>
        </row>
        <row r="74">
          <cell r="B74">
            <v>2385431285.8175964</v>
          </cell>
          <cell r="C74">
            <v>2306337383.3724022</v>
          </cell>
          <cell r="D74">
            <v>2666065781.6615973</v>
          </cell>
          <cell r="E74">
            <v>2866182123.9359984</v>
          </cell>
          <cell r="F74">
            <v>2880682530.8244047</v>
          </cell>
          <cell r="H74">
            <v>3808305981.2184029</v>
          </cell>
          <cell r="I74">
            <v>3224727887.5020061</v>
          </cell>
          <cell r="J74">
            <v>3416062039.6716003</v>
          </cell>
          <cell r="K74">
            <v>3243485951.4059896</v>
          </cell>
          <cell r="L74">
            <v>3149642349.7919979</v>
          </cell>
        </row>
        <row r="82">
          <cell r="B82">
            <v>0</v>
          </cell>
          <cell r="C82">
            <v>0</v>
          </cell>
          <cell r="D82">
            <v>0</v>
          </cell>
          <cell r="E82">
            <v>0</v>
          </cell>
          <cell r="F82">
            <v>0</v>
          </cell>
        </row>
        <row r="83">
          <cell r="B83">
            <v>336878628.42000008</v>
          </cell>
          <cell r="C83">
            <v>344310482.41560024</v>
          </cell>
          <cell r="D83">
            <v>369269148.93480003</v>
          </cell>
          <cell r="E83">
            <v>401201006.89320022</v>
          </cell>
          <cell r="F83">
            <v>451460264.32080042</v>
          </cell>
        </row>
        <row r="84">
          <cell r="B84">
            <v>1420285471.9164</v>
          </cell>
          <cell r="C84">
            <v>1462315411.7004006</v>
          </cell>
          <cell r="D84">
            <v>1573672017.2952003</v>
          </cell>
          <cell r="E84">
            <v>1698914826.225601</v>
          </cell>
          <cell r="F84">
            <v>1873924075.8575988</v>
          </cell>
        </row>
        <row r="85">
          <cell r="B85">
            <v>2063482628.408401</v>
          </cell>
          <cell r="C85">
            <v>2127330389.0748005</v>
          </cell>
          <cell r="D85">
            <v>2290992564.9048014</v>
          </cell>
          <cell r="E85">
            <v>2465174040.169198</v>
          </cell>
          <cell r="F85">
            <v>2718483206.637599</v>
          </cell>
        </row>
        <row r="86">
          <cell r="B86">
            <v>2570232094.895998</v>
          </cell>
          <cell r="C86">
            <v>2651946534.0516005</v>
          </cell>
          <cell r="D86">
            <v>2848031801.8800006</v>
          </cell>
          <cell r="E86">
            <v>3067733200.1532011</v>
          </cell>
          <cell r="F86">
            <v>3382664664.9372005</v>
          </cell>
        </row>
        <row r="87">
          <cell r="B87">
            <v>3113928710.7672005</v>
          </cell>
          <cell r="C87">
            <v>3215739152.8320022</v>
          </cell>
          <cell r="D87">
            <v>3454351964.0124025</v>
          </cell>
          <cell r="E87">
            <v>3718483766.9819994</v>
          </cell>
          <cell r="F87">
            <v>4101203737.7639971</v>
          </cell>
        </row>
        <row r="88">
          <cell r="B88">
            <v>3578856665.2908001</v>
          </cell>
          <cell r="C88">
            <v>3702226507.1711984</v>
          </cell>
          <cell r="D88">
            <v>3974616128.3088007</v>
          </cell>
          <cell r="E88">
            <v>4270095114.5496025</v>
          </cell>
          <cell r="F88">
            <v>4710279669.9456015</v>
          </cell>
        </row>
        <row r="89">
          <cell r="B89">
            <v>4306547233.1975994</v>
          </cell>
          <cell r="C89">
            <v>4441218634.3655987</v>
          </cell>
          <cell r="D89">
            <v>4773635877.9408035</v>
          </cell>
          <cell r="E89">
            <v>5129244094.9380007</v>
          </cell>
          <cell r="F89">
            <v>5659209350.4564037</v>
          </cell>
        </row>
        <row r="90">
          <cell r="B90">
            <v>5208798457.5179987</v>
          </cell>
          <cell r="C90">
            <v>5390241214.0031996</v>
          </cell>
          <cell r="D90">
            <v>5779264304.2271957</v>
          </cell>
          <cell r="E90">
            <v>6204725984.7659988</v>
          </cell>
          <cell r="F90">
            <v>6846473249.9771976</v>
          </cell>
        </row>
        <row r="91">
          <cell r="B91">
            <v>7242790792.6836052</v>
          </cell>
          <cell r="C91">
            <v>7491280771.1316051</v>
          </cell>
          <cell r="D91">
            <v>8042281367.4515972</v>
          </cell>
          <cell r="E91">
            <v>8634702125.7731953</v>
          </cell>
          <cell r="F91">
            <v>9527342774.599205</v>
          </cell>
        </row>
        <row r="92">
          <cell r="B92">
            <v>29841800683.098038</v>
          </cell>
          <cell r="C92">
            <v>30826609096.745987</v>
          </cell>
          <cell r="D92">
            <v>33106115174.955608</v>
          </cell>
          <cell r="E92">
            <v>35590274160.449959</v>
          </cell>
          <cell r="F92">
            <v>39271040994.495689</v>
          </cell>
        </row>
      </sheetData>
      <sheetData sheetId="2"/>
      <sheetData sheetId="3"/>
      <sheetData sheetId="4"/>
      <sheetData sheetId="5"/>
      <sheetData sheetId="6">
        <row r="7">
          <cell r="B7">
            <v>0.38867558617044801</v>
          </cell>
        </row>
      </sheetData>
      <sheetData sheetId="7"/>
      <sheetData sheetId="8"/>
    </sheetDataSet>
  </externalBook>
</externalLink>
</file>

<file path=xl/persons/person.xml><?xml version="1.0" encoding="utf-8"?>
<personList xmlns="http://schemas.microsoft.com/office/spreadsheetml/2018/threadedcomments" xmlns:x="http://schemas.openxmlformats.org/spreadsheetml/2006/main">
  <person displayName="Jászberényi-Király Viktor" id="{98C75290-60C7-43CD-B003-EAD80B8CABA2}" userId="S::jaszberenyiv@mnb.hu::34651bed-95c8-4663-bf30-fd5488bd3497" providerId="AD"/>
  <person displayName="Moser, Mathias" id="{047118C0-41B6-4055-ACF3-270C8BF5356B}" userId="S::mathias.moser@oenb.at::6c37d2a7-4887-4519-9388-ba080ea9b247"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2138A7C-86A4-4B87-B381-4406A4294CDF}" name="Table2" displayName="Table2" ref="A40:E69" totalsRowShown="0" headerRowDxfId="238" dataDxfId="237" tableBorderDxfId="236">
  <autoFilter ref="A40:E69" xr:uid="{32138A7C-86A4-4B87-B381-4406A4294CDF}"/>
  <sortState xmlns:xlrd2="http://schemas.microsoft.com/office/spreadsheetml/2017/richdata2" ref="A41:E69">
    <sortCondition descending="1" ref="B40:B69"/>
  </sortState>
  <tableColumns count="5">
    <tableColumn id="1" xr3:uid="{27168390-2426-4C10-AE04-F2207BF25640}" name="country" dataDxfId="235"/>
    <tableColumn id="2" xr3:uid="{E82E1C2A-DDA1-4BE5-BA54-16806E3A9E14}" name="Labor income" dataDxfId="234">
      <calculatedColumnFormula array="1">INDIRECT("'Main-"&amp;$A41&amp;"'!"&amp;B$39)</calculatedColumnFormula>
    </tableColumn>
    <tableColumn id="3" xr3:uid="{F2409E56-54F0-4638-A35A-164064CBD233}" name="Pensions and benefits" dataDxfId="233">
      <calculatedColumnFormula array="1">INDIRECT("'Main-"&amp;$A41&amp;"'!"&amp;C$39)</calculatedColumnFormula>
    </tableColumn>
    <tableColumn id="4" xr3:uid="{EC5E5ACC-2E63-40BC-A2ED-34D624ACE73D}" name="Self-employment income" dataDxfId="232">
      <calculatedColumnFormula array="1">INDIRECT("'Main-"&amp;$A41&amp;"'!"&amp;D$39)</calculatedColumnFormula>
    </tableColumn>
    <tableColumn id="5" xr3:uid="{0339D94B-2D7A-4CE6-AE73-92583A8F8854}" name="Capital income" dataDxfId="231">
      <calculatedColumnFormula array="1">INDIRECT("'Main-"&amp;$A41&amp;"'!"&amp;E$39)</calculatedColumnFormula>
    </tableColumn>
  </tableColumns>
  <tableStyleInfo name="TableStyleLight1"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B8925A9-B429-4CEB-81F0-B31CFA9C1CDA}" name="Table3" displayName="Table3" ref="A4:J33" totalsRowShown="0" headerRowDxfId="230" dataDxfId="228" headerRowBorderDxfId="229" tableBorderDxfId="227">
  <autoFilter ref="A4:J33" xr:uid="{EB8925A9-B429-4CEB-81F0-B31CFA9C1CDA}"/>
  <sortState xmlns:xlrd2="http://schemas.microsoft.com/office/spreadsheetml/2017/richdata2" ref="A5:J33">
    <sortCondition descending="1" ref="B4:B33"/>
  </sortState>
  <tableColumns count="10">
    <tableColumn id="1" xr3:uid="{3C747DEB-923D-4513-92E9-229841DDF68F}" name="Country" dataDxfId="226"/>
    <tableColumn id="2" xr3:uid="{D93A6B38-5B9C-47BA-860B-38846F82575B}" name="ERTI" dataDxfId="225">
      <calculatedColumnFormula array="1">INDIRECT("'1"&amp;$A5&amp;"'!"&amp;B$3 )</calculatedColumnFormula>
    </tableColumn>
    <tableColumn id="3" xr3:uid="{095EF87C-7483-4E1B-970E-5055813E61AA}" name="Proportional effect " dataDxfId="224">
      <calculatedColumnFormula array="1">INDIRECT("'Main-"&amp;$A5&amp;"'!"&amp;C$3 )</calculatedColumnFormula>
    </tableColumn>
    <tableColumn id="4" xr3:uid="{429254FE-EB19-4FAF-8E26-ABFBE99C234F}" name="By bracket progressivity " dataDxfId="223">
      <calculatedColumnFormula array="1">INDIRECT("'Main-"&amp;$A5&amp;"'!"&amp;D$3 )</calculatedColumnFormula>
    </tableColumn>
    <tableColumn id="5" xr3:uid="{A65DA72C-BDC5-445C-8768-21760000D5A4}" name="By tax deduction/credit 1 " dataDxfId="222">
      <calculatedColumnFormula array="1">INDIRECT("'Main-"&amp;$A5&amp;"'!"&amp;E$3 )</calculatedColumnFormula>
    </tableColumn>
    <tableColumn id="6" xr3:uid="{AD444FDA-4D78-490F-8853-8A37E4EDE223}" name="By tax deduction/credit 2 " dataDxfId="221">
      <calculatedColumnFormula array="1">INDIRECT("'Main-"&amp;$A5&amp;"'!"&amp;F$3 )</calculatedColumnFormula>
    </tableColumn>
    <tableColumn id="7" xr3:uid="{456DA9C9-9900-4137-8833-1183FF2FF355}" name="By tax deduction/credit 3" dataDxfId="220">
      <calculatedColumnFormula array="1">INDIRECT("'Main-"&amp;$A5&amp;"'!"&amp;G$3 )</calculatedColumnFormula>
    </tableColumn>
    <tableColumn id="8" xr3:uid="{97FBB4C3-955D-4844-82AF-D5AB7556E9B5}" name="Columna1" dataDxfId="219"/>
    <tableColumn id="9" xr3:uid="{36AC9478-226D-4884-8108-3A8BFB32BD87}" name="By other tax deductions/credits" dataDxfId="218">
      <calculatedColumnFormula array="1">INDIRECT("'Main-"&amp;$A5&amp;"'!"&amp;I$3 )</calculatedColumnFormula>
    </tableColumn>
    <tableColumn id="10" xr3:uid="{C52F40ED-499C-4587-B5FF-AFC503A5BD76}" name="Residual" dataDxfId="217">
      <calculatedColumnFormula array="1">INDIRECT("'Main-"&amp;$A5&amp;"'!"&amp;J$3 )</calculatedColumnFormula>
    </tableColumn>
  </tableColumns>
  <tableStyleInfo name="TableStyleLight1"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C8122AE-755F-48F5-AB35-A2C600971016}" name="Table35" displayName="Table35" ref="A76:I105" totalsRowShown="0" headerRowDxfId="216" dataDxfId="214" headerRowBorderDxfId="215" tableBorderDxfId="213">
  <autoFilter ref="A76:I105" xr:uid="{FC8122AE-755F-48F5-AB35-A2C600971016}"/>
  <sortState xmlns:xlrd2="http://schemas.microsoft.com/office/spreadsheetml/2017/richdata2" ref="A77:I105">
    <sortCondition ref="B76:B105"/>
  </sortState>
  <tableColumns count="9">
    <tableColumn id="1" xr3:uid="{26E4AC58-9287-49E2-9558-6A1A754312A9}" name="country" dataDxfId="212"/>
    <tableColumn id="2" xr3:uid="{F8B08889-2137-40C2-8C44-13253844DA71}" name="By bracket progressivity " dataDxfId="211">
      <calculatedColumnFormula array="1">INDIRECT("'Main-"&amp;$A77&amp;"'!"&amp;B$75 )</calculatedColumnFormula>
    </tableColumn>
    <tableColumn id="3" xr3:uid="{F53ED72D-0DCE-4816-93D9-D71CA2C89BD1}" name="By tax deduction/credit 1 " dataDxfId="210">
      <calculatedColumnFormula array="1">INDIRECT("'Main-"&amp;$A77&amp;"'!"&amp;C$75 )</calculatedColumnFormula>
    </tableColumn>
    <tableColumn id="4" xr3:uid="{FA042630-9F93-45F1-B0DA-79D57D5A60D2}" name="By tax deduction/credit 2 " dataDxfId="209">
      <calculatedColumnFormula array="1">INDIRECT("'Main-"&amp;$A77&amp;"'!"&amp;D$75 )</calculatedColumnFormula>
    </tableColumn>
    <tableColumn id="5" xr3:uid="{6E36D89D-DD08-41C4-80F7-632BAD01BCA1}" name="By tax deduction/credit 3" dataDxfId="208">
      <calculatedColumnFormula array="1">INDIRECT("'Main-"&amp;$A77&amp;"'!"&amp;E$75 )</calculatedColumnFormula>
    </tableColumn>
    <tableColumn id="6" xr3:uid="{918D2E7C-D06E-415B-A216-8C0B240CE08C}" name="Columna1" dataDxfId="207">
      <calculatedColumnFormula array="1">INDIRECT("'Main-"&amp;$A77&amp;"'!"&amp;F$75 )</calculatedColumnFormula>
    </tableColumn>
    <tableColumn id="7" xr3:uid="{F7EF7EC1-B07D-4093-9C10-A85C87F5A370}" name="By other tax deductions/credits" dataDxfId="206">
      <calculatedColumnFormula array="1">INDIRECT("'Main-"&amp;$A77&amp;"'!"&amp;G$75 )</calculatedColumnFormula>
    </tableColumn>
    <tableColumn id="8" xr3:uid="{A2039774-AC50-4C38-AC48-5ACB8C3ADF5F}" name="Residual" dataDxfId="205">
      <calculatedColumnFormula array="1">INDIRECT("'Main-"&amp;$A77&amp;"'!"&amp;H$75 )</calculatedColumnFormula>
    </tableColumn>
    <tableColumn id="9" xr3:uid="{3696CAC1-B960-46D2-89F6-31A589790CA4}" name="All benef" dataDxfId="204">
      <calculatedColumnFormula>Table35[[#This Row],[By tax deduction/credit 1 ]]+Table35[[#This Row],[By tax deduction/credit 2 ]]+Table35[[#This Row],[By tax deduction/credit 3]]+Table35[[#This Row],[Columna1]]+Table35[[#This Row],[By other tax deductions/credits]]</calculatedColumnFormula>
    </tableColumn>
  </tableColumns>
  <tableStyleInfo name="TableStyleLight1"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1E74FCB-D946-438F-B34D-7B7D351B3978}" name="Table278" displayName="Table278" ref="A148:E177" totalsRowShown="0" headerRowDxfId="203" dataDxfId="202" tableBorderDxfId="201">
  <autoFilter ref="A148:E177" xr:uid="{D1E74FCB-D946-438F-B34D-7B7D351B3978}"/>
  <sortState xmlns:xlrd2="http://schemas.microsoft.com/office/spreadsheetml/2017/richdata2" ref="A149:E177">
    <sortCondition descending="1" ref="B148:B177"/>
  </sortState>
  <tableColumns count="5">
    <tableColumn id="1" xr3:uid="{E4102633-F017-425E-B56E-8F8A5D35095D}" name="country_x000a_." dataDxfId="200"/>
    <tableColumn id="2" xr3:uid="{6F7FED1C-9849-4FE5-BC93-0F395FA774F1}" name="Labour income" dataDxfId="199">
      <calculatedColumnFormula array="1">INDIRECT("'Main-"&amp;$A149&amp;"'!"&amp;B$147)</calculatedColumnFormula>
    </tableColumn>
    <tableColumn id="3" xr3:uid="{858FD01F-0BE8-4C9A-B44E-44F08BD14FD0}" name="Pension and benefits" dataDxfId="198">
      <calculatedColumnFormula array="1">INDIRECT("'Main-"&amp;$A149&amp;"'!"&amp;C$147)</calculatedColumnFormula>
    </tableColumn>
    <tableColumn id="4" xr3:uid="{59A538DA-88E6-4A0F-9C83-F915D1645772}" name="Self-employment income" dataDxfId="197">
      <calculatedColumnFormula array="1">INDIRECT("'Main-"&amp;$A149&amp;"'!"&amp;D$147)</calculatedColumnFormula>
    </tableColumn>
    <tableColumn id="5" xr3:uid="{A977D1C8-D826-4A97-9B20-8D54FA62429F}" name="Capital income" dataDxfId="196">
      <calculatedColumnFormula array="1">INDIRECT("'Main-"&amp;$A149&amp;"'!"&amp;E$147)</calculatedColumnFormula>
    </tableColumn>
  </tableColumns>
  <tableStyleInfo name="TableStyleLight1"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39A6E79-2726-4733-9332-73482F38D697}" name="Table27810" displayName="Table27810" ref="A220:G249" totalsRowShown="0" headerRowDxfId="195" dataDxfId="194" tableBorderDxfId="193">
  <autoFilter ref="A220:G249" xr:uid="{239A6E79-2726-4733-9332-73482F38D697}"/>
  <sortState xmlns:xlrd2="http://schemas.microsoft.com/office/spreadsheetml/2017/richdata2" ref="A221:G249">
    <sortCondition ref="D220:D249"/>
  </sortState>
  <tableColumns count="7">
    <tableColumn id="1" xr3:uid="{1955D005-3662-4733-B9A1-A670639127D6}" name="country_x000a_." dataDxfId="192"/>
    <tableColumn id="2" xr3:uid="{8BA05595-DE27-49A1-A5C8-ECF0784C814F}" name="weighted ERTI of top 20" dataDxfId="191">
      <calculatedColumnFormula array="1">(INDIRECT("'Main-"&amp;$A221&amp;"'!O21")*INDIRECT("'Main-"&amp;$A221&amp;"'!W21")+INDIRECT("'Main-"&amp;$A221&amp;"'!O20")*INDIRECT("'Main-"&amp;$A221&amp;"'!W20"))/(INDIRECT("'Main-"&amp;$A221&amp;"'!O21")+INDIRECT("'Main-"&amp;$A221&amp;"'!O20"))</calculatedColumnFormula>
    </tableColumn>
    <tableColumn id="3" xr3:uid="{396FF2FF-0A97-403D-8A63-9128189078D2}" name="weighted ERTI of bottom 80" dataDxfId="190">
      <calculatedColumnFormula array="1" xml:space="preserve"> (INDIRECT("'Main-"&amp;$A221&amp;"'!O19")*INDIRECT("'Main-"&amp;$A221&amp;"'!W19")
+ INDIRECT("'Main-"&amp;$A221&amp;"'!O18")*INDIRECT("'Main-"&amp;$A221&amp;"'!W18")
+ INDIRECT("'Main-"&amp;$A221&amp;"'!O17")*INDIRECT("'Main-"&amp;$A221&amp;"'!W17")
+ INDIRECT("'Main-"&amp;$A221&amp;"'!O16")*INDIRECT("'Main-"&amp;$A221&amp;"'!W16")
+ INDIRECT("'Main-"&amp;$A221&amp;"'!O15")*INDIRECT("'Main-"&amp;$A221&amp;"'!W15")
+ INDIRECT("'Main-"&amp;$A221&amp;"'!O14")*INDIRECT("'Main-"&amp;$A221&amp;"'!W14")
+ INDIRECT("'Main-"&amp;$A221&amp;"'!O13")*INDIRECT("'Main-"&amp;$A221&amp;"'!W13")
+ INDIRECT("'Main-"&amp;$A221&amp;"'!O12")*INDIRECT("'Main-"&amp;$A221&amp;"'!W12"))
/
(INDIRECT("'Main-"&amp;$A221&amp;"'!O19")
+ INDIRECT("'Main-"&amp;$A221&amp;"'!O18")
+ INDIRECT("'Main-"&amp;$A221&amp;"'!O17")
+ INDIRECT("'Main-"&amp;$A221&amp;"'!O16")
+ INDIRECT("'Main-"&amp;$A221&amp;"'!O15")
+ INDIRECT("'Main-"&amp;$A221&amp;"'!O14")
+ INDIRECT("'Main-"&amp;$A221&amp;"'!O13")
+ INDIRECT("'Main-"&amp;$A221&amp;"'!O12"))</calculatedColumnFormula>
    </tableColumn>
    <tableColumn id="4" xr3:uid="{3A7B48CC-F14C-43DD-B661-ECE85734A517}" name="TTB elasticity bottom 80 - TTB elasticity top 20" dataDxfId="189">
      <calculatedColumnFormula>Table27810[[#This Row],[weighted ERTI of bottom 80]]-Table27810[[#This Row],[weighted ERTI of top 20]]</calculatedColumnFormula>
    </tableColumn>
    <tableColumn id="5" xr3:uid="{342B76F9-3482-4C81-8A15-23A2498317E1}" name="ERTI top 10" dataDxfId="188">
      <calculatedColumnFormula array="1">INDIRECT("'Main-"&amp;$A221&amp;"'!"&amp;E$219)</calculatedColumnFormula>
    </tableColumn>
    <tableColumn id="6" xr3:uid="{5D113671-7A96-4605-874B-D2F17718285A}" name="weighted ERTI of bottom 90" dataDxfId="187">
      <calculatedColumnFormula array="1" xml:space="preserve"> (INDIRECT("'Main-"&amp;$A221&amp;"'!O20")*INDIRECT("'Main-"&amp;$A221&amp;"'!W20")
+ INDIRECT("'Main-"&amp;$A221&amp;"'!O19")*INDIRECT("'Main-"&amp;$A221&amp;"'!W19")
+ INDIRECT("'Main-"&amp;$A221&amp;"'!O18")*INDIRECT("'Main-"&amp;$A221&amp;"'!W18")
+ INDIRECT("'Main-"&amp;$A221&amp;"'!O17")*INDIRECT("'Main-"&amp;$A221&amp;"'!W17")
+ INDIRECT("'Main-"&amp;$A221&amp;"'!O16")*INDIRECT("'Main-"&amp;$A221&amp;"'!W16")
+ INDIRECT("'Main-"&amp;$A221&amp;"'!O15")*INDIRECT("'Main-"&amp;$A221&amp;"'!W15")
+ INDIRECT("'Main-"&amp;$A221&amp;"'!O14")*INDIRECT("'Main-"&amp;$A221&amp;"'!W14")
+ INDIRECT("'Main-"&amp;$A221&amp;"'!O13")*INDIRECT("'Main-"&amp;$A221&amp;"'!W13")
+ INDIRECT("'Main-"&amp;$A221&amp;"'!O12")*INDIRECT("'Main-"&amp;$A221&amp;"'!W12"))
/
(INDIRECT("'Main-"&amp;$A221&amp;"'!O20")
+ INDIRECT("'Main-"&amp;$A221&amp;"'!O19")
+ INDIRECT("'Main-"&amp;$A221&amp;"'!O18")
+ INDIRECT("'Main-"&amp;$A221&amp;"'!O17")
+ INDIRECT("'Main-"&amp;$A221&amp;"'!O16")
+ INDIRECT("'Main-"&amp;$A221&amp;"'!O15")
+ INDIRECT("'Main-"&amp;$A221&amp;"'!O14")
+ INDIRECT("'Main-"&amp;$A221&amp;"'!O13")
+ INDIRECT("'Main-"&amp;$A221&amp;"'!O12"))</calculatedColumnFormula>
    </tableColumn>
    <tableColumn id="7" xr3:uid="{657BB1DF-0F5D-496B-9A11-90EB48AFF3C8}" name="TTB elasticity bottom 90 - TTB elasticity top 10" dataDxfId="186">
      <calculatedColumnFormula>Table27810[[#This Row],[weighted ERTI of bottom 90]]-Table27810[[#This Row],[ERTI top 10]]</calculatedColumnFormula>
    </tableColumn>
  </tableColumns>
  <tableStyleInfo name="TableStyleLight1"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DFEAF7A9-F37D-4504-83CE-C9E15FD16A7A}" name="Table27811" displayName="Table27811" ref="A256:D285" totalsRowShown="0" headerRowDxfId="185" dataDxfId="184" tableBorderDxfId="183">
  <autoFilter ref="A256:D285" xr:uid="{DFEAF7A9-F37D-4504-83CE-C9E15FD16A7A}"/>
  <sortState xmlns:xlrd2="http://schemas.microsoft.com/office/spreadsheetml/2017/richdata2" ref="A257:D285">
    <sortCondition descending="1" ref="B256:B285"/>
  </sortState>
  <tableColumns count="4">
    <tableColumn id="1" xr3:uid="{84B0C68A-9813-4EA8-8710-E2BE5C9A4935}" name="country_x000a_." dataDxfId="182"/>
    <tableColumn id="2" xr3:uid="{470A9959-E7AF-4C77-839A-CA7D9E16CD07}" name="2019 TTB elasticity" dataDxfId="181">
      <calculatedColumnFormula array="1">INDIRECT("'1"&amp;$A257&amp;"'!"&amp;B$255 )</calculatedColumnFormula>
    </tableColumn>
    <tableColumn id="3" xr3:uid="{5798BF12-B8B6-414D-955D-BDBE8C22F912}" name="2023 TTB elasticity" dataDxfId="180">
      <calculatedColumnFormula array="1">IF(INDIRECT("'1"&amp;$A257&amp;"'!"&amp;C$255)&lt;&gt;0,INDIRECT("'1"&amp;$A257&amp;"'!"&amp;C$255 ),-99)</calculatedColumnFormula>
    </tableColumn>
    <tableColumn id="4" xr3:uid="{038ADF40-C418-468D-9E80-3A26936E15C6}" name="Difference 2023-2019" dataDxfId="179">
      <calculatedColumnFormula array="1">IF(INDIRECT("'1"&amp;$A257&amp;"'!EV22")&lt;&gt;0,INDIRECT("'1"&amp;$A257&amp;"'!EV22")-INDIRECT("'1"&amp;$A257&amp;"'!W22"),"")</calculatedColumnFormula>
    </tableColumn>
  </tableColumns>
  <tableStyleInfo name="TableStyleLight1" showFirstColumn="0" showLastColumn="0" showRowStripes="0"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C9FD89D-EEF7-489B-A3E7-164B73811469}" name="Table278112" displayName="Table278112" ref="A292:G321" totalsRowShown="0" headerRowDxfId="178" dataDxfId="177" tableBorderDxfId="176">
  <autoFilter ref="A292:G321" xr:uid="{0C9FD89D-EEF7-489B-A3E7-164B73811469}"/>
  <sortState xmlns:xlrd2="http://schemas.microsoft.com/office/spreadsheetml/2017/richdata2" ref="A293:G321">
    <sortCondition descending="1" ref="G292:G321"/>
  </sortState>
  <tableColumns count="7">
    <tableColumn id="1" xr3:uid="{5C641ECA-A074-4B4A-A0B5-B2FCD5CFC8F0}" name="country_x000a_." dataDxfId="175"/>
    <tableColumn id="2" xr3:uid="{3A9F021E-6151-40EC-B2B3-1FCD88F8A79F}" name="Total share of zero-tax payers" dataDxfId="174">
      <calculatedColumnFormula array="1">INDIRECT("'1"&amp;$A293&amp;"'!"&amp;B$291 )</calculatedColumnFormula>
    </tableColumn>
    <tableColumn id="3" xr3:uid="{F784D6E3-AC8A-4711-91C0-1C4DCA5A330D}" name="in decile 1" dataDxfId="173">
      <calculatedColumnFormula array="1">INDIRECT("'1"&amp;$A293&amp;"'!"&amp;C$291 )</calculatedColumnFormula>
    </tableColumn>
    <tableColumn id="4" xr3:uid="{87746BC4-27AE-416B-B9F4-DA2B0D9576D2}" name="in decile 2" dataDxfId="172">
      <calculatedColumnFormula array="1">INDIRECT("'1"&amp;$A293&amp;"'!"&amp;D$291 )</calculatedColumnFormula>
    </tableColumn>
    <tableColumn id="5" xr3:uid="{85D0A36A-1FC7-455E-B487-4040CE7940D5}" name="in decile 3" dataDxfId="171">
      <calculatedColumnFormula array="1">INDIRECT("'1"&amp;$A293&amp;"'!"&amp;E$291 )</calculatedColumnFormula>
    </tableColumn>
    <tableColumn id="6" xr3:uid="{7ABA9B83-E724-4D14-B697-C9EC43DFCC6A}" name="in decile 4" dataDxfId="170">
      <calculatedColumnFormula array="1">INDIRECT("'1"&amp;$A293&amp;"'!"&amp;F$291 )</calculatedColumnFormula>
    </tableColumn>
    <tableColumn id="7" xr3:uid="{C888B9B2-3CE7-4D73-9170-ED8D55FD6072}" name="SUM" dataDxfId="169">
      <calculatedColumnFormula>SUM(Table278112[[#This Row],[in decile 1]:[in decile 4]])</calculatedColumnFormula>
    </tableColumn>
  </tableColumns>
  <tableStyleInfo name="TableStyleLight1" showFirstColumn="0" showLastColumn="0" showRowStripes="0"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FDA6F11-F73F-4D4E-A8A5-EECA8CEF240E}" name="Table278116" displayName="Table278116" ref="A328:E357" totalsRowShown="0" headerRowDxfId="168" dataDxfId="167" tableBorderDxfId="166">
  <autoFilter ref="A328:E357" xr:uid="{BFDA6F11-F73F-4D4E-A8A5-EECA8CEF240E}"/>
  <sortState xmlns:xlrd2="http://schemas.microsoft.com/office/spreadsheetml/2017/richdata2" ref="A329:E357">
    <sortCondition descending="1" ref="B328:B357"/>
  </sortState>
  <tableColumns count="5">
    <tableColumn id="1" xr3:uid="{B5FE5490-3853-431F-8F3B-AF7F05211588}" name="country_x000a_." dataDxfId="165"/>
    <tableColumn id="2" xr3:uid="{BB97D781-1644-4718-8F55-E4248DB096CD}" name="Difference in relative impact of tax system on Gini after 1% income increase" dataDxfId="164">
      <calculatedColumnFormula array="1">INDIRECT("'1"&amp;$A329&amp;"'!"&amp;B$327 )</calculatedColumnFormula>
    </tableColumn>
    <tableColumn id="3" xr3:uid="{FCC78261-686D-42BF-AB36-052C0C00FC69}" name="Change in net-of-tax Ratio 80:20 after 1% income growth, divided by 100 (right axis)" dataDxfId="163">
      <calculatedColumnFormula array="1">INDIRECT("'1"&amp;$A329&amp;"'!"&amp;C$327 )/100</calculatedColumnFormula>
    </tableColumn>
    <tableColumn id="4" xr3:uid="{55ABFE41-A40E-47AD-86D8-3C7F0C804AC5}" name="Difference in relative impact of tax system on Ratio 80:20 after 1% income increase" dataDxfId="162">
      <calculatedColumnFormula array="1">INDIRECT("'1"&amp;$A329&amp;"'!"&amp;D$327 )</calculatedColumnFormula>
    </tableColumn>
    <tableColumn id="5" xr3:uid="{817F3553-6342-4AF4-AF14-6A390948C782}" name="Change in net-of-tax Gini after 1% income growth (right axis)" dataDxfId="161">
      <calculatedColumnFormula array="1">INDIRECT("'1"&amp;$A329&amp;"'!"&amp;E$327 )</calculatedColumnFormula>
    </tableColumn>
  </tableColumns>
  <tableStyleInfo name="TableStyleLight1" showFirstColumn="0" showLastColumn="0" showRowStripes="0"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D444724-819F-433C-93ED-C164580EF257}" name="Table2781113" displayName="Table2781113" ref="A364:D393" totalsRowShown="0" headerRowDxfId="160" dataDxfId="159" tableBorderDxfId="158">
  <autoFilter ref="A364:D393" xr:uid="{CD444724-819F-433C-93ED-C164580EF257}"/>
  <sortState xmlns:xlrd2="http://schemas.microsoft.com/office/spreadsheetml/2017/richdata2" ref="A365:D393">
    <sortCondition descending="1" ref="D364:D393"/>
  </sortState>
  <tableColumns count="4">
    <tableColumn id="1" xr3:uid="{97026BEE-4E27-4FBE-B821-D03AAC19D9D1}" name="country_x000a_." dataDxfId="157"/>
    <tableColumn id="2" xr3:uid="{018B4FBA-177E-4C34-A907-D789C52A6A63}" name="Max TTB elasticity" dataDxfId="156">
      <calculatedColumnFormula>MAX(INDIRECT("'1"&amp;$A365&amp;"'!"&amp;B$362):INDIRECT("'1"&amp;$A365&amp;"'!"&amp;B$363))</calculatedColumnFormula>
    </tableColumn>
    <tableColumn id="3" xr3:uid="{EC53268A-2645-4F56-87AE-872DA61E445A}" name="Min TTB elasticity" dataDxfId="155">
      <calculatedColumnFormula>MIN(INDIRECT("'1"&amp;$A365&amp;"'!"&amp;C$362):INDIRECT("'1"&amp;$A365&amp;"'!"&amp;C$363))</calculatedColumnFormula>
    </tableColumn>
    <tableColumn id="4" xr3:uid="{CDEE1D67-1933-4A81-BE0E-7DED3CB382A8}" name="diff." dataDxfId="154">
      <calculatedColumnFormula>Table2781113[[#This Row],[Max TTB elasticity]]-Table2781113[[#This Row],[Min TTB elasticity]]</calculatedColumnFormula>
    </tableColumn>
  </tableColumns>
  <tableStyleInfo name="TableStyleLight1" showFirstColumn="0" showLastColumn="0" showRowStripes="0"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EBEE85C9-E209-40C9-8E6A-21E0868099CD}" name="Table278914" displayName="Table278914" ref="A184:G213" totalsRowShown="0" headerRowDxfId="153" dataDxfId="152" tableBorderDxfId="151">
  <autoFilter ref="A184:G213" xr:uid="{EBEE85C9-E209-40C9-8E6A-21E0868099CD}"/>
  <sortState xmlns:xlrd2="http://schemas.microsoft.com/office/spreadsheetml/2017/richdata2" ref="A185:G213">
    <sortCondition ref="G184:G213"/>
  </sortState>
  <tableColumns count="7">
    <tableColumn id="1" xr3:uid="{51AC7343-3DF5-4B42-A8CF-7CC75B6ABFAA}" name="country_x000a_." dataDxfId="150"/>
    <tableColumn id="2" xr3:uid="{C2C0282B-4148-4C0C-92DF-BA45F59927A9}" name="Share of income 9th decile" dataDxfId="149">
      <calculatedColumnFormula array="1">INDIRECT("'Main-"&amp;$A185&amp;"'!"&amp;B$183)</calculatedColumnFormula>
    </tableColumn>
    <tableColumn id="3" xr3:uid="{BA8B3275-CED2-475C-A780-8D28DAF673B3}" name="Share of income 10th decile" dataDxfId="148">
      <calculatedColumnFormula array="1">INDIRECT("'Main-"&amp;$A185&amp;"'!"&amp;C$183)</calculatedColumnFormula>
    </tableColumn>
    <tableColumn id="4" xr3:uid="{C919C120-B5B5-48F8-937D-91E62F5DBBD9}" name="Share of total tax base earned by 9th decile" dataDxfId="147">
      <calculatedColumnFormula array="1">IF(INDIRECT("'Main-"&amp;$A185&amp;"'!"&amp;D$183)&lt;&gt;0,INDIRECT("'Main-"&amp;$A185&amp;"'!"&amp;D$183),"")</calculatedColumnFormula>
    </tableColumn>
    <tableColumn id="5" xr3:uid="{917B80E1-643A-41D9-B742-BA646A1C160D}" name="Share of total tax base earned by 10th decile" dataDxfId="146">
      <calculatedColumnFormula array="1">IF(INDIRECT("'Main-"&amp;$A185&amp;"'!"&amp;E$183)&lt;&gt;0,INDIRECT("'Main-"&amp;$A185&amp;"'!"&amp;E$183),"")</calculatedColumnFormula>
    </tableColumn>
    <tableColumn id="6" xr3:uid="{6C668EC2-3E49-4E93-8666-2D9537C67632}" name="Share of total taxable income of the top 20" dataDxfId="145">
      <calculatedColumnFormula array="1">INDIRECT("'Main-"&amp;$A185&amp;"'!"&amp;D$183)+INDIRECT("'Main-"&amp;$A185&amp;"'!"&amp;E$183)</calculatedColumnFormula>
    </tableColumn>
    <tableColumn id="7" xr3:uid="{79FC98BD-0870-471A-9BD8-E3459744D014}" name="Share of tax revenue paid by 9th and 10th decile" dataDxfId="144">
      <calculatedColumnFormula array="1">INDIRECT("'Main-"&amp;$A185&amp;"'!"&amp;B$183)+INDIRECT("'Main-"&amp;$A185&amp;"'!"&amp;C$183)</calculatedColumnFormula>
    </tableColumn>
  </tableColumns>
  <tableStyleInfo name="TableStyleLight1" showFirstColumn="0" showLastColumn="0" showRowStripes="0"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FF51696-97F8-4D58-BB63-8793E7BC5802}" name="Table13" displayName="Table13" ref="I184:J213" totalsRowShown="0" tableBorderDxfId="143">
  <autoFilter ref="I184:J213" xr:uid="{4FF51696-97F8-4D58-BB63-8793E7BC5802}"/>
  <sortState xmlns:xlrd2="http://schemas.microsoft.com/office/spreadsheetml/2017/richdata2" ref="I185:J213">
    <sortCondition ref="J184:J213"/>
  </sortState>
  <tableColumns count="2">
    <tableColumn id="1" xr3:uid="{08C47B96-65E0-46BA-9A8E-F2D66D51331F}" name="country_x000a_." dataDxfId="142"/>
    <tableColumn id="2" xr3:uid="{1153B2BF-C288-4DD8-9FB5-FA65ACA13F1C}" name="Difference between shared paid and earned by top 20" dataDxfId="141">
      <calculatedColumnFormula array="1">IF(INDIRECT("'Main-"&amp;$I185&amp;"'!"&amp;D$183)&lt;&gt;0,INDIRECT("'Main-"&amp;$I185&amp;"'!"&amp;B$183)+INDIRECT("'Main-"&amp;$I185&amp;"'!"&amp;C$183)-INDIRECT("'Main-"&amp;$I185&amp;"'!"&amp;D$183)-INDIRECT("'Main-"&amp;$I185&amp;"'!"&amp;E$183),"")</calculatedColumnFormula>
    </tableColumn>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A6238868-F332-4C50-89F2-67259E835CD0}" name="Table278111228" displayName="Table278111228" ref="G328:I357" totalsRowShown="0" headerRowDxfId="140" dataDxfId="139" tableBorderDxfId="138">
  <autoFilter ref="G328:I357" xr:uid="{A6238868-F332-4C50-89F2-67259E835CD0}"/>
  <sortState xmlns:xlrd2="http://schemas.microsoft.com/office/spreadsheetml/2017/richdata2" ref="G329:I357">
    <sortCondition descending="1" ref="I328:I357"/>
  </sortState>
  <tableColumns count="3">
    <tableColumn id="1" xr3:uid="{9C07969E-C81F-4797-B623-141FA5CFAC27}" name="country_x000a_." dataDxfId="137"/>
    <tableColumn id="2" xr3:uid="{CA9ED60D-51E2-4CE6-8096-E2566B34853C}" name="Kakwani before 1% income increase" dataDxfId="136">
      <calculatedColumnFormula array="1">INDIRECT("'1"&amp;$G329&amp;"'!"&amp;H$327 )</calculatedColumnFormula>
    </tableColumn>
    <tableColumn id="3" xr3:uid="{C0AC43FA-0581-48F9-BE24-F3001728A082}" name="Difference in Kakwani index after 1% income increase" dataDxfId="135">
      <calculatedColumnFormula array="1">INDIRECT("'1"&amp;$G329&amp;"'!"&amp;I$327 )-INDIRECT("'1"&amp;$G329&amp;"'!"&amp;H$327 )</calculatedColumnFormula>
    </tableColumn>
  </tableColumns>
  <tableStyleInfo name="TableStyleLight1" showFirstColumn="0" showLastColumn="0" showRowStripes="0"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EC3A12F3-F8DD-4E77-B2C3-993E3002FD94}" name="Table271832" displayName="Table271832" ref="A112:E141" totalsRowShown="0" headerRowDxfId="134" dataDxfId="133" tableBorderDxfId="132">
  <sortState xmlns:xlrd2="http://schemas.microsoft.com/office/spreadsheetml/2017/richdata2" ref="A113:D141">
    <sortCondition ref="A112:A141"/>
  </sortState>
  <tableColumns count="5">
    <tableColumn id="1" xr3:uid="{2DCE4282-0709-4426-8E47-5A0F5CF9B21E}" name="country" dataDxfId="131"/>
    <tableColumn id="2" xr3:uid="{1668B235-4E22-42AB-A659-C9552F5B9BBB}" name="OECD ERTI_x000a_." dataDxfId="130">
      <calculatedColumnFormula array="1">INDIRECT("'1"&amp;$A113&amp;"'!"&amp;B$111)</calculatedColumnFormula>
    </tableColumn>
    <tableColumn id="3" xr3:uid="{335D2FE5-9E7A-42F0-8802-004CFD6476FE}" name="Own ERTI" dataDxfId="129">
      <calculatedColumnFormula array="1">INDIRECT("'1"&amp;$A113&amp;"'!"&amp;C$111)</calculatedColumnFormula>
    </tableColumn>
    <tableColumn id="4" xr3:uid="{787AA268-6C99-46A2-B242-5621CC42BD24}" name="Own ERTI (w/o pens. &amp; benef.)" dataDxfId="128">
      <calculatedColumnFormula array="1">INDIRECT("'1"&amp;$A113&amp;"'!"&amp;D$111)</calculatedColumnFormula>
    </tableColumn>
    <tableColumn id="6" xr3:uid="{4095245B-7742-4808-A8CE-9D6BEFEA8C1D}" name="45 degree line" dataDxfId="127">
      <calculatedColumnFormula>Table271832[[#This Row],[OECD ERTI
.]]</calculatedColumnFormula>
    </tableColumn>
  </tableColumns>
  <tableStyleInfo name="TableStyleLight1" showFirstColumn="0" showLastColumn="0" showRowStripes="0"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DC9B6F2-2498-4347-85DB-D8C7690DEE78}" name="Table278117" displayName="Table278117" ref="F256:I285" totalsRowShown="0" headerRowDxfId="126" dataDxfId="125" tableBorderDxfId="124">
  <autoFilter ref="F256:I285" xr:uid="{CDC9B6F2-2498-4347-85DB-D8C7690DEE78}"/>
  <sortState xmlns:xlrd2="http://schemas.microsoft.com/office/spreadsheetml/2017/richdata2" ref="F257:I285">
    <sortCondition descending="1" ref="G256:G285"/>
  </sortState>
  <tableColumns count="4">
    <tableColumn id="1" xr3:uid="{825F1CBD-A8D0-4573-8655-687DD30E83E5}" name="country_x000a_." dataDxfId="123"/>
    <tableColumn id="2" xr3:uid="{AAF79D9C-A1DE-4037-950F-5ECC44EFDC6A}" name="2019 TTB elasticity" dataDxfId="122">
      <calculatedColumnFormula array="1">INDIRECT("'1"&amp;$F257&amp;"'!"&amp;G$255 )</calculatedColumnFormula>
    </tableColumn>
    <tableColumn id="3" xr3:uid="{78C5BC09-0D81-4EC1-B1AB-F01013581CCC}" name="2023 TTB elasticity" dataDxfId="121">
      <calculatedColumnFormula array="1">IF(INDIRECT("'1"&amp;$F257&amp;"'!"&amp;H$255)&lt;&gt;0,INDIRECT("'1"&amp;$F257&amp;"'!"&amp;H$255 ),-99)</calculatedColumnFormula>
    </tableColumn>
    <tableColumn id="4" xr3:uid="{4DF2E2B1-FADE-4996-9AA5-BF15CEB454FE}" name="45 degree line" dataDxfId="120">
      <calculatedColumnFormula>Table278117[[#This Row],[2019 TTB elasticity]]</calculatedColumnFormula>
    </tableColumn>
  </tableColumns>
  <tableStyleInfo name="TableStyleLight1" showFirstColumn="0" showLastColumn="0" showRowStripes="0"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D871BA4-F7F1-4343-ACB5-8B9AB58E91B3}" name="Table29" displayName="Table29" ref="A40:C69" totalsRowShown="0" headerRowDxfId="119" dataDxfId="118" tableBorderDxfId="117">
  <autoFilter ref="A40:C69" xr:uid="{32138A7C-86A4-4B87-B381-4406A4294CDF}"/>
  <sortState xmlns:xlrd2="http://schemas.microsoft.com/office/spreadsheetml/2017/richdata2" ref="A41:C69">
    <sortCondition descending="1" ref="B40:B69"/>
  </sortState>
  <tableColumns count="3">
    <tableColumn id="1" xr3:uid="{102DE990-C4BE-4BBE-A989-76DFA2306D20}" name="country" dataDxfId="116"/>
    <tableColumn id="2" xr3:uid="{0D97FB51-26AC-4586-BACF-E744A0DFAAF8}" name="Potential Fiscal Drag" dataDxfId="115">
      <calculatedColumnFormula array="1">INDIRECT("'2"&amp;$A41&amp;"'!"&amp;B$39)/INDIRECT("'2"&amp;$A41&amp;"'!"&amp;$B$38)*100</calculatedColumnFormula>
    </tableColumn>
    <tableColumn id="3" xr3:uid="{5C1795D3-3902-46FA-B3CE-AEAB9B7AC51F}" name="Actual Fiscal Drag" dataDxfId="114">
      <calculatedColumnFormula array="1">INDIRECT("'2"&amp;$A41&amp;"'!"&amp;C$39)/INDIRECT("'2"&amp;$A41&amp;"'!"&amp;$B$38)*100</calculatedColumnFormula>
    </tableColumn>
  </tableColumns>
  <tableStyleInfo name="TableStyleLight1" showFirstColumn="0" showLastColumn="0" showRowStripes="0"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2918D2B2-35FA-472B-A7CE-4279BC02C26F}" name="Table316" displayName="Table316" ref="A4:E33" totalsRowShown="0" headerRowDxfId="113" dataDxfId="111" headerRowBorderDxfId="112" tableBorderDxfId="110">
  <autoFilter ref="A4:E33" xr:uid="{EB8925A9-B429-4CEB-81F0-B31CFA9C1CDA}"/>
  <sortState xmlns:xlrd2="http://schemas.microsoft.com/office/spreadsheetml/2017/richdata2" ref="A5:J33">
    <sortCondition descending="1" ref="B4:B33"/>
  </sortState>
  <tableColumns count="5">
    <tableColumn id="1" xr3:uid="{EB19A43F-AE4B-4F56-8BFF-A83F83242AD6}" name="Country" dataDxfId="109"/>
    <tableColumn id="2" xr3:uid="{605EB8D0-7A17-4493-B9C4-4F47B7DB5305}" name="2019 TTB elasticity" dataDxfId="108">
      <calculatedColumnFormula array="1">INDIRECT("'1"&amp;$A5&amp;"'!"&amp;B$3 )</calculatedColumnFormula>
    </tableColumn>
    <tableColumn id="3" xr3:uid="{0298A496-E2BE-43A5-B8CE-D235E7569B9D}" name="2023 TTB elasticity" dataDxfId="107">
      <calculatedColumnFormula array="1">INDIRECT("'1"&amp;$A5&amp;"'!"&amp;C$3 )</calculatedColumnFormula>
    </tableColumn>
    <tableColumn id="4" xr3:uid="{5D37FE14-40C5-4251-95F9-4D77589CCB95}" name="Fiscal Drag in practice (2019--2023)" dataDxfId="106">
      <calculatedColumnFormula array="1">INDIRECT("'2"&amp;$A5&amp;"'!"&amp;D$3 )</calculatedColumnFormula>
    </tableColumn>
    <tableColumn id="5" xr3:uid="{38BF33C4-A11C-42BB-8122-42C078821F36}" name="2019 elasticity minus fiscal drag in practice" dataDxfId="105">
      <calculatedColumnFormula>Table316[[#This Row],[2019 TTB elasticity]]-Table316[[#This Row],[Fiscal Drag in practice (2019--2023)]]</calculatedColumnFormula>
    </tableColumn>
  </tableColumns>
  <tableStyleInfo name="TableStyleLight1" showFirstColumn="0" showLastColumn="0" showRowStripes="0"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BF94B5F9-3027-4753-8068-4D9A79BD2E5D}" name="Table3517" displayName="Table3517" ref="A76:G105" totalsRowShown="0" headerRowDxfId="104" dataDxfId="102" headerRowBorderDxfId="103" tableBorderDxfId="101">
  <autoFilter ref="A76:G105" xr:uid="{FC8122AE-755F-48F5-AB35-A2C600971016}"/>
  <sortState xmlns:xlrd2="http://schemas.microsoft.com/office/spreadsheetml/2017/richdata2" ref="A77:G105">
    <sortCondition ref="D76:D105"/>
  </sortState>
  <tableColumns count="7">
    <tableColumn id="1" xr3:uid="{82F460BD-C637-4932-8FA9-5C313541149C}" name="country" dataDxfId="100"/>
    <tableColumn id="2" xr3:uid="{9442C458-17B9-430D-A367-EEEAB394B76B}" name="Revenue in baseline scenario reeascaled" dataDxfId="99">
      <calculatedColumnFormula array="1">INDIRECT("'2"&amp;$A77&amp;"'!"&amp;B$75 )</calculatedColumnFormula>
    </tableColumn>
    <tableColumn id="3" xr3:uid="{0B53B58E-755D-4987-A2A9-4B8478F31E48}" name="Revenue in baseline scenario (set to zero)" dataDxfId="98">
      <calculatedColumnFormula>Table3517[[#This Row],[Revenue in baseline scenario reeascaled]]-Table3517[[#This Row],[Revenue in baseline scenario reeascaled]]</calculatedColumnFormula>
    </tableColumn>
    <tableColumn id="4" xr3:uid="{B1F21AAE-0553-4C7A-A931-1B12F8103FE9}" name="With unchanged tax legislation  2019" dataDxfId="97">
      <calculatedColumnFormula array="1">INDIRECT("'2"&amp;$A77&amp;"'!"&amp;D$75 )-Table3517[[#This Row],[Revenue in baseline scenario reeascaled]]</calculatedColumnFormula>
    </tableColumn>
    <tableColumn id="5" xr3:uid="{F4C60137-E1A4-40C3-BBD8-E7AEE5F17E6A}" name="With full indexation on tax base growth" dataDxfId="96">
      <calculatedColumnFormula array="1">INDIRECT("'2"&amp;$A77&amp;"'!"&amp;E$75 )-Table3517[[#This Row],[Revenue in baseline scenario reeascaled]]</calculatedColumnFormula>
    </tableColumn>
    <tableColumn id="6" xr3:uid="{B3807673-29A9-4CA7-B5A9-CE9792B0FF3D}" name="With full indexation on lagged HICP" dataDxfId="95">
      <calculatedColumnFormula array="1">INDIRECT("'2"&amp;$A77&amp;"'!"&amp;F$75 )-Table3517[[#This Row],[Revenue in baseline scenario reeascaled]]</calculatedColumnFormula>
    </tableColumn>
    <tableColumn id="7" xr3:uid="{7BE3E0F1-A452-4C2C-9A5A-FFD536191F3A}" name="With full indexation on concurrent HICP" dataDxfId="94">
      <calculatedColumnFormula array="1">INDIRECT("'2"&amp;$A77&amp;"'!"&amp;G$75 )-Table3517[[#This Row],[Revenue in baseline scenario reeascaled]]</calculatedColumnFormula>
    </tableColumn>
  </tableColumns>
  <tableStyleInfo name="TableStyleLight1" showFirstColumn="0" showLastColumn="0" showRowStripes="0"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6ED50EAF-5BBC-4A28-862E-10336B473927}" name="Table31629" displayName="Table31629" ref="H4:I33" totalsRowShown="0" headerRowDxfId="93" dataDxfId="91" headerRowBorderDxfId="92" tableBorderDxfId="90">
  <autoFilter ref="H4:I33" xr:uid="{6ED50EAF-5BBC-4A28-862E-10336B473927}"/>
  <sortState xmlns:xlrd2="http://schemas.microsoft.com/office/spreadsheetml/2017/richdata2" ref="H5:Q33">
    <sortCondition descending="1" ref="J4:J33"/>
  </sortState>
  <tableColumns count="2">
    <tableColumn id="1" xr3:uid="{DD13186E-461F-4A99-BD3A-4E18A2207E34}" name="Country" dataDxfId="89"/>
    <tableColumn id="5" xr3:uid="{EAA9C3DD-7012-4159-A643-53892EB9B25F}" name="2019 elasticity minus fiscal drag in practice" dataDxfId="88">
      <calculatedColumnFormula array="1">INDIRECT("'1"&amp;$H5&amp;"'!W22")-INDIRECT("'2"&amp;$H5&amp;"'!X22")</calculatedColumnFormula>
    </tableColumn>
  </tableColumns>
  <tableStyleInfo name="TableStyleLight1" showFirstColumn="0" showLastColumn="0" showRowStripes="0"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66EB2F38-DFFA-4EA4-BDB5-6594641BCFD0}" name="Table2912" displayName="Table2912" ref="F40:J69" totalsRowShown="0" headerRowDxfId="87" dataDxfId="86" tableBorderDxfId="85">
  <autoFilter ref="F40:J69" xr:uid="{66EB2F38-DFFA-4EA4-BDB5-6594641BCFD0}"/>
  <sortState xmlns:xlrd2="http://schemas.microsoft.com/office/spreadsheetml/2017/richdata2" ref="F41:J69">
    <sortCondition ref="G40:G69"/>
  </sortState>
  <tableColumns count="5">
    <tableColumn id="1" xr3:uid="{EB6E2330-E3E4-44BC-93F6-98BC50604D0F}" name="country" dataDxfId="84"/>
    <tableColumn id="2" xr3:uid="{EBBD53BD-356E-4555-9FA5-75402744AAB0}" name="Offset Fiscal Drag" dataDxfId="83">
      <calculatedColumnFormula array="1">INDIRECT("'2"&amp;$F41&amp;"'!"&amp;G$39)</calculatedColumnFormula>
    </tableColumn>
    <tableColumn id="3" xr3:uid="{71C4A3FD-3054-4DF1-A7A6-5A26A64C96DB}" name="Actual Fiscal Drag" dataDxfId="82">
      <calculatedColumnFormula>MAX(1-Table2912[[#This Row],[Offset Fiscal Drag]],0)</calculatedColumnFormula>
    </tableColumn>
    <tableColumn id="4" xr3:uid="{A7E99A64-6E1D-4A85-975C-8DDF8034385A}" name="Offset through other reforms" dataDxfId="81">
      <calculatedColumnFormula>Table2912[[#This Row],[Offset Fiscal Drag]]-Table2912[[#This Row],[Offset through indexation]]</calculatedColumnFormula>
    </tableColumn>
    <tableColumn id="5" xr3:uid="{FB4B8EAD-7FBA-4508-A03E-608F82BA472D}" name="Offset through indexation" dataDxfId="80">
      <calculatedColumnFormula array="1">INDIRECT("'2"&amp;$F41&amp;"'!"&amp;J$39)</calculatedColumnFormula>
    </tableColumn>
  </tableColumns>
  <tableStyleInfo name="TableStyleLight1" showFirstColumn="0" showLastColumn="0" showRowStripes="0"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A1A822C9-448C-467D-A402-CE5F63AB032D}" name="Table351733" displayName="Table351733" ref="A112:G141" totalsRowShown="0" headerRowDxfId="79" dataDxfId="77" headerRowBorderDxfId="78" tableBorderDxfId="76">
  <autoFilter ref="A112:G141" xr:uid="{A1A822C9-448C-467D-A402-CE5F63AB032D}"/>
  <sortState xmlns:xlrd2="http://schemas.microsoft.com/office/spreadsheetml/2017/richdata2" ref="A113:G141">
    <sortCondition ref="D112:D141"/>
  </sortState>
  <tableColumns count="7">
    <tableColumn id="1" xr3:uid="{ADDB2C3D-9066-4751-9A6B-12F7E40D1EF2}" name="country" dataDxfId="75"/>
    <tableColumn id="2" xr3:uid="{5D588A8B-5E04-4E00-BD47-06B2F6176503}" name="Average effective tax rate in baseline scenario" dataDxfId="74">
      <calculatedColumnFormula array="1">INDIRECT("'2"&amp;$A113&amp;"'!"&amp;B$111 )</calculatedColumnFormula>
    </tableColumn>
    <tableColumn id="3" xr3:uid="{4E811C86-7638-4324-8515-214103E0719B}" name="Average effective tax rate in baseline scenario (set to zero)" dataDxfId="73">
      <calculatedColumnFormula>Table351733[[#This Row],[Average effective tax rate in baseline scenario]]-Table351733[[#This Row],[Average effective tax rate in baseline scenario]]</calculatedColumnFormula>
    </tableColumn>
    <tableColumn id="4" xr3:uid="{8E96016C-0EEC-46F1-8929-7C963086057F}" name="With unchanged tax legislation  2023/2019" dataDxfId="72">
      <calculatedColumnFormula array="1">INDIRECT("'2"&amp;$A113&amp;"'!"&amp;D$111 )-Table351733[[#This Row],[Average effective tax rate in baseline scenario]]</calculatedColumnFormula>
    </tableColumn>
    <tableColumn id="5" xr3:uid="{F75988BE-E23F-4A0A-88C2-80D0ED8D7C30}" name="With full indexation on tax base growth" dataDxfId="71">
      <calculatedColumnFormula array="1">INDIRECT("'2"&amp;$A113&amp;"'!"&amp;E$111 )-Table351733[[#This Row],[Average effective tax rate in baseline scenario]]</calculatedColumnFormula>
    </tableColumn>
    <tableColumn id="6" xr3:uid="{8862379B-3AA9-459C-822A-1275036180E1}" name="With full indexation on lagged HICP" dataDxfId="70">
      <calculatedColumnFormula array="1">INDIRECT("'2"&amp;$A113&amp;"'!"&amp;F$111 )-Table351733[[#This Row],[Average effective tax rate in baseline scenario]]</calculatedColumnFormula>
    </tableColumn>
    <tableColumn id="7" xr3:uid="{AF350158-C31E-4A21-A155-8219D8159604}" name="With full indexation on concurrent HICP" dataDxfId="69">
      <calculatedColumnFormula array="1">INDIRECT("'2"&amp;$A113&amp;"'!"&amp;G$111 )-Table351733[[#This Row],[Average effective tax rate in baseline scenario]]</calculatedColumnFormula>
    </tableColumn>
  </tableColumns>
  <tableStyleInfo name="TableStyleLight1" showFirstColumn="0" showLastColumn="0" showRowStripes="0"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6B4D3AC0-0B14-4768-A78B-D5C83DCC036B}" name="Table35173318" displayName="Table35173318" ref="A148:G177" totalsRowShown="0" headerRowDxfId="68" dataDxfId="66" headerRowBorderDxfId="67" tableBorderDxfId="65">
  <autoFilter ref="A148:G177" xr:uid="{6B4D3AC0-0B14-4768-A78B-D5C83DCC036B}"/>
  <sortState xmlns:xlrd2="http://schemas.microsoft.com/office/spreadsheetml/2017/richdata2" ref="A149:G177">
    <sortCondition descending="1" ref="C148:C177"/>
  </sortState>
  <tableColumns count="7">
    <tableColumn id="1" xr3:uid="{FA93389F-4F5F-46A7-B5AF-9608FF5AC56E}" name="country" dataDxfId="64"/>
    <tableColumn id="2" xr3:uid="{A32E0D67-EF23-4716-8219-F16347BD0951}" name="Average effective tax rate in 2019" dataDxfId="63">
      <calculatedColumnFormula array="1">INDIRECT("'2"&amp;$A149&amp;"'!"&amp;B$147 )</calculatedColumnFormula>
    </tableColumn>
    <tableColumn id="3" xr3:uid="{C24F0CE4-1818-47D5-8B03-DB5CDD24C233}" name="Average effective tax rate in 2023" dataDxfId="62">
      <calculatedColumnFormula array="1">INDIRECT("'2"&amp;$A149&amp;"'!"&amp;C$147 )-Table35173318[[#This Row],[Average effective tax rate in 2019]]</calculatedColumnFormula>
    </tableColumn>
    <tableColumn id="4" xr3:uid="{8CE2C82B-F7F0-4C3B-96D3-A65462EC0955}" name="With unchanged tax legislation since 2019" dataDxfId="61">
      <calculatedColumnFormula array="1">INDIRECT("'2"&amp;$A149&amp;"'!"&amp;D$111 )-Table35173318[[#This Row],[Average effective tax rate in 2019]]</calculatedColumnFormula>
    </tableColumn>
    <tableColumn id="5" xr3:uid="{94D81210-5CF2-4280-B367-E12D5C9237E4}" name="With full indexation on tax base growth" dataDxfId="60">
      <calculatedColumnFormula array="1">INDIRECT("'2"&amp;$A149&amp;"'!"&amp;E$147 )-Table35173318[[#This Row],[Average effective tax rate in 2019]]</calculatedColumnFormula>
    </tableColumn>
    <tableColumn id="6" xr3:uid="{621B8CF5-0CEA-49F3-B3D9-D05FFB596BBD}" name="With full indexation on lagged HICP" dataDxfId="59">
      <calculatedColumnFormula array="1">INDIRECT("'2"&amp;$A149&amp;"'!"&amp;F$147 )-Table35173318[[#This Row],[Average effective tax rate in 2019]]</calculatedColumnFormula>
    </tableColumn>
    <tableColumn id="7" xr3:uid="{38661DAF-6284-468D-A43A-A97FCE426F87}" name="With full indexation on concurrent HICP" dataDxfId="58">
      <calculatedColumnFormula array="1">INDIRECT("'2"&amp;$A149&amp;"'!"&amp;G$147 )-Table35173318[[#This Row],[Average effective tax rate in 2019]]</calculatedColumnFormula>
    </tableColumn>
  </tableColumns>
  <tableStyleInfo name="TableStyleLight1" showFirstColumn="0" showLastColumn="0" showRowStripes="0"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68D36844-52A4-4DFF-AAEC-9C4C4AEEC6AB}" name="Table291234" displayName="Table291234" ref="F184:J213" totalsRowShown="0" headerRowDxfId="57" dataDxfId="56" tableBorderDxfId="55">
  <autoFilter ref="F184:J213" xr:uid="{68D36844-52A4-4DFF-AAEC-9C4C4AEEC6AB}"/>
  <sortState xmlns:xlrd2="http://schemas.microsoft.com/office/spreadsheetml/2017/richdata2" ref="F185:J213">
    <sortCondition ref="G184:G213"/>
  </sortState>
  <tableColumns count="5">
    <tableColumn id="1" xr3:uid="{688A9C9F-E2E6-4C57-A547-7C483F9453EB}" name="country" dataDxfId="54"/>
    <tableColumn id="2" xr3:uid="{F168A446-9F21-4F9F-AB39-59551429D097}" name="Total Offset" dataDxfId="53">
      <calculatedColumnFormula array="1">INDIRECT("'2"&amp;$F185&amp;"'!"&amp;G$183)</calculatedColumnFormula>
    </tableColumn>
    <tableColumn id="3" xr3:uid="{D3104F37-C77D-47C3-81A3-BCA35F0091CE}" name="Actual Fiscal Drag" dataDxfId="52">
      <calculatedColumnFormula>MAX(1-Table291234[[#This Row],[Total Offset]],0)</calculatedColumnFormula>
    </tableColumn>
    <tableColumn id="4" xr3:uid="{AB90E73F-48E4-44EA-9CEB-40A117A65299}" name="Offset through other reforms" dataDxfId="51">
      <calculatedColumnFormula>Table291234[[#This Row],[Total Offset]]-Table291234[[#This Row],[Offset through indexation]]</calculatedColumnFormula>
    </tableColumn>
    <tableColumn id="5" xr3:uid="{17DBE6B4-3931-41DC-A1E1-8AEF823506CF}" name="Offset through indexation" dataDxfId="50">
      <calculatedColumnFormula array="1">INDIRECT("'2"&amp;$F185&amp;"'!"&amp;J$183)</calculatedColumnFormula>
    </tableColumn>
  </tableColumns>
  <tableStyleInfo name="TableStyleLight1" showFirstColumn="0" showLastColumn="0" showRowStripes="0"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48E7ABBC-1EC5-4E8E-9AF3-7DAC78431808}" name="Table2919" displayName="Table2919" ref="A184:C213" totalsRowShown="0" headerRowDxfId="49" dataDxfId="48" tableBorderDxfId="47">
  <autoFilter ref="A184:C213" xr:uid="{48E7ABBC-1EC5-4E8E-9AF3-7DAC78431808}"/>
  <sortState xmlns:xlrd2="http://schemas.microsoft.com/office/spreadsheetml/2017/richdata2" ref="A185:C213">
    <sortCondition descending="1" ref="B184:B213"/>
  </sortState>
  <tableColumns count="3">
    <tableColumn id="1" xr3:uid="{688DC20A-8A60-4F3C-92F6-D60668F5242D}" name="country" dataDxfId="46"/>
    <tableColumn id="2" xr3:uid="{98C79E65-AD02-4159-BF17-FCDAD2845582}" name="Potential Fiscal Drag" dataDxfId="45">
      <calculatedColumnFormula array="1">INDIRECT("'2"&amp;$A185&amp;"'!"&amp;B$183)/INDIRECT("'2"&amp;$A185&amp;"'!"&amp;$B$182)*100</calculatedColumnFormula>
    </tableColumn>
    <tableColumn id="3" xr3:uid="{E4BE5015-A900-4802-A506-73C4A6FFA988}" name="Actual Fiscal Drag" dataDxfId="44">
      <calculatedColumnFormula array="1">INDIRECT("'2"&amp;$A185&amp;"'!"&amp;C$183)/INDIRECT("'2"&amp;$A185&amp;"'!"&amp;$B$182)*100</calculatedColumnFormula>
    </tableColumn>
  </tableColumns>
  <tableStyleInfo name="TableStyleLight1" showFirstColumn="0" showLastColumn="0" showRowStripes="0"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C704FCC1-1EAB-4C99-A07D-2D833B7E2A81}" name="Table29123427" displayName="Table29123427" ref="F220:J249" totalsRowShown="0" headerRowDxfId="43" dataDxfId="42" tableBorderDxfId="41">
  <autoFilter ref="F220:J249" xr:uid="{C704FCC1-1EAB-4C99-A07D-2D833B7E2A81}"/>
  <sortState xmlns:xlrd2="http://schemas.microsoft.com/office/spreadsheetml/2017/richdata2" ref="F221:J249">
    <sortCondition ref="G220:G249"/>
  </sortState>
  <tableColumns count="5">
    <tableColumn id="1" xr3:uid="{0F3D195A-7B4F-404F-87A7-0285FCDD8E1E}" name="country" dataDxfId="40"/>
    <tableColumn id="2" xr3:uid="{298F337B-6400-4DE7-934D-9858F569FDA6}" name="Total Offset" dataDxfId="39">
      <calculatedColumnFormula array="1">INDIRECT("'2"&amp;$F221&amp;"'!"&amp;G$219)</calculatedColumnFormula>
    </tableColumn>
    <tableColumn id="3" xr3:uid="{3714D0B6-F28B-47CF-9BD7-A4D0E370EA07}" name="Actual Fiscal Drag" dataDxfId="38">
      <calculatedColumnFormula>MAX(1-Table29123427[[#This Row],[Total Offset]],0)</calculatedColumnFormula>
    </tableColumn>
    <tableColumn id="4" xr3:uid="{F1F73086-4511-4BF8-BD1B-F4E8208164DA}" name="Offset through other reforms" dataDxfId="37">
      <calculatedColumnFormula>Table29123427[[#This Row],[Total Offset]]-Table29123427[[#This Row],[Offset through indexation]]</calculatedColumnFormula>
    </tableColumn>
    <tableColumn id="5" xr3:uid="{FAC3875F-F28C-4E12-AE79-CA5025DAA781}" name="Offset through indexation" dataDxfId="36">
      <calculatedColumnFormula array="1">INDIRECT("'2"&amp;$F221&amp;"'!"&amp;J$219)</calculatedColumnFormula>
    </tableColumn>
  </tableColumns>
  <tableStyleInfo name="TableStyleLight1" showFirstColumn="0" showLastColumn="0" showRowStripes="0"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319BD949-4EEE-45EE-B655-55D0E13B1813}" name="Table291935" displayName="Table291935" ref="A220:C249" totalsRowShown="0" headerRowDxfId="35" dataDxfId="34" tableBorderDxfId="33">
  <autoFilter ref="A220:C249" xr:uid="{319BD949-4EEE-45EE-B655-55D0E13B1813}"/>
  <sortState xmlns:xlrd2="http://schemas.microsoft.com/office/spreadsheetml/2017/richdata2" ref="A221:C249">
    <sortCondition descending="1" ref="B220:B249"/>
  </sortState>
  <tableColumns count="3">
    <tableColumn id="1" xr3:uid="{34FC13CE-38FA-4564-B8FE-830E7580092C}" name="country" dataDxfId="32"/>
    <tableColumn id="2" xr3:uid="{F0361007-F861-46A1-9197-9125419562D7}" name="Potential Fiscal Drag" dataDxfId="31">
      <calculatedColumnFormula array="1">INDIRECT("'2"&amp;$A221&amp;"'!"&amp;B$219)/INDIRECT("'2"&amp;$A221&amp;"'!"&amp;$B$218)*100</calculatedColumnFormula>
    </tableColumn>
    <tableColumn id="3" xr3:uid="{1FF6DDC6-C823-481C-A59F-E751CD8556BC}" name="Actual Fiscal Drag" dataDxfId="30">
      <calculatedColumnFormula array="1">INDIRECT("'2"&amp;$A221&amp;"'!"&amp;C$219)/INDIRECT("'2"&amp;$A221&amp;"'!"&amp;$B$218)*100</calculatedColumnFormula>
    </tableColumn>
  </tableColumns>
  <tableStyleInfo name="TableStyleLight1" showFirstColumn="0" showLastColumn="0" showRowStripes="0"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96ECB6EE-01B6-4CA2-A8DA-8F323E139920}" name="Table29123436" displayName="Table29123436" ref="F256:J285" totalsRowShown="0" headerRowDxfId="29" dataDxfId="28" tableBorderDxfId="27">
  <autoFilter ref="F256:J285" xr:uid="{96ECB6EE-01B6-4CA2-A8DA-8F323E139920}"/>
  <sortState xmlns:xlrd2="http://schemas.microsoft.com/office/spreadsheetml/2017/richdata2" ref="F257:J285">
    <sortCondition ref="G256:G285"/>
  </sortState>
  <tableColumns count="5">
    <tableColumn id="1" xr3:uid="{107E5EF0-7E45-40CC-AE51-F9616F0CC2A5}" name="country" dataDxfId="26"/>
    <tableColumn id="2" xr3:uid="{7736DF02-A6F2-40EA-99F0-52C9F452E7F2}" name="Total Offset" dataDxfId="25">
      <calculatedColumnFormula array="1">INDIRECT("'2"&amp;$F257&amp;"'!"&amp;G$255)</calculatedColumnFormula>
    </tableColumn>
    <tableColumn id="3" xr3:uid="{C61544EB-8DAC-418B-B3F4-756E18286680}" name="Actual Fiscal Drag" dataDxfId="24">
      <calculatedColumnFormula>MAX(1-Table29123436[[#This Row],[Total Offset]],0)</calculatedColumnFormula>
    </tableColumn>
    <tableColumn id="4" xr3:uid="{73052E62-A41D-4B35-9F7D-7F329E2F8B51}" name="Offset through other reforms" dataDxfId="23">
      <calculatedColumnFormula>Table29123436[[#This Row],[Total Offset]]-Table29123436[[#This Row],[Offset through indexation]]</calculatedColumnFormula>
    </tableColumn>
    <tableColumn id="5" xr3:uid="{890C6932-550B-48E8-99A0-CFF90133245F}" name="Offset through indexation" dataDxfId="22">
      <calculatedColumnFormula array="1">INDIRECT("'2"&amp;$F257&amp;"'!"&amp;J$255)</calculatedColumnFormula>
    </tableColumn>
  </tableColumns>
  <tableStyleInfo name="TableStyleLight1" showFirstColumn="0" showLastColumn="0" showRowStripes="0"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B4930F8F-7946-4B41-B8CB-727B9E3ED48C}" name="Table291937" displayName="Table291937" ref="A256:C285" totalsRowShown="0" headerRowDxfId="21" dataDxfId="20" tableBorderDxfId="19">
  <autoFilter ref="A256:C285" xr:uid="{B4930F8F-7946-4B41-B8CB-727B9E3ED48C}"/>
  <sortState xmlns:xlrd2="http://schemas.microsoft.com/office/spreadsheetml/2017/richdata2" ref="A257:C285">
    <sortCondition descending="1" ref="B256:B285"/>
  </sortState>
  <tableColumns count="3">
    <tableColumn id="1" xr3:uid="{6B766A0D-6125-47D5-AF14-BD7EF275C697}" name="country" dataDxfId="18"/>
    <tableColumn id="2" xr3:uid="{A16FB69E-A2D4-40B1-BF33-1FF6627B8C63}" name="Potential Fiscal Drag" dataDxfId="17">
      <calculatedColumnFormula array="1">INDIRECT("'2"&amp;$A257&amp;"'!"&amp;B$255)/INDIRECT("'2"&amp;$A257&amp;"'!"&amp;$B$254)*100</calculatedColumnFormula>
    </tableColumn>
    <tableColumn id="3" xr3:uid="{ED70186C-9891-4778-B9D3-23DF92ED444B}" name="Actual Fiscal Drag" dataDxfId="16">
      <calculatedColumnFormula array="1">INDIRECT("'2"&amp;$A257&amp;"'!"&amp;C$255)/INDIRECT("'2"&amp;$A257&amp;"'!"&amp;$B$254)*100</calculatedColumnFormula>
    </tableColumn>
  </tableColumns>
  <tableStyleInfo name="TableStyleLight1" showFirstColumn="0" showLastColumn="0" showRowStripes="0"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BF1D1890-88E3-4885-95C0-12CDD6992E9A}" name="Table2920" displayName="Table2920" ref="A292:C321" totalsRowShown="0" headerRowDxfId="15" dataDxfId="14" tableBorderDxfId="13">
  <autoFilter ref="A292:C321" xr:uid="{BF1D1890-88E3-4885-95C0-12CDD6992E9A}"/>
  <sortState xmlns:xlrd2="http://schemas.microsoft.com/office/spreadsheetml/2017/richdata2" ref="A293:C321">
    <sortCondition descending="1" ref="B40:B69"/>
  </sortState>
  <tableColumns count="3">
    <tableColumn id="1" xr3:uid="{9613FA0E-61F1-48AD-81D7-D077A6356CF1}" name="country" dataDxfId="12"/>
    <tableColumn id="2" xr3:uid="{F8A36DCD-2FAB-49A8-8CF6-6D478E94BB86}" name="Potential Fiscal Drag" dataDxfId="11">
      <calculatedColumnFormula array="1">INDIRECT("'2"&amp;$A293&amp;"'!"&amp;B$291)/INDIRECT("'2"&amp;$A293&amp;"'!"&amp;$B$290)*100</calculatedColumnFormula>
    </tableColumn>
    <tableColumn id="3" xr3:uid="{C51D5ED0-DA28-419B-8FC1-19E37AE81CA1}" name="Actual Fiscal Drag" dataDxfId="10">
      <calculatedColumnFormula array="1">INDIRECT("'2"&amp;$A293&amp;"'!"&amp;C$291)/INDIRECT("'2"&amp;$A293&amp;"'!"&amp;$B$290)*100</calculatedColumnFormula>
    </tableColumn>
  </tableColumns>
  <tableStyleInfo name="TableStyleLight1" showFirstColumn="0" showLastColumn="0" showRowStripes="0"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9679F1BF-91A3-4ABD-BD2D-99DC247F172E}" name="Table291221" displayName="Table291221" ref="F292:L321" totalsRowShown="0" headerRowDxfId="9" dataDxfId="8" tableBorderDxfId="7">
  <autoFilter ref="F292:L321" xr:uid="{9679F1BF-91A3-4ABD-BD2D-99DC247F172E}"/>
  <sortState xmlns:xlrd2="http://schemas.microsoft.com/office/spreadsheetml/2017/richdata2" ref="F293:K321">
    <sortCondition descending="1" ref="K292:K321"/>
  </sortState>
  <tableColumns count="7">
    <tableColumn id="1" xr3:uid="{DD6B348D-2AFE-4A9C-A8BC-3790DEFA9658}" name="country" dataDxfId="6"/>
    <tableColumn id="2" xr3:uid="{09851363-4A14-4470-8C4D-9F7217E416D3}" name="Offset Fiscal Drag ABS" dataDxfId="5">
      <calculatedColumnFormula>ABS(Table291221[[#This Row],[nom_Offset through indexation]])+ABS(Table291221[[#This Row],[nom_Offset through other reforms2]])</calculatedColumnFormula>
    </tableColumn>
    <tableColumn id="3" xr3:uid="{8D1DB182-6E06-4A0F-BBCE-B5E7409D8C35}" name="Offset through other reforms" dataDxfId="4">
      <calculatedColumnFormula>Table291221[[#This Row],[nom_Offset through other reforms2]]/Table291221[[#This Row],[Offset Fiscal Drag ABS]]</calculatedColumnFormula>
    </tableColumn>
    <tableColumn id="4" xr3:uid="{ED6F8C82-B02B-4013-96D7-0D29823A5AA5}" name="nom_Offset through other reforms2" dataDxfId="3">
      <calculatedColumnFormula array="1">INDIRECT("'2"&amp;$F293&amp;"'!"&amp;I$291)-Table291221[[#This Row],[nom_Offset through indexation]]</calculatedColumnFormula>
    </tableColumn>
    <tableColumn id="5" xr3:uid="{CABBF95C-DB10-4E32-B0DE-C24A23B945AA}" name="nom_Offset through indexation" dataDxfId="2">
      <calculatedColumnFormula array="1">INDIRECT("'2"&amp;$F293&amp;"'!"&amp;J$39)</calculatedColumnFormula>
    </tableColumn>
    <tableColumn id="6" xr3:uid="{023C0751-2AE4-476F-B4E3-D9AB5D8F1916}" name="Offset through indexation" dataDxfId="1">
      <calculatedColumnFormula>ABS(Table291221[[#This Row],[nom_Offset through indexation]])/Table291221[[#This Row],[Offset Fiscal Drag ABS]]</calculatedColumnFormula>
    </tableColumn>
    <tableColumn id="7" xr3:uid="{D4BCBC9F-B1D8-4999-9696-ACBE1E0DFF35}" name="Statutory indexation" dataDxfId="0"/>
  </tableColumns>
  <tableStyleInfo name="TableStyleLight1"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EY13" dT="2024-08-28T08:31:50.07" personId="{047118C0-41B6-4055-ACF3-270C8BF5356B}" id="{4E4D6969-348F-46FA-888E-59561B5A0965}">
    <text>2022 change in negative tax deductible for children (+120% and more recipients) turns aggregate tax revenue in D2 negative</text>
  </threadedComment>
  <threadedComment ref="FA13" dT="2024-08-28T09:35:07.56" personId="{047118C0-41B6-4055-ACF3-270C8BF5356B}" id="{6F956D94-7628-48D4-B2C6-1E3938A69820}">
    <text>This increases since this is calculated as (tin_s != 0) and the number of negative tax recipients increases</text>
  </threadedComment>
</ThreadedComments>
</file>

<file path=xl/threadedComments/threadedComment2.xml><?xml version="1.0" encoding="utf-8"?>
<ThreadedComments xmlns="http://schemas.microsoft.com/office/spreadsheetml/2018/threadedcomments" xmlns:x="http://schemas.openxmlformats.org/spreadsheetml/2006/main">
  <threadedComment ref="D30" dT="2024-10-29T09:02:08.33" personId="{047118C0-41B6-4055-ACF3-270C8BF5356B}" id="{283FCA58-5E02-4961-A46A-08C81D9AA431}">
    <text>This queries the aggregates below from our internal database, please ignore</text>
  </threadedComment>
</ThreadedComments>
</file>

<file path=xl/threadedComments/threadedComment3.xml><?xml version="1.0" encoding="utf-8"?>
<ThreadedComments xmlns="http://schemas.microsoft.com/office/spreadsheetml/2018/threadedcomments" xmlns:x="http://schemas.openxmlformats.org/spreadsheetml/2006/main">
  <threadedComment ref="T11" dT="2024-11-27T15:54:35.94" personId="{98C75290-60C7-43CD-B003-EAD80B8CABA2}" id="{CCC3E8B5-9BAF-4E7B-8B23-36679DF54961}">
    <text>Only befefits without pensions</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2.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2.xml"/><Relationship Id="rId1" Type="http://schemas.openxmlformats.org/officeDocument/2006/relationships/printerSettings" Target="../printerSettings/printerSettings4.bin"/><Relationship Id="rId4" Type="http://schemas.openxmlformats.org/officeDocument/2006/relationships/comments" Target="../comments4.xml"/></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3.xml"/><Relationship Id="rId1" Type="http://schemas.openxmlformats.org/officeDocument/2006/relationships/printerSettings" Target="../printerSettings/printerSettings6.bin"/><Relationship Id="rId4" Type="http://schemas.openxmlformats.org/officeDocument/2006/relationships/comments" Target="../comments6.xml"/></Relationships>
</file>

<file path=xl/worksheets/_rels/sheet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4.xml"/><Relationship Id="rId1" Type="http://schemas.openxmlformats.org/officeDocument/2006/relationships/printerSettings" Target="../printerSettings/printerSettings8.bin"/><Relationship Id="rId4" Type="http://schemas.openxmlformats.org/officeDocument/2006/relationships/comments" Target="../comments8.xml"/></Relationships>
</file>

<file path=xl/worksheets/_rels/sheet9.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5.xml"/><Relationship Id="rId1" Type="http://schemas.openxmlformats.org/officeDocument/2006/relationships/printerSettings" Target="../printerSettings/printerSettings10.bin"/><Relationship Id="rId4" Type="http://schemas.openxmlformats.org/officeDocument/2006/relationships/comments" Target="../comments10.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6.xml"/><Relationship Id="rId1" Type="http://schemas.openxmlformats.org/officeDocument/2006/relationships/printerSettings" Target="../printerSettings/printerSettings12.bin"/><Relationship Id="rId4" Type="http://schemas.openxmlformats.org/officeDocument/2006/relationships/comments" Target="../comments12.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7.xml"/><Relationship Id="rId1" Type="http://schemas.openxmlformats.org/officeDocument/2006/relationships/printerSettings" Target="../printerSettings/printerSettings14.bin"/><Relationship Id="rId4" Type="http://schemas.openxmlformats.org/officeDocument/2006/relationships/comments" Target="../comments14.xml"/></Relationships>
</file>

<file path=xl/worksheets/_rels/sheet15.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8.xml"/><Relationship Id="rId1" Type="http://schemas.openxmlformats.org/officeDocument/2006/relationships/printerSettings" Target="../printerSettings/printerSettings16.bin"/><Relationship Id="rId4" Type="http://schemas.openxmlformats.org/officeDocument/2006/relationships/comments" Target="../comments16.xml"/></Relationships>
</file>

<file path=xl/worksheets/_rels/sheet17.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vmlDrawing" Target="../drawings/vmlDrawing17.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9.xml"/><Relationship Id="rId1" Type="http://schemas.openxmlformats.org/officeDocument/2006/relationships/printerSettings" Target="../printerSettings/printerSettings18.bin"/><Relationship Id="rId4" Type="http://schemas.openxmlformats.org/officeDocument/2006/relationships/comments" Target="../comments18.xml"/></Relationships>
</file>

<file path=xl/worksheets/_rels/sheet19.xml.rels><?xml version="1.0" encoding="UTF-8" standalone="yes"?>
<Relationships xmlns="http://schemas.openxmlformats.org/package/2006/relationships"><Relationship Id="rId3" Type="http://schemas.openxmlformats.org/officeDocument/2006/relationships/comments" Target="../comments19.xml"/><Relationship Id="rId2" Type="http://schemas.openxmlformats.org/officeDocument/2006/relationships/vmlDrawing" Target="../drawings/vmlDrawing19.v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20.vml"/><Relationship Id="rId2" Type="http://schemas.openxmlformats.org/officeDocument/2006/relationships/drawing" Target="../drawings/drawing10.xml"/><Relationship Id="rId1" Type="http://schemas.openxmlformats.org/officeDocument/2006/relationships/printerSettings" Target="../printerSettings/printerSettings20.bin"/><Relationship Id="rId4" Type="http://schemas.openxmlformats.org/officeDocument/2006/relationships/comments" Target="../comments20.xml"/></Relationships>
</file>

<file path=xl/worksheets/_rels/sheet21.xml.rels><?xml version="1.0" encoding="UTF-8" standalone="yes"?>
<Relationships xmlns="http://schemas.openxmlformats.org/package/2006/relationships"><Relationship Id="rId3" Type="http://schemas.openxmlformats.org/officeDocument/2006/relationships/comments" Target="../comments21.xml"/><Relationship Id="rId2" Type="http://schemas.openxmlformats.org/officeDocument/2006/relationships/vmlDrawing" Target="../drawings/vmlDrawing21.vml"/><Relationship Id="rId1" Type="http://schemas.openxmlformats.org/officeDocument/2006/relationships/printerSettings" Target="../printerSettings/printerSettings21.bin"/><Relationship Id="rId4" Type="http://schemas.microsoft.com/office/2017/10/relationships/threadedComment" Target="../threadedComments/threadedComment3.xm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22.vml"/><Relationship Id="rId2" Type="http://schemas.openxmlformats.org/officeDocument/2006/relationships/drawing" Target="../drawings/drawing11.xml"/><Relationship Id="rId1" Type="http://schemas.openxmlformats.org/officeDocument/2006/relationships/printerSettings" Target="../printerSettings/printerSettings22.bin"/><Relationship Id="rId4" Type="http://schemas.openxmlformats.org/officeDocument/2006/relationships/comments" Target="../comments22.xml"/></Relationships>
</file>

<file path=xl/worksheets/_rels/sheet23.xml.rels><?xml version="1.0" encoding="UTF-8" standalone="yes"?>
<Relationships xmlns="http://schemas.openxmlformats.org/package/2006/relationships"><Relationship Id="rId3" Type="http://schemas.openxmlformats.org/officeDocument/2006/relationships/comments" Target="../comments23.xml"/><Relationship Id="rId2" Type="http://schemas.openxmlformats.org/officeDocument/2006/relationships/vmlDrawing" Target="../drawings/vmlDrawing23.v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3" Type="http://schemas.openxmlformats.org/officeDocument/2006/relationships/vmlDrawing" Target="../drawings/vmlDrawing24.vml"/><Relationship Id="rId2" Type="http://schemas.openxmlformats.org/officeDocument/2006/relationships/drawing" Target="../drawings/drawing12.xml"/><Relationship Id="rId1" Type="http://schemas.openxmlformats.org/officeDocument/2006/relationships/printerSettings" Target="../printerSettings/printerSettings24.bin"/><Relationship Id="rId4" Type="http://schemas.openxmlformats.org/officeDocument/2006/relationships/comments" Target="../comments24.xml"/></Relationships>
</file>

<file path=xl/worksheets/_rels/sheet25.xml.rels><?xml version="1.0" encoding="UTF-8" standalone="yes"?>
<Relationships xmlns="http://schemas.openxmlformats.org/package/2006/relationships"><Relationship Id="rId3" Type="http://schemas.openxmlformats.org/officeDocument/2006/relationships/comments" Target="../comments25.xml"/><Relationship Id="rId2" Type="http://schemas.openxmlformats.org/officeDocument/2006/relationships/vmlDrawing" Target="../drawings/vmlDrawing25.v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3" Type="http://schemas.openxmlformats.org/officeDocument/2006/relationships/vmlDrawing" Target="../drawings/vmlDrawing26.vml"/><Relationship Id="rId2" Type="http://schemas.openxmlformats.org/officeDocument/2006/relationships/drawing" Target="../drawings/drawing13.xml"/><Relationship Id="rId1" Type="http://schemas.openxmlformats.org/officeDocument/2006/relationships/printerSettings" Target="../printerSettings/printerSettings26.bin"/><Relationship Id="rId4" Type="http://schemas.openxmlformats.org/officeDocument/2006/relationships/comments" Target="../comments26.xml"/></Relationships>
</file>

<file path=xl/worksheets/_rels/sheet27.xml.rels><?xml version="1.0" encoding="UTF-8" standalone="yes"?>
<Relationships xmlns="http://schemas.openxmlformats.org/package/2006/relationships"><Relationship Id="rId3" Type="http://schemas.openxmlformats.org/officeDocument/2006/relationships/comments" Target="../comments27.xml"/><Relationship Id="rId2" Type="http://schemas.openxmlformats.org/officeDocument/2006/relationships/vmlDrawing" Target="../drawings/vmlDrawing27.v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3" Type="http://schemas.openxmlformats.org/officeDocument/2006/relationships/vmlDrawing" Target="../drawings/vmlDrawing28.vml"/><Relationship Id="rId2" Type="http://schemas.openxmlformats.org/officeDocument/2006/relationships/drawing" Target="../drawings/drawing14.xml"/><Relationship Id="rId1" Type="http://schemas.openxmlformats.org/officeDocument/2006/relationships/printerSettings" Target="../printerSettings/printerSettings28.bin"/><Relationship Id="rId4" Type="http://schemas.openxmlformats.org/officeDocument/2006/relationships/comments" Target="../comments28.xml"/></Relationships>
</file>

<file path=xl/worksheets/_rels/sheet29.xml.rels><?xml version="1.0" encoding="UTF-8" standalone="yes"?>
<Relationships xmlns="http://schemas.openxmlformats.org/package/2006/relationships"><Relationship Id="rId3" Type="http://schemas.openxmlformats.org/officeDocument/2006/relationships/comments" Target="../comments29.xml"/><Relationship Id="rId2" Type="http://schemas.openxmlformats.org/officeDocument/2006/relationships/vmlDrawing" Target="../drawings/vmlDrawing29.v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3" Type="http://schemas.openxmlformats.org/officeDocument/2006/relationships/vmlDrawing" Target="../drawings/vmlDrawing30.vml"/><Relationship Id="rId2" Type="http://schemas.openxmlformats.org/officeDocument/2006/relationships/drawing" Target="../drawings/drawing15.xml"/><Relationship Id="rId1" Type="http://schemas.openxmlformats.org/officeDocument/2006/relationships/printerSettings" Target="../printerSettings/printerSettings30.bin"/><Relationship Id="rId4" Type="http://schemas.openxmlformats.org/officeDocument/2006/relationships/comments" Target="../comments30.xml"/></Relationships>
</file>

<file path=xl/worksheets/_rels/sheet31.xml.rels><?xml version="1.0" encoding="UTF-8" standalone="yes"?>
<Relationships xmlns="http://schemas.openxmlformats.org/package/2006/relationships"><Relationship Id="rId3" Type="http://schemas.openxmlformats.org/officeDocument/2006/relationships/comments" Target="../comments31.xml"/><Relationship Id="rId2" Type="http://schemas.openxmlformats.org/officeDocument/2006/relationships/vmlDrawing" Target="../drawings/vmlDrawing31.v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3" Type="http://schemas.openxmlformats.org/officeDocument/2006/relationships/vmlDrawing" Target="../drawings/vmlDrawing32.vml"/><Relationship Id="rId2" Type="http://schemas.openxmlformats.org/officeDocument/2006/relationships/drawing" Target="../drawings/drawing16.xml"/><Relationship Id="rId1" Type="http://schemas.openxmlformats.org/officeDocument/2006/relationships/printerSettings" Target="../printerSettings/printerSettings32.bin"/><Relationship Id="rId4" Type="http://schemas.openxmlformats.org/officeDocument/2006/relationships/comments" Target="../comments32.xml"/></Relationships>
</file>

<file path=xl/worksheets/_rels/sheet33.xml.rels><?xml version="1.0" encoding="UTF-8" standalone="yes"?>
<Relationships xmlns="http://schemas.openxmlformats.org/package/2006/relationships"><Relationship Id="rId3" Type="http://schemas.openxmlformats.org/officeDocument/2006/relationships/comments" Target="../comments33.xml"/><Relationship Id="rId2" Type="http://schemas.openxmlformats.org/officeDocument/2006/relationships/vmlDrawing" Target="../drawings/vmlDrawing33.v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3" Type="http://schemas.openxmlformats.org/officeDocument/2006/relationships/vmlDrawing" Target="../drawings/vmlDrawing34.vml"/><Relationship Id="rId2" Type="http://schemas.openxmlformats.org/officeDocument/2006/relationships/drawing" Target="../drawings/drawing17.xml"/><Relationship Id="rId1" Type="http://schemas.openxmlformats.org/officeDocument/2006/relationships/printerSettings" Target="../printerSettings/printerSettings34.bin"/><Relationship Id="rId4" Type="http://schemas.openxmlformats.org/officeDocument/2006/relationships/comments" Target="../comments34.xml"/></Relationships>
</file>

<file path=xl/worksheets/_rels/sheet35.xml.rels><?xml version="1.0" encoding="UTF-8" standalone="yes"?>
<Relationships xmlns="http://schemas.openxmlformats.org/package/2006/relationships"><Relationship Id="rId3" Type="http://schemas.openxmlformats.org/officeDocument/2006/relationships/comments" Target="../comments35.xml"/><Relationship Id="rId2" Type="http://schemas.openxmlformats.org/officeDocument/2006/relationships/vmlDrawing" Target="../drawings/vmlDrawing35.v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3" Type="http://schemas.openxmlformats.org/officeDocument/2006/relationships/vmlDrawing" Target="../drawings/vmlDrawing36.vml"/><Relationship Id="rId2" Type="http://schemas.openxmlformats.org/officeDocument/2006/relationships/drawing" Target="../drawings/drawing18.xml"/><Relationship Id="rId1" Type="http://schemas.openxmlformats.org/officeDocument/2006/relationships/printerSettings" Target="../printerSettings/printerSettings36.bin"/><Relationship Id="rId4" Type="http://schemas.openxmlformats.org/officeDocument/2006/relationships/comments" Target="../comments36.xml"/></Relationships>
</file>

<file path=xl/worksheets/_rels/sheet37.xml.rels><?xml version="1.0" encoding="UTF-8" standalone="yes"?>
<Relationships xmlns="http://schemas.openxmlformats.org/package/2006/relationships"><Relationship Id="rId3" Type="http://schemas.openxmlformats.org/officeDocument/2006/relationships/comments" Target="../comments37.xml"/><Relationship Id="rId2" Type="http://schemas.openxmlformats.org/officeDocument/2006/relationships/vmlDrawing" Target="../drawings/vmlDrawing37.vml"/><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3" Type="http://schemas.openxmlformats.org/officeDocument/2006/relationships/vmlDrawing" Target="../drawings/vmlDrawing38.vml"/><Relationship Id="rId2" Type="http://schemas.openxmlformats.org/officeDocument/2006/relationships/drawing" Target="../drawings/drawing19.xml"/><Relationship Id="rId1" Type="http://schemas.openxmlformats.org/officeDocument/2006/relationships/printerSettings" Target="../printerSettings/printerSettings38.bin"/><Relationship Id="rId4" Type="http://schemas.openxmlformats.org/officeDocument/2006/relationships/comments" Target="../comments38.xml"/></Relationships>
</file>

<file path=xl/worksheets/_rels/sheet39.xml.rels><?xml version="1.0" encoding="UTF-8" standalone="yes"?>
<Relationships xmlns="http://schemas.openxmlformats.org/package/2006/relationships"><Relationship Id="rId2" Type="http://schemas.openxmlformats.org/officeDocument/2006/relationships/comments" Target="../comments39.xml"/><Relationship Id="rId1" Type="http://schemas.openxmlformats.org/officeDocument/2006/relationships/vmlDrawing" Target="../drawings/vmlDrawing39.vml"/></Relationships>
</file>

<file path=xl/worksheets/_rels/sheet40.xml.rels><?xml version="1.0" encoding="UTF-8" standalone="yes"?>
<Relationships xmlns="http://schemas.openxmlformats.org/package/2006/relationships"><Relationship Id="rId3" Type="http://schemas.openxmlformats.org/officeDocument/2006/relationships/comments" Target="../comments40.xml"/><Relationship Id="rId2" Type="http://schemas.openxmlformats.org/officeDocument/2006/relationships/vmlDrawing" Target="../drawings/vmlDrawing40.vml"/><Relationship Id="rId1" Type="http://schemas.openxmlformats.org/officeDocument/2006/relationships/drawing" Target="../drawings/drawing20.xml"/></Relationships>
</file>

<file path=xl/worksheets/_rels/sheet41.xml.rels><?xml version="1.0" encoding="UTF-8" standalone="yes"?>
<Relationships xmlns="http://schemas.openxmlformats.org/package/2006/relationships"><Relationship Id="rId3" Type="http://schemas.openxmlformats.org/officeDocument/2006/relationships/comments" Target="../comments41.xml"/><Relationship Id="rId2" Type="http://schemas.openxmlformats.org/officeDocument/2006/relationships/vmlDrawing" Target="../drawings/vmlDrawing41.vml"/><Relationship Id="rId1" Type="http://schemas.openxmlformats.org/officeDocument/2006/relationships/printerSettings" Target="../printerSettings/printerSettings39.bin"/></Relationships>
</file>

<file path=xl/worksheets/_rels/sheet42.xml.rels><?xml version="1.0" encoding="UTF-8" standalone="yes"?>
<Relationships xmlns="http://schemas.openxmlformats.org/package/2006/relationships"><Relationship Id="rId3" Type="http://schemas.openxmlformats.org/officeDocument/2006/relationships/vmlDrawing" Target="../drawings/vmlDrawing42.vml"/><Relationship Id="rId2" Type="http://schemas.openxmlformats.org/officeDocument/2006/relationships/drawing" Target="../drawings/drawing21.xml"/><Relationship Id="rId1" Type="http://schemas.openxmlformats.org/officeDocument/2006/relationships/printerSettings" Target="../printerSettings/printerSettings40.bin"/><Relationship Id="rId4" Type="http://schemas.openxmlformats.org/officeDocument/2006/relationships/comments" Target="../comments42.xml"/></Relationships>
</file>

<file path=xl/worksheets/_rels/sheet43.xml.rels><?xml version="1.0" encoding="UTF-8" standalone="yes"?>
<Relationships xmlns="http://schemas.openxmlformats.org/package/2006/relationships"><Relationship Id="rId3" Type="http://schemas.openxmlformats.org/officeDocument/2006/relationships/vmlDrawing" Target="../drawings/vmlDrawing43.vml"/><Relationship Id="rId2" Type="http://schemas.openxmlformats.org/officeDocument/2006/relationships/drawing" Target="../drawings/drawing22.xml"/><Relationship Id="rId1" Type="http://schemas.openxmlformats.org/officeDocument/2006/relationships/printerSettings" Target="../printerSettings/printerSettings41.bin"/><Relationship Id="rId4" Type="http://schemas.openxmlformats.org/officeDocument/2006/relationships/comments" Target="../comments43.xml"/></Relationships>
</file>

<file path=xl/worksheets/_rels/sheet44.xml.rels><?xml version="1.0" encoding="UTF-8" standalone="yes"?>
<Relationships xmlns="http://schemas.openxmlformats.org/package/2006/relationships"><Relationship Id="rId3" Type="http://schemas.openxmlformats.org/officeDocument/2006/relationships/vmlDrawing" Target="../drawings/vmlDrawing44.vml"/><Relationship Id="rId2" Type="http://schemas.openxmlformats.org/officeDocument/2006/relationships/drawing" Target="../drawings/drawing23.xml"/><Relationship Id="rId1" Type="http://schemas.openxmlformats.org/officeDocument/2006/relationships/printerSettings" Target="../printerSettings/printerSettings42.bin"/><Relationship Id="rId4" Type="http://schemas.openxmlformats.org/officeDocument/2006/relationships/comments" Target="../comments44.xml"/></Relationships>
</file>

<file path=xl/worksheets/_rels/sheet45.xml.rels><?xml version="1.0" encoding="UTF-8" standalone="yes"?>
<Relationships xmlns="http://schemas.openxmlformats.org/package/2006/relationships"><Relationship Id="rId8" Type="http://schemas.openxmlformats.org/officeDocument/2006/relationships/table" Target="../tables/table6.xml"/><Relationship Id="rId13" Type="http://schemas.openxmlformats.org/officeDocument/2006/relationships/table" Target="../tables/table11.xml"/><Relationship Id="rId3" Type="http://schemas.openxmlformats.org/officeDocument/2006/relationships/table" Target="../tables/table1.xml"/><Relationship Id="rId7" Type="http://schemas.openxmlformats.org/officeDocument/2006/relationships/table" Target="../tables/table5.xml"/><Relationship Id="rId12" Type="http://schemas.openxmlformats.org/officeDocument/2006/relationships/table" Target="../tables/table10.xml"/><Relationship Id="rId2" Type="http://schemas.openxmlformats.org/officeDocument/2006/relationships/drawing" Target="../drawings/drawing24.xml"/><Relationship Id="rId16" Type="http://schemas.openxmlformats.org/officeDocument/2006/relationships/table" Target="../tables/table14.xml"/><Relationship Id="rId1" Type="http://schemas.openxmlformats.org/officeDocument/2006/relationships/printerSettings" Target="../printerSettings/printerSettings43.bin"/><Relationship Id="rId6" Type="http://schemas.openxmlformats.org/officeDocument/2006/relationships/table" Target="../tables/table4.xml"/><Relationship Id="rId11" Type="http://schemas.openxmlformats.org/officeDocument/2006/relationships/table" Target="../tables/table9.xml"/><Relationship Id="rId5" Type="http://schemas.openxmlformats.org/officeDocument/2006/relationships/table" Target="../tables/table3.xml"/><Relationship Id="rId15" Type="http://schemas.openxmlformats.org/officeDocument/2006/relationships/table" Target="../tables/table13.xml"/><Relationship Id="rId10" Type="http://schemas.openxmlformats.org/officeDocument/2006/relationships/table" Target="../tables/table8.xml"/><Relationship Id="rId4" Type="http://schemas.openxmlformats.org/officeDocument/2006/relationships/table" Target="../tables/table2.xml"/><Relationship Id="rId9" Type="http://schemas.openxmlformats.org/officeDocument/2006/relationships/table" Target="../tables/table7.xml"/><Relationship Id="rId14" Type="http://schemas.openxmlformats.org/officeDocument/2006/relationships/table" Target="../tables/table12.xml"/></Relationships>
</file>

<file path=xl/worksheets/_rels/sheet46.xml.rels><?xml version="1.0" encoding="UTF-8" standalone="yes"?>
<Relationships xmlns="http://schemas.openxmlformats.org/package/2006/relationships"><Relationship Id="rId8" Type="http://schemas.openxmlformats.org/officeDocument/2006/relationships/table" Target="../tables/table20.xml"/><Relationship Id="rId13" Type="http://schemas.openxmlformats.org/officeDocument/2006/relationships/table" Target="../tables/table25.xml"/><Relationship Id="rId3" Type="http://schemas.openxmlformats.org/officeDocument/2006/relationships/table" Target="../tables/table15.xml"/><Relationship Id="rId7" Type="http://schemas.openxmlformats.org/officeDocument/2006/relationships/table" Target="../tables/table19.xml"/><Relationship Id="rId12" Type="http://schemas.openxmlformats.org/officeDocument/2006/relationships/table" Target="../tables/table24.xml"/><Relationship Id="rId17" Type="http://schemas.openxmlformats.org/officeDocument/2006/relationships/table" Target="../tables/table29.xml"/><Relationship Id="rId2" Type="http://schemas.openxmlformats.org/officeDocument/2006/relationships/drawing" Target="../drawings/drawing25.xml"/><Relationship Id="rId16" Type="http://schemas.openxmlformats.org/officeDocument/2006/relationships/table" Target="../tables/table28.xml"/><Relationship Id="rId1" Type="http://schemas.openxmlformats.org/officeDocument/2006/relationships/printerSettings" Target="../printerSettings/printerSettings44.bin"/><Relationship Id="rId6" Type="http://schemas.openxmlformats.org/officeDocument/2006/relationships/table" Target="../tables/table18.xml"/><Relationship Id="rId11" Type="http://schemas.openxmlformats.org/officeDocument/2006/relationships/table" Target="../tables/table23.xml"/><Relationship Id="rId5" Type="http://schemas.openxmlformats.org/officeDocument/2006/relationships/table" Target="../tables/table17.xml"/><Relationship Id="rId15" Type="http://schemas.openxmlformats.org/officeDocument/2006/relationships/table" Target="../tables/table27.xml"/><Relationship Id="rId10" Type="http://schemas.openxmlformats.org/officeDocument/2006/relationships/table" Target="../tables/table22.xml"/><Relationship Id="rId4" Type="http://schemas.openxmlformats.org/officeDocument/2006/relationships/table" Target="../tables/table16.xml"/><Relationship Id="rId9" Type="http://schemas.openxmlformats.org/officeDocument/2006/relationships/table" Target="../tables/table21.xml"/><Relationship Id="rId14" Type="http://schemas.openxmlformats.org/officeDocument/2006/relationships/table" Target="../tables/table26.xml"/></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B2319-2147-4D7B-9BD6-74377941B8AD}">
  <dimension ref="A1:FQ27"/>
  <sheetViews>
    <sheetView zoomScale="85" zoomScaleNormal="85" workbookViewId="0">
      <selection activeCell="AL33" sqref="A22:AL33"/>
    </sheetView>
  </sheetViews>
  <sheetFormatPr baseColWidth="10" defaultColWidth="8.6640625" defaultRowHeight="14.4" x14ac:dyDescent="0.3"/>
  <cols>
    <col min="1" max="1" width="4.33203125" customWidth="1"/>
    <col min="3" max="3" width="15.6640625" customWidth="1"/>
    <col min="4" max="7" width="14.5546875" customWidth="1"/>
    <col min="8" max="15" width="18" customWidth="1"/>
    <col min="16" max="17" width="18.6640625" customWidth="1"/>
    <col min="18" max="18" width="15.33203125" customWidth="1"/>
    <col min="19" max="22" width="18" customWidth="1"/>
    <col min="23" max="31" width="14.6640625" customWidth="1"/>
    <col min="32" max="32" width="15.33203125" customWidth="1"/>
    <col min="33" max="33" width="14.6640625" customWidth="1"/>
    <col min="34" max="41" width="13.5546875" customWidth="1"/>
    <col min="42" max="42" width="15.5546875" customWidth="1"/>
    <col min="43" max="43" width="13" customWidth="1"/>
    <col min="44" max="44" width="11.33203125" customWidth="1"/>
    <col min="45" max="45" width="12.33203125" customWidth="1"/>
    <col min="46" max="50" width="11.33203125" customWidth="1"/>
    <col min="51" max="51" width="13.44140625" customWidth="1"/>
    <col min="56" max="56" width="9.6640625" customWidth="1"/>
    <col min="60" max="60" width="16.44140625" customWidth="1"/>
    <col min="61" max="61" width="16.33203125" customWidth="1"/>
    <col min="62" max="63" width="15.33203125" customWidth="1"/>
    <col min="68" max="68" width="11.44140625" bestFit="1" customWidth="1"/>
    <col min="69" max="69" width="13.5546875" customWidth="1"/>
    <col min="70" max="70" width="13.6640625" customWidth="1"/>
    <col min="71" max="71" width="12.44140625" customWidth="1"/>
    <col min="72" max="77" width="12.6640625" customWidth="1"/>
    <col min="78" max="80" width="11.33203125" customWidth="1"/>
    <col min="81" max="85" width="11.6640625" hidden="1" customWidth="1"/>
    <col min="86" max="86" width="13.33203125" hidden="1" customWidth="1"/>
    <col min="87" max="88" width="11.6640625" hidden="1" customWidth="1"/>
    <col min="89" max="94" width="12.6640625" customWidth="1"/>
    <col min="95" max="96" width="11.33203125" customWidth="1"/>
    <col min="97" max="104" width="11.6640625" customWidth="1"/>
    <col min="105" max="108" width="13.44140625" customWidth="1"/>
    <col min="110" max="130" width="0.5546875" customWidth="1"/>
    <col min="131" max="132" width="15.5546875" customWidth="1"/>
    <col min="133" max="133" width="15.33203125" customWidth="1"/>
    <col min="134" max="134" width="14.5546875" customWidth="1"/>
    <col min="135" max="135" width="16.5546875" customWidth="1"/>
    <col min="136" max="138" width="18" customWidth="1"/>
    <col min="139" max="142" width="15.33203125" customWidth="1"/>
    <col min="143" max="143" width="11" customWidth="1"/>
    <col min="144" max="145" width="16" customWidth="1"/>
    <col min="146" max="146" width="9.33203125" customWidth="1"/>
    <col min="147" max="150" width="17" customWidth="1"/>
    <col min="153" max="153" width="10.6640625" customWidth="1"/>
    <col min="156" max="157" width="11.33203125" customWidth="1"/>
    <col min="158" max="161" width="9.6640625" customWidth="1"/>
    <col min="162" max="165" width="11.5546875" customWidth="1"/>
  </cols>
  <sheetData>
    <row r="1" spans="1:173" ht="15" thickBot="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ht="18" customHeight="1" thickBot="1" x14ac:dyDescent="0.35">
      <c r="A2" s="1"/>
      <c r="B2" s="2" t="s">
        <v>579</v>
      </c>
      <c r="C2" s="3"/>
      <c r="D2" s="3"/>
      <c r="E2" s="3"/>
      <c r="F2" s="3"/>
      <c r="G2" s="3"/>
      <c r="H2" s="4"/>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18" customHeight="1" x14ac:dyDescent="0.3">
      <c r="A3" s="1"/>
      <c r="B3" s="5" t="s">
        <v>0</v>
      </c>
      <c r="C3" s="6"/>
      <c r="D3" s="6"/>
      <c r="E3" s="6"/>
      <c r="F3" s="6"/>
      <c r="G3" s="6"/>
      <c r="H3" s="7"/>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18" customHeight="1" x14ac:dyDescent="0.3">
      <c r="A4" s="1"/>
      <c r="B4" s="8" t="s">
        <v>1</v>
      </c>
      <c r="C4" s="9"/>
      <c r="D4" s="9"/>
      <c r="E4" s="9"/>
      <c r="F4" s="9"/>
      <c r="G4" s="9"/>
      <c r="H4" s="10"/>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12.6" customHeight="1" x14ac:dyDescent="0.3">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row>
    <row r="6" spans="1:173" ht="12.6" customHeight="1" x14ac:dyDescent="0.3">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row>
    <row r="7" spans="1:173" ht="12.6" customHeight="1" x14ac:dyDescent="0.3">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c r="EU7" s="1"/>
      <c r="EV7" s="1"/>
      <c r="EW7" s="1"/>
      <c r="EX7" s="1"/>
      <c r="EY7" s="1"/>
      <c r="EZ7" s="1"/>
      <c r="FA7" s="1"/>
      <c r="FB7" s="1"/>
      <c r="FC7" s="1"/>
      <c r="FD7" s="1"/>
      <c r="FE7" s="1"/>
      <c r="FF7" s="1"/>
      <c r="FG7" s="1"/>
      <c r="FH7" s="1"/>
      <c r="FI7" s="1"/>
      <c r="FJ7" s="1"/>
      <c r="FK7" s="1"/>
      <c r="FL7" s="1"/>
      <c r="FM7" s="1"/>
      <c r="FN7" s="1"/>
      <c r="FO7" s="1"/>
      <c r="FP7" s="1"/>
      <c r="FQ7" s="1"/>
    </row>
    <row r="8" spans="1:173" ht="17.7" customHeight="1" x14ac:dyDescent="0.3">
      <c r="A8" s="1"/>
      <c r="B8" s="11" t="s">
        <v>2</v>
      </c>
      <c r="C8" s="12" t="s">
        <v>3</v>
      </c>
      <c r="D8" s="12" t="s">
        <v>4</v>
      </c>
      <c r="E8" s="124" t="s">
        <v>5</v>
      </c>
      <c r="F8" s="125"/>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56"/>
      <c r="CD8" s="56"/>
      <c r="CE8" s="56"/>
      <c r="CF8" s="56"/>
      <c r="CG8" s="56"/>
      <c r="CH8" s="56"/>
      <c r="CI8" s="56"/>
      <c r="CJ8" s="56"/>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row>
    <row r="9" spans="1:173" ht="10.35" customHeight="1" x14ac:dyDescent="0.3">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56"/>
      <c r="CD9" s="56"/>
      <c r="CE9" s="56"/>
      <c r="CF9" s="56"/>
      <c r="CG9" s="56"/>
      <c r="CH9" s="56"/>
      <c r="CI9" s="56"/>
      <c r="CJ9" s="56"/>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row>
    <row r="10" spans="1:173" x14ac:dyDescent="0.3">
      <c r="A10" s="1"/>
      <c r="B10" s="1"/>
      <c r="C10" s="13" t="s">
        <v>6</v>
      </c>
      <c r="D10" s="14"/>
      <c r="E10" s="14"/>
      <c r="F10" s="14"/>
      <c r="G10" s="14"/>
      <c r="H10" s="14"/>
      <c r="I10" s="14"/>
      <c r="J10" s="14"/>
      <c r="K10" s="14"/>
      <c r="L10" s="14"/>
      <c r="M10" s="14"/>
      <c r="N10" s="14"/>
      <c r="O10" s="14"/>
      <c r="P10" s="15" t="s">
        <v>580</v>
      </c>
      <c r="Q10" s="16"/>
      <c r="R10" s="16"/>
      <c r="S10" s="16"/>
      <c r="T10" s="16"/>
      <c r="U10" s="16"/>
      <c r="V10" s="16"/>
      <c r="W10" s="13" t="s">
        <v>628</v>
      </c>
      <c r="X10" s="17"/>
      <c r="Y10" s="17"/>
      <c r="Z10" s="17"/>
      <c r="AA10" s="17"/>
      <c r="AB10" s="17"/>
      <c r="AC10" s="17"/>
      <c r="AD10" s="13" t="s">
        <v>629</v>
      </c>
      <c r="AE10" s="17"/>
      <c r="AF10" s="17"/>
      <c r="AG10" s="18"/>
      <c r="AH10" s="19" t="s">
        <v>630</v>
      </c>
      <c r="AI10" s="20"/>
      <c r="AJ10" s="16"/>
      <c r="AK10" s="16"/>
      <c r="AL10" s="16"/>
      <c r="AM10" s="16"/>
      <c r="AN10" s="16"/>
      <c r="AO10" s="16"/>
      <c r="AP10" s="21"/>
      <c r="AQ10" s="19" t="s">
        <v>9</v>
      </c>
      <c r="AR10" s="16"/>
      <c r="AS10" s="16"/>
      <c r="AT10" s="16"/>
      <c r="AU10" s="16"/>
      <c r="AV10" s="16"/>
      <c r="AW10" s="16"/>
      <c r="AX10" s="16"/>
      <c r="AY10" s="21"/>
      <c r="AZ10" s="22" t="s">
        <v>10</v>
      </c>
      <c r="BA10" s="23"/>
      <c r="BB10" s="23"/>
      <c r="BC10" s="23"/>
      <c r="BD10" s="23"/>
      <c r="BE10" s="23"/>
      <c r="BF10" s="23"/>
      <c r="BG10" s="23"/>
      <c r="BH10" s="23"/>
      <c r="BI10" s="23"/>
      <c r="BJ10" s="23"/>
      <c r="BK10" s="23"/>
      <c r="BL10" s="23"/>
      <c r="BM10" s="23"/>
      <c r="BN10" s="23"/>
      <c r="BO10" s="23"/>
      <c r="BP10" s="23"/>
      <c r="BQ10" s="23"/>
      <c r="BR10" s="24"/>
      <c r="BS10" s="11"/>
      <c r="BT10" s="19"/>
      <c r="BU10" s="16"/>
      <c r="BV10" s="16"/>
      <c r="BW10" s="16"/>
      <c r="BX10" s="16"/>
      <c r="BY10" s="16"/>
      <c r="BZ10" s="16"/>
      <c r="CA10" s="16"/>
      <c r="CB10" s="16"/>
      <c r="CC10" s="58" t="s">
        <v>12</v>
      </c>
      <c r="CD10" s="59"/>
      <c r="CE10" s="59"/>
      <c r="CF10" s="59"/>
      <c r="CG10" s="59"/>
      <c r="CH10" s="59"/>
      <c r="CI10" s="59"/>
      <c r="CJ10" s="59"/>
      <c r="CK10" s="19" t="s">
        <v>581</v>
      </c>
      <c r="CL10" s="16"/>
      <c r="CM10" s="16"/>
      <c r="CN10" s="16"/>
      <c r="CO10" s="16"/>
      <c r="CP10" s="16"/>
      <c r="CQ10" s="16"/>
      <c r="CR10" s="16"/>
      <c r="CS10" s="19" t="s">
        <v>582</v>
      </c>
      <c r="CT10" s="127"/>
      <c r="CU10" s="59"/>
      <c r="CV10" s="59"/>
      <c r="CW10" s="59"/>
      <c r="CX10" s="59"/>
      <c r="CY10" s="59"/>
      <c r="CZ10" s="59"/>
      <c r="DA10" s="15" t="s">
        <v>15</v>
      </c>
      <c r="DB10" s="60"/>
      <c r="DC10" s="60"/>
      <c r="DD10" s="8" t="s">
        <v>16</v>
      </c>
      <c r="DE10" s="10"/>
      <c r="DF10" s="1"/>
      <c r="DG10" s="1"/>
      <c r="DH10" s="1"/>
      <c r="DI10" s="1"/>
      <c r="DJ10" s="1"/>
      <c r="DK10" s="1"/>
      <c r="DL10" s="1"/>
      <c r="DM10" s="1"/>
      <c r="DN10" s="1"/>
      <c r="DO10" s="1"/>
      <c r="DP10" s="1"/>
      <c r="DQ10" s="1"/>
      <c r="DR10" s="1"/>
      <c r="DS10" s="1"/>
      <c r="DT10" s="1"/>
      <c r="DU10" s="1"/>
      <c r="DV10" s="1"/>
      <c r="DW10" s="1"/>
      <c r="DX10" s="1"/>
      <c r="DY10" s="1"/>
      <c r="DZ10" s="1"/>
      <c r="EA10" s="13" t="s">
        <v>17</v>
      </c>
      <c r="EB10" s="14"/>
      <c r="EC10" s="14"/>
      <c r="ED10" s="14"/>
      <c r="EE10" s="14"/>
      <c r="EF10" s="14"/>
      <c r="EG10" s="14"/>
      <c r="EH10" s="14"/>
      <c r="EI10" s="14"/>
      <c r="EJ10" s="14"/>
      <c r="EK10" s="14"/>
      <c r="EL10" s="14"/>
      <c r="EM10" s="14"/>
      <c r="EN10" s="15" t="s">
        <v>583</v>
      </c>
      <c r="EO10" s="16"/>
      <c r="EP10" s="16"/>
      <c r="EQ10" s="16"/>
      <c r="ER10" s="16"/>
      <c r="ES10" s="16"/>
      <c r="ET10" s="16"/>
      <c r="EU10" s="16"/>
      <c r="EV10" s="13" t="s">
        <v>631</v>
      </c>
      <c r="EW10" s="14"/>
      <c r="EX10" s="14"/>
      <c r="EY10" s="61"/>
      <c r="EZ10" s="62" t="s">
        <v>19</v>
      </c>
      <c r="FA10" s="10"/>
      <c r="FB10" s="14" t="s">
        <v>632</v>
      </c>
      <c r="FC10" s="17"/>
      <c r="FD10" s="17"/>
      <c r="FE10" s="17"/>
      <c r="FF10" s="17"/>
      <c r="FG10" s="17"/>
      <c r="FH10" s="17"/>
      <c r="FI10" s="18"/>
      <c r="FJ10" s="1"/>
      <c r="FK10" s="1"/>
      <c r="FL10" s="1"/>
      <c r="FM10" s="1"/>
      <c r="FN10" s="1"/>
      <c r="FO10" s="1"/>
      <c r="FP10" s="1"/>
      <c r="FQ10" s="1"/>
    </row>
    <row r="11" spans="1:173" ht="78.75" customHeight="1" x14ac:dyDescent="0.3">
      <c r="A11" s="1"/>
      <c r="B11" s="25" t="s">
        <v>20</v>
      </c>
      <c r="C11" s="26" t="s">
        <v>21</v>
      </c>
      <c r="D11" s="27" t="s">
        <v>22</v>
      </c>
      <c r="E11" s="27" t="s">
        <v>23</v>
      </c>
      <c r="F11" s="27" t="s">
        <v>24</v>
      </c>
      <c r="G11" s="27" t="s">
        <v>25</v>
      </c>
      <c r="H11" s="27" t="s">
        <v>26</v>
      </c>
      <c r="I11" s="27" t="s">
        <v>27</v>
      </c>
      <c r="J11" s="121"/>
      <c r="K11" s="27" t="s">
        <v>29</v>
      </c>
      <c r="L11" s="27" t="s">
        <v>30</v>
      </c>
      <c r="M11" s="27" t="s">
        <v>31</v>
      </c>
      <c r="N11" s="27" t="s">
        <v>32</v>
      </c>
      <c r="O11" s="27" t="s">
        <v>33</v>
      </c>
      <c r="P11" s="26" t="s">
        <v>21</v>
      </c>
      <c r="Q11" s="27" t="s">
        <v>22</v>
      </c>
      <c r="R11" s="27" t="s">
        <v>34</v>
      </c>
      <c r="S11" s="27" t="s">
        <v>29</v>
      </c>
      <c r="T11" s="27" t="s">
        <v>30</v>
      </c>
      <c r="U11" s="27" t="s">
        <v>31</v>
      </c>
      <c r="V11" s="27" t="s">
        <v>32</v>
      </c>
      <c r="W11" s="27" t="s">
        <v>22</v>
      </c>
      <c r="X11" s="27" t="s">
        <v>23</v>
      </c>
      <c r="Y11" s="27" t="s">
        <v>35</v>
      </c>
      <c r="Z11" s="27" t="s">
        <v>36</v>
      </c>
      <c r="AA11" s="27" t="s">
        <v>26</v>
      </c>
      <c r="AB11" s="27" t="s">
        <v>27</v>
      </c>
      <c r="AC11" s="27" t="s">
        <v>28</v>
      </c>
      <c r="AD11" s="27" t="s">
        <v>29</v>
      </c>
      <c r="AE11" s="27" t="s">
        <v>30</v>
      </c>
      <c r="AF11" s="27" t="s">
        <v>31</v>
      </c>
      <c r="AG11" s="27" t="s">
        <v>32</v>
      </c>
      <c r="AH11" s="27" t="s">
        <v>37</v>
      </c>
      <c r="AI11" s="27" t="s">
        <v>38</v>
      </c>
      <c r="AJ11" s="27" t="s">
        <v>39</v>
      </c>
      <c r="AK11" s="27" t="s">
        <v>40</v>
      </c>
      <c r="AL11" s="27" t="s">
        <v>41</v>
      </c>
      <c r="AM11" s="27" t="s">
        <v>42</v>
      </c>
      <c r="AN11" s="121" t="s">
        <v>43</v>
      </c>
      <c r="AO11" s="27" t="s">
        <v>44</v>
      </c>
      <c r="AP11" s="27" t="s">
        <v>45</v>
      </c>
      <c r="AQ11" s="27" t="s">
        <v>37</v>
      </c>
      <c r="AR11" s="27" t="s">
        <v>38</v>
      </c>
      <c r="AS11" s="27" t="s">
        <v>39</v>
      </c>
      <c r="AT11" s="27" t="s">
        <v>40</v>
      </c>
      <c r="AU11" s="27" t="s">
        <v>41</v>
      </c>
      <c r="AV11" s="27" t="s">
        <v>42</v>
      </c>
      <c r="AW11" s="121"/>
      <c r="AX11" s="27" t="s">
        <v>44</v>
      </c>
      <c r="AY11" s="27" t="s">
        <v>45</v>
      </c>
      <c r="AZ11" s="27" t="s">
        <v>633</v>
      </c>
      <c r="BA11" s="27" t="s">
        <v>634</v>
      </c>
      <c r="BB11" s="27" t="s">
        <v>635</v>
      </c>
      <c r="BC11" s="27" t="s">
        <v>636</v>
      </c>
      <c r="BD11" s="27" t="s">
        <v>46</v>
      </c>
      <c r="BE11" s="27" t="s">
        <v>47</v>
      </c>
      <c r="BF11" s="27" t="s">
        <v>48</v>
      </c>
      <c r="BG11" s="27" t="s">
        <v>49</v>
      </c>
      <c r="BH11" s="27" t="s">
        <v>50</v>
      </c>
      <c r="BI11" s="27" t="s">
        <v>51</v>
      </c>
      <c r="BJ11" s="27" t="s">
        <v>52</v>
      </c>
      <c r="BK11" s="27" t="s">
        <v>53</v>
      </c>
      <c r="BL11" s="27" t="s">
        <v>54</v>
      </c>
      <c r="BM11" s="27" t="s">
        <v>55</v>
      </c>
      <c r="BN11" s="27" t="s">
        <v>56</v>
      </c>
      <c r="BO11" s="27" t="s">
        <v>57</v>
      </c>
      <c r="BP11" s="27" t="s">
        <v>637</v>
      </c>
      <c r="BQ11" s="27" t="s">
        <v>638</v>
      </c>
      <c r="BR11" s="27" t="s">
        <v>273</v>
      </c>
      <c r="BS11" s="27" t="s">
        <v>584</v>
      </c>
      <c r="BT11" s="27"/>
      <c r="BU11" s="27"/>
      <c r="BV11" s="27"/>
      <c r="BW11" s="27"/>
      <c r="BX11" s="27"/>
      <c r="BY11" s="27"/>
      <c r="BZ11" s="27"/>
      <c r="CA11" s="27"/>
      <c r="CB11" s="27"/>
      <c r="CC11" s="63" t="s">
        <v>68</v>
      </c>
      <c r="CD11" s="63" t="s">
        <v>69</v>
      </c>
      <c r="CE11" s="63" t="s">
        <v>70</v>
      </c>
      <c r="CF11" s="63" t="s">
        <v>71</v>
      </c>
      <c r="CG11" s="63" t="s">
        <v>72</v>
      </c>
      <c r="CH11" s="63" t="s">
        <v>73</v>
      </c>
      <c r="CI11" s="63" t="s">
        <v>74</v>
      </c>
      <c r="CJ11" s="63" t="s">
        <v>75</v>
      </c>
      <c r="CK11" s="27" t="s">
        <v>585</v>
      </c>
      <c r="CL11" s="27" t="s">
        <v>586</v>
      </c>
      <c r="CM11" s="27" t="s">
        <v>587</v>
      </c>
      <c r="CN11" s="27" t="s">
        <v>588</v>
      </c>
      <c r="CO11" s="27" t="s">
        <v>80</v>
      </c>
      <c r="CP11" s="27" t="s">
        <v>81</v>
      </c>
      <c r="CQ11" s="27" t="s">
        <v>82</v>
      </c>
      <c r="CR11" s="27" t="s">
        <v>589</v>
      </c>
      <c r="CS11" s="128" t="s">
        <v>590</v>
      </c>
      <c r="CT11" s="128" t="s">
        <v>591</v>
      </c>
      <c r="CU11" s="128" t="s">
        <v>592</v>
      </c>
      <c r="CV11" s="128" t="s">
        <v>593</v>
      </c>
      <c r="CW11" s="128" t="s">
        <v>88</v>
      </c>
      <c r="CX11" s="128" t="s">
        <v>89</v>
      </c>
      <c r="CY11" s="128" t="s">
        <v>90</v>
      </c>
      <c r="CZ11" s="128" t="s">
        <v>91</v>
      </c>
      <c r="DA11" s="64" t="s">
        <v>92</v>
      </c>
      <c r="DB11" s="64" t="s">
        <v>93</v>
      </c>
      <c r="DC11" s="64" t="s">
        <v>94</v>
      </c>
      <c r="DD11" s="64" t="s">
        <v>95</v>
      </c>
      <c r="DE11" s="64" t="s">
        <v>96</v>
      </c>
      <c r="DF11" s="1"/>
      <c r="DG11" s="1"/>
      <c r="DH11" s="1"/>
      <c r="DI11" s="1"/>
      <c r="DJ11" s="1"/>
      <c r="DK11" s="1"/>
      <c r="DL11" s="1"/>
      <c r="DM11" s="1"/>
      <c r="DN11" s="1"/>
      <c r="DO11" s="1"/>
      <c r="DP11" s="1"/>
      <c r="DQ11" s="1"/>
      <c r="DR11" s="1"/>
      <c r="DS11" s="1"/>
      <c r="DT11" s="1"/>
      <c r="DU11" s="1"/>
      <c r="DV11" s="1"/>
      <c r="DW11" s="1"/>
      <c r="DX11" s="1"/>
      <c r="DY11" s="1"/>
      <c r="DZ11" s="1"/>
      <c r="EA11" s="26" t="s">
        <v>97</v>
      </c>
      <c r="EB11" s="27" t="s">
        <v>98</v>
      </c>
      <c r="EC11" s="27" t="s">
        <v>99</v>
      </c>
      <c r="ED11" s="27" t="s">
        <v>100</v>
      </c>
      <c r="EE11" s="27" t="s">
        <v>101</v>
      </c>
      <c r="EF11" s="27" t="s">
        <v>102</v>
      </c>
      <c r="EG11" s="27" t="s">
        <v>103</v>
      </c>
      <c r="EH11" s="121"/>
      <c r="EI11" s="27" t="s">
        <v>104</v>
      </c>
      <c r="EJ11" s="27" t="s">
        <v>105</v>
      </c>
      <c r="EK11" s="27" t="s">
        <v>106</v>
      </c>
      <c r="EL11" s="27" t="s">
        <v>107</v>
      </c>
      <c r="EM11" s="27" t="s">
        <v>33</v>
      </c>
      <c r="EN11" s="27" t="s">
        <v>97</v>
      </c>
      <c r="EO11" s="27" t="s">
        <v>98</v>
      </c>
      <c r="EP11" s="27" t="s">
        <v>108</v>
      </c>
      <c r="EQ11" s="27" t="s">
        <v>104</v>
      </c>
      <c r="ER11" s="27" t="s">
        <v>105</v>
      </c>
      <c r="ES11" s="27" t="s">
        <v>106</v>
      </c>
      <c r="ET11" s="27" t="s">
        <v>107</v>
      </c>
      <c r="EU11" s="27" t="s">
        <v>594</v>
      </c>
      <c r="EV11" s="64" t="s">
        <v>639</v>
      </c>
      <c r="EW11" s="27" t="s">
        <v>99</v>
      </c>
      <c r="EX11" s="64" t="s">
        <v>110</v>
      </c>
      <c r="EY11" s="64" t="s">
        <v>640</v>
      </c>
      <c r="EZ11" s="64" t="s">
        <v>111</v>
      </c>
      <c r="FA11" s="64" t="s">
        <v>112</v>
      </c>
      <c r="FB11" s="27" t="s">
        <v>641</v>
      </c>
      <c r="FC11" s="27" t="s">
        <v>642</v>
      </c>
      <c r="FD11" s="27" t="s">
        <v>643</v>
      </c>
      <c r="FE11" s="27" t="s">
        <v>644</v>
      </c>
      <c r="FF11" s="27" t="s">
        <v>645</v>
      </c>
      <c r="FG11" s="27" t="s">
        <v>646</v>
      </c>
      <c r="FH11" s="27" t="s">
        <v>647</v>
      </c>
      <c r="FI11" s="27" t="s">
        <v>648</v>
      </c>
      <c r="FJ11" s="1"/>
      <c r="FK11" s="1"/>
      <c r="FL11" s="1"/>
      <c r="FM11" s="1"/>
      <c r="FN11" s="1"/>
      <c r="FO11" s="1"/>
      <c r="FP11" s="1"/>
      <c r="FQ11" s="1"/>
    </row>
    <row r="12" spans="1:173" x14ac:dyDescent="0.3">
      <c r="A12" s="1"/>
      <c r="B12" s="28">
        <v>1</v>
      </c>
      <c r="C12" s="129" cm="1">
        <f t="array" ref="C12:H22">'[2]2. Distributional by deciles o'!$B$82:$G$92</f>
        <v>-157020689.42639995</v>
      </c>
      <c r="D12" s="129">
        <v>-156150238.94399992</v>
      </c>
      <c r="E12" s="129">
        <v>-158594828.11320007</v>
      </c>
      <c r="F12" s="129">
        <v>-156880577.99880004</v>
      </c>
      <c r="G12" s="129">
        <v>-157182226.04280001</v>
      </c>
      <c r="H12" s="129">
        <v>-157255637.05079997</v>
      </c>
      <c r="I12" s="129"/>
      <c r="J12" s="122"/>
      <c r="K12" s="130" t="s">
        <v>113</v>
      </c>
      <c r="L12" s="130" t="s">
        <v>113</v>
      </c>
      <c r="M12" s="130" t="s">
        <v>113</v>
      </c>
      <c r="N12" s="130" t="s">
        <v>113</v>
      </c>
      <c r="O12" s="131">
        <f>C12/C$22*100</f>
        <v>-0.4473443827354564</v>
      </c>
      <c r="P12" s="129" cm="1">
        <f t="array" ref="P12:Q22">'[2]2. Distributional by deciles o'!$B$100:$C$110</f>
        <v>3225788429.1815996</v>
      </c>
      <c r="Q12" s="129">
        <v>3258046791.7211981</v>
      </c>
      <c r="R12" s="131">
        <f t="shared" ref="R12:R21" si="0">(Q12/P12-1)*100</f>
        <v>1.000014825764084</v>
      </c>
      <c r="S12" s="130" t="s">
        <v>113</v>
      </c>
      <c r="T12" s="130" t="s">
        <v>113</v>
      </c>
      <c r="U12" s="130" t="s">
        <v>113</v>
      </c>
      <c r="V12" s="130" t="s">
        <v>113</v>
      </c>
      <c r="W12" s="132">
        <f>IF(D12&lt;&gt;0,((D12-$C12)/ABS($C12)) / ($Q12/$P12-1),0)</f>
        <v>0.55434578760135611</v>
      </c>
      <c r="X12" s="132">
        <f>IF(E12&lt;&gt;0,((E12-$C12)/ABS($C12)) / ($Q12/$P12-1),0)</f>
        <v>-1.0024891338126143</v>
      </c>
      <c r="Y12" s="132">
        <f t="shared" ref="Y12:AA22" si="1">IF(F12&lt;&gt;0,MAX(((F12-$C12)/ABS($C12)) / ($Q12/$P12-1),0),0)</f>
        <v>8.9229865747981946E-2</v>
      </c>
      <c r="Z12" s="132">
        <f t="shared" si="1"/>
        <v>0</v>
      </c>
      <c r="AA12" s="132">
        <f t="shared" si="1"/>
        <v>0</v>
      </c>
      <c r="AB12" s="132">
        <f>IF(I12&lt;&gt;0,MAX(((I12-$C12)/ABS($C12)) / ($Q12/$P12-1),0),AA12)</f>
        <v>0</v>
      </c>
      <c r="AC12" s="132">
        <f>IF(J12&lt;&gt;0,MAX(((J12-$C12)/ABS($C12)) / ($Q12/$P12-1),0),AB12)</f>
        <v>0</v>
      </c>
      <c r="AD12" s="130" t="s">
        <v>113</v>
      </c>
      <c r="AE12" s="130" t="s">
        <v>113</v>
      </c>
      <c r="AF12" s="130" t="s">
        <v>113</v>
      </c>
      <c r="AG12" s="130" t="s">
        <v>113</v>
      </c>
      <c r="AH12" s="133">
        <f t="shared" ref="AH12:AH22" si="2">MIN(W12,1)</f>
        <v>0.55434578760135611</v>
      </c>
      <c r="AI12" s="134">
        <f>IF(W12&gt;1,MAX(W12-SUM(AH12,AJ12:AO12),0),0)</f>
        <v>0</v>
      </c>
      <c r="AJ12" s="134">
        <f t="shared" ref="AJ12:AJ22" si="3">IF(W12&gt;1,MIN($W12-Y12,W12-AH12),0)</f>
        <v>0</v>
      </c>
      <c r="AK12" s="134">
        <f t="shared" ref="AK12:AK20" si="4">IF(W12&gt;1,MAX(MIN(Y12-Z12,W12-AH12-AJ12),0),0)</f>
        <v>0</v>
      </c>
      <c r="AL12" s="134">
        <f>IF(W12&gt;1,MAX(MIN(Z12-AA12,W12-AH12-AJ12-AK12),0),0)</f>
        <v>0</v>
      </c>
      <c r="AM12" s="134">
        <f>IF(I12&lt;&gt;0,IF(W12&gt;1,MAX(MIN(AA12-AB12,W12-AH12-AJ12-AK12-AL12),0),0),0)</f>
        <v>0</v>
      </c>
      <c r="AN12" s="135">
        <f t="shared" ref="AN12:AN13" si="5">IF(J12&lt;&gt;0,IF(W12&gt;1,MAX(MIN(AB12-AC12,W12-AH12-AJ12-AK12-AL12-AM12),0),0),0)</f>
        <v>0</v>
      </c>
      <c r="AO12" s="134">
        <f>IF(W12&gt;1,MAX(0,MIN(W12-AH12-AJ12-AK12-AL12-AM12,W12-AH12-AJ12-AK12-AL12-AM12-X12+1)),0)</f>
        <v>0</v>
      </c>
      <c r="AP12" s="134">
        <f t="shared" ref="AP12:AP22" si="6">AI12+AO12</f>
        <v>0</v>
      </c>
      <c r="AQ12" s="136" t="s">
        <v>113</v>
      </c>
      <c r="AR12" s="137">
        <f t="shared" ref="AR12:AY22" si="7">AI12/($W12-1)*100</f>
        <v>0</v>
      </c>
      <c r="AS12" s="137">
        <f t="shared" si="7"/>
        <v>0</v>
      </c>
      <c r="AT12" s="137">
        <f t="shared" si="7"/>
        <v>0</v>
      </c>
      <c r="AU12" s="137">
        <f t="shared" si="7"/>
        <v>0</v>
      </c>
      <c r="AV12" s="137">
        <f t="shared" si="7"/>
        <v>0</v>
      </c>
      <c r="AW12" s="138">
        <f t="shared" si="7"/>
        <v>0</v>
      </c>
      <c r="AX12" s="137">
        <f t="shared" si="7"/>
        <v>0</v>
      </c>
      <c r="AY12" s="137">
        <f t="shared" si="7"/>
        <v>0</v>
      </c>
      <c r="AZ12" s="139" t="s">
        <v>113</v>
      </c>
      <c r="BA12" s="139" t="s">
        <v>113</v>
      </c>
      <c r="BB12" s="139" t="s">
        <v>113</v>
      </c>
      <c r="BC12" s="139" t="s">
        <v>113</v>
      </c>
      <c r="BD12" s="139" t="s">
        <v>113</v>
      </c>
      <c r="BE12" s="139" t="s">
        <v>113</v>
      </c>
      <c r="BF12" s="139" t="s">
        <v>113</v>
      </c>
      <c r="BG12" s="139" t="s">
        <v>113</v>
      </c>
      <c r="BH12" s="140" cm="1">
        <f t="array" ref="BH12:BH22">'[2]2. Distributional by deciles o'!$B$118:$B$128</f>
        <v>1870473976.3439999</v>
      </c>
      <c r="BI12" s="140" cm="1">
        <f t="array" ref="BI12:BI22">'[2]2. Distributional by deciles o'!$B$136:$B$146</f>
        <v>942204428.35919988</v>
      </c>
      <c r="BJ12" s="140" cm="1">
        <f t="array" ref="BJ12:BJ22">'[2]2. Distributional by deciles o'!$B$154:$B$164</f>
        <v>270713920.40759999</v>
      </c>
      <c r="BK12" s="140" cm="1">
        <f t="array" ref="BK12:BK22">'[2]2. Distributional by deciles o'!$B$172:$B$182</f>
        <v>142395765.36360002</v>
      </c>
      <c r="BL12" s="141">
        <f>BH12/SUM($BH12:$BK12)</f>
        <v>0.579850233146877</v>
      </c>
      <c r="BM12" s="141">
        <f t="shared" ref="BM12:BO12" si="8">BI12/SUM($BH12:$BK12)</f>
        <v>0.29208503532562641</v>
      </c>
      <c r="BN12" s="141">
        <f t="shared" si="8"/>
        <v>8.3921793005252099E-2</v>
      </c>
      <c r="BO12" s="141">
        <f t="shared" si="8"/>
        <v>4.4142938522244539E-2</v>
      </c>
      <c r="BP12" s="139" t="s">
        <v>113</v>
      </c>
      <c r="BQ12" s="139" t="s">
        <v>113</v>
      </c>
      <c r="BR12" s="139" t="s">
        <v>113</v>
      </c>
      <c r="BS12" s="131">
        <f>P12/P$22*100</f>
        <v>1.2309505165171661</v>
      </c>
      <c r="BT12" s="139"/>
      <c r="BU12" s="139"/>
      <c r="BV12" s="139"/>
      <c r="BW12" s="139"/>
      <c r="BX12" s="139"/>
      <c r="BY12" s="139"/>
      <c r="BZ12" s="139"/>
      <c r="CA12" s="139"/>
      <c r="CB12" s="139"/>
      <c r="CC12" s="142" t="s">
        <v>113</v>
      </c>
      <c r="CD12" s="142" t="s">
        <v>113</v>
      </c>
      <c r="CE12" s="142" t="s">
        <v>113</v>
      </c>
      <c r="CF12" s="142" t="s">
        <v>113</v>
      </c>
      <c r="CG12" s="142" t="s">
        <v>113</v>
      </c>
      <c r="CH12" s="142" t="s">
        <v>113</v>
      </c>
      <c r="CI12" s="142" t="s">
        <v>113</v>
      </c>
      <c r="CJ12" s="142"/>
      <c r="CK12" s="139" t="s">
        <v>113</v>
      </c>
      <c r="CL12" s="139" t="s">
        <v>113</v>
      </c>
      <c r="CM12" s="139" t="s">
        <v>113</v>
      </c>
      <c r="CN12" s="139" t="s">
        <v>113</v>
      </c>
      <c r="CO12" s="139" t="s">
        <v>113</v>
      </c>
      <c r="CP12" s="139" t="s">
        <v>113</v>
      </c>
      <c r="CQ12" s="139" t="s">
        <v>113</v>
      </c>
      <c r="CR12" s="139"/>
      <c r="CS12" s="143" t="s">
        <v>113</v>
      </c>
      <c r="CT12" s="143" t="s">
        <v>113</v>
      </c>
      <c r="CU12" s="143" t="s">
        <v>113</v>
      </c>
      <c r="CV12" s="143" t="s">
        <v>113</v>
      </c>
      <c r="CW12" s="143" t="s">
        <v>113</v>
      </c>
      <c r="CX12" s="143" t="s">
        <v>113</v>
      </c>
      <c r="CY12" s="143" t="s">
        <v>113</v>
      </c>
      <c r="CZ12" s="143"/>
      <c r="DA12" s="139" t="s">
        <v>113</v>
      </c>
      <c r="DB12" s="139" t="s">
        <v>113</v>
      </c>
      <c r="DC12" s="139" t="s">
        <v>113</v>
      </c>
      <c r="DD12" s="144">
        <f>(1-DE12)*100</f>
        <v>17.164667748349537</v>
      </c>
      <c r="DE12" s="145" cm="1">
        <f t="array" ref="DE12:DE22">'[2]2. Distributional by deciles o'!$M$10:$M$20</f>
        <v>0.82835332251650462</v>
      </c>
      <c r="DF12" s="1"/>
      <c r="DG12" s="1"/>
      <c r="DH12" s="1"/>
      <c r="DI12" s="1"/>
      <c r="DJ12" s="1"/>
      <c r="DK12" s="1"/>
      <c r="DL12" s="1"/>
      <c r="DM12" s="1"/>
      <c r="DN12" s="1"/>
      <c r="DO12" s="1"/>
      <c r="DP12" s="1"/>
      <c r="DQ12" s="1"/>
      <c r="DR12" s="1"/>
      <c r="DS12" s="1"/>
      <c r="DT12" s="1"/>
      <c r="DU12" s="1"/>
      <c r="DV12" s="1"/>
      <c r="DW12" s="1"/>
      <c r="DX12" s="1"/>
      <c r="DY12" s="1"/>
      <c r="DZ12" s="1"/>
      <c r="EA12" s="146" cm="1">
        <f t="array" ref="EA12:EG22">'[3]2. Distributional by deciles o'!$B$82:$H$92</f>
        <v>-294038166.66480011</v>
      </c>
      <c r="EB12" s="146">
        <v>-293369510.74920005</v>
      </c>
      <c r="EC12" s="146">
        <v>-296928595.99919993</v>
      </c>
      <c r="ED12" s="147">
        <v>-294352762.3824001</v>
      </c>
      <c r="EE12" s="147">
        <v>-295462636.34399992</v>
      </c>
      <c r="EF12" s="147">
        <v>-295536170.31359994</v>
      </c>
      <c r="EG12" s="129">
        <v>-293507916.04320025</v>
      </c>
      <c r="EH12" s="122"/>
      <c r="EI12" s="130" t="s">
        <v>113</v>
      </c>
      <c r="EJ12" s="130" t="s">
        <v>113</v>
      </c>
      <c r="EK12" s="130" t="s">
        <v>113</v>
      </c>
      <c r="EL12" s="130" t="s">
        <v>113</v>
      </c>
      <c r="EM12" s="131">
        <f t="shared" ref="EM12:EM21" si="9">EA12/EA$22*100</f>
        <v>-0.7478453120423495</v>
      </c>
      <c r="EN12" s="146" cm="1">
        <f t="array" ref="EN12:EO22">'[3]2. Distributional by deciles o'!$B$100:$C$110</f>
        <v>3751777116.8843994</v>
      </c>
      <c r="EO12" s="146">
        <v>3789294514.5816002</v>
      </c>
      <c r="EP12" s="131">
        <f t="shared" ref="EP12:EP21" si="10">(EO12/EN12-1)*100</f>
        <v>0.99999004547361992</v>
      </c>
      <c r="EQ12" s="130" t="s">
        <v>113</v>
      </c>
      <c r="ER12" s="130" t="s">
        <v>113</v>
      </c>
      <c r="ES12" s="130" t="s">
        <v>113</v>
      </c>
      <c r="ET12" s="130" t="s">
        <v>113</v>
      </c>
      <c r="EU12" s="196">
        <f>EN12/EN$22*100</f>
        <v>1.2228735999174538</v>
      </c>
      <c r="EV12" s="132">
        <f>((EB12-$EA12)/ABS($EA12)) / ($EO12/$EN12-1)</f>
        <v>0.22740672729793582</v>
      </c>
      <c r="EW12" s="132">
        <f>IF(EC12&lt;&gt;0,((EC12-$EA12)/ABS($EA12)) / ($EO12/$EN12-1),0)</f>
        <v>-0.98302140172040586</v>
      </c>
      <c r="EX12" s="132"/>
      <c r="EY12" s="148">
        <f t="shared" ref="EY12:EY22" si="11">EV12-W12</f>
        <v>-0.32693906030342029</v>
      </c>
      <c r="EZ12" s="144">
        <f>(1-FA12)*100</f>
        <v>15.580745170439513</v>
      </c>
      <c r="FA12" s="145" cm="1">
        <f t="array" ref="FA12:FA22">'[3]2. Distributional by deciles o'!$L$10:$L$20</f>
        <v>0.84419254829560486</v>
      </c>
      <c r="FB12" s="130" t="s">
        <v>113</v>
      </c>
      <c r="FC12" s="130" t="s">
        <v>113</v>
      </c>
      <c r="FD12" s="130" t="s">
        <v>113</v>
      </c>
      <c r="FE12" s="130" t="s">
        <v>113</v>
      </c>
      <c r="FF12" s="130" t="s">
        <v>113</v>
      </c>
      <c r="FG12" s="130" t="s">
        <v>113</v>
      </c>
      <c r="FH12" s="130" t="s">
        <v>113</v>
      </c>
      <c r="FI12" s="130" t="s">
        <v>113</v>
      </c>
      <c r="FJ12" s="1"/>
      <c r="FK12" s="1"/>
      <c r="FL12" s="1"/>
      <c r="FM12" s="1"/>
      <c r="FN12" s="1"/>
      <c r="FO12" s="1"/>
      <c r="FP12" s="1"/>
      <c r="FQ12" s="1"/>
    </row>
    <row r="13" spans="1:173" x14ac:dyDescent="0.3">
      <c r="A13" s="1"/>
      <c r="B13" s="28">
        <v>2</v>
      </c>
      <c r="C13" s="129">
        <v>26423258.423999995</v>
      </c>
      <c r="D13" s="129">
        <v>36796736.848800033</v>
      </c>
      <c r="E13" s="129">
        <v>26681813.81399997</v>
      </c>
      <c r="F13" s="129">
        <v>29820419.902799997</v>
      </c>
      <c r="G13" s="129">
        <v>28947727.582800005</v>
      </c>
      <c r="H13" s="129">
        <v>28621805.043600015</v>
      </c>
      <c r="I13" s="129"/>
      <c r="J13" s="122"/>
      <c r="K13" s="130" t="s">
        <v>113</v>
      </c>
      <c r="L13" s="130" t="s">
        <v>113</v>
      </c>
      <c r="M13" s="130" t="s">
        <v>113</v>
      </c>
      <c r="N13" s="130" t="s">
        <v>113</v>
      </c>
      <c r="O13" s="131">
        <f t="shared" ref="O13:O21" si="12">C13/C$22*100</f>
        <v>7.527859081961448E-2</v>
      </c>
      <c r="P13" s="129">
        <v>10371950238.945591</v>
      </c>
      <c r="Q13" s="129">
        <v>10475669660.404789</v>
      </c>
      <c r="R13" s="131">
        <f t="shared" si="0"/>
        <v>0.99999921971996031</v>
      </c>
      <c r="S13" s="130" t="s">
        <v>113</v>
      </c>
      <c r="T13" s="130" t="s">
        <v>113</v>
      </c>
      <c r="U13" s="130" t="s">
        <v>113</v>
      </c>
      <c r="V13" s="130" t="s">
        <v>113</v>
      </c>
      <c r="W13" s="132">
        <f t="shared" ref="W13:X22" si="13">IF(D13&lt;&gt;0,((D13-$C13)/ABS($C13)) / ($Q13/$P13-1),0)</f>
        <v>39.258922395439207</v>
      </c>
      <c r="X13" s="132">
        <f t="shared" si="13"/>
        <v>0.97851516870795285</v>
      </c>
      <c r="Y13" s="132">
        <f t="shared" si="1"/>
        <v>12.856719163953496</v>
      </c>
      <c r="Z13" s="132">
        <f t="shared" si="1"/>
        <v>9.5539735792066018</v>
      </c>
      <c r="AA13" s="132">
        <f t="shared" si="1"/>
        <v>8.320504230797221</v>
      </c>
      <c r="AB13" s="132">
        <f t="shared" ref="AB13:AC22" si="14">IF(I13&lt;&gt;0,MAX(((I13-$C13)/ABS($C13)) / ($Q13/$P13-1),0),AA13)</f>
        <v>8.320504230797221</v>
      </c>
      <c r="AC13" s="132">
        <f t="shared" si="14"/>
        <v>8.320504230797221</v>
      </c>
      <c r="AD13" s="130" t="s">
        <v>113</v>
      </c>
      <c r="AE13" s="130" t="s">
        <v>113</v>
      </c>
      <c r="AF13" s="130" t="s">
        <v>113</v>
      </c>
      <c r="AG13" s="130" t="s">
        <v>113</v>
      </c>
      <c r="AH13" s="133">
        <f t="shared" si="2"/>
        <v>1</v>
      </c>
      <c r="AI13" s="134">
        <f t="shared" ref="AI13:AI22" si="15">IF(W13&gt;1,MAX(W13-SUM(AH13,AJ13:AO13),0),0)</f>
        <v>0</v>
      </c>
      <c r="AJ13" s="134">
        <f t="shared" si="3"/>
        <v>26.402203231485711</v>
      </c>
      <c r="AK13" s="134">
        <f t="shared" si="4"/>
        <v>3.3027455847468943</v>
      </c>
      <c r="AL13" s="134">
        <f t="shared" ref="AL13:AL22" si="16">IF(W13&gt;1,MAX(MIN(Z13-AA13,W13-AH13-AJ13-AK13),0),0)</f>
        <v>1.2334693484093808</v>
      </c>
      <c r="AM13" s="134">
        <f t="shared" ref="AM13:AM22" si="17">IF(I13&lt;&gt;0,IF(W13&gt;1,MAX(MIN(AA13-AB13,W13-AH13-AJ13-AK13-AL13),0),0),0)</f>
        <v>0</v>
      </c>
      <c r="AN13" s="135">
        <f t="shared" si="5"/>
        <v>0</v>
      </c>
      <c r="AO13" s="134">
        <f t="shared" ref="AO13:AO22" si="18">IF(W13&gt;1,MAX(0,MIN(W13-AH13-AJ13-AK13-AL13-AM13,W13-AH13-AJ13-AK13-AL13-AM13-X13+1)),0)</f>
        <v>7.320504230797221</v>
      </c>
      <c r="AP13" s="134">
        <f t="shared" si="6"/>
        <v>7.320504230797221</v>
      </c>
      <c r="AQ13" s="136" t="s">
        <v>113</v>
      </c>
      <c r="AR13" s="137">
        <f t="shared" si="7"/>
        <v>0</v>
      </c>
      <c r="AS13" s="137">
        <f t="shared" si="7"/>
        <v>69.009270461399836</v>
      </c>
      <c r="AT13" s="137">
        <f t="shared" si="7"/>
        <v>8.6326152906507634</v>
      </c>
      <c r="AU13" s="137">
        <f t="shared" si="7"/>
        <v>3.2240044182645899</v>
      </c>
      <c r="AV13" s="137">
        <f t="shared" si="7"/>
        <v>0</v>
      </c>
      <c r="AW13" s="138">
        <f t="shared" si="7"/>
        <v>0</v>
      </c>
      <c r="AX13" s="137">
        <f t="shared" si="7"/>
        <v>19.134109829684824</v>
      </c>
      <c r="AY13" s="137">
        <f t="shared" si="7"/>
        <v>19.134109829684824</v>
      </c>
      <c r="AZ13" s="139" t="s">
        <v>113</v>
      </c>
      <c r="BA13" s="139" t="s">
        <v>113</v>
      </c>
      <c r="BB13" s="139" t="s">
        <v>113</v>
      </c>
      <c r="BC13" s="139" t="s">
        <v>113</v>
      </c>
      <c r="BD13" s="139" t="s">
        <v>113</v>
      </c>
      <c r="BE13" s="139" t="s">
        <v>113</v>
      </c>
      <c r="BF13" s="139" t="s">
        <v>113</v>
      </c>
      <c r="BG13" s="139" t="s">
        <v>113</v>
      </c>
      <c r="BH13" s="140">
        <v>4295787399.0971966</v>
      </c>
      <c r="BI13" s="140">
        <v>5146349533.2108002</v>
      </c>
      <c r="BJ13" s="140">
        <v>742514439.56400001</v>
      </c>
      <c r="BK13" s="140">
        <v>187300130.82720008</v>
      </c>
      <c r="BL13" s="141">
        <f t="shared" ref="BL13:BL22" si="19">BH13/SUM($BH13:$BK13)</f>
        <v>0.41417349454239749</v>
      </c>
      <c r="BM13" s="141">
        <f t="shared" ref="BM13:BM22" si="20">BI13/SUM($BH13:$BK13)</f>
        <v>0.49617948289398717</v>
      </c>
      <c r="BN13" s="141">
        <f t="shared" ref="BN13:BO22" si="21">BJ13/SUM($BH13:$BK13)</f>
        <v>7.1588691807011259E-2</v>
      </c>
      <c r="BO13" s="141">
        <f t="shared" si="21"/>
        <v>1.8058330756604204E-2</v>
      </c>
      <c r="BP13" s="139" t="s">
        <v>113</v>
      </c>
      <c r="BQ13" s="139" t="s">
        <v>113</v>
      </c>
      <c r="BR13" s="139" t="s">
        <v>113</v>
      </c>
      <c r="BS13" s="131">
        <f t="shared" ref="BS13:BS21" si="22">P13/P$22*100</f>
        <v>3.9579029388358147</v>
      </c>
      <c r="BT13" s="139"/>
      <c r="BU13" s="139"/>
      <c r="BV13" s="139"/>
      <c r="BW13" s="139"/>
      <c r="BX13" s="139"/>
      <c r="BY13" s="139"/>
      <c r="BZ13" s="139"/>
      <c r="CA13" s="139"/>
      <c r="CB13" s="139"/>
      <c r="CC13" s="142" t="s">
        <v>113</v>
      </c>
      <c r="CD13" s="142" t="s">
        <v>113</v>
      </c>
      <c r="CE13" s="142" t="s">
        <v>113</v>
      </c>
      <c r="CF13" s="142" t="s">
        <v>113</v>
      </c>
      <c r="CG13" s="142" t="s">
        <v>113</v>
      </c>
      <c r="CH13" s="142" t="s">
        <v>113</v>
      </c>
      <c r="CI13" s="142" t="s">
        <v>113</v>
      </c>
      <c r="CJ13" s="142"/>
      <c r="CK13" s="139" t="s">
        <v>113</v>
      </c>
      <c r="CL13" s="139" t="s">
        <v>113</v>
      </c>
      <c r="CM13" s="139" t="s">
        <v>113</v>
      </c>
      <c r="CN13" s="139" t="s">
        <v>113</v>
      </c>
      <c r="CO13" s="139" t="s">
        <v>113</v>
      </c>
      <c r="CP13" s="139" t="s">
        <v>113</v>
      </c>
      <c r="CQ13" s="139" t="s">
        <v>113</v>
      </c>
      <c r="CR13" s="139"/>
      <c r="CS13" s="143" t="s">
        <v>113</v>
      </c>
      <c r="CT13" s="143" t="s">
        <v>113</v>
      </c>
      <c r="CU13" s="143" t="s">
        <v>113</v>
      </c>
      <c r="CV13" s="143" t="s">
        <v>113</v>
      </c>
      <c r="CW13" s="143" t="s">
        <v>113</v>
      </c>
      <c r="CX13" s="143" t="s">
        <v>113</v>
      </c>
      <c r="CY13" s="143" t="s">
        <v>113</v>
      </c>
      <c r="CZ13" s="143"/>
      <c r="DA13" s="139" t="s">
        <v>113</v>
      </c>
      <c r="DB13" s="139" t="s">
        <v>113</v>
      </c>
      <c r="DC13" s="139" t="s">
        <v>113</v>
      </c>
      <c r="DD13" s="144">
        <f t="shared" ref="DD13:DD22" si="23">(1-DE13)*100</f>
        <v>14.776200704358677</v>
      </c>
      <c r="DE13" s="145">
        <v>0.85223799295641323</v>
      </c>
      <c r="DF13" s="1"/>
      <c r="DG13" s="1"/>
      <c r="DH13" s="1"/>
      <c r="DI13" s="1"/>
      <c r="DJ13" s="1"/>
      <c r="DK13" s="1"/>
      <c r="DL13" s="1"/>
      <c r="DM13" s="1"/>
      <c r="DN13" s="1"/>
      <c r="DO13" s="1"/>
      <c r="DP13" s="1"/>
      <c r="DQ13" s="1"/>
      <c r="DR13" s="1"/>
      <c r="DS13" s="1"/>
      <c r="DT13" s="1"/>
      <c r="DU13" s="1"/>
      <c r="DV13" s="1"/>
      <c r="DW13" s="1"/>
      <c r="DX13" s="1"/>
      <c r="DY13" s="1"/>
      <c r="DZ13" s="1"/>
      <c r="EA13" s="195">
        <v>-170192101.28520009</v>
      </c>
      <c r="EB13" s="146">
        <v>-157464079.27200004</v>
      </c>
      <c r="EC13" s="146">
        <v>-171878507.69400007</v>
      </c>
      <c r="ED13" s="147">
        <v>-165745779.51839995</v>
      </c>
      <c r="EE13" s="147">
        <v>-166589249.45759997</v>
      </c>
      <c r="EF13" s="147">
        <v>-176139387.12599999</v>
      </c>
      <c r="EG13" s="129">
        <v>-165467401.9884001</v>
      </c>
      <c r="EH13" s="122"/>
      <c r="EI13" s="130" t="s">
        <v>113</v>
      </c>
      <c r="EJ13" s="130" t="s">
        <v>113</v>
      </c>
      <c r="EK13" s="130" t="s">
        <v>113</v>
      </c>
      <c r="EL13" s="130" t="s">
        <v>113</v>
      </c>
      <c r="EM13" s="131">
        <f t="shared" si="9"/>
        <v>-0.43286001452276851</v>
      </c>
      <c r="EN13" s="146">
        <v>12216853305.060007</v>
      </c>
      <c r="EO13" s="146">
        <v>12339022042.9884</v>
      </c>
      <c r="EP13" s="131">
        <f t="shared" si="10"/>
        <v>1.0000016770095099</v>
      </c>
      <c r="EQ13" s="130" t="s">
        <v>113</v>
      </c>
      <c r="ER13" s="130" t="s">
        <v>113</v>
      </c>
      <c r="ES13" s="130" t="s">
        <v>113</v>
      </c>
      <c r="ET13" s="130" t="s">
        <v>113</v>
      </c>
      <c r="EU13" s="196">
        <f t="shared" ref="EU13:EU21" si="24">EN13/EN$22*100</f>
        <v>3.9820242288882479</v>
      </c>
      <c r="EV13" s="132">
        <f t="shared" ref="EV13:EV22" si="25">((EB13-$EA13)/ABS($EA13)) / ($EO13/$EN13-1)</f>
        <v>7.4786083326469326</v>
      </c>
      <c r="EW13" s="132">
        <f t="shared" ref="EW13:EW22" si="26">IF(EC13&lt;&gt;0,((EC13-$EA13)/ABS($EA13)) / ($EO13/$EN13-1),0)</f>
        <v>-0.99088240168040254</v>
      </c>
      <c r="EX13" s="132"/>
      <c r="EY13" s="198">
        <f t="shared" si="11"/>
        <v>-31.780314062792275</v>
      </c>
      <c r="EZ13" s="144">
        <f t="shared" ref="EZ13:EZ22" si="27">(1-FA13)*100</f>
        <v>0.4794052741409538</v>
      </c>
      <c r="FA13" s="197">
        <v>0.99520594725859046</v>
      </c>
      <c r="FB13" s="130" t="s">
        <v>113</v>
      </c>
      <c r="FC13" s="130" t="s">
        <v>113</v>
      </c>
      <c r="FD13" s="130" t="s">
        <v>113</v>
      </c>
      <c r="FE13" s="130" t="s">
        <v>113</v>
      </c>
      <c r="FF13" s="130" t="s">
        <v>113</v>
      </c>
      <c r="FG13" s="130" t="s">
        <v>113</v>
      </c>
      <c r="FH13" s="130" t="s">
        <v>113</v>
      </c>
      <c r="FI13" s="130" t="s">
        <v>113</v>
      </c>
      <c r="FJ13" s="1"/>
      <c r="FK13" s="1"/>
      <c r="FL13" s="1"/>
      <c r="FM13" s="1"/>
      <c r="FN13" s="1"/>
      <c r="FO13" s="1"/>
      <c r="FP13" s="1"/>
      <c r="FQ13" s="1"/>
    </row>
    <row r="14" spans="1:173" x14ac:dyDescent="0.3">
      <c r="A14" s="1"/>
      <c r="B14" s="28">
        <v>3</v>
      </c>
      <c r="C14" s="129">
        <v>533224377.35880035</v>
      </c>
      <c r="D14" s="129">
        <v>558992957.64600062</v>
      </c>
      <c r="E14" s="129">
        <v>538552771.43400002</v>
      </c>
      <c r="F14" s="129">
        <v>544342091.74080014</v>
      </c>
      <c r="G14" s="129">
        <v>541691525.67240036</v>
      </c>
      <c r="H14" s="129">
        <v>540836755.85759997</v>
      </c>
      <c r="I14" s="129"/>
      <c r="J14" s="122"/>
      <c r="K14" s="130" t="s">
        <v>113</v>
      </c>
      <c r="L14" s="130" t="s">
        <v>113</v>
      </c>
      <c r="M14" s="130" t="s">
        <v>113</v>
      </c>
      <c r="N14" s="130" t="s">
        <v>113</v>
      </c>
      <c r="O14" s="131">
        <f t="shared" si="12"/>
        <v>1.5191305733049829</v>
      </c>
      <c r="P14" s="129">
        <v>14137686600.587997</v>
      </c>
      <c r="Q14" s="129">
        <v>14279065563.985195</v>
      </c>
      <c r="R14" s="131">
        <f t="shared" si="0"/>
        <v>1.0000148354633698</v>
      </c>
      <c r="S14" s="130" t="s">
        <v>113</v>
      </c>
      <c r="T14" s="130" t="s">
        <v>113</v>
      </c>
      <c r="U14" s="130" t="s">
        <v>113</v>
      </c>
      <c r="V14" s="130" t="s">
        <v>113</v>
      </c>
      <c r="W14" s="132">
        <f t="shared" si="13"/>
        <v>4.832524374012924</v>
      </c>
      <c r="X14" s="132">
        <f t="shared" si="13"/>
        <v>0.99926320952725234</v>
      </c>
      <c r="Y14" s="132">
        <f t="shared" si="1"/>
        <v>2.0849664644122838</v>
      </c>
      <c r="Z14" s="132">
        <f t="shared" si="1"/>
        <v>1.5878911506886166</v>
      </c>
      <c r="AA14" s="132">
        <f t="shared" si="1"/>
        <v>1.4275914400272129</v>
      </c>
      <c r="AB14" s="132">
        <f t="shared" si="14"/>
        <v>1.4275914400272129</v>
      </c>
      <c r="AC14" s="132">
        <f t="shared" si="14"/>
        <v>1.4275914400272129</v>
      </c>
      <c r="AD14" s="130" t="s">
        <v>113</v>
      </c>
      <c r="AE14" s="130" t="s">
        <v>113</v>
      </c>
      <c r="AF14" s="130" t="s">
        <v>113</v>
      </c>
      <c r="AG14" s="130" t="s">
        <v>113</v>
      </c>
      <c r="AH14" s="133">
        <f t="shared" si="2"/>
        <v>1</v>
      </c>
      <c r="AI14" s="134">
        <f t="shared" si="15"/>
        <v>8.8817841970012523E-16</v>
      </c>
      <c r="AJ14" s="134">
        <f t="shared" si="3"/>
        <v>2.7475579096006402</v>
      </c>
      <c r="AK14" s="134">
        <f t="shared" si="4"/>
        <v>0.4970753137236672</v>
      </c>
      <c r="AL14" s="134">
        <f t="shared" si="16"/>
        <v>0.16029971066140369</v>
      </c>
      <c r="AM14" s="134">
        <f t="shared" si="17"/>
        <v>0</v>
      </c>
      <c r="AN14" s="135">
        <f>IF(J14&lt;&gt;0,IF(W14&gt;1,MAX(MIN(AB14-AC14,W14-AH14-AJ14-AK14-AL14-AM14),0),0),0)</f>
        <v>0</v>
      </c>
      <c r="AO14" s="134">
        <f t="shared" si="18"/>
        <v>0.42759144002721294</v>
      </c>
      <c r="AP14" s="134">
        <f t="shared" si="6"/>
        <v>0.42759144002721383</v>
      </c>
      <c r="AQ14" s="136" t="s">
        <v>113</v>
      </c>
      <c r="AR14" s="137">
        <f t="shared" si="7"/>
        <v>2.3174762454808334E-14</v>
      </c>
      <c r="AS14" s="137">
        <f t="shared" si="7"/>
        <v>71.690552791546963</v>
      </c>
      <c r="AT14" s="137">
        <f t="shared" si="7"/>
        <v>12.96991917635723</v>
      </c>
      <c r="AU14" s="137">
        <f t="shared" si="7"/>
        <v>4.182614251545087</v>
      </c>
      <c r="AV14" s="137">
        <f t="shared" si="7"/>
        <v>0</v>
      </c>
      <c r="AW14" s="138">
        <f t="shared" si="7"/>
        <v>0</v>
      </c>
      <c r="AX14" s="137">
        <f t="shared" si="7"/>
        <v>11.156913780550715</v>
      </c>
      <c r="AY14" s="137">
        <f t="shared" si="7"/>
        <v>11.156913780550738</v>
      </c>
      <c r="AZ14" s="139" t="s">
        <v>113</v>
      </c>
      <c r="BA14" s="139" t="s">
        <v>113</v>
      </c>
      <c r="BB14" s="139" t="s">
        <v>113</v>
      </c>
      <c r="BC14" s="139" t="s">
        <v>113</v>
      </c>
      <c r="BD14" s="139" t="s">
        <v>113</v>
      </c>
      <c r="BE14" s="139" t="s">
        <v>113</v>
      </c>
      <c r="BF14" s="139" t="s">
        <v>113</v>
      </c>
      <c r="BG14" s="139" t="s">
        <v>113</v>
      </c>
      <c r="BH14" s="140">
        <v>8055201553.1351948</v>
      </c>
      <c r="BI14" s="140">
        <v>5117223133.6019993</v>
      </c>
      <c r="BJ14" s="140">
        <v>701430925.50240028</v>
      </c>
      <c r="BK14" s="140">
        <v>263832523.23119998</v>
      </c>
      <c r="BL14" s="141">
        <f t="shared" si="19"/>
        <v>0.56976794762681704</v>
      </c>
      <c r="BM14" s="141">
        <f t="shared" si="20"/>
        <v>0.36195614760825906</v>
      </c>
      <c r="BN14" s="141">
        <f t="shared" si="21"/>
        <v>4.9614259331590659E-2</v>
      </c>
      <c r="BO14" s="141">
        <f t="shared" si="21"/>
        <v>1.8661645433333377E-2</v>
      </c>
      <c r="BP14" s="139" t="s">
        <v>113</v>
      </c>
      <c r="BQ14" s="139" t="s">
        <v>113</v>
      </c>
      <c r="BR14" s="139" t="s">
        <v>113</v>
      </c>
      <c r="BS14" s="131">
        <f t="shared" si="22"/>
        <v>5.3948958542723764</v>
      </c>
      <c r="BT14" s="139"/>
      <c r="BU14" s="139"/>
      <c r="BV14" s="139"/>
      <c r="BW14" s="139"/>
      <c r="BX14" s="139"/>
      <c r="BY14" s="139"/>
      <c r="BZ14" s="139"/>
      <c r="CA14" s="139"/>
      <c r="CB14" s="139"/>
      <c r="CC14" s="142" t="s">
        <v>113</v>
      </c>
      <c r="CD14" s="142" t="s">
        <v>113</v>
      </c>
      <c r="CE14" s="142" t="s">
        <v>113</v>
      </c>
      <c r="CF14" s="142" t="s">
        <v>113</v>
      </c>
      <c r="CG14" s="142" t="s">
        <v>113</v>
      </c>
      <c r="CH14" s="142" t="s">
        <v>113</v>
      </c>
      <c r="CI14" s="142" t="s">
        <v>113</v>
      </c>
      <c r="CJ14" s="142"/>
      <c r="CK14" s="139" t="s">
        <v>113</v>
      </c>
      <c r="CL14" s="139" t="s">
        <v>113</v>
      </c>
      <c r="CM14" s="139" t="s">
        <v>113</v>
      </c>
      <c r="CN14" s="139" t="s">
        <v>113</v>
      </c>
      <c r="CO14" s="139" t="s">
        <v>113</v>
      </c>
      <c r="CP14" s="139" t="s">
        <v>113</v>
      </c>
      <c r="CQ14" s="139" t="s">
        <v>113</v>
      </c>
      <c r="CR14" s="139"/>
      <c r="CS14" s="143" t="s">
        <v>113</v>
      </c>
      <c r="CT14" s="143" t="s">
        <v>113</v>
      </c>
      <c r="CU14" s="143" t="s">
        <v>113</v>
      </c>
      <c r="CV14" s="143" t="s">
        <v>113</v>
      </c>
      <c r="CW14" s="143" t="s">
        <v>113</v>
      </c>
      <c r="CX14" s="143" t="s">
        <v>113</v>
      </c>
      <c r="CY14" s="143" t="s">
        <v>113</v>
      </c>
      <c r="CZ14" s="143"/>
      <c r="DA14" s="139" t="s">
        <v>113</v>
      </c>
      <c r="DB14" s="139" t="s">
        <v>113</v>
      </c>
      <c r="DC14" s="139" t="s">
        <v>113</v>
      </c>
      <c r="DD14" s="144">
        <f t="shared" si="23"/>
        <v>0</v>
      </c>
      <c r="DE14" s="145">
        <v>1</v>
      </c>
      <c r="DF14" s="1"/>
      <c r="DG14" s="1"/>
      <c r="DH14" s="1"/>
      <c r="DI14" s="1"/>
      <c r="DJ14" s="1"/>
      <c r="DK14" s="1"/>
      <c r="DL14" s="1"/>
      <c r="DM14" s="1"/>
      <c r="DN14" s="1"/>
      <c r="DO14" s="1"/>
      <c r="DP14" s="1"/>
      <c r="DQ14" s="1"/>
      <c r="DR14" s="1"/>
      <c r="DS14" s="1"/>
      <c r="DT14" s="1"/>
      <c r="DU14" s="1"/>
      <c r="DV14" s="1"/>
      <c r="DW14" s="1"/>
      <c r="DX14" s="1"/>
      <c r="DY14" s="1"/>
      <c r="DZ14" s="1"/>
      <c r="EA14" s="146">
        <v>413044467.48360026</v>
      </c>
      <c r="EB14" s="146">
        <v>443203891.36440003</v>
      </c>
      <c r="EC14" s="146">
        <v>417135487.17839974</v>
      </c>
      <c r="ED14" s="147">
        <v>427581305.98920023</v>
      </c>
      <c r="EE14" s="147">
        <v>424505563.96080011</v>
      </c>
      <c r="EF14" s="147">
        <v>422170749.62880003</v>
      </c>
      <c r="EG14" s="129">
        <v>428379646.24920011</v>
      </c>
      <c r="EH14" s="122"/>
      <c r="EI14" s="130" t="s">
        <v>113</v>
      </c>
      <c r="EJ14" s="130" t="s">
        <v>113</v>
      </c>
      <c r="EK14" s="130" t="s">
        <v>113</v>
      </c>
      <c r="EL14" s="130" t="s">
        <v>113</v>
      </c>
      <c r="EM14" s="131">
        <f t="shared" si="9"/>
        <v>1.0505213393769175</v>
      </c>
      <c r="EN14" s="146">
        <v>16653157448.375984</v>
      </c>
      <c r="EO14" s="146">
        <v>16819689716.655596</v>
      </c>
      <c r="EP14" s="131">
        <f t="shared" si="10"/>
        <v>1.000004166152002</v>
      </c>
      <c r="EQ14" s="130" t="s">
        <v>113</v>
      </c>
      <c r="ER14" s="130" t="s">
        <v>113</v>
      </c>
      <c r="ES14" s="130" t="s">
        <v>113</v>
      </c>
      <c r="ET14" s="130" t="s">
        <v>113</v>
      </c>
      <c r="EU14" s="196">
        <f t="shared" si="24"/>
        <v>5.4280161012867492</v>
      </c>
      <c r="EV14" s="132">
        <f t="shared" si="25"/>
        <v>7.3017073479567953</v>
      </c>
      <c r="EW14" s="132">
        <f t="shared" si="26"/>
        <v>0.99045090132408775</v>
      </c>
      <c r="EX14" s="132"/>
      <c r="EY14" s="148">
        <f t="shared" si="11"/>
        <v>2.4691829739438713</v>
      </c>
      <c r="EZ14" s="144">
        <f t="shared" si="27"/>
        <v>0</v>
      </c>
      <c r="FA14" s="145">
        <v>1</v>
      </c>
      <c r="FB14" s="130" t="s">
        <v>113</v>
      </c>
      <c r="FC14" s="130" t="s">
        <v>113</v>
      </c>
      <c r="FD14" s="130" t="s">
        <v>113</v>
      </c>
      <c r="FE14" s="130" t="s">
        <v>113</v>
      </c>
      <c r="FF14" s="130" t="s">
        <v>113</v>
      </c>
      <c r="FG14" s="130" t="s">
        <v>113</v>
      </c>
      <c r="FH14" s="130" t="s">
        <v>113</v>
      </c>
      <c r="FI14" s="130" t="s">
        <v>113</v>
      </c>
      <c r="FJ14" s="1"/>
      <c r="FK14" s="1"/>
      <c r="FL14" s="1"/>
      <c r="FM14" s="1"/>
      <c r="FN14" s="1"/>
      <c r="FO14" s="1"/>
      <c r="FP14" s="1"/>
      <c r="FQ14" s="1"/>
    </row>
    <row r="15" spans="1:173" x14ac:dyDescent="0.3">
      <c r="A15" s="1"/>
      <c r="B15" s="28">
        <v>4</v>
      </c>
      <c r="C15" s="129">
        <v>1052793523.0572011</v>
      </c>
      <c r="D15" s="129">
        <v>1089449328.4307997</v>
      </c>
      <c r="E15" s="129">
        <v>1063318306.2456005</v>
      </c>
      <c r="F15" s="129">
        <v>1069456807.6247995</v>
      </c>
      <c r="G15" s="129">
        <v>1066728281.9472002</v>
      </c>
      <c r="H15" s="129">
        <v>1065667382.1155999</v>
      </c>
      <c r="I15" s="129"/>
      <c r="J15" s="122"/>
      <c r="K15" s="130" t="s">
        <v>113</v>
      </c>
      <c r="L15" s="130" t="s">
        <v>113</v>
      </c>
      <c r="M15" s="130" t="s">
        <v>113</v>
      </c>
      <c r="N15" s="130" t="s">
        <v>113</v>
      </c>
      <c r="O15" s="131">
        <f t="shared" si="12"/>
        <v>2.9993580491866521</v>
      </c>
      <c r="P15" s="129">
        <v>17268542592.614403</v>
      </c>
      <c r="Q15" s="129">
        <v>17441226257.442009</v>
      </c>
      <c r="R15" s="131">
        <f t="shared" si="0"/>
        <v>0.99998980169559992</v>
      </c>
      <c r="S15" s="130" t="s">
        <v>113</v>
      </c>
      <c r="T15" s="130" t="s">
        <v>113</v>
      </c>
      <c r="U15" s="130" t="s">
        <v>113</v>
      </c>
      <c r="V15" s="130" t="s">
        <v>113</v>
      </c>
      <c r="W15" s="132">
        <f t="shared" si="13"/>
        <v>3.4818013600640869</v>
      </c>
      <c r="X15" s="132">
        <f t="shared" si="13"/>
        <v>0.99971079741006486</v>
      </c>
      <c r="Y15" s="132">
        <f t="shared" si="1"/>
        <v>1.5827846716031122</v>
      </c>
      <c r="Z15" s="132">
        <f t="shared" si="1"/>
        <v>1.3236119616214734</v>
      </c>
      <c r="AA15" s="132">
        <f t="shared" si="1"/>
        <v>1.222840953075629</v>
      </c>
      <c r="AB15" s="132">
        <f t="shared" si="14"/>
        <v>1.222840953075629</v>
      </c>
      <c r="AC15" s="132">
        <f t="shared" si="14"/>
        <v>1.222840953075629</v>
      </c>
      <c r="AD15" s="130" t="s">
        <v>113</v>
      </c>
      <c r="AE15" s="130" t="s">
        <v>113</v>
      </c>
      <c r="AF15" s="130" t="s">
        <v>113</v>
      </c>
      <c r="AG15" s="130" t="s">
        <v>113</v>
      </c>
      <c r="AH15" s="133">
        <f t="shared" si="2"/>
        <v>1</v>
      </c>
      <c r="AI15" s="134">
        <f t="shared" si="15"/>
        <v>0</v>
      </c>
      <c r="AJ15" s="134">
        <f t="shared" si="3"/>
        <v>1.8990166884609747</v>
      </c>
      <c r="AK15" s="134">
        <f t="shared" si="4"/>
        <v>0.25917270998163877</v>
      </c>
      <c r="AL15" s="134">
        <f t="shared" si="16"/>
        <v>0.10077100854584442</v>
      </c>
      <c r="AM15" s="134">
        <f t="shared" si="17"/>
        <v>0</v>
      </c>
      <c r="AN15" s="135">
        <f t="shared" ref="AN15:AN22" si="28">IF(J15&lt;&gt;0,IF(W15&gt;1,MAX(MIN(AB15-AC15,W15-AH15-AJ15-AK15-AL15-AM15),0),0),0)</f>
        <v>0</v>
      </c>
      <c r="AO15" s="134">
        <f t="shared" si="18"/>
        <v>0.22284095307562901</v>
      </c>
      <c r="AP15" s="134">
        <f t="shared" si="6"/>
        <v>0.22284095307562901</v>
      </c>
      <c r="AQ15" s="136" t="s">
        <v>113</v>
      </c>
      <c r="AR15" s="137">
        <f t="shared" si="7"/>
        <v>0</v>
      </c>
      <c r="AS15" s="137">
        <f t="shared" si="7"/>
        <v>76.517674581818142</v>
      </c>
      <c r="AT15" s="137">
        <f t="shared" si="7"/>
        <v>10.442927228267223</v>
      </c>
      <c r="AU15" s="137">
        <f t="shared" si="7"/>
        <v>4.0603978290688927</v>
      </c>
      <c r="AV15" s="137">
        <f t="shared" si="7"/>
        <v>0</v>
      </c>
      <c r="AW15" s="138">
        <f t="shared" si="7"/>
        <v>0</v>
      </c>
      <c r="AX15" s="137">
        <f t="shared" si="7"/>
        <v>8.9790003608457472</v>
      </c>
      <c r="AY15" s="137">
        <f t="shared" si="7"/>
        <v>8.9790003608457472</v>
      </c>
      <c r="AZ15" s="139" t="s">
        <v>113</v>
      </c>
      <c r="BA15" s="139" t="s">
        <v>113</v>
      </c>
      <c r="BB15" s="139" t="s">
        <v>113</v>
      </c>
      <c r="BC15" s="139" t="s">
        <v>113</v>
      </c>
      <c r="BD15" s="139" t="s">
        <v>113</v>
      </c>
      <c r="BE15" s="139" t="s">
        <v>113</v>
      </c>
      <c r="BF15" s="139" t="s">
        <v>113</v>
      </c>
      <c r="BG15" s="139" t="s">
        <v>113</v>
      </c>
      <c r="BH15" s="140">
        <v>9624971017.9895954</v>
      </c>
      <c r="BI15" s="140">
        <v>6209984427.9947968</v>
      </c>
      <c r="BJ15" s="140">
        <v>1135547653.7855999</v>
      </c>
      <c r="BK15" s="140">
        <v>298039883.85720009</v>
      </c>
      <c r="BL15" s="141">
        <f t="shared" si="19"/>
        <v>0.55737018618856904</v>
      </c>
      <c r="BM15" s="141">
        <f t="shared" si="20"/>
        <v>0.35961252978219777</v>
      </c>
      <c r="BN15" s="141">
        <f t="shared" si="21"/>
        <v>6.5758162391711075E-2</v>
      </c>
      <c r="BO15" s="141">
        <f t="shared" si="21"/>
        <v>1.7259121637522076E-2</v>
      </c>
      <c r="BP15" s="139" t="s">
        <v>113</v>
      </c>
      <c r="BQ15" s="139" t="s">
        <v>113</v>
      </c>
      <c r="BR15" s="139" t="s">
        <v>113</v>
      </c>
      <c r="BS15" s="131">
        <f t="shared" si="22"/>
        <v>6.5896204573064114</v>
      </c>
      <c r="BT15" s="139"/>
      <c r="BU15" s="139"/>
      <c r="BV15" s="139"/>
      <c r="BW15" s="139"/>
      <c r="BX15" s="139"/>
      <c r="BY15" s="139"/>
      <c r="BZ15" s="139"/>
      <c r="CA15" s="139"/>
      <c r="CB15" s="139"/>
      <c r="CC15" s="142" t="s">
        <v>113</v>
      </c>
      <c r="CD15" s="142" t="s">
        <v>113</v>
      </c>
      <c r="CE15" s="142" t="s">
        <v>113</v>
      </c>
      <c r="CF15" s="142" t="s">
        <v>113</v>
      </c>
      <c r="CG15" s="142" t="s">
        <v>113</v>
      </c>
      <c r="CH15" s="142" t="s">
        <v>113</v>
      </c>
      <c r="CI15" s="142" t="s">
        <v>113</v>
      </c>
      <c r="CJ15" s="142"/>
      <c r="CK15" s="139" t="s">
        <v>113</v>
      </c>
      <c r="CL15" s="139" t="s">
        <v>113</v>
      </c>
      <c r="CM15" s="139" t="s">
        <v>113</v>
      </c>
      <c r="CN15" s="139" t="s">
        <v>113</v>
      </c>
      <c r="CO15" s="139" t="s">
        <v>113</v>
      </c>
      <c r="CP15" s="139" t="s">
        <v>113</v>
      </c>
      <c r="CQ15" s="139" t="s">
        <v>113</v>
      </c>
      <c r="CR15" s="139"/>
      <c r="CS15" s="143" t="s">
        <v>113</v>
      </c>
      <c r="CT15" s="143" t="s">
        <v>113</v>
      </c>
      <c r="CU15" s="143" t="s">
        <v>113</v>
      </c>
      <c r="CV15" s="143" t="s">
        <v>113</v>
      </c>
      <c r="CW15" s="143" t="s">
        <v>113</v>
      </c>
      <c r="CX15" s="143" t="s">
        <v>113</v>
      </c>
      <c r="CY15" s="143" t="s">
        <v>113</v>
      </c>
      <c r="CZ15" s="143"/>
      <c r="DA15" s="139" t="s">
        <v>113</v>
      </c>
      <c r="DB15" s="139" t="s">
        <v>113</v>
      </c>
      <c r="DC15" s="139" t="s">
        <v>113</v>
      </c>
      <c r="DD15" s="144">
        <f t="shared" si="23"/>
        <v>0</v>
      </c>
      <c r="DE15" s="145">
        <v>1</v>
      </c>
      <c r="DF15" s="1"/>
      <c r="DG15" s="1"/>
      <c r="DH15" s="1"/>
      <c r="DI15" s="1"/>
      <c r="DJ15" s="1"/>
      <c r="DK15" s="1"/>
      <c r="DL15" s="1"/>
      <c r="DM15" s="1"/>
      <c r="DN15" s="1"/>
      <c r="DO15" s="1"/>
      <c r="DP15" s="1"/>
      <c r="DQ15" s="1"/>
      <c r="DR15" s="1"/>
      <c r="DS15" s="1"/>
      <c r="DT15" s="1"/>
      <c r="DU15" s="1"/>
      <c r="DV15" s="1"/>
      <c r="DW15" s="1"/>
      <c r="DX15" s="1"/>
      <c r="DY15" s="1"/>
      <c r="DZ15" s="1"/>
      <c r="EA15" s="146">
        <v>1015817450.4203994</v>
      </c>
      <c r="EB15" s="146">
        <v>1059161503.9811995</v>
      </c>
      <c r="EC15" s="146">
        <v>1025919729.4703994</v>
      </c>
      <c r="ED15" s="147">
        <v>1037281138.6524003</v>
      </c>
      <c r="EE15" s="147">
        <v>1033683454.9008</v>
      </c>
      <c r="EF15" s="147">
        <v>1031947716.9012003</v>
      </c>
      <c r="EG15" s="129">
        <v>1038900430.7963991</v>
      </c>
      <c r="EH15" s="122"/>
      <c r="EI15" s="130" t="s">
        <v>113</v>
      </c>
      <c r="EJ15" s="130" t="s">
        <v>113</v>
      </c>
      <c r="EK15" s="130" t="s">
        <v>113</v>
      </c>
      <c r="EL15" s="130" t="s">
        <v>113</v>
      </c>
      <c r="EM15" s="131">
        <f t="shared" si="9"/>
        <v>2.5835908542231079</v>
      </c>
      <c r="EN15" s="146">
        <v>20117273412.458408</v>
      </c>
      <c r="EO15" s="146">
        <v>20318445947.073578</v>
      </c>
      <c r="EP15" s="131">
        <f t="shared" si="10"/>
        <v>0.99999900826812649</v>
      </c>
      <c r="EQ15" s="130" t="s">
        <v>113</v>
      </c>
      <c r="ER15" s="130" t="s">
        <v>113</v>
      </c>
      <c r="ES15" s="130" t="s">
        <v>113</v>
      </c>
      <c r="ET15" s="130" t="s">
        <v>113</v>
      </c>
      <c r="EU15" s="196">
        <f t="shared" si="24"/>
        <v>6.5571279401709468</v>
      </c>
      <c r="EV15" s="132">
        <f t="shared" si="25"/>
        <v>4.2669178924406204</v>
      </c>
      <c r="EW15" s="132">
        <f t="shared" si="26"/>
        <v>0.99449847653051748</v>
      </c>
      <c r="EX15" s="132"/>
      <c r="EY15" s="148">
        <f t="shared" si="11"/>
        <v>0.78511653237653345</v>
      </c>
      <c r="EZ15" s="144">
        <f t="shared" si="27"/>
        <v>0.44253135663493426</v>
      </c>
      <c r="FA15" s="145">
        <v>0.99557468643365066</v>
      </c>
      <c r="FB15" s="130" t="s">
        <v>113</v>
      </c>
      <c r="FC15" s="130" t="s">
        <v>113</v>
      </c>
      <c r="FD15" s="130" t="s">
        <v>113</v>
      </c>
      <c r="FE15" s="130" t="s">
        <v>113</v>
      </c>
      <c r="FF15" s="130" t="s">
        <v>113</v>
      </c>
      <c r="FG15" s="130" t="s">
        <v>113</v>
      </c>
      <c r="FH15" s="130" t="s">
        <v>113</v>
      </c>
      <c r="FI15" s="130" t="s">
        <v>113</v>
      </c>
      <c r="FJ15" s="1"/>
      <c r="FK15" s="1"/>
      <c r="FL15" s="1"/>
      <c r="FM15" s="1"/>
      <c r="FN15" s="1"/>
      <c r="FO15" s="1"/>
      <c r="FP15" s="1"/>
      <c r="FQ15" s="1"/>
    </row>
    <row r="16" spans="1:173" x14ac:dyDescent="0.3">
      <c r="A16" s="1"/>
      <c r="B16" s="28">
        <v>5</v>
      </c>
      <c r="C16" s="129">
        <v>1607354110.5036001</v>
      </c>
      <c r="D16" s="129">
        <v>1652337892.7183998</v>
      </c>
      <c r="E16" s="129">
        <v>1623424202.5044</v>
      </c>
      <c r="F16" s="129">
        <v>1629388121.1108012</v>
      </c>
      <c r="G16" s="129">
        <v>1626863266.8372011</v>
      </c>
      <c r="H16" s="129">
        <v>1625611487.3807998</v>
      </c>
      <c r="I16" s="129"/>
      <c r="J16" s="122"/>
      <c r="K16" s="130" t="s">
        <v>113</v>
      </c>
      <c r="L16" s="130" t="s">
        <v>113</v>
      </c>
      <c r="M16" s="130" t="s">
        <v>113</v>
      </c>
      <c r="N16" s="130" t="s">
        <v>113</v>
      </c>
      <c r="O16" s="131">
        <f t="shared" si="12"/>
        <v>4.5792744575711879</v>
      </c>
      <c r="P16" s="129">
        <v>20486801428.033207</v>
      </c>
      <c r="Q16" s="129">
        <v>20691667703.717968</v>
      </c>
      <c r="R16" s="131">
        <f t="shared" si="0"/>
        <v>0.99999151358216576</v>
      </c>
      <c r="S16" s="130" t="s">
        <v>113</v>
      </c>
      <c r="T16" s="130" t="s">
        <v>113</v>
      </c>
      <c r="U16" s="130" t="s">
        <v>113</v>
      </c>
      <c r="V16" s="130" t="s">
        <v>113</v>
      </c>
      <c r="W16" s="132">
        <f t="shared" si="13"/>
        <v>2.798646774550321</v>
      </c>
      <c r="X16" s="132">
        <f t="shared" si="13"/>
        <v>0.99979390194470907</v>
      </c>
      <c r="Y16" s="132">
        <f t="shared" si="1"/>
        <v>1.3708365477539375</v>
      </c>
      <c r="Z16" s="132">
        <f t="shared" si="1"/>
        <v>1.2137538187988843</v>
      </c>
      <c r="AA16" s="132">
        <f t="shared" si="1"/>
        <v>1.135874895204207</v>
      </c>
      <c r="AB16" s="132">
        <f t="shared" si="14"/>
        <v>1.135874895204207</v>
      </c>
      <c r="AC16" s="132">
        <f t="shared" si="14"/>
        <v>1.135874895204207</v>
      </c>
      <c r="AD16" s="130" t="s">
        <v>113</v>
      </c>
      <c r="AE16" s="130" t="s">
        <v>113</v>
      </c>
      <c r="AF16" s="130" t="s">
        <v>113</v>
      </c>
      <c r="AG16" s="130" t="s">
        <v>113</v>
      </c>
      <c r="AH16" s="133">
        <f t="shared" si="2"/>
        <v>1</v>
      </c>
      <c r="AI16" s="134">
        <f t="shared" si="15"/>
        <v>0</v>
      </c>
      <c r="AJ16" s="134">
        <f t="shared" si="3"/>
        <v>1.4278102267963835</v>
      </c>
      <c r="AK16" s="134">
        <f t="shared" si="4"/>
        <v>0.15708272895505315</v>
      </c>
      <c r="AL16" s="134">
        <f t="shared" si="16"/>
        <v>7.7878923594677296E-2</v>
      </c>
      <c r="AM16" s="134">
        <f t="shared" si="17"/>
        <v>0</v>
      </c>
      <c r="AN16" s="135">
        <f t="shared" si="28"/>
        <v>0</v>
      </c>
      <c r="AO16" s="134">
        <f t="shared" si="18"/>
        <v>0.13587489520420704</v>
      </c>
      <c r="AP16" s="134">
        <f t="shared" si="6"/>
        <v>0.13587489520420704</v>
      </c>
      <c r="AQ16" s="136" t="s">
        <v>113</v>
      </c>
      <c r="AR16" s="137">
        <f t="shared" si="7"/>
        <v>0</v>
      </c>
      <c r="AS16" s="137">
        <f t="shared" si="7"/>
        <v>79.382469476440136</v>
      </c>
      <c r="AT16" s="137">
        <f t="shared" si="7"/>
        <v>8.7333839627475136</v>
      </c>
      <c r="AU16" s="137">
        <f t="shared" si="7"/>
        <v>4.3298620216383386</v>
      </c>
      <c r="AV16" s="137">
        <f t="shared" si="7"/>
        <v>0</v>
      </c>
      <c r="AW16" s="138">
        <f t="shared" si="7"/>
        <v>0</v>
      </c>
      <c r="AX16" s="137">
        <f t="shared" si="7"/>
        <v>7.5542845391740165</v>
      </c>
      <c r="AY16" s="137">
        <f t="shared" si="7"/>
        <v>7.5542845391740165</v>
      </c>
      <c r="AZ16" s="139" t="s">
        <v>113</v>
      </c>
      <c r="BA16" s="139" t="s">
        <v>113</v>
      </c>
      <c r="BB16" s="139" t="s">
        <v>113</v>
      </c>
      <c r="BC16" s="139" t="s">
        <v>113</v>
      </c>
      <c r="BD16" s="139" t="s">
        <v>113</v>
      </c>
      <c r="BE16" s="139" t="s">
        <v>113</v>
      </c>
      <c r="BF16" s="139" t="s">
        <v>113</v>
      </c>
      <c r="BG16" s="139" t="s">
        <v>113</v>
      </c>
      <c r="BH16" s="140">
        <v>12203247567.338404</v>
      </c>
      <c r="BI16" s="140">
        <v>6526372172.9952011</v>
      </c>
      <c r="BJ16" s="140">
        <v>1497851333.4312</v>
      </c>
      <c r="BK16" s="140">
        <v>259329002.41559967</v>
      </c>
      <c r="BL16" s="141">
        <f t="shared" si="19"/>
        <v>0.59566391637349358</v>
      </c>
      <c r="BM16" s="141">
        <f t="shared" si="20"/>
        <v>0.31856474162518361</v>
      </c>
      <c r="BN16" s="141">
        <f t="shared" si="21"/>
        <v>7.3112996068757569E-2</v>
      </c>
      <c r="BO16" s="141">
        <f t="shared" si="21"/>
        <v>1.2658345932565448E-2</v>
      </c>
      <c r="BP16" s="139" t="s">
        <v>113</v>
      </c>
      <c r="BQ16" s="139" t="s">
        <v>113</v>
      </c>
      <c r="BR16" s="139" t="s">
        <v>113</v>
      </c>
      <c r="BS16" s="131">
        <f t="shared" si="22"/>
        <v>7.8176977049979985</v>
      </c>
      <c r="BT16" s="139"/>
      <c r="BU16" s="139"/>
      <c r="BV16" s="139"/>
      <c r="BW16" s="139"/>
      <c r="BX16" s="139"/>
      <c r="BY16" s="139"/>
      <c r="BZ16" s="139"/>
      <c r="CA16" s="139"/>
      <c r="CB16" s="139"/>
      <c r="CC16" s="142" t="s">
        <v>113</v>
      </c>
      <c r="CD16" s="142" t="s">
        <v>113</v>
      </c>
      <c r="CE16" s="142" t="s">
        <v>113</v>
      </c>
      <c r="CF16" s="142" t="s">
        <v>113</v>
      </c>
      <c r="CG16" s="142" t="s">
        <v>113</v>
      </c>
      <c r="CH16" s="142" t="s">
        <v>113</v>
      </c>
      <c r="CI16" s="142" t="s">
        <v>113</v>
      </c>
      <c r="CJ16" s="142"/>
      <c r="CK16" s="139" t="s">
        <v>113</v>
      </c>
      <c r="CL16" s="139" t="s">
        <v>113</v>
      </c>
      <c r="CM16" s="139" t="s">
        <v>113</v>
      </c>
      <c r="CN16" s="139" t="s">
        <v>113</v>
      </c>
      <c r="CO16" s="139" t="s">
        <v>113</v>
      </c>
      <c r="CP16" s="139" t="s">
        <v>113</v>
      </c>
      <c r="CQ16" s="139" t="s">
        <v>113</v>
      </c>
      <c r="CR16" s="139"/>
      <c r="CS16" s="143" t="s">
        <v>113</v>
      </c>
      <c r="CT16" s="143" t="s">
        <v>113</v>
      </c>
      <c r="CU16" s="143" t="s">
        <v>113</v>
      </c>
      <c r="CV16" s="143" t="s">
        <v>113</v>
      </c>
      <c r="CW16" s="143" t="s">
        <v>113</v>
      </c>
      <c r="CX16" s="143" t="s">
        <v>113</v>
      </c>
      <c r="CY16" s="143" t="s">
        <v>113</v>
      </c>
      <c r="CZ16" s="143"/>
      <c r="DA16" s="139" t="s">
        <v>113</v>
      </c>
      <c r="DB16" s="139" t="s">
        <v>113</v>
      </c>
      <c r="DC16" s="139" t="s">
        <v>113</v>
      </c>
      <c r="DD16" s="144">
        <f t="shared" si="23"/>
        <v>0</v>
      </c>
      <c r="DE16" s="145">
        <v>1</v>
      </c>
      <c r="DF16" s="1"/>
      <c r="DG16" s="1"/>
      <c r="DH16" s="1"/>
      <c r="DI16" s="1"/>
      <c r="DJ16" s="1"/>
      <c r="DK16" s="1"/>
      <c r="DL16" s="1"/>
      <c r="DM16" s="1"/>
      <c r="DN16" s="1"/>
      <c r="DO16" s="1"/>
      <c r="DP16" s="1"/>
      <c r="DQ16" s="1"/>
      <c r="DR16" s="1"/>
      <c r="DS16" s="1"/>
      <c r="DT16" s="1"/>
      <c r="DU16" s="1"/>
      <c r="DV16" s="1"/>
      <c r="DW16" s="1"/>
      <c r="DX16" s="1"/>
      <c r="DY16" s="1"/>
      <c r="DZ16" s="1"/>
      <c r="EA16" s="146">
        <v>1660539397.3116009</v>
      </c>
      <c r="EB16" s="146">
        <v>1713026529.0492003</v>
      </c>
      <c r="EC16" s="146">
        <v>1677134177.707202</v>
      </c>
      <c r="ED16" s="147">
        <v>1687635486.1800027</v>
      </c>
      <c r="EE16" s="147">
        <v>1684125189.5352025</v>
      </c>
      <c r="EF16" s="147">
        <v>1682773797.6084018</v>
      </c>
      <c r="EG16" s="129">
        <v>1690570518.8124003</v>
      </c>
      <c r="EH16" s="122"/>
      <c r="EI16" s="130" t="s">
        <v>113</v>
      </c>
      <c r="EJ16" s="130" t="s">
        <v>113</v>
      </c>
      <c r="EK16" s="130" t="s">
        <v>113</v>
      </c>
      <c r="EL16" s="130" t="s">
        <v>113</v>
      </c>
      <c r="EM16" s="131">
        <f t="shared" si="9"/>
        <v>4.2233517431659688</v>
      </c>
      <c r="EN16" s="146">
        <v>23902111260.021591</v>
      </c>
      <c r="EO16" s="146">
        <v>24141130114.253983</v>
      </c>
      <c r="EP16" s="131">
        <f t="shared" si="10"/>
        <v>0.99999055159689654</v>
      </c>
      <c r="EQ16" s="130" t="s">
        <v>113</v>
      </c>
      <c r="ER16" s="130" t="s">
        <v>113</v>
      </c>
      <c r="ES16" s="130" t="s">
        <v>113</v>
      </c>
      <c r="ET16" s="130" t="s">
        <v>113</v>
      </c>
      <c r="EU16" s="196">
        <f t="shared" si="24"/>
        <v>7.7907775253032785</v>
      </c>
      <c r="EV16" s="132">
        <f t="shared" si="25"/>
        <v>3.160878190956534</v>
      </c>
      <c r="EW16" s="132">
        <f t="shared" si="26"/>
        <v>0.9993702780026873</v>
      </c>
      <c r="EX16" s="132"/>
      <c r="EY16" s="148">
        <f t="shared" si="11"/>
        <v>0.36223141640621304</v>
      </c>
      <c r="EZ16" s="144">
        <f t="shared" si="27"/>
        <v>0</v>
      </c>
      <c r="FA16" s="145">
        <v>1</v>
      </c>
      <c r="FB16" s="130" t="s">
        <v>113</v>
      </c>
      <c r="FC16" s="130" t="s">
        <v>113</v>
      </c>
      <c r="FD16" s="130" t="s">
        <v>113</v>
      </c>
      <c r="FE16" s="130" t="s">
        <v>113</v>
      </c>
      <c r="FF16" s="130" t="s">
        <v>113</v>
      </c>
      <c r="FG16" s="130" t="s">
        <v>113</v>
      </c>
      <c r="FH16" s="130" t="s">
        <v>113</v>
      </c>
      <c r="FI16" s="130" t="s">
        <v>113</v>
      </c>
      <c r="FJ16" s="1"/>
      <c r="FK16" s="1"/>
      <c r="FL16" s="1"/>
      <c r="FM16" s="1"/>
      <c r="FN16" s="1"/>
      <c r="FO16" s="1"/>
      <c r="FP16" s="1"/>
      <c r="FQ16" s="1"/>
    </row>
    <row r="17" spans="1:173" x14ac:dyDescent="0.3">
      <c r="A17" s="1"/>
      <c r="B17" s="28">
        <v>6</v>
      </c>
      <c r="C17" s="129">
        <v>2298800311.6524019</v>
      </c>
      <c r="D17" s="129">
        <v>2353982432.1155996</v>
      </c>
      <c r="E17" s="129">
        <v>2321785697.5140023</v>
      </c>
      <c r="F17" s="129">
        <v>2327109428.3699989</v>
      </c>
      <c r="G17" s="129">
        <v>2324735831.9580011</v>
      </c>
      <c r="H17" s="129">
        <v>2323221035.9555998</v>
      </c>
      <c r="I17" s="129"/>
      <c r="J17" s="122"/>
      <c r="K17" s="130" t="s">
        <v>113</v>
      </c>
      <c r="L17" s="130" t="s">
        <v>113</v>
      </c>
      <c r="M17" s="130" t="s">
        <v>113</v>
      </c>
      <c r="N17" s="130" t="s">
        <v>113</v>
      </c>
      <c r="O17" s="131">
        <f t="shared" si="12"/>
        <v>6.5491713875720681</v>
      </c>
      <c r="P17" s="129">
        <v>23783687010.391197</v>
      </c>
      <c r="Q17" s="129">
        <v>24021524584.191608</v>
      </c>
      <c r="R17" s="131">
        <f t="shared" si="0"/>
        <v>1.000002958735946</v>
      </c>
      <c r="S17" s="130" t="s">
        <v>113</v>
      </c>
      <c r="T17" s="130" t="s">
        <v>113</v>
      </c>
      <c r="U17" s="130" t="s">
        <v>113</v>
      </c>
      <c r="V17" s="130" t="s">
        <v>113</v>
      </c>
      <c r="W17" s="132">
        <f t="shared" si="13"/>
        <v>2.4004676228137454</v>
      </c>
      <c r="X17" s="132">
        <f t="shared" si="13"/>
        <v>0.99988318853115798</v>
      </c>
      <c r="Y17" s="132">
        <f t="shared" si="1"/>
        <v>1.2314698590890116</v>
      </c>
      <c r="Z17" s="132">
        <f t="shared" si="1"/>
        <v>1.1282164630831888</v>
      </c>
      <c r="AA17" s="132">
        <f t="shared" si="1"/>
        <v>1.0623215911860997</v>
      </c>
      <c r="AB17" s="132">
        <f t="shared" si="14"/>
        <v>1.0623215911860997</v>
      </c>
      <c r="AC17" s="132">
        <f t="shared" si="14"/>
        <v>1.0623215911860997</v>
      </c>
      <c r="AD17" s="130" t="s">
        <v>113</v>
      </c>
      <c r="AE17" s="130" t="s">
        <v>113</v>
      </c>
      <c r="AF17" s="130" t="s">
        <v>113</v>
      </c>
      <c r="AG17" s="130" t="s">
        <v>113</v>
      </c>
      <c r="AH17" s="133">
        <f t="shared" si="2"/>
        <v>1</v>
      </c>
      <c r="AI17" s="134">
        <f t="shared" si="15"/>
        <v>0</v>
      </c>
      <c r="AJ17" s="134">
        <f t="shared" si="3"/>
        <v>1.1689977637247337</v>
      </c>
      <c r="AK17" s="134">
        <f t="shared" si="4"/>
        <v>0.10325339600582284</v>
      </c>
      <c r="AL17" s="134">
        <f t="shared" si="16"/>
        <v>6.5894871897089091E-2</v>
      </c>
      <c r="AM17" s="134">
        <f t="shared" si="17"/>
        <v>0</v>
      </c>
      <c r="AN17" s="135">
        <f t="shared" si="28"/>
        <v>0</v>
      </c>
      <c r="AO17" s="134">
        <f t="shared" si="18"/>
        <v>6.2321591186099701E-2</v>
      </c>
      <c r="AP17" s="134">
        <f t="shared" si="6"/>
        <v>6.2321591186099701E-2</v>
      </c>
      <c r="AQ17" s="136" t="s">
        <v>113</v>
      </c>
      <c r="AR17" s="137">
        <f t="shared" si="7"/>
        <v>0</v>
      </c>
      <c r="AS17" s="137">
        <f t="shared" si="7"/>
        <v>83.471959271435736</v>
      </c>
      <c r="AT17" s="137">
        <f t="shared" si="7"/>
        <v>7.3727799432000847</v>
      </c>
      <c r="AU17" s="137">
        <f t="shared" si="7"/>
        <v>4.7052049489510228</v>
      </c>
      <c r="AV17" s="137">
        <f t="shared" si="7"/>
        <v>0</v>
      </c>
      <c r="AW17" s="138">
        <f t="shared" si="7"/>
        <v>0</v>
      </c>
      <c r="AX17" s="137">
        <f t="shared" si="7"/>
        <v>4.450055836413159</v>
      </c>
      <c r="AY17" s="137">
        <f t="shared" si="7"/>
        <v>4.450055836413159</v>
      </c>
      <c r="AZ17" s="139" t="s">
        <v>113</v>
      </c>
      <c r="BA17" s="139" t="s">
        <v>113</v>
      </c>
      <c r="BB17" s="139" t="s">
        <v>113</v>
      </c>
      <c r="BC17" s="139" t="s">
        <v>113</v>
      </c>
      <c r="BD17" s="139" t="s">
        <v>113</v>
      </c>
      <c r="BE17" s="139" t="s">
        <v>113</v>
      </c>
      <c r="BF17" s="139" t="s">
        <v>113</v>
      </c>
      <c r="BG17" s="139" t="s">
        <v>113</v>
      </c>
      <c r="BH17" s="140">
        <v>15285858253.549206</v>
      </c>
      <c r="BI17" s="140">
        <v>7179909544.1868</v>
      </c>
      <c r="BJ17" s="140">
        <v>1049002933.3908</v>
      </c>
      <c r="BK17" s="140">
        <v>268917767.41439992</v>
      </c>
      <c r="BL17" s="141">
        <f t="shared" si="19"/>
        <v>0.64270343325791446</v>
      </c>
      <c r="BM17" s="141">
        <f t="shared" si="20"/>
        <v>0.30188376982095044</v>
      </c>
      <c r="BN17" s="141">
        <f t="shared" si="21"/>
        <v>4.4105981856226446E-2</v>
      </c>
      <c r="BO17" s="141">
        <f t="shared" si="21"/>
        <v>1.1306815064908634E-2</v>
      </c>
      <c r="BP17" s="139" t="s">
        <v>113</v>
      </c>
      <c r="BQ17" s="139" t="s">
        <v>113</v>
      </c>
      <c r="BR17" s="139" t="s">
        <v>113</v>
      </c>
      <c r="BS17" s="131">
        <f t="shared" si="22"/>
        <v>9.0757786670935765</v>
      </c>
      <c r="BT17" s="139"/>
      <c r="BU17" s="139"/>
      <c r="BV17" s="139"/>
      <c r="BW17" s="139"/>
      <c r="BX17" s="139"/>
      <c r="BY17" s="139"/>
      <c r="BZ17" s="139"/>
      <c r="CA17" s="139"/>
      <c r="CB17" s="139"/>
      <c r="CC17" s="142" t="s">
        <v>113</v>
      </c>
      <c r="CD17" s="142" t="s">
        <v>113</v>
      </c>
      <c r="CE17" s="142" t="s">
        <v>113</v>
      </c>
      <c r="CF17" s="142" t="s">
        <v>113</v>
      </c>
      <c r="CG17" s="142" t="s">
        <v>113</v>
      </c>
      <c r="CH17" s="142" t="s">
        <v>113</v>
      </c>
      <c r="CI17" s="142" t="s">
        <v>113</v>
      </c>
      <c r="CJ17" s="142"/>
      <c r="CK17" s="139" t="s">
        <v>113</v>
      </c>
      <c r="CL17" s="139" t="s">
        <v>113</v>
      </c>
      <c r="CM17" s="139" t="s">
        <v>113</v>
      </c>
      <c r="CN17" s="139" t="s">
        <v>113</v>
      </c>
      <c r="CO17" s="139" t="s">
        <v>113</v>
      </c>
      <c r="CP17" s="139" t="s">
        <v>113</v>
      </c>
      <c r="CQ17" s="139" t="s">
        <v>113</v>
      </c>
      <c r="CR17" s="139"/>
      <c r="CS17" s="143" t="s">
        <v>113</v>
      </c>
      <c r="CT17" s="143" t="s">
        <v>113</v>
      </c>
      <c r="CU17" s="143" t="s">
        <v>113</v>
      </c>
      <c r="CV17" s="143" t="s">
        <v>113</v>
      </c>
      <c r="CW17" s="143" t="s">
        <v>113</v>
      </c>
      <c r="CX17" s="143" t="s">
        <v>113</v>
      </c>
      <c r="CY17" s="143" t="s">
        <v>113</v>
      </c>
      <c r="CZ17" s="143"/>
      <c r="DA17" s="139" t="s">
        <v>113</v>
      </c>
      <c r="DB17" s="139" t="s">
        <v>113</v>
      </c>
      <c r="DC17" s="139" t="s">
        <v>113</v>
      </c>
      <c r="DD17" s="144">
        <f t="shared" si="23"/>
        <v>0</v>
      </c>
      <c r="DE17" s="145">
        <v>1</v>
      </c>
      <c r="DF17" s="1"/>
      <c r="DG17" s="1"/>
      <c r="DH17" s="1"/>
      <c r="DI17" s="1"/>
      <c r="DJ17" s="1"/>
      <c r="DK17" s="1"/>
      <c r="DL17" s="1"/>
      <c r="DM17" s="1"/>
      <c r="DN17" s="1"/>
      <c r="DO17" s="1"/>
      <c r="DP17" s="1"/>
      <c r="DQ17" s="1"/>
      <c r="DR17" s="1"/>
      <c r="DS17" s="1"/>
      <c r="DT17" s="1"/>
      <c r="DU17" s="1"/>
      <c r="DV17" s="1"/>
      <c r="DW17" s="1"/>
      <c r="DX17" s="1"/>
      <c r="DY17" s="1"/>
      <c r="DZ17" s="1"/>
      <c r="EA17" s="146">
        <v>2452915151.948401</v>
      </c>
      <c r="EB17" s="146">
        <v>2516947971.1860008</v>
      </c>
      <c r="EC17" s="146">
        <v>2477414001.2784014</v>
      </c>
      <c r="ED17" s="147">
        <v>2486269566.4200015</v>
      </c>
      <c r="EE17" s="147">
        <v>2483199310.4652019</v>
      </c>
      <c r="EF17" s="147">
        <v>2481587164.2096024</v>
      </c>
      <c r="EG17" s="129">
        <v>2491647441.1344047</v>
      </c>
      <c r="EH17" s="122"/>
      <c r="EI17" s="130" t="s">
        <v>113</v>
      </c>
      <c r="EJ17" s="130" t="s">
        <v>113</v>
      </c>
      <c r="EK17" s="130" t="s">
        <v>113</v>
      </c>
      <c r="EL17" s="130" t="s">
        <v>113</v>
      </c>
      <c r="EM17" s="131">
        <f t="shared" si="9"/>
        <v>6.2386496216780376</v>
      </c>
      <c r="EN17" s="146">
        <v>27869724791.583607</v>
      </c>
      <c r="EO17" s="146">
        <v>28148421359.047241</v>
      </c>
      <c r="EP17" s="131">
        <f t="shared" si="10"/>
        <v>0.99999755845381344</v>
      </c>
      <c r="EQ17" s="130" t="s">
        <v>113</v>
      </c>
      <c r="ER17" s="130" t="s">
        <v>113</v>
      </c>
      <c r="ES17" s="130" t="s">
        <v>113</v>
      </c>
      <c r="ET17" s="130" t="s">
        <v>113</v>
      </c>
      <c r="EU17" s="196">
        <f t="shared" si="24"/>
        <v>9.0840019603549038</v>
      </c>
      <c r="EV17" s="132">
        <f t="shared" si="25"/>
        <v>2.6104847338973167</v>
      </c>
      <c r="EW17" s="132">
        <f t="shared" si="26"/>
        <v>0.99876708437136974</v>
      </c>
      <c r="EX17" s="132"/>
      <c r="EY17" s="148">
        <f t="shared" si="11"/>
        <v>0.21001711108357135</v>
      </c>
      <c r="EZ17" s="144">
        <f t="shared" si="27"/>
        <v>0</v>
      </c>
      <c r="FA17" s="145">
        <v>1</v>
      </c>
      <c r="FB17" s="130" t="s">
        <v>113</v>
      </c>
      <c r="FC17" s="130" t="s">
        <v>113</v>
      </c>
      <c r="FD17" s="130" t="s">
        <v>113</v>
      </c>
      <c r="FE17" s="130" t="s">
        <v>113</v>
      </c>
      <c r="FF17" s="130" t="s">
        <v>113</v>
      </c>
      <c r="FG17" s="130" t="s">
        <v>113</v>
      </c>
      <c r="FH17" s="130" t="s">
        <v>113</v>
      </c>
      <c r="FI17" s="130" t="s">
        <v>113</v>
      </c>
      <c r="FJ17" s="1"/>
      <c r="FK17" s="1"/>
      <c r="FL17" s="1"/>
      <c r="FM17" s="1"/>
      <c r="FN17" s="1"/>
      <c r="FO17" s="1"/>
      <c r="FP17" s="1"/>
      <c r="FQ17" s="1"/>
    </row>
    <row r="18" spans="1:173" x14ac:dyDescent="0.3">
      <c r="A18" s="1"/>
      <c r="B18" s="28">
        <v>7</v>
      </c>
      <c r="C18" s="129">
        <v>3100813048.0092034</v>
      </c>
      <c r="D18" s="129">
        <v>3167752240.1819963</v>
      </c>
      <c r="E18" s="129">
        <v>3131818879.7975965</v>
      </c>
      <c r="F18" s="129">
        <v>3136855239.9456015</v>
      </c>
      <c r="G18" s="129">
        <v>3134910132.4812021</v>
      </c>
      <c r="H18" s="129">
        <v>3133267380.5940022</v>
      </c>
      <c r="I18" s="129"/>
      <c r="J18" s="122"/>
      <c r="K18" s="130" t="s">
        <v>113</v>
      </c>
      <c r="L18" s="130" t="s">
        <v>113</v>
      </c>
      <c r="M18" s="130" t="s">
        <v>113</v>
      </c>
      <c r="N18" s="130" t="s">
        <v>113</v>
      </c>
      <c r="O18" s="131">
        <f t="shared" si="12"/>
        <v>8.8340670519722444</v>
      </c>
      <c r="P18" s="129">
        <v>28139029269.190804</v>
      </c>
      <c r="Q18" s="129">
        <v>28420420306.471199</v>
      </c>
      <c r="R18" s="131">
        <f t="shared" si="0"/>
        <v>1.000002646105802</v>
      </c>
      <c r="S18" s="130" t="s">
        <v>113</v>
      </c>
      <c r="T18" s="130" t="s">
        <v>113</v>
      </c>
      <c r="U18" s="130" t="s">
        <v>113</v>
      </c>
      <c r="V18" s="130" t="s">
        <v>113</v>
      </c>
      <c r="W18" s="132">
        <f t="shared" si="13"/>
        <v>2.1587568811364899</v>
      </c>
      <c r="X18" s="132">
        <f t="shared" si="13"/>
        <v>0.99992322219506791</v>
      </c>
      <c r="Y18" s="132">
        <f t="shared" si="1"/>
        <v>1.1623434243588817</v>
      </c>
      <c r="Z18" s="132">
        <f t="shared" si="1"/>
        <v>1.0996146404129548</v>
      </c>
      <c r="AA18" s="132">
        <f t="shared" si="1"/>
        <v>1.0466366789918118</v>
      </c>
      <c r="AB18" s="132">
        <f t="shared" si="14"/>
        <v>1.0466366789918118</v>
      </c>
      <c r="AC18" s="132">
        <f t="shared" si="14"/>
        <v>1.0466366789918118</v>
      </c>
      <c r="AD18" s="130" t="s">
        <v>113</v>
      </c>
      <c r="AE18" s="130" t="s">
        <v>113</v>
      </c>
      <c r="AF18" s="130" t="s">
        <v>113</v>
      </c>
      <c r="AG18" s="130" t="s">
        <v>113</v>
      </c>
      <c r="AH18" s="133">
        <f t="shared" si="2"/>
        <v>1</v>
      </c>
      <c r="AI18" s="134">
        <f t="shared" si="15"/>
        <v>4.4408920985006262E-16</v>
      </c>
      <c r="AJ18" s="134">
        <f t="shared" si="3"/>
        <v>0.99641345677760818</v>
      </c>
      <c r="AK18" s="134">
        <f t="shared" si="4"/>
        <v>6.2728783945926958E-2</v>
      </c>
      <c r="AL18" s="134">
        <f t="shared" si="16"/>
        <v>5.2977961421142972E-2</v>
      </c>
      <c r="AM18" s="134">
        <f t="shared" si="17"/>
        <v>0</v>
      </c>
      <c r="AN18" s="135">
        <f t="shared" si="28"/>
        <v>0</v>
      </c>
      <c r="AO18" s="134">
        <f t="shared" si="18"/>
        <v>4.6636678991811786E-2</v>
      </c>
      <c r="AP18" s="134">
        <f t="shared" si="6"/>
        <v>4.663667899181223E-2</v>
      </c>
      <c r="AQ18" s="136" t="s">
        <v>113</v>
      </c>
      <c r="AR18" s="137">
        <f t="shared" si="7"/>
        <v>3.8324623316541352E-14</v>
      </c>
      <c r="AS18" s="137">
        <f t="shared" si="7"/>
        <v>85.98986318858725</v>
      </c>
      <c r="AT18" s="137">
        <f t="shared" si="7"/>
        <v>5.413455140340016</v>
      </c>
      <c r="AU18" s="137">
        <f t="shared" si="7"/>
        <v>4.5719652054349007</v>
      </c>
      <c r="AV18" s="137">
        <f t="shared" si="7"/>
        <v>0</v>
      </c>
      <c r="AW18" s="138">
        <f t="shared" si="7"/>
        <v>0</v>
      </c>
      <c r="AX18" s="137">
        <f t="shared" si="7"/>
        <v>4.0247164656378382</v>
      </c>
      <c r="AY18" s="137">
        <f t="shared" si="7"/>
        <v>4.0247164656378764</v>
      </c>
      <c r="AZ18" s="139" t="s">
        <v>113</v>
      </c>
      <c r="BA18" s="139" t="s">
        <v>113</v>
      </c>
      <c r="BB18" s="139" t="s">
        <v>113</v>
      </c>
      <c r="BC18" s="139" t="s">
        <v>113</v>
      </c>
      <c r="BD18" s="139" t="s">
        <v>113</v>
      </c>
      <c r="BE18" s="139" t="s">
        <v>113</v>
      </c>
      <c r="BF18" s="139" t="s">
        <v>113</v>
      </c>
      <c r="BG18" s="139" t="s">
        <v>113</v>
      </c>
      <c r="BH18" s="140">
        <v>18210681717.676773</v>
      </c>
      <c r="BI18" s="140">
        <v>7827454309.8959999</v>
      </c>
      <c r="BJ18" s="140">
        <v>1722736011.6623998</v>
      </c>
      <c r="BK18" s="140">
        <v>378160606.75199962</v>
      </c>
      <c r="BL18" s="141">
        <f t="shared" si="19"/>
        <v>0.64716800846647971</v>
      </c>
      <c r="BM18" s="141">
        <f t="shared" si="20"/>
        <v>0.27817069649735282</v>
      </c>
      <c r="BN18" s="141">
        <f t="shared" si="21"/>
        <v>6.1222289811305022E-2</v>
      </c>
      <c r="BO18" s="141">
        <f t="shared" si="21"/>
        <v>1.3439005224862556E-2</v>
      </c>
      <c r="BP18" s="139" t="s">
        <v>113</v>
      </c>
      <c r="BQ18" s="139" t="s">
        <v>113</v>
      </c>
      <c r="BR18" s="139" t="s">
        <v>113</v>
      </c>
      <c r="BS18" s="131">
        <f t="shared" si="22"/>
        <v>10.737763301479095</v>
      </c>
      <c r="BT18" s="139"/>
      <c r="BU18" s="139"/>
      <c r="BV18" s="139"/>
      <c r="BW18" s="139"/>
      <c r="BX18" s="139"/>
      <c r="BY18" s="139"/>
      <c r="BZ18" s="139"/>
      <c r="CA18" s="139"/>
      <c r="CB18" s="139"/>
      <c r="CC18" s="142" t="s">
        <v>113</v>
      </c>
      <c r="CD18" s="142" t="s">
        <v>113</v>
      </c>
      <c r="CE18" s="142" t="s">
        <v>113</v>
      </c>
      <c r="CF18" s="142" t="s">
        <v>113</v>
      </c>
      <c r="CG18" s="142" t="s">
        <v>113</v>
      </c>
      <c r="CH18" s="142" t="s">
        <v>113</v>
      </c>
      <c r="CI18" s="142" t="s">
        <v>113</v>
      </c>
      <c r="CJ18" s="142"/>
      <c r="CK18" s="139" t="s">
        <v>113</v>
      </c>
      <c r="CL18" s="139" t="s">
        <v>113</v>
      </c>
      <c r="CM18" s="139" t="s">
        <v>113</v>
      </c>
      <c r="CN18" s="139" t="s">
        <v>113</v>
      </c>
      <c r="CO18" s="139" t="s">
        <v>113</v>
      </c>
      <c r="CP18" s="139" t="s">
        <v>113</v>
      </c>
      <c r="CQ18" s="139" t="s">
        <v>113</v>
      </c>
      <c r="CR18" s="139"/>
      <c r="CS18" s="143" t="s">
        <v>113</v>
      </c>
      <c r="CT18" s="143" t="s">
        <v>113</v>
      </c>
      <c r="CU18" s="143" t="s">
        <v>113</v>
      </c>
      <c r="CV18" s="143" t="s">
        <v>113</v>
      </c>
      <c r="CW18" s="143" t="s">
        <v>113</v>
      </c>
      <c r="CX18" s="143" t="s">
        <v>113</v>
      </c>
      <c r="CY18" s="143" t="s">
        <v>113</v>
      </c>
      <c r="CZ18" s="143"/>
      <c r="DA18" s="139" t="s">
        <v>113</v>
      </c>
      <c r="DB18" s="139" t="s">
        <v>113</v>
      </c>
      <c r="DC18" s="139" t="s">
        <v>113</v>
      </c>
      <c r="DD18" s="144">
        <f t="shared" si="23"/>
        <v>0</v>
      </c>
      <c r="DE18" s="145">
        <v>1</v>
      </c>
      <c r="DF18" s="1"/>
      <c r="DG18" s="1"/>
      <c r="DH18" s="1"/>
      <c r="DI18" s="1"/>
      <c r="DJ18" s="1"/>
      <c r="DK18" s="1"/>
      <c r="DL18" s="1"/>
      <c r="DM18" s="1"/>
      <c r="DN18" s="1"/>
      <c r="DO18" s="1"/>
      <c r="DP18" s="1"/>
      <c r="DQ18" s="1"/>
      <c r="DR18" s="1"/>
      <c r="DS18" s="1"/>
      <c r="DT18" s="1"/>
      <c r="DU18" s="1"/>
      <c r="DV18" s="1"/>
      <c r="DW18" s="1"/>
      <c r="DX18" s="1"/>
      <c r="DY18" s="1"/>
      <c r="DZ18" s="1"/>
      <c r="EA18" s="146">
        <v>3345147438.2015991</v>
      </c>
      <c r="EB18" s="146">
        <v>3423843525.8160024</v>
      </c>
      <c r="EC18" s="146">
        <v>3378544853.686801</v>
      </c>
      <c r="ED18" s="147">
        <v>3387263040.7884007</v>
      </c>
      <c r="EE18" s="147">
        <v>3384558169.5659995</v>
      </c>
      <c r="EF18" s="147">
        <v>3382706583.4536028</v>
      </c>
      <c r="EG18" s="129">
        <v>3397086309.490799</v>
      </c>
      <c r="EH18" s="122"/>
      <c r="EI18" s="130" t="s">
        <v>113</v>
      </c>
      <c r="EJ18" s="130" t="s">
        <v>113</v>
      </c>
      <c r="EK18" s="130" t="s">
        <v>113</v>
      </c>
      <c r="EL18" s="130" t="s">
        <v>113</v>
      </c>
      <c r="EM18" s="131">
        <f t="shared" si="9"/>
        <v>8.5079187444444724</v>
      </c>
      <c r="EN18" s="146">
        <v>32873385233.864388</v>
      </c>
      <c r="EO18" s="146">
        <v>33202118426.792366</v>
      </c>
      <c r="EP18" s="131">
        <f t="shared" si="10"/>
        <v>0.99999799408956314</v>
      </c>
      <c r="EQ18" s="130" t="s">
        <v>113</v>
      </c>
      <c r="ER18" s="130" t="s">
        <v>113</v>
      </c>
      <c r="ES18" s="130" t="s">
        <v>113</v>
      </c>
      <c r="ET18" s="130" t="s">
        <v>113</v>
      </c>
      <c r="EU18" s="196">
        <f t="shared" si="24"/>
        <v>10.714920873495926</v>
      </c>
      <c r="EV18" s="132">
        <f t="shared" si="25"/>
        <v>2.3525493846194014</v>
      </c>
      <c r="EW18" s="132">
        <f t="shared" si="26"/>
        <v>0.99838596338568208</v>
      </c>
      <c r="EX18" s="132"/>
      <c r="EY18" s="148">
        <f t="shared" si="11"/>
        <v>0.19379250348291155</v>
      </c>
      <c r="EZ18" s="144">
        <f t="shared" si="27"/>
        <v>0</v>
      </c>
      <c r="FA18" s="145">
        <v>1</v>
      </c>
      <c r="FB18" s="130" t="s">
        <v>113</v>
      </c>
      <c r="FC18" s="130" t="s">
        <v>113</v>
      </c>
      <c r="FD18" s="130" t="s">
        <v>113</v>
      </c>
      <c r="FE18" s="130" t="s">
        <v>113</v>
      </c>
      <c r="FF18" s="130" t="s">
        <v>113</v>
      </c>
      <c r="FG18" s="130" t="s">
        <v>113</v>
      </c>
      <c r="FH18" s="130" t="s">
        <v>113</v>
      </c>
      <c r="FI18" s="130" t="s">
        <v>113</v>
      </c>
      <c r="FJ18" s="1"/>
      <c r="FK18" s="1"/>
      <c r="FL18" s="1"/>
      <c r="FM18" s="1"/>
      <c r="FN18" s="1"/>
      <c r="FO18" s="1"/>
      <c r="FP18" s="1"/>
      <c r="FQ18" s="1"/>
    </row>
    <row r="19" spans="1:173" x14ac:dyDescent="0.3">
      <c r="A19" s="1"/>
      <c r="B19" s="28">
        <v>8</v>
      </c>
      <c r="C19" s="129">
        <v>4101148714.0907993</v>
      </c>
      <c r="D19" s="129">
        <v>4183343616.3527999</v>
      </c>
      <c r="E19" s="129">
        <v>4142157256.4855995</v>
      </c>
      <c r="F19" s="129">
        <v>4147393719.2196035</v>
      </c>
      <c r="G19" s="129">
        <v>4145488887.8760033</v>
      </c>
      <c r="H19" s="129">
        <v>4143421053.1380014</v>
      </c>
      <c r="I19" s="129"/>
      <c r="J19" s="122"/>
      <c r="K19" s="130" t="s">
        <v>113</v>
      </c>
      <c r="L19" s="130" t="s">
        <v>113</v>
      </c>
      <c r="M19" s="130" t="s">
        <v>113</v>
      </c>
      <c r="N19" s="130" t="s">
        <v>113</v>
      </c>
      <c r="O19" s="131">
        <f t="shared" si="12"/>
        <v>11.683975192779934</v>
      </c>
      <c r="P19" s="129">
        <v>33005545716.703194</v>
      </c>
      <c r="Q19" s="129">
        <v>33335600943.068378</v>
      </c>
      <c r="R19" s="131">
        <f t="shared" si="0"/>
        <v>0.99999930071796861</v>
      </c>
      <c r="S19" s="130" t="s">
        <v>113</v>
      </c>
      <c r="T19" s="130" t="s">
        <v>113</v>
      </c>
      <c r="U19" s="130" t="s">
        <v>113</v>
      </c>
      <c r="V19" s="130" t="s">
        <v>113</v>
      </c>
      <c r="W19" s="132">
        <f t="shared" si="13"/>
        <v>2.0041935923233427</v>
      </c>
      <c r="X19" s="132">
        <f t="shared" si="13"/>
        <v>0.99992889627384385</v>
      </c>
      <c r="Y19" s="132">
        <f t="shared" si="1"/>
        <v>1.1276118153979258</v>
      </c>
      <c r="Z19" s="132">
        <f t="shared" si="1"/>
        <v>1.0811654949055505</v>
      </c>
      <c r="AA19" s="132">
        <f t="shared" si="1"/>
        <v>1.0307445926618011</v>
      </c>
      <c r="AB19" s="132">
        <f t="shared" si="14"/>
        <v>1.0307445926618011</v>
      </c>
      <c r="AC19" s="132">
        <f t="shared" si="14"/>
        <v>1.0307445926618011</v>
      </c>
      <c r="AD19" s="130" t="s">
        <v>113</v>
      </c>
      <c r="AE19" s="130" t="s">
        <v>113</v>
      </c>
      <c r="AF19" s="130" t="s">
        <v>113</v>
      </c>
      <c r="AG19" s="130" t="s">
        <v>113</v>
      </c>
      <c r="AH19" s="133">
        <f t="shared" si="2"/>
        <v>1</v>
      </c>
      <c r="AI19" s="134">
        <f t="shared" si="15"/>
        <v>0</v>
      </c>
      <c r="AJ19" s="134">
        <f t="shared" si="3"/>
        <v>0.87658177692541694</v>
      </c>
      <c r="AK19" s="134">
        <f t="shared" si="4"/>
        <v>4.6446320492375293E-2</v>
      </c>
      <c r="AL19" s="134">
        <f t="shared" si="16"/>
        <v>5.0420902243749399E-2</v>
      </c>
      <c r="AM19" s="134">
        <f t="shared" si="17"/>
        <v>0</v>
      </c>
      <c r="AN19" s="135">
        <f t="shared" si="28"/>
        <v>0</v>
      </c>
      <c r="AO19" s="134">
        <f t="shared" si="18"/>
        <v>3.0744592661801073E-2</v>
      </c>
      <c r="AP19" s="134">
        <f t="shared" si="6"/>
        <v>3.0744592661801073E-2</v>
      </c>
      <c r="AQ19" s="136" t="s">
        <v>113</v>
      </c>
      <c r="AR19" s="137">
        <f t="shared" si="7"/>
        <v>0</v>
      </c>
      <c r="AS19" s="137">
        <f t="shared" si="7"/>
        <v>87.292110169446715</v>
      </c>
      <c r="AT19" s="137">
        <f t="shared" si="7"/>
        <v>4.6252356963277581</v>
      </c>
      <c r="AU19" s="137">
        <f t="shared" si="7"/>
        <v>5.0210340545087098</v>
      </c>
      <c r="AV19" s="137">
        <f t="shared" si="7"/>
        <v>0</v>
      </c>
      <c r="AW19" s="138">
        <f t="shared" si="7"/>
        <v>0</v>
      </c>
      <c r="AX19" s="137">
        <f t="shared" si="7"/>
        <v>3.0616200797168149</v>
      </c>
      <c r="AY19" s="137">
        <f t="shared" si="7"/>
        <v>3.0616200797168149</v>
      </c>
      <c r="AZ19" s="139" t="s">
        <v>113</v>
      </c>
      <c r="BA19" s="139" t="s">
        <v>113</v>
      </c>
      <c r="BB19" s="139" t="s">
        <v>113</v>
      </c>
      <c r="BC19" s="139" t="s">
        <v>113</v>
      </c>
      <c r="BD19" s="139" t="s">
        <v>113</v>
      </c>
      <c r="BE19" s="139" t="s">
        <v>113</v>
      </c>
      <c r="BF19" s="139" t="s">
        <v>113</v>
      </c>
      <c r="BG19" s="139" t="s">
        <v>113</v>
      </c>
      <c r="BH19" s="140">
        <v>24600139842.098381</v>
      </c>
      <c r="BI19" s="140">
        <v>6477785677.3044033</v>
      </c>
      <c r="BJ19" s="140">
        <v>1537907348.4875998</v>
      </c>
      <c r="BK19" s="140">
        <v>389712716.28480011</v>
      </c>
      <c r="BL19" s="141">
        <f t="shared" si="19"/>
        <v>0.74533353128066893</v>
      </c>
      <c r="BM19" s="141">
        <f t="shared" si="20"/>
        <v>0.19626355397713036</v>
      </c>
      <c r="BN19" s="141">
        <f t="shared" si="21"/>
        <v>4.6595422716628677E-2</v>
      </c>
      <c r="BO19" s="141">
        <f t="shared" si="21"/>
        <v>1.1807492025571954E-2</v>
      </c>
      <c r="BP19" s="139" t="s">
        <v>113</v>
      </c>
      <c r="BQ19" s="139" t="s">
        <v>113</v>
      </c>
      <c r="BR19" s="139" t="s">
        <v>113</v>
      </c>
      <c r="BS19" s="131">
        <f t="shared" si="22"/>
        <v>12.594810366473519</v>
      </c>
      <c r="BT19" s="139"/>
      <c r="BU19" s="139"/>
      <c r="BV19" s="139"/>
      <c r="BW19" s="139"/>
      <c r="BX19" s="139"/>
      <c r="BY19" s="139"/>
      <c r="BZ19" s="139"/>
      <c r="CA19" s="139"/>
      <c r="CB19" s="139"/>
      <c r="CC19" s="142" t="s">
        <v>113</v>
      </c>
      <c r="CD19" s="142" t="s">
        <v>113</v>
      </c>
      <c r="CE19" s="142" t="s">
        <v>113</v>
      </c>
      <c r="CF19" s="142" t="s">
        <v>113</v>
      </c>
      <c r="CG19" s="142" t="s">
        <v>113</v>
      </c>
      <c r="CH19" s="142" t="s">
        <v>113</v>
      </c>
      <c r="CI19" s="142" t="s">
        <v>113</v>
      </c>
      <c r="CJ19" s="142"/>
      <c r="CK19" s="139" t="s">
        <v>113</v>
      </c>
      <c r="CL19" s="139" t="s">
        <v>113</v>
      </c>
      <c r="CM19" s="139" t="s">
        <v>113</v>
      </c>
      <c r="CN19" s="139" t="s">
        <v>113</v>
      </c>
      <c r="CO19" s="139" t="s">
        <v>113</v>
      </c>
      <c r="CP19" s="139" t="s">
        <v>113</v>
      </c>
      <c r="CQ19" s="139" t="s">
        <v>113</v>
      </c>
      <c r="CR19" s="139"/>
      <c r="CS19" s="143" t="s">
        <v>113</v>
      </c>
      <c r="CT19" s="143" t="s">
        <v>113</v>
      </c>
      <c r="CU19" s="143" t="s">
        <v>113</v>
      </c>
      <c r="CV19" s="143" t="s">
        <v>113</v>
      </c>
      <c r="CW19" s="143" t="s">
        <v>113</v>
      </c>
      <c r="CX19" s="143" t="s">
        <v>113</v>
      </c>
      <c r="CY19" s="143" t="s">
        <v>113</v>
      </c>
      <c r="CZ19" s="143"/>
      <c r="DA19" s="139" t="s">
        <v>113</v>
      </c>
      <c r="DB19" s="139" t="s">
        <v>113</v>
      </c>
      <c r="DC19" s="139" t="s">
        <v>113</v>
      </c>
      <c r="DD19" s="144">
        <f t="shared" si="23"/>
        <v>0</v>
      </c>
      <c r="DE19" s="145">
        <v>1</v>
      </c>
      <c r="DF19" s="1"/>
      <c r="DG19" s="1"/>
      <c r="DH19" s="1"/>
      <c r="DI19" s="1"/>
      <c r="DJ19" s="1"/>
      <c r="DK19" s="1"/>
      <c r="DL19" s="1"/>
      <c r="DM19" s="1"/>
      <c r="DN19" s="1"/>
      <c r="DO19" s="1"/>
      <c r="DP19" s="1"/>
      <c r="DQ19" s="1"/>
      <c r="DR19" s="1"/>
      <c r="DS19" s="1"/>
      <c r="DT19" s="1"/>
      <c r="DU19" s="1"/>
      <c r="DV19" s="1"/>
      <c r="DW19" s="1"/>
      <c r="DX19" s="1"/>
      <c r="DY19" s="1"/>
      <c r="DZ19" s="1"/>
      <c r="EA19" s="146">
        <v>4552331427.8915968</v>
      </c>
      <c r="EB19" s="146">
        <v>4649583575.1143999</v>
      </c>
      <c r="EC19" s="146">
        <v>4597835612.2235966</v>
      </c>
      <c r="ED19" s="147">
        <v>4606450177.9620008</v>
      </c>
      <c r="EE19" s="147">
        <v>4603923328.8276024</v>
      </c>
      <c r="EF19" s="147">
        <v>4601692822.8372021</v>
      </c>
      <c r="EG19" s="129">
        <v>4624055007.9924059</v>
      </c>
      <c r="EH19" s="122"/>
      <c r="EI19" s="130" t="s">
        <v>113</v>
      </c>
      <c r="EJ19" s="130" t="s">
        <v>113</v>
      </c>
      <c r="EK19" s="130" t="s">
        <v>113</v>
      </c>
      <c r="EL19" s="130" t="s">
        <v>113</v>
      </c>
      <c r="EM19" s="131">
        <f t="shared" si="9"/>
        <v>11.578223860621485</v>
      </c>
      <c r="EN19" s="146">
        <v>38599376384.85965</v>
      </c>
      <c r="EO19" s="146">
        <v>38985370325.803177</v>
      </c>
      <c r="EP19" s="131">
        <f t="shared" si="10"/>
        <v>1.0000004588025746</v>
      </c>
      <c r="EQ19" s="130" t="s">
        <v>113</v>
      </c>
      <c r="ER19" s="130" t="s">
        <v>113</v>
      </c>
      <c r="ES19" s="130" t="s">
        <v>113</v>
      </c>
      <c r="ET19" s="130" t="s">
        <v>113</v>
      </c>
      <c r="EU19" s="196">
        <f t="shared" si="24"/>
        <v>12.58127998646154</v>
      </c>
      <c r="EV19" s="132">
        <f t="shared" si="25"/>
        <v>2.1363141973239448</v>
      </c>
      <c r="EW19" s="132">
        <f t="shared" si="26"/>
        <v>0.99957931831970315</v>
      </c>
      <c r="EX19" s="132"/>
      <c r="EY19" s="148">
        <f t="shared" si="11"/>
        <v>0.13212060500060208</v>
      </c>
      <c r="EZ19" s="144">
        <f t="shared" si="27"/>
        <v>0</v>
      </c>
      <c r="FA19" s="145">
        <v>1</v>
      </c>
      <c r="FB19" s="130" t="s">
        <v>113</v>
      </c>
      <c r="FC19" s="130" t="s">
        <v>113</v>
      </c>
      <c r="FD19" s="130" t="s">
        <v>113</v>
      </c>
      <c r="FE19" s="130" t="s">
        <v>113</v>
      </c>
      <c r="FF19" s="130" t="s">
        <v>113</v>
      </c>
      <c r="FG19" s="130" t="s">
        <v>113</v>
      </c>
      <c r="FH19" s="130" t="s">
        <v>113</v>
      </c>
      <c r="FI19" s="130" t="s">
        <v>113</v>
      </c>
      <c r="FJ19" s="1"/>
      <c r="FK19" s="1"/>
      <c r="FL19" s="1"/>
      <c r="FM19" s="1"/>
      <c r="FN19" s="1"/>
      <c r="FO19" s="1"/>
      <c r="FP19" s="1"/>
      <c r="FQ19" s="1"/>
    </row>
    <row r="20" spans="1:173" x14ac:dyDescent="0.3">
      <c r="A20" s="1"/>
      <c r="B20" s="28">
        <v>9</v>
      </c>
      <c r="C20" s="129">
        <v>6452372297.5272064</v>
      </c>
      <c r="D20" s="129">
        <v>6565633552.801199</v>
      </c>
      <c r="E20" s="129">
        <v>6516896639.2163982</v>
      </c>
      <c r="F20" s="129">
        <v>6521899434.4247913</v>
      </c>
      <c r="G20" s="129">
        <v>6520405443.4355927</v>
      </c>
      <c r="H20" s="129">
        <v>6518273323.9920025</v>
      </c>
      <c r="I20" s="129"/>
      <c r="J20" s="122"/>
      <c r="K20" s="130" t="s">
        <v>113</v>
      </c>
      <c r="L20" s="130" t="s">
        <v>113</v>
      </c>
      <c r="M20" s="130" t="s">
        <v>113</v>
      </c>
      <c r="N20" s="130" t="s">
        <v>113</v>
      </c>
      <c r="O20" s="131">
        <f t="shared" si="12"/>
        <v>18.382497957185571</v>
      </c>
      <c r="P20" s="129">
        <v>41649730656.535202</v>
      </c>
      <c r="Q20" s="129">
        <v>42066226697.870392</v>
      </c>
      <c r="R20" s="131">
        <f t="shared" si="0"/>
        <v>0.99999696221286793</v>
      </c>
      <c r="S20" s="130" t="s">
        <v>113</v>
      </c>
      <c r="T20" s="130" t="s">
        <v>113</v>
      </c>
      <c r="U20" s="130" t="s">
        <v>113</v>
      </c>
      <c r="V20" s="130" t="s">
        <v>113</v>
      </c>
      <c r="W20" s="132">
        <f t="shared" si="13"/>
        <v>1.755348174531524</v>
      </c>
      <c r="X20" s="132">
        <f t="shared" si="13"/>
        <v>1.0000126267625691</v>
      </c>
      <c r="Y20" s="132">
        <f t="shared" si="1"/>
        <v>1.0775470617762375</v>
      </c>
      <c r="Z20" s="132">
        <f t="shared" si="1"/>
        <v>1.0543928564894218</v>
      </c>
      <c r="AA20" s="132">
        <f t="shared" si="1"/>
        <v>1.0213487942093831</v>
      </c>
      <c r="AB20" s="132">
        <f t="shared" si="14"/>
        <v>1.0213487942093831</v>
      </c>
      <c r="AC20" s="132">
        <f t="shared" si="14"/>
        <v>1.0213487942093831</v>
      </c>
      <c r="AD20" s="130" t="s">
        <v>113</v>
      </c>
      <c r="AE20" s="130" t="s">
        <v>113</v>
      </c>
      <c r="AF20" s="130" t="s">
        <v>113</v>
      </c>
      <c r="AG20" s="130" t="s">
        <v>113</v>
      </c>
      <c r="AH20" s="133">
        <f t="shared" si="2"/>
        <v>1</v>
      </c>
      <c r="AI20" s="134">
        <f t="shared" si="15"/>
        <v>1.262676256907902E-5</v>
      </c>
      <c r="AJ20" s="134">
        <f t="shared" si="3"/>
        <v>0.67780111275528654</v>
      </c>
      <c r="AK20" s="134">
        <f t="shared" si="4"/>
        <v>2.3154205286815666E-2</v>
      </c>
      <c r="AL20" s="134">
        <f t="shared" si="16"/>
        <v>3.3044062280038755E-2</v>
      </c>
      <c r="AM20" s="134">
        <f t="shared" si="17"/>
        <v>0</v>
      </c>
      <c r="AN20" s="135">
        <f t="shared" si="28"/>
        <v>0</v>
      </c>
      <c r="AO20" s="134">
        <f t="shared" si="18"/>
        <v>2.1336167446813992E-2</v>
      </c>
      <c r="AP20" s="134">
        <f t="shared" si="6"/>
        <v>2.1348794209383071E-2</v>
      </c>
      <c r="AQ20" s="136" t="s">
        <v>113</v>
      </c>
      <c r="AR20" s="137">
        <f t="shared" si="7"/>
        <v>1.67164798894368E-3</v>
      </c>
      <c r="AS20" s="137">
        <f t="shared" si="7"/>
        <v>89.733600425481512</v>
      </c>
      <c r="AT20" s="137">
        <f t="shared" si="7"/>
        <v>3.0653685369897374</v>
      </c>
      <c r="AU20" s="137">
        <f t="shared" si="7"/>
        <v>4.3746795708526172</v>
      </c>
      <c r="AV20" s="137">
        <f t="shared" si="7"/>
        <v>0</v>
      </c>
      <c r="AW20" s="138">
        <f t="shared" si="7"/>
        <v>0</v>
      </c>
      <c r="AX20" s="137">
        <f t="shared" si="7"/>
        <v>2.8246798186871822</v>
      </c>
      <c r="AY20" s="137">
        <f t="shared" si="7"/>
        <v>2.8263514666761256</v>
      </c>
      <c r="AZ20" s="139" t="s">
        <v>113</v>
      </c>
      <c r="BA20" s="139" t="s">
        <v>113</v>
      </c>
      <c r="BB20" s="139" t="s">
        <v>113</v>
      </c>
      <c r="BC20" s="139" t="s">
        <v>113</v>
      </c>
      <c r="BD20" s="139" t="s">
        <v>113</v>
      </c>
      <c r="BE20" s="139" t="s">
        <v>113</v>
      </c>
      <c r="BF20" s="139" t="s">
        <v>113</v>
      </c>
      <c r="BG20" s="139" t="s">
        <v>113</v>
      </c>
      <c r="BH20" s="140">
        <v>28983695665.329586</v>
      </c>
      <c r="BI20" s="140">
        <v>8332544823.6012068</v>
      </c>
      <c r="BJ20" s="140">
        <v>3009387744.8903985</v>
      </c>
      <c r="BK20" s="140">
        <v>1324104251.6363997</v>
      </c>
      <c r="BL20" s="141">
        <f t="shared" si="19"/>
        <v>0.69589152044252689</v>
      </c>
      <c r="BM20" s="141">
        <f t="shared" si="20"/>
        <v>0.20006238519084357</v>
      </c>
      <c r="BN20" s="141">
        <f t="shared" si="21"/>
        <v>7.2254671646238194E-2</v>
      </c>
      <c r="BO20" s="141">
        <f t="shared" si="21"/>
        <v>3.1791422720391392E-2</v>
      </c>
      <c r="BP20" s="139" t="s">
        <v>113</v>
      </c>
      <c r="BQ20" s="139" t="s">
        <v>113</v>
      </c>
      <c r="BR20" s="139" t="s">
        <v>113</v>
      </c>
      <c r="BS20" s="131">
        <f t="shared" si="22"/>
        <v>15.893403609693655</v>
      </c>
      <c r="BT20" s="139"/>
      <c r="BU20" s="139"/>
      <c r="BV20" s="139"/>
      <c r="BW20" s="139"/>
      <c r="BX20" s="139"/>
      <c r="BY20" s="139"/>
      <c r="BZ20" s="139"/>
      <c r="CA20" s="139"/>
      <c r="CB20" s="139"/>
      <c r="CC20" s="142" t="s">
        <v>113</v>
      </c>
      <c r="CD20" s="142" t="s">
        <v>113</v>
      </c>
      <c r="CE20" s="142" t="s">
        <v>113</v>
      </c>
      <c r="CF20" s="142" t="s">
        <v>113</v>
      </c>
      <c r="CG20" s="142" t="s">
        <v>113</v>
      </c>
      <c r="CH20" s="142" t="s">
        <v>113</v>
      </c>
      <c r="CI20" s="142" t="s">
        <v>113</v>
      </c>
      <c r="CJ20" s="142"/>
      <c r="CK20" s="139" t="s">
        <v>113</v>
      </c>
      <c r="CL20" s="139" t="s">
        <v>113</v>
      </c>
      <c r="CM20" s="139" t="s">
        <v>113</v>
      </c>
      <c r="CN20" s="139" t="s">
        <v>113</v>
      </c>
      <c r="CO20" s="139" t="s">
        <v>113</v>
      </c>
      <c r="CP20" s="139" t="s">
        <v>113</v>
      </c>
      <c r="CQ20" s="139" t="s">
        <v>113</v>
      </c>
      <c r="CR20" s="139"/>
      <c r="CS20" s="143" t="s">
        <v>113</v>
      </c>
      <c r="CT20" s="143" t="s">
        <v>113</v>
      </c>
      <c r="CU20" s="143" t="s">
        <v>113</v>
      </c>
      <c r="CV20" s="143" t="s">
        <v>113</v>
      </c>
      <c r="CW20" s="143" t="s">
        <v>113</v>
      </c>
      <c r="CX20" s="143" t="s">
        <v>113</v>
      </c>
      <c r="CY20" s="143" t="s">
        <v>113</v>
      </c>
      <c r="CZ20" s="143"/>
      <c r="DA20" s="139" t="s">
        <v>113</v>
      </c>
      <c r="DB20" s="139" t="s">
        <v>113</v>
      </c>
      <c r="DC20" s="139" t="s">
        <v>113</v>
      </c>
      <c r="DD20" s="144">
        <f t="shared" si="23"/>
        <v>0</v>
      </c>
      <c r="DE20" s="145">
        <v>1</v>
      </c>
      <c r="DF20" s="1"/>
      <c r="DG20" s="1"/>
      <c r="DH20" s="1"/>
      <c r="DI20" s="1"/>
      <c r="DJ20" s="1"/>
      <c r="DK20" s="1"/>
      <c r="DL20" s="1"/>
      <c r="DM20" s="1"/>
      <c r="DN20" s="1"/>
      <c r="DO20" s="1"/>
      <c r="DP20" s="1"/>
      <c r="DQ20" s="1"/>
      <c r="DR20" s="1"/>
      <c r="DS20" s="1"/>
      <c r="DT20" s="1"/>
      <c r="DU20" s="1"/>
      <c r="DV20" s="1"/>
      <c r="DW20" s="1"/>
      <c r="DX20" s="1"/>
      <c r="DY20" s="1"/>
      <c r="DZ20" s="1"/>
      <c r="EA20" s="146">
        <v>7334278200.2771931</v>
      </c>
      <c r="EB20" s="146">
        <v>7466790479.4228077</v>
      </c>
      <c r="EC20" s="146">
        <v>7407532035.4644098</v>
      </c>
      <c r="ED20" s="147">
        <v>7415002243.6572056</v>
      </c>
      <c r="EE20" s="147">
        <v>7412891785.0896034</v>
      </c>
      <c r="EF20" s="147">
        <v>7410627667.8431997</v>
      </c>
      <c r="EG20" s="129">
        <v>7424068407.2507992</v>
      </c>
      <c r="EH20" s="122"/>
      <c r="EI20" s="130" t="s">
        <v>113</v>
      </c>
      <c r="EJ20" s="130" t="s">
        <v>113</v>
      </c>
      <c r="EK20" s="130" t="s">
        <v>113</v>
      </c>
      <c r="EL20" s="130" t="s">
        <v>113</v>
      </c>
      <c r="EM20" s="131">
        <f t="shared" si="9"/>
        <v>18.653719792588774</v>
      </c>
      <c r="EN20" s="146">
        <v>48567602424.763275</v>
      </c>
      <c r="EO20" s="146">
        <v>49053279342.68998</v>
      </c>
      <c r="EP20" s="131">
        <f t="shared" si="10"/>
        <v>1.0000018400724509</v>
      </c>
      <c r="EQ20" s="130" t="s">
        <v>113</v>
      </c>
      <c r="ER20" s="130" t="s">
        <v>113</v>
      </c>
      <c r="ES20" s="130" t="s">
        <v>113</v>
      </c>
      <c r="ET20" s="130" t="s">
        <v>113</v>
      </c>
      <c r="EU20" s="196">
        <f t="shared" si="24"/>
        <v>15.830375037270617</v>
      </c>
      <c r="EV20" s="132">
        <f t="shared" si="25"/>
        <v>1.8067495082046499</v>
      </c>
      <c r="EW20" s="132">
        <f t="shared" si="26"/>
        <v>0.99878540729927823</v>
      </c>
      <c r="EX20" s="132"/>
      <c r="EY20" s="148">
        <f t="shared" si="11"/>
        <v>5.1401333673125826E-2</v>
      </c>
      <c r="EZ20" s="144">
        <f t="shared" si="27"/>
        <v>0</v>
      </c>
      <c r="FA20" s="145">
        <v>1</v>
      </c>
      <c r="FB20" s="130" t="s">
        <v>113</v>
      </c>
      <c r="FC20" s="130" t="s">
        <v>113</v>
      </c>
      <c r="FD20" s="130" t="s">
        <v>113</v>
      </c>
      <c r="FE20" s="130" t="s">
        <v>113</v>
      </c>
      <c r="FF20" s="130" t="s">
        <v>113</v>
      </c>
      <c r="FG20" s="130" t="s">
        <v>113</v>
      </c>
      <c r="FH20" s="130" t="s">
        <v>113</v>
      </c>
      <c r="FI20" s="130" t="s">
        <v>113</v>
      </c>
      <c r="FJ20" s="1"/>
      <c r="FK20" s="1"/>
      <c r="FL20" s="1"/>
      <c r="FM20" s="1"/>
      <c r="FN20" s="1"/>
      <c r="FO20" s="1"/>
      <c r="FP20" s="1"/>
      <c r="FQ20" s="1"/>
    </row>
    <row r="21" spans="1:173" x14ac:dyDescent="0.3">
      <c r="A21" s="1"/>
      <c r="B21" s="33">
        <v>10</v>
      </c>
      <c r="C21" s="129">
        <v>16084719443.025608</v>
      </c>
      <c r="D21" s="129">
        <v>16310706558.804016</v>
      </c>
      <c r="E21" s="129">
        <v>16245566644.683594</v>
      </c>
      <c r="F21" s="129">
        <v>16251080415.540001</v>
      </c>
      <c r="G21" s="129">
        <v>16249879759.2684</v>
      </c>
      <c r="H21" s="129">
        <v>16247566951.51918</v>
      </c>
      <c r="I21" s="149"/>
      <c r="J21" s="122"/>
      <c r="K21" s="130" t="s">
        <v>113</v>
      </c>
      <c r="L21" s="130" t="s">
        <v>113</v>
      </c>
      <c r="M21" s="130" t="s">
        <v>113</v>
      </c>
      <c r="N21" s="130" t="s">
        <v>113</v>
      </c>
      <c r="O21" s="131">
        <f t="shared" si="12"/>
        <v>45.824591122343641</v>
      </c>
      <c r="P21" s="129">
        <v>69987948372.103165</v>
      </c>
      <c r="Q21" s="129">
        <v>70687825848.696014</v>
      </c>
      <c r="R21" s="131">
        <f t="shared" si="0"/>
        <v>0.99999713218028585</v>
      </c>
      <c r="S21" s="130" t="s">
        <v>113</v>
      </c>
      <c r="T21" s="130" t="s">
        <v>113</v>
      </c>
      <c r="U21" s="130" t="s">
        <v>113</v>
      </c>
      <c r="V21" s="130" t="s">
        <v>113</v>
      </c>
      <c r="W21" s="132">
        <f t="shared" si="13"/>
        <v>1.4049841818569087</v>
      </c>
      <c r="X21" s="132">
        <f t="shared" si="13"/>
        <v>1.0000029127634462</v>
      </c>
      <c r="Y21" s="132">
        <f t="shared" si="1"/>
        <v>1.0342825698534186</v>
      </c>
      <c r="Z21" s="132">
        <f t="shared" si="1"/>
        <v>1.0268179714242744</v>
      </c>
      <c r="AA21" s="132">
        <f t="shared" si="1"/>
        <v>1.0124390175970293</v>
      </c>
      <c r="AB21" s="132">
        <f t="shared" si="14"/>
        <v>1.0124390175970293</v>
      </c>
      <c r="AC21" s="132">
        <f t="shared" si="14"/>
        <v>1.0124390175970293</v>
      </c>
      <c r="AD21" s="130" t="s">
        <v>113</v>
      </c>
      <c r="AE21" s="130" t="s">
        <v>113</v>
      </c>
      <c r="AF21" s="130" t="s">
        <v>113</v>
      </c>
      <c r="AG21" s="130" t="s">
        <v>113</v>
      </c>
      <c r="AH21" s="133">
        <f t="shared" si="2"/>
        <v>1</v>
      </c>
      <c r="AI21" s="134">
        <f t="shared" si="15"/>
        <v>2.9127634462167151E-6</v>
      </c>
      <c r="AJ21" s="134">
        <f t="shared" si="3"/>
        <v>0.37070161200349006</v>
      </c>
      <c r="AK21" s="134">
        <f>IF(W21&gt;1,MAX(MIN(Y21-Z21,W21-AH21-AJ21),0),0)</f>
        <v>7.4645984291441536E-3</v>
      </c>
      <c r="AL21" s="134">
        <f t="shared" si="16"/>
        <v>1.4378953827245189E-2</v>
      </c>
      <c r="AM21" s="134">
        <f t="shared" si="17"/>
        <v>0</v>
      </c>
      <c r="AN21" s="135">
        <f t="shared" si="28"/>
        <v>0</v>
      </c>
      <c r="AO21" s="134">
        <f t="shared" si="18"/>
        <v>1.2436104833583039E-2</v>
      </c>
      <c r="AP21" s="134">
        <f t="shared" si="6"/>
        <v>1.2439017597029256E-2</v>
      </c>
      <c r="AQ21" s="136" t="s">
        <v>113</v>
      </c>
      <c r="AR21" s="137">
        <f t="shared" si="7"/>
        <v>7.1922894194565584E-4</v>
      </c>
      <c r="AS21" s="137">
        <f t="shared" si="7"/>
        <v>91.534837312354213</v>
      </c>
      <c r="AT21" s="137">
        <f t="shared" si="7"/>
        <v>1.8431827126970575</v>
      </c>
      <c r="AU21" s="137">
        <f t="shared" si="7"/>
        <v>3.5504976419858405</v>
      </c>
      <c r="AV21" s="137">
        <f t="shared" si="7"/>
        <v>0</v>
      </c>
      <c r="AW21" s="138">
        <f t="shared" si="7"/>
        <v>0</v>
      </c>
      <c r="AX21" s="137">
        <f t="shared" si="7"/>
        <v>3.0707631040209455</v>
      </c>
      <c r="AY21" s="137">
        <f t="shared" si="7"/>
        <v>3.0714823329628915</v>
      </c>
      <c r="AZ21" s="139" t="s">
        <v>113</v>
      </c>
      <c r="BA21" s="139" t="s">
        <v>113</v>
      </c>
      <c r="BB21" s="139" t="s">
        <v>113</v>
      </c>
      <c r="BC21" s="139" t="s">
        <v>113</v>
      </c>
      <c r="BD21" s="139" t="s">
        <v>113</v>
      </c>
      <c r="BE21" s="139" t="s">
        <v>113</v>
      </c>
      <c r="BF21" s="139" t="s">
        <v>113</v>
      </c>
      <c r="BG21" s="139" t="s">
        <v>113</v>
      </c>
      <c r="BH21" s="140">
        <v>47316501866.788773</v>
      </c>
      <c r="BI21" s="140">
        <v>9577799120.4276047</v>
      </c>
      <c r="BJ21" s="140">
        <v>9555831620.3136024</v>
      </c>
      <c r="BK21" s="140">
        <v>3537816774.9659958</v>
      </c>
      <c r="BL21" s="141">
        <f t="shared" si="19"/>
        <v>0.67606641263621103</v>
      </c>
      <c r="BM21" s="141">
        <f t="shared" si="20"/>
        <v>0.13684926055031724</v>
      </c>
      <c r="BN21" s="141">
        <f t="shared" si="21"/>
        <v>0.13653538508592911</v>
      </c>
      <c r="BO21" s="141">
        <f t="shared" si="21"/>
        <v>5.0548941727542686E-2</v>
      </c>
      <c r="BP21" s="139" t="s">
        <v>113</v>
      </c>
      <c r="BQ21" s="139" t="s">
        <v>113</v>
      </c>
      <c r="BR21" s="139" t="s">
        <v>113</v>
      </c>
      <c r="BS21" s="131">
        <f t="shared" si="22"/>
        <v>26.707176583330455</v>
      </c>
      <c r="BT21" s="139"/>
      <c r="BU21" s="139"/>
      <c r="BV21" s="139"/>
      <c r="BW21" s="139"/>
      <c r="BX21" s="139"/>
      <c r="BY21" s="139"/>
      <c r="BZ21" s="139"/>
      <c r="CA21" s="139"/>
      <c r="CB21" s="139"/>
      <c r="CC21" s="142" t="s">
        <v>113</v>
      </c>
      <c r="CD21" s="142" t="s">
        <v>113</v>
      </c>
      <c r="CE21" s="142" t="s">
        <v>113</v>
      </c>
      <c r="CF21" s="142" t="s">
        <v>113</v>
      </c>
      <c r="CG21" s="142" t="s">
        <v>113</v>
      </c>
      <c r="CH21" s="142" t="s">
        <v>113</v>
      </c>
      <c r="CI21" s="142" t="s">
        <v>113</v>
      </c>
      <c r="CJ21" s="142"/>
      <c r="CK21" s="139" t="s">
        <v>113</v>
      </c>
      <c r="CL21" s="139" t="s">
        <v>113</v>
      </c>
      <c r="CM21" s="139" t="s">
        <v>113</v>
      </c>
      <c r="CN21" s="139" t="s">
        <v>113</v>
      </c>
      <c r="CO21" s="139" t="s">
        <v>113</v>
      </c>
      <c r="CP21" s="139" t="s">
        <v>113</v>
      </c>
      <c r="CQ21" s="139" t="s">
        <v>113</v>
      </c>
      <c r="CR21" s="139"/>
      <c r="CS21" s="143" t="s">
        <v>113</v>
      </c>
      <c r="CT21" s="143" t="s">
        <v>113</v>
      </c>
      <c r="CU21" s="143" t="s">
        <v>113</v>
      </c>
      <c r="CV21" s="143" t="s">
        <v>113</v>
      </c>
      <c r="CW21" s="143" t="s">
        <v>113</v>
      </c>
      <c r="CX21" s="143" t="s">
        <v>113</v>
      </c>
      <c r="CY21" s="143" t="s">
        <v>113</v>
      </c>
      <c r="CZ21" s="143"/>
      <c r="DA21" s="139" t="s">
        <v>113</v>
      </c>
      <c r="DB21" s="139" t="s">
        <v>113</v>
      </c>
      <c r="DC21" s="139" t="s">
        <v>113</v>
      </c>
      <c r="DD21" s="144">
        <f t="shared" si="23"/>
        <v>0</v>
      </c>
      <c r="DE21" s="145">
        <v>1</v>
      </c>
      <c r="DF21" s="1"/>
      <c r="DG21" s="1"/>
      <c r="DH21" s="1"/>
      <c r="DI21" s="1"/>
      <c r="DJ21" s="1"/>
      <c r="DK21" s="1"/>
      <c r="DL21" s="1"/>
      <c r="DM21" s="1"/>
      <c r="DN21" s="1"/>
      <c r="DO21" s="1"/>
      <c r="DP21" s="1"/>
      <c r="DQ21" s="1"/>
      <c r="DR21" s="1"/>
      <c r="DS21" s="1"/>
      <c r="DT21" s="1"/>
      <c r="DU21" s="1"/>
      <c r="DV21" s="1"/>
      <c r="DW21" s="1"/>
      <c r="DX21" s="1"/>
      <c r="DY21" s="1"/>
      <c r="DZ21" s="1"/>
      <c r="EA21" s="146">
        <v>19008203117.803196</v>
      </c>
      <c r="EB21" s="146">
        <v>19278713382.968365</v>
      </c>
      <c r="EC21" s="146">
        <v>19198264879.602013</v>
      </c>
      <c r="ED21" s="147">
        <v>19205480588.619614</v>
      </c>
      <c r="EE21" s="147">
        <v>19203852915.846012</v>
      </c>
      <c r="EF21" s="147">
        <v>19201379057.523621</v>
      </c>
      <c r="EG21" s="129">
        <v>19183807830.244793</v>
      </c>
      <c r="EH21" s="122"/>
      <c r="EI21" s="130" t="s">
        <v>113</v>
      </c>
      <c r="EJ21" s="130" t="s">
        <v>113</v>
      </c>
      <c r="EK21" s="130" t="s">
        <v>113</v>
      </c>
      <c r="EL21" s="130" t="s">
        <v>113</v>
      </c>
      <c r="EM21" s="131">
        <f t="shared" si="9"/>
        <v>48.344729370466524</v>
      </c>
      <c r="EN21" s="146">
        <v>82248813228.176407</v>
      </c>
      <c r="EO21" s="146">
        <v>83071303527.384094</v>
      </c>
      <c r="EP21" s="131">
        <f t="shared" si="10"/>
        <v>1.000002634598407</v>
      </c>
      <c r="EQ21" s="130" t="s">
        <v>113</v>
      </c>
      <c r="ER21" s="130" t="s">
        <v>113</v>
      </c>
      <c r="ES21" s="130" t="s">
        <v>113</v>
      </c>
      <c r="ET21" s="130" t="s">
        <v>113</v>
      </c>
      <c r="EU21" s="196">
        <f t="shared" si="24"/>
        <v>26.808602746850614</v>
      </c>
      <c r="EV21" s="132">
        <f t="shared" si="25"/>
        <v>1.4231200645566118</v>
      </c>
      <c r="EW21" s="132">
        <f t="shared" si="26"/>
        <v>0.99989073078511326</v>
      </c>
      <c r="EX21" s="132"/>
      <c r="EY21" s="148">
        <f t="shared" si="11"/>
        <v>1.8135882699703121E-2</v>
      </c>
      <c r="EZ21" s="144">
        <f t="shared" si="27"/>
        <v>0</v>
      </c>
      <c r="FA21" s="145">
        <v>1</v>
      </c>
      <c r="FB21" s="130" t="s">
        <v>113</v>
      </c>
      <c r="FC21" s="130" t="s">
        <v>113</v>
      </c>
      <c r="FD21" s="130" t="s">
        <v>113</v>
      </c>
      <c r="FE21" s="130" t="s">
        <v>113</v>
      </c>
      <c r="FF21" s="130" t="s">
        <v>113</v>
      </c>
      <c r="FG21" s="130" t="s">
        <v>113</v>
      </c>
      <c r="FH21" s="130" t="s">
        <v>113</v>
      </c>
      <c r="FI21" s="130" t="s">
        <v>113</v>
      </c>
      <c r="FJ21" s="1"/>
      <c r="FK21" s="1"/>
      <c r="FL21" s="1"/>
      <c r="FM21" s="1"/>
      <c r="FN21" s="1"/>
      <c r="FO21" s="1"/>
      <c r="FP21" s="1"/>
      <c r="FQ21" s="1"/>
    </row>
    <row r="22" spans="1:173" ht="13.2" customHeight="1" x14ac:dyDescent="0.3">
      <c r="A22" s="1"/>
      <c r="B22" s="34" t="s">
        <v>114</v>
      </c>
      <c r="C22" s="129">
        <v>35100628394.222267</v>
      </c>
      <c r="D22" s="129">
        <v>35762845076.955566</v>
      </c>
      <c r="E22" s="129">
        <v>35451607383.582024</v>
      </c>
      <c r="F22" s="129">
        <v>35500465099.880432</v>
      </c>
      <c r="G22" s="129">
        <v>35482468631.01606</v>
      </c>
      <c r="H22" s="129">
        <v>35469231538.545677</v>
      </c>
      <c r="I22" s="150"/>
      <c r="J22" s="122"/>
      <c r="K22" s="150" cm="1">
        <f t="array" ref="K22:N22">'[2]2. Distributional by deciles o'!$H$92:$K$92</f>
        <v>35516722182.15715</v>
      </c>
      <c r="L22" s="150">
        <v>35259487094.699966</v>
      </c>
      <c r="M22" s="150">
        <v>35169067344.567436</v>
      </c>
      <c r="N22" s="150">
        <v>35120056282.609016</v>
      </c>
      <c r="O22" s="152" t="s">
        <v>113</v>
      </c>
      <c r="P22" s="129">
        <v>262056710314.28619</v>
      </c>
      <c r="Q22" s="129">
        <v>264677274357.56903</v>
      </c>
      <c r="R22" s="153">
        <f>(Q22/P22-1)*100</f>
        <v>0.99999883236723264</v>
      </c>
      <c r="S22" s="150" cm="1">
        <f t="array" ref="S22:V22">'[2]2. Distributional by deciles o'!$H$110:$K$110</f>
        <v>263761175304.54523</v>
      </c>
      <c r="T22" s="150">
        <v>262690084955.987</v>
      </c>
      <c r="U22" s="150">
        <v>262268940890.28113</v>
      </c>
      <c r="V22" s="150">
        <v>262127201242.25125</v>
      </c>
      <c r="W22" s="154">
        <f t="shared" si="13"/>
        <v>1.8866256424887944</v>
      </c>
      <c r="X22" s="154">
        <f t="shared" si="13"/>
        <v>0.99992340659227785</v>
      </c>
      <c r="Y22" s="154">
        <f t="shared" si="1"/>
        <v>1.1391168500760069</v>
      </c>
      <c r="Z22" s="154">
        <f t="shared" si="1"/>
        <v>1.0878457170480131</v>
      </c>
      <c r="AA22" s="154">
        <f t="shared" si="1"/>
        <v>1.050133834007644</v>
      </c>
      <c r="AB22" s="154">
        <f t="shared" si="14"/>
        <v>1.050133834007644</v>
      </c>
      <c r="AC22" s="154">
        <f t="shared" si="14"/>
        <v>1.050133834007644</v>
      </c>
      <c r="AD22" s="155">
        <f>(K22/$C22-1) / (S22/$P22-1)</f>
        <v>1.8225671577828801</v>
      </c>
      <c r="AE22" s="155">
        <f>(L22/$C22-1) / (T22/$P22-1)</f>
        <v>1.8725383772899549</v>
      </c>
      <c r="AF22" s="155">
        <f>(M22/$C22-1) / (U22/$P22-1)</f>
        <v>2.4075525797409782</v>
      </c>
      <c r="AG22" s="155">
        <f>(N22/$C22-1) / (V22/$P22-1)</f>
        <v>2.0576559734182283</v>
      </c>
      <c r="AH22" s="156">
        <f t="shared" si="2"/>
        <v>1</v>
      </c>
      <c r="AI22" s="155">
        <f t="shared" si="15"/>
        <v>0</v>
      </c>
      <c r="AJ22" s="155">
        <f t="shared" si="3"/>
        <v>0.74750879241278745</v>
      </c>
      <c r="AK22" s="155">
        <f>IF(W22&gt;1,MAX(MIN(Y22-Z22,W22-AH22-AJ22),0),0)</f>
        <v>5.1271133027993798E-2</v>
      </c>
      <c r="AL22" s="155">
        <f t="shared" si="16"/>
        <v>3.7711883040369099E-2</v>
      </c>
      <c r="AM22" s="155">
        <f t="shared" si="17"/>
        <v>0</v>
      </c>
      <c r="AN22" s="157">
        <f t="shared" si="28"/>
        <v>0</v>
      </c>
      <c r="AO22" s="155">
        <f t="shared" si="18"/>
        <v>5.013383400764404E-2</v>
      </c>
      <c r="AP22" s="155">
        <f t="shared" si="6"/>
        <v>5.013383400764404E-2</v>
      </c>
      <c r="AQ22" s="136" t="s">
        <v>113</v>
      </c>
      <c r="AR22" s="137">
        <f>AI22/($W22-1)*100</f>
        <v>0</v>
      </c>
      <c r="AS22" s="137">
        <f t="shared" si="7"/>
        <v>84.309403720210454</v>
      </c>
      <c r="AT22" s="137">
        <f t="shared" si="7"/>
        <v>5.7827261666010061</v>
      </c>
      <c r="AU22" s="137">
        <f t="shared" si="7"/>
        <v>4.2534166883004083</v>
      </c>
      <c r="AV22" s="137">
        <f t="shared" si="7"/>
        <v>0</v>
      </c>
      <c r="AW22" s="138">
        <f t="shared" si="7"/>
        <v>0</v>
      </c>
      <c r="AX22" s="137">
        <f t="shared" si="7"/>
        <v>5.654453424888132</v>
      </c>
      <c r="AY22" s="137">
        <f t="shared" si="7"/>
        <v>5.654453424888132</v>
      </c>
      <c r="AZ22" s="158">
        <v>1.97</v>
      </c>
      <c r="BA22" s="158">
        <v>2</v>
      </c>
      <c r="BB22" s="158">
        <v>1.85</v>
      </c>
      <c r="BC22" s="158">
        <v>1.7</v>
      </c>
      <c r="BD22" s="159">
        <f>W22-AZ22</f>
        <v>-8.3374357511205588E-2</v>
      </c>
      <c r="BE22" s="159">
        <f>AD22-BA22</f>
        <v>-0.17743284221711986</v>
      </c>
      <c r="BF22" s="159">
        <f>AF22-BB22</f>
        <v>0.55755257974097816</v>
      </c>
      <c r="BG22" s="159">
        <f>AG22-BC22</f>
        <v>0.3576559734182283</v>
      </c>
      <c r="BH22" s="160">
        <v>170446558859.34732</v>
      </c>
      <c r="BI22" s="140">
        <v>63337627171.577896</v>
      </c>
      <c r="BJ22" s="140">
        <v>21222923931.435623</v>
      </c>
      <c r="BK22" s="140">
        <v>7049609422.7484083</v>
      </c>
      <c r="BL22" s="141">
        <f t="shared" si="19"/>
        <v>0.65041857831115224</v>
      </c>
      <c r="BM22" s="141">
        <f t="shared" si="20"/>
        <v>0.24169434510282167</v>
      </c>
      <c r="BN22" s="141">
        <f t="shared" si="21"/>
        <v>8.0985994105524789E-2</v>
      </c>
      <c r="BO22" s="141">
        <f t="shared" si="21"/>
        <v>2.6901082480501302E-2</v>
      </c>
      <c r="BP22" s="159">
        <f>(AD22*BL22+AF22*BN22+AG22*BO22)/(BL22+BN22+BO22)</f>
        <v>1.8933826254078019</v>
      </c>
      <c r="BQ22" s="159">
        <f>W22-BP22</f>
        <v>-6.7569829190075037E-3</v>
      </c>
      <c r="BR22" s="159">
        <f>BP22-AZ22</f>
        <v>-7.6617374592198084E-2</v>
      </c>
      <c r="BS22" s="152" t="s">
        <v>113</v>
      </c>
      <c r="BT22" s="161"/>
      <c r="BU22" s="161"/>
      <c r="BV22" s="161"/>
      <c r="BW22" s="161"/>
      <c r="BX22" s="162"/>
      <c r="BY22" s="162"/>
      <c r="BZ22" s="163"/>
      <c r="CA22" s="164"/>
      <c r="CB22" s="165"/>
      <c r="CC22" s="166"/>
      <c r="CD22" s="166"/>
      <c r="CE22" s="166"/>
      <c r="CF22" s="166"/>
      <c r="CG22" s="167"/>
      <c r="CH22" s="167"/>
      <c r="CI22" s="168"/>
      <c r="CJ22" s="169"/>
      <c r="CK22" s="161">
        <f>'[2]3. Inequality and Poverty'!$B$7</f>
        <v>0.35867389483633</v>
      </c>
      <c r="CL22" s="161">
        <f>'[2]3. Inequality and Poverty'!$B$8</f>
        <v>0.318588025446777</v>
      </c>
      <c r="CM22" s="161">
        <f>'[2]3. Inequality and Poverty'!$C$7</f>
        <v>0.35867388634938902</v>
      </c>
      <c r="CN22" s="161">
        <f>'[2]3. Inequality and Poverty'!$C$8</f>
        <v>0.31860970181401199</v>
      </c>
      <c r="CO22" s="162">
        <f t="shared" ref="CO22" si="29">(CK22-CL22)/CK22</f>
        <v>0.11176132405132237</v>
      </c>
      <c r="CP22" s="162">
        <f>(CM22-CN22)/CM22</f>
        <v>0.11170086828219762</v>
      </c>
      <c r="CQ22" s="163">
        <f>(CP22-CO22)*100</f>
        <v>-6.0455769124750924E-3</v>
      </c>
      <c r="CR22" s="165">
        <f>CN22-CL22</f>
        <v>2.1676367234990668E-5</v>
      </c>
      <c r="CS22" s="170">
        <f>(SUM(P20:P21))/(SUM(P12:P13))</f>
        <v>8.2100179855871716</v>
      </c>
      <c r="CT22" s="170">
        <f>(SUM(P20:P21)-SUM(C20:C21))/(SUM(P12:P13)-SUM(C12:C13))</f>
        <v>6.4902684961023613</v>
      </c>
      <c r="CU22" s="170">
        <f>(SUM(Q20:Q21))/(SUM(Q12:Q13))</f>
        <v>8.2100175097988135</v>
      </c>
      <c r="CV22" s="170">
        <f>(SUM(Q20:Q21)-SUM(D20:D21))/(SUM(Q12:Q13)-SUM(D12:D13))</f>
        <v>6.4879274220061545</v>
      </c>
      <c r="CW22" s="162">
        <f>(CS22-CT22)/CS22</f>
        <v>0.2094696372777575</v>
      </c>
      <c r="CX22" s="162">
        <f>(CU22-CV22)/CU22</f>
        <v>0.20975473995485533</v>
      </c>
      <c r="CY22" s="163">
        <f>(CX22-CW22)*100</f>
        <v>2.8510267709783155E-2</v>
      </c>
      <c r="CZ22" s="165">
        <f>CV22-CT22</f>
        <v>-2.3410740962068743E-3</v>
      </c>
      <c r="DA22" s="171" cm="1">
        <f t="array" ref="DA22:DB22">'[2]3. Inequality and Poverty'!$B$34:$C$34</f>
        <v>0.27049579852216199</v>
      </c>
      <c r="DB22" s="171">
        <v>0.26756475419210402</v>
      </c>
      <c r="DC22" s="172">
        <f>DB22-DA22</f>
        <v>-2.9310443300579747E-3</v>
      </c>
      <c r="DD22" s="144">
        <f t="shared" si="23"/>
        <v>3.3936931431305273</v>
      </c>
      <c r="DE22" s="145">
        <v>0.96606306856869473</v>
      </c>
      <c r="DF22" s="1"/>
      <c r="DG22" s="1"/>
      <c r="DH22" s="1"/>
      <c r="DI22" s="1"/>
      <c r="DJ22" s="1"/>
      <c r="DK22" s="1"/>
      <c r="DL22" s="1"/>
      <c r="DM22" s="1"/>
      <c r="DN22" s="1"/>
      <c r="DO22" s="1"/>
      <c r="DP22" s="1"/>
      <c r="DQ22" s="1"/>
      <c r="DR22" s="1"/>
      <c r="DS22" s="1"/>
      <c r="DT22" s="1"/>
      <c r="DU22" s="1"/>
      <c r="DV22" s="1"/>
      <c r="DW22" s="1"/>
      <c r="DX22" s="1"/>
      <c r="DY22" s="1"/>
      <c r="DZ22" s="1"/>
      <c r="EA22" s="151">
        <v>39318046383.38752</v>
      </c>
      <c r="EB22" s="151">
        <v>40100437268.881111</v>
      </c>
      <c r="EC22" s="151">
        <v>39710973672.917976</v>
      </c>
      <c r="ED22" s="173">
        <v>39792865006.367928</v>
      </c>
      <c r="EE22" s="173">
        <v>39768687832.389587</v>
      </c>
      <c r="EF22" s="173">
        <v>39743210002.565865</v>
      </c>
      <c r="EG22" s="150">
        <v>39819540273.939529</v>
      </c>
      <c r="EH22" s="123"/>
      <c r="EI22" s="151" cm="1">
        <f t="array" ref="EI22:EL22">'[3]2. Distributional by deciles o'!$H$92:$K$92</f>
        <v>39819540273.939529</v>
      </c>
      <c r="EJ22" s="151">
        <v>39495375156.289108</v>
      </c>
      <c r="EK22" s="151">
        <v>39399905458.682266</v>
      </c>
      <c r="EL22" s="151">
        <v>39340775963.835556</v>
      </c>
      <c r="EM22" s="152" t="s">
        <v>113</v>
      </c>
      <c r="EN22" s="151">
        <v>306800074606.04688</v>
      </c>
      <c r="EO22" s="151">
        <v>309868075317.27014</v>
      </c>
      <c r="EP22" s="153">
        <f>(EO22/EN22-1)*100</f>
        <v>0.99999998864497286</v>
      </c>
      <c r="EQ22" s="151" cm="1">
        <f t="array" ref="EQ22:ET22">'[3]2. Distributional by deciles o'!$H$110:$K$110</f>
        <v>308820763169.06152</v>
      </c>
      <c r="ER22" s="151">
        <v>307514226951.74304</v>
      </c>
      <c r="ES22" s="151">
        <v>307054423816.57245</v>
      </c>
      <c r="ET22" s="151">
        <v>306878885254.31146</v>
      </c>
      <c r="EU22" s="152" t="s">
        <v>113</v>
      </c>
      <c r="EV22" s="154">
        <f t="shared" si="25"/>
        <v>1.9899027707242172</v>
      </c>
      <c r="EW22" s="154">
        <f t="shared" si="26"/>
        <v>0.99935609760655475</v>
      </c>
      <c r="EX22" s="174">
        <f>EW22-X22</f>
        <v>-5.6730898572310284E-4</v>
      </c>
      <c r="EY22" s="175">
        <f t="shared" si="11"/>
        <v>0.10327712823542279</v>
      </c>
      <c r="EZ22" s="144">
        <f t="shared" si="27"/>
        <v>1.6546433355077439</v>
      </c>
      <c r="FA22" s="176">
        <v>0.98345356664492256</v>
      </c>
      <c r="FB22" s="155">
        <f>(EI22/$EA22-1) / (EQ22/$EN22-1)</f>
        <v>1.9365548106970563</v>
      </c>
      <c r="FC22" s="155">
        <f>(EJ22/$EA22-1) / (ER22/$EN22-1)</f>
        <v>1.9375453305900963</v>
      </c>
      <c r="FD22" s="155">
        <f>(EK22/$EA22-1) / (ES22/$EN22-1)</f>
        <v>2.5113079452123666</v>
      </c>
      <c r="FE22" s="155">
        <f>(EL22/$EA22-1) / (ET22/$EN22-1)</f>
        <v>2.2504535311663481</v>
      </c>
      <c r="FF22" s="75">
        <f>FB22-AD22</f>
        <v>0.11398765291417612</v>
      </c>
      <c r="FG22" s="75">
        <f>FC22-AE22</f>
        <v>6.500695330014139E-2</v>
      </c>
      <c r="FH22" s="75">
        <f>FD22-AF22</f>
        <v>0.10375536547138831</v>
      </c>
      <c r="FI22" s="75">
        <f>FE22-AG22</f>
        <v>0.1927975577481198</v>
      </c>
      <c r="FJ22" s="1"/>
      <c r="FK22" s="1"/>
      <c r="FL22" s="1"/>
      <c r="FM22" s="1"/>
      <c r="FN22" s="1"/>
      <c r="FO22" s="1"/>
      <c r="FP22" s="1"/>
      <c r="FQ22" s="1"/>
    </row>
    <row r="23" spans="1:173" x14ac:dyDescent="0.3">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c r="ET23" s="1"/>
      <c r="EU23" s="1"/>
      <c r="EV23" s="1"/>
      <c r="EW23" s="1"/>
      <c r="EX23" s="1"/>
      <c r="EY23" s="1"/>
      <c r="EZ23" s="1"/>
      <c r="FA23" s="1"/>
      <c r="FB23" s="1"/>
      <c r="FC23" s="1"/>
      <c r="FD23" s="1"/>
      <c r="FE23" s="1"/>
      <c r="FF23" s="1"/>
      <c r="FG23" s="1"/>
      <c r="FH23" s="1"/>
      <c r="FI23" s="1"/>
      <c r="FJ23" s="1"/>
      <c r="FK23" s="1"/>
      <c r="FL23" s="1"/>
      <c r="FM23" s="1"/>
      <c r="FN23" s="1"/>
      <c r="FO23" s="1"/>
      <c r="FP23" s="1"/>
      <c r="FQ23" s="1"/>
    </row>
    <row r="24" spans="1:173" x14ac:dyDescent="0.3">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c r="EJ24" s="1"/>
      <c r="EK24" s="1"/>
      <c r="EL24" s="1"/>
      <c r="EM24" s="1"/>
      <c r="EN24" s="1"/>
      <c r="EO24" s="1"/>
      <c r="EP24" s="1"/>
      <c r="EQ24" s="1"/>
      <c r="ER24" s="1"/>
      <c r="ES24" s="1"/>
      <c r="ET24" s="1"/>
      <c r="EU24" s="1"/>
      <c r="EV24" s="1"/>
      <c r="EW24" s="1"/>
      <c r="EX24" s="1"/>
      <c r="EY24" s="1"/>
      <c r="EZ24" s="1"/>
      <c r="FA24" s="1"/>
      <c r="FB24" s="1"/>
      <c r="FC24" s="1"/>
      <c r="FD24" s="1"/>
      <c r="FE24" s="1"/>
      <c r="FF24" s="1"/>
      <c r="FG24" s="1"/>
      <c r="FH24" s="1"/>
      <c r="FI24" s="1"/>
      <c r="FJ24" s="1"/>
      <c r="FK24" s="1"/>
      <c r="FL24" s="1"/>
      <c r="FM24" s="1"/>
      <c r="FN24" s="1"/>
      <c r="FO24" s="1"/>
      <c r="FP24" s="1"/>
      <c r="FQ24" s="1"/>
    </row>
    <row r="25" spans="1:173" x14ac:dyDescent="0.3">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Q25" s="1"/>
    </row>
    <row r="26" spans="1:173" x14ac:dyDescent="0.3">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c r="ER26" s="1"/>
      <c r="ES26" s="1"/>
      <c r="ET26" s="1"/>
      <c r="EU26" s="1"/>
      <c r="EV26" s="1"/>
      <c r="EW26" s="1"/>
      <c r="EX26" s="1"/>
      <c r="EY26" s="1"/>
      <c r="EZ26" s="1"/>
      <c r="FA26" s="1"/>
      <c r="FB26" s="1"/>
      <c r="FC26" s="1"/>
      <c r="FD26" s="1"/>
      <c r="FE26" s="1"/>
      <c r="FF26" s="1"/>
      <c r="FG26" s="1"/>
      <c r="FH26" s="1"/>
      <c r="FI26" s="1"/>
      <c r="FJ26" s="1"/>
      <c r="FK26" s="1"/>
      <c r="FL26" s="1"/>
      <c r="FM26" s="1"/>
      <c r="FN26" s="1"/>
      <c r="FO26" s="1"/>
      <c r="FP26" s="1"/>
      <c r="FQ26" s="1"/>
    </row>
    <row r="27" spans="1:173" x14ac:dyDescent="0.3">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c r="CW27" s="1"/>
      <c r="CX27" s="1"/>
      <c r="CY27" s="1"/>
      <c r="CZ27" s="1"/>
      <c r="DA27" s="1"/>
      <c r="DB27" s="1"/>
      <c r="DC27" s="1"/>
      <c r="DD27" s="1"/>
      <c r="DE27" s="1"/>
      <c r="DF27" s="1"/>
      <c r="DG27" s="1"/>
      <c r="DH27" s="1"/>
      <c r="DI27" s="1"/>
      <c r="DJ27" s="1"/>
      <c r="DK27" s="1"/>
      <c r="DL27" s="1"/>
      <c r="DM27" s="1"/>
      <c r="DN27" s="1"/>
      <c r="DO27" s="1"/>
      <c r="DP27" s="1"/>
      <c r="DQ27" s="1"/>
      <c r="DR27" s="1"/>
      <c r="DS27" s="1"/>
      <c r="DT27" s="1"/>
      <c r="DU27" s="1"/>
      <c r="DV27" s="1"/>
      <c r="DW27" s="1"/>
      <c r="DX27" s="1"/>
      <c r="DY27" s="1"/>
      <c r="DZ27" s="1"/>
      <c r="EA27" s="1"/>
      <c r="EB27" s="1"/>
      <c r="EC27" s="1"/>
      <c r="ED27" s="1"/>
      <c r="EE27" s="1"/>
      <c r="EF27" s="1"/>
      <c r="EG27" s="1"/>
      <c r="EH27" s="1"/>
      <c r="EI27" s="1"/>
      <c r="EJ27" s="1"/>
      <c r="EK27" s="1"/>
      <c r="EL27" s="1"/>
      <c r="EM27" s="1"/>
      <c r="EN27" s="1"/>
      <c r="EO27" s="1"/>
      <c r="EP27" s="1"/>
      <c r="EQ27" s="1"/>
      <c r="ER27" s="1"/>
      <c r="ES27" s="1"/>
      <c r="ET27" s="1"/>
      <c r="EU27" s="1"/>
      <c r="EV27" s="1"/>
      <c r="EW27" s="1"/>
      <c r="EX27" s="1"/>
      <c r="EY27" s="1"/>
      <c r="EZ27" s="1"/>
      <c r="FA27" s="1"/>
      <c r="FB27" s="1"/>
      <c r="FC27" s="1"/>
      <c r="FD27" s="1"/>
      <c r="FE27" s="1"/>
      <c r="FF27" s="1"/>
      <c r="FG27" s="1"/>
      <c r="FH27" s="1"/>
      <c r="FI27" s="1"/>
      <c r="FJ27" s="1"/>
      <c r="FK27" s="1"/>
      <c r="FL27" s="1"/>
      <c r="FM27" s="1"/>
      <c r="FN27" s="1"/>
      <c r="FO27" s="1"/>
      <c r="FP27" s="1"/>
      <c r="FQ27" s="1"/>
    </row>
  </sheetData>
  <pageMargins left="0.7" right="0.7" top="0.75" bottom="0.75" header="0.3" footer="0.3"/>
  <pageSetup paperSize="9" orientation="portrait" r:id="rId1"/>
  <headerFooter>
    <oddHeader>&amp;R&amp;"Arial"&amp;10&amp;K000000 ECB-RESTRICTED&amp;1#_x000D_</oddHead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F94D6-F3DA-448C-81DB-141C99DE8AC1}">
  <dimension ref="A1:BN121"/>
  <sheetViews>
    <sheetView zoomScale="55" zoomScaleNormal="55" workbookViewId="0">
      <selection activeCell="E26" sqref="E26"/>
    </sheetView>
  </sheetViews>
  <sheetFormatPr baseColWidth="10" defaultColWidth="8.6640625" defaultRowHeight="14.4" x14ac:dyDescent="0.3"/>
  <cols>
    <col min="1" max="1" width="4.33203125" customWidth="1"/>
    <col min="3" max="3" width="17.44140625" customWidth="1"/>
    <col min="4" max="4" width="15.5546875" customWidth="1"/>
    <col min="5" max="5" width="16.33203125" customWidth="1"/>
    <col min="6" max="6" width="15.5546875" customWidth="1"/>
    <col min="7" max="7" width="16" customWidth="1"/>
    <col min="8" max="8" width="19" customWidth="1"/>
    <col min="9" max="12" width="17" customWidth="1"/>
    <col min="13" max="13" width="17.44140625" customWidth="1"/>
    <col min="14" max="17" width="16.44140625" customWidth="1"/>
    <col min="18" max="18" width="16.33203125" customWidth="1"/>
    <col min="19" max="19" width="17" customWidth="1"/>
    <col min="20" max="26" width="16.44140625" customWidth="1"/>
    <col min="27" max="33" width="16.33203125" customWidth="1"/>
    <col min="34" max="34" width="14.6640625" customWidth="1"/>
    <col min="35" max="36" width="12.5546875" customWidth="1"/>
    <col min="37" max="37" width="17.44140625" customWidth="1"/>
    <col min="38" max="38" width="12.33203125" customWidth="1"/>
    <col min="39" max="39" width="9.5546875" customWidth="1"/>
    <col min="40" max="42" width="17.44140625" customWidth="1"/>
    <col min="43" max="50" width="9.5546875" customWidth="1"/>
    <col min="51" max="59" width="0.5546875" customWidth="1"/>
  </cols>
  <sheetData>
    <row r="1" spans="1:66" ht="15" thickBot="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row>
    <row r="2" spans="1:66" ht="18" customHeight="1" thickBot="1" x14ac:dyDescent="0.35">
      <c r="A2" s="1"/>
      <c r="B2" s="2" t="s">
        <v>654</v>
      </c>
      <c r="C2" s="3"/>
      <c r="D2" s="3"/>
      <c r="E2" s="3"/>
      <c r="F2" s="3"/>
      <c r="G2" s="3"/>
      <c r="H2" s="3"/>
      <c r="I2" s="3"/>
      <c r="J2" s="3"/>
      <c r="K2" s="3"/>
      <c r="L2" s="3"/>
      <c r="M2" s="4"/>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row>
    <row r="3" spans="1:66" ht="18" customHeight="1" x14ac:dyDescent="0.3">
      <c r="A3" s="1"/>
      <c r="B3" s="5" t="s">
        <v>115</v>
      </c>
      <c r="C3" s="6"/>
      <c r="D3" s="6"/>
      <c r="E3" s="6"/>
      <c r="F3" s="6"/>
      <c r="G3" s="6"/>
      <c r="H3" s="6"/>
      <c r="I3" s="6"/>
      <c r="J3" s="6"/>
      <c r="K3" s="6"/>
      <c r="L3" s="6"/>
      <c r="M3" s="7"/>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row>
    <row r="4" spans="1:66" ht="18" customHeight="1" x14ac:dyDescent="0.3">
      <c r="A4" s="1"/>
      <c r="B4" s="99" t="s">
        <v>1</v>
      </c>
      <c r="C4" s="296"/>
      <c r="D4" s="296"/>
      <c r="E4" s="296"/>
      <c r="F4" s="296"/>
      <c r="G4" s="296"/>
      <c r="H4" s="296"/>
      <c r="I4" s="296"/>
      <c r="J4" s="296"/>
      <c r="K4" s="296"/>
      <c r="L4" s="296"/>
      <c r="M4" s="100"/>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row>
    <row r="5" spans="1:66" ht="14.25" customHeight="1" x14ac:dyDescent="0.3">
      <c r="A5" s="1"/>
      <c r="B5" s="293" t="s">
        <v>116</v>
      </c>
      <c r="C5" s="294"/>
      <c r="D5" s="294"/>
      <c r="E5" s="294"/>
      <c r="F5" s="294"/>
      <c r="G5" s="294"/>
      <c r="H5" s="294"/>
      <c r="I5" s="294"/>
      <c r="J5" s="294"/>
      <c r="K5" s="294"/>
      <c r="L5" s="294"/>
      <c r="M5" s="295"/>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row>
    <row r="6" spans="1:66" ht="12.6" customHeight="1" x14ac:dyDescent="0.3">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row>
    <row r="7" spans="1:66" ht="12.6" customHeight="1" x14ac:dyDescent="0.3">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row>
    <row r="8" spans="1:66" ht="17.7" customHeight="1" x14ac:dyDescent="0.3">
      <c r="A8" s="1"/>
      <c r="B8" s="11" t="s">
        <v>2</v>
      </c>
      <c r="C8" s="12" t="s">
        <v>3</v>
      </c>
      <c r="D8" s="12" t="s">
        <v>4</v>
      </c>
      <c r="E8" s="124" t="s">
        <v>117</v>
      </c>
      <c r="F8" s="125"/>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row>
    <row r="9" spans="1:66" ht="10.35" customHeight="1" x14ac:dyDescent="0.3">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row>
    <row r="10" spans="1:66" x14ac:dyDescent="0.3">
      <c r="A10" s="1"/>
      <c r="B10" s="1"/>
      <c r="C10" s="13" t="s">
        <v>6</v>
      </c>
      <c r="D10" s="14"/>
      <c r="E10" s="14"/>
      <c r="F10" s="14"/>
      <c r="G10" s="14"/>
      <c r="H10" s="14"/>
      <c r="I10" s="14"/>
      <c r="J10" s="14"/>
      <c r="K10" s="14"/>
      <c r="L10" s="14"/>
      <c r="M10" s="14"/>
      <c r="N10" s="14"/>
      <c r="O10" s="14"/>
      <c r="P10" s="15" t="s">
        <v>596</v>
      </c>
      <c r="Q10" s="16"/>
      <c r="R10" s="16"/>
      <c r="S10" s="16"/>
      <c r="T10" s="16"/>
      <c r="U10" s="16"/>
      <c r="V10" s="16"/>
      <c r="W10" s="16"/>
      <c r="X10" s="13"/>
      <c r="Y10" s="17"/>
      <c r="Z10" s="17"/>
      <c r="AA10" s="17"/>
      <c r="AB10" s="17"/>
      <c r="AC10" s="17"/>
      <c r="AD10" s="17"/>
      <c r="AE10" s="19"/>
      <c r="AF10" s="16"/>
      <c r="AG10" s="16"/>
      <c r="AH10" s="16"/>
      <c r="AI10" s="16"/>
      <c r="AJ10" s="16"/>
      <c r="AK10" s="1"/>
      <c r="AL10" s="1"/>
      <c r="AM10" s="99" t="s">
        <v>562</v>
      </c>
      <c r="AN10" s="9"/>
      <c r="AO10" s="9"/>
      <c r="AP10" s="9"/>
      <c r="AQ10" s="9"/>
      <c r="AR10" s="9"/>
      <c r="AS10" s="10"/>
      <c r="AT10" s="1"/>
      <c r="AU10" s="1"/>
      <c r="AV10" s="1"/>
      <c r="AW10" s="1"/>
      <c r="AX10" s="1"/>
      <c r="AY10" s="1"/>
      <c r="AZ10" s="1"/>
      <c r="BA10" s="1"/>
      <c r="BB10" s="1"/>
      <c r="BC10" s="1"/>
      <c r="BD10" s="1"/>
      <c r="BE10" s="1"/>
      <c r="BF10" s="1"/>
      <c r="BG10" s="1"/>
      <c r="BH10" s="1"/>
      <c r="BI10" s="1"/>
      <c r="BJ10" s="1"/>
      <c r="BK10" s="1"/>
      <c r="BL10" s="1"/>
      <c r="BM10" s="1"/>
      <c r="BN10" s="1"/>
    </row>
    <row r="11" spans="1:66" ht="78.75" customHeight="1" x14ac:dyDescent="0.3">
      <c r="A11" s="1"/>
      <c r="B11" s="25" t="s">
        <v>20</v>
      </c>
      <c r="C11" s="26" t="s">
        <v>119</v>
      </c>
      <c r="D11" s="27" t="s">
        <v>120</v>
      </c>
      <c r="E11" s="26" t="s">
        <v>121</v>
      </c>
      <c r="F11" s="27" t="s">
        <v>122</v>
      </c>
      <c r="G11" s="27" t="s">
        <v>123</v>
      </c>
      <c r="H11" s="27" t="s">
        <v>124</v>
      </c>
      <c r="I11" s="27" t="s">
        <v>125</v>
      </c>
      <c r="J11" s="27" t="s">
        <v>126</v>
      </c>
      <c r="K11" s="27" t="s">
        <v>127</v>
      </c>
      <c r="L11" s="27"/>
      <c r="M11" s="27"/>
      <c r="N11" s="27"/>
      <c r="O11" s="27"/>
      <c r="P11" s="26" t="s">
        <v>119</v>
      </c>
      <c r="Q11" s="27" t="s">
        <v>120</v>
      </c>
      <c r="R11" s="27" t="s">
        <v>121</v>
      </c>
      <c r="S11" s="27" t="s">
        <v>122</v>
      </c>
      <c r="T11" s="27" t="s">
        <v>123</v>
      </c>
      <c r="U11" s="27" t="s">
        <v>130</v>
      </c>
      <c r="V11" s="27"/>
      <c r="W11" s="27"/>
      <c r="X11" s="27"/>
      <c r="Y11" s="27"/>
      <c r="Z11" s="27"/>
      <c r="AA11" s="27"/>
      <c r="AB11" s="27"/>
      <c r="AC11" s="27"/>
      <c r="AD11" s="27"/>
      <c r="AE11" s="27"/>
      <c r="AF11" s="27"/>
      <c r="AG11" s="27"/>
      <c r="AH11" s="27"/>
      <c r="AI11" s="27"/>
      <c r="AJ11" s="27"/>
      <c r="AK11" s="27" t="s">
        <v>150</v>
      </c>
      <c r="AL11" s="1"/>
      <c r="AM11" s="522" t="s">
        <v>563</v>
      </c>
      <c r="AN11" s="523" t="s">
        <v>568</v>
      </c>
      <c r="AO11" s="523" t="s">
        <v>569</v>
      </c>
      <c r="AP11" s="523" t="s">
        <v>570</v>
      </c>
      <c r="AQ11" s="523" t="s">
        <v>564</v>
      </c>
      <c r="AR11" s="523" t="s">
        <v>565</v>
      </c>
      <c r="AS11" s="523" t="s">
        <v>566</v>
      </c>
      <c r="AT11" s="1"/>
      <c r="AU11" s="1"/>
      <c r="AV11" s="1"/>
      <c r="AW11" s="1"/>
      <c r="AX11" s="1"/>
      <c r="AY11" s="1"/>
      <c r="AZ11" s="1"/>
      <c r="BA11" s="1"/>
      <c r="BB11" s="1"/>
      <c r="BC11" s="1"/>
      <c r="BD11" s="1"/>
      <c r="BE11" s="1"/>
      <c r="BF11" s="1"/>
      <c r="BG11" s="1"/>
      <c r="BH11" s="1"/>
      <c r="BI11" s="1"/>
      <c r="BJ11" s="1"/>
      <c r="BK11" s="1"/>
      <c r="BL11" s="1"/>
      <c r="BM11" s="1"/>
      <c r="BN11" s="1"/>
    </row>
    <row r="12" spans="1:66" x14ac:dyDescent="0.3">
      <c r="A12" s="1"/>
      <c r="B12" s="28">
        <v>1</v>
      </c>
      <c r="C12" s="129" cm="1">
        <f t="array" ref="C12:G22">'[4]2. Distributional by deciles o'!$B$82:$F$92</f>
        <v>-157020689.42639995</v>
      </c>
      <c r="D12" s="129">
        <v>-207946973.69519994</v>
      </c>
      <c r="E12" s="129">
        <v>-236320356.1956</v>
      </c>
      <c r="F12" s="129">
        <v>-339149781.72840047</v>
      </c>
      <c r="G12" s="129">
        <v>-297246556.34280014</v>
      </c>
      <c r="H12" s="129" cm="1">
        <f t="array" ref="H12:K22">'[4]2. Distributional by deciles o'!$H$82:$K$92</f>
        <v>-136264530.67200002</v>
      </c>
      <c r="I12" s="129">
        <v>-177176730.01200002</v>
      </c>
      <c r="J12" s="129">
        <v>-175681751.90759999</v>
      </c>
      <c r="K12" s="129">
        <v>-193613640.21240017</v>
      </c>
      <c r="L12" s="139"/>
      <c r="M12" s="139"/>
      <c r="N12" s="139"/>
      <c r="O12" s="139"/>
      <c r="P12" s="129" cm="1">
        <f t="array" ref="P12:T22">'[4]2. Distributional by deciles o'!$B$100:$F$110</f>
        <v>3225788429.1815996</v>
      </c>
      <c r="Q12" s="129">
        <v>3288121947.4596014</v>
      </c>
      <c r="R12" s="129">
        <v>3380368579.6175985</v>
      </c>
      <c r="S12" s="129">
        <v>3523195945.6583986</v>
      </c>
      <c r="T12" s="129">
        <v>3768538046.7863989</v>
      </c>
      <c r="U12" s="209">
        <f t="shared" ref="U12:U22" si="0">T12/P12-1</f>
        <v>0.16825332148100536</v>
      </c>
      <c r="V12" s="139"/>
      <c r="W12" s="209"/>
      <c r="X12" s="132"/>
      <c r="Y12" s="132"/>
      <c r="Z12" s="132"/>
      <c r="AA12" s="132"/>
      <c r="AB12" s="132"/>
      <c r="AC12" s="132"/>
      <c r="AD12" s="132"/>
      <c r="AE12" s="139"/>
      <c r="AF12" s="139"/>
      <c r="AG12" s="139"/>
      <c r="AH12" s="139"/>
      <c r="AI12" s="139"/>
      <c r="AJ12" s="139"/>
      <c r="AK12" s="408" cm="1">
        <f t="array" ref="AK12:AK22">'[4]2. Distributional by deciles o'!$L$82:$L$92</f>
        <v>-267431977.68120003</v>
      </c>
      <c r="AL12" s="1"/>
      <c r="AM12" s="32" cm="1">
        <f t="array" aca="1" ref="AM12" ca="1">INDIRECT("'1"&amp;$C$8&amp;"'!W12")</f>
        <v>0.55434578760135611</v>
      </c>
      <c r="AN12" s="524">
        <f t="shared" ref="AN12:AN21" ca="1" si="1">C12+C12*U12*AM12</f>
        <v>-171666090.78198937</v>
      </c>
      <c r="AO12" s="524">
        <f t="shared" ref="AO12:AO21" ca="1" si="2">C12+C12*U$22*AM12</f>
        <v>-171882474.71574274</v>
      </c>
      <c r="AP12" s="524">
        <f t="shared" ref="AP12:AP21" ca="1" si="3">C12+C12*AR12*AM12</f>
        <v>-171666090.78198937</v>
      </c>
      <c r="AQ12" s="525">
        <f t="shared" ref="AQ12:AQ21" si="4">U12</f>
        <v>0.16825332148100536</v>
      </c>
      <c r="AR12" s="344">
        <f>AQ12</f>
        <v>0.16825332148100536</v>
      </c>
      <c r="AS12" s="41">
        <f>P12/P$22</f>
        <v>1.2309505165171661E-2</v>
      </c>
      <c r="AT12" s="1"/>
      <c r="AU12" s="1"/>
      <c r="AV12" s="1"/>
      <c r="AW12" s="1"/>
      <c r="AX12" s="1"/>
      <c r="AY12" s="1"/>
      <c r="AZ12" s="1"/>
      <c r="BA12" s="1"/>
      <c r="BB12" s="1"/>
      <c r="BC12" s="1"/>
      <c r="BD12" s="1"/>
      <c r="BE12" s="1"/>
      <c r="BF12" s="1"/>
      <c r="BG12" s="1"/>
      <c r="BH12" s="1"/>
      <c r="BI12" s="1"/>
      <c r="BJ12" s="1"/>
      <c r="BK12" s="1"/>
      <c r="BL12" s="1"/>
      <c r="BM12" s="1"/>
      <c r="BN12" s="1"/>
    </row>
    <row r="13" spans="1:66" x14ac:dyDescent="0.3">
      <c r="A13" s="1"/>
      <c r="B13" s="28">
        <v>2</v>
      </c>
      <c r="C13" s="129">
        <v>26423258.423999995</v>
      </c>
      <c r="D13" s="129">
        <v>-113525450.82479994</v>
      </c>
      <c r="E13" s="129">
        <v>-173007940.74239999</v>
      </c>
      <c r="F13" s="129">
        <v>-264723511.09200031</v>
      </c>
      <c r="G13" s="129">
        <v>-176390995.77480009</v>
      </c>
      <c r="H13" s="129">
        <v>243287251.34039932</v>
      </c>
      <c r="I13" s="129">
        <v>39735715.29239995</v>
      </c>
      <c r="J13" s="129">
        <v>45953962.615199946</v>
      </c>
      <c r="K13" s="129">
        <v>-18906640.191599995</v>
      </c>
      <c r="L13" s="139"/>
      <c r="M13" s="139"/>
      <c r="N13" s="139"/>
      <c r="O13" s="139"/>
      <c r="P13" s="129">
        <v>10371950238.945591</v>
      </c>
      <c r="Q13" s="129">
        <v>10610427219.616798</v>
      </c>
      <c r="R13" s="129">
        <v>10911392593.78561</v>
      </c>
      <c r="S13" s="129">
        <v>11325072693.048004</v>
      </c>
      <c r="T13" s="129">
        <v>12110871926.203207</v>
      </c>
      <c r="U13" s="209">
        <f t="shared" si="0"/>
        <v>0.16765619263464515</v>
      </c>
      <c r="V13" s="139"/>
      <c r="W13" s="209"/>
      <c r="X13" s="132"/>
      <c r="Y13" s="132"/>
      <c r="Z13" s="132"/>
      <c r="AA13" s="132"/>
      <c r="AB13" s="132"/>
      <c r="AC13" s="132"/>
      <c r="AD13" s="132"/>
      <c r="AE13" s="139"/>
      <c r="AF13" s="139"/>
      <c r="AG13" s="139"/>
      <c r="AH13" s="139"/>
      <c r="AI13" s="139"/>
      <c r="AJ13" s="139"/>
      <c r="AK13" s="408">
        <v>4137109.7568000234</v>
      </c>
      <c r="AL13" s="1"/>
      <c r="AM13" s="32" cm="1">
        <f t="array" aca="1" ref="AM13" ca="1">INDIRECT("'1"&amp;$C$8&amp;"'!W13")</f>
        <v>39.258922395439207</v>
      </c>
      <c r="AN13" s="524">
        <f t="shared" ca="1" si="1"/>
        <v>200341183.83664677</v>
      </c>
      <c r="AO13" s="524">
        <f t="shared" ca="1" si="2"/>
        <v>203539381.77750263</v>
      </c>
      <c r="AP13" s="524">
        <f t="shared" ca="1" si="3"/>
        <v>200341183.83664677</v>
      </c>
      <c r="AQ13" s="525">
        <f t="shared" si="4"/>
        <v>0.16765619263464515</v>
      </c>
      <c r="AR13" s="344">
        <f t="shared" ref="AR13:AR18" si="5">AQ13</f>
        <v>0.16765619263464515</v>
      </c>
      <c r="AS13" s="41">
        <f t="shared" ref="AS13:AS21" si="6">P13/P$22</f>
        <v>3.9579029388358146E-2</v>
      </c>
      <c r="AT13" s="1"/>
      <c r="AU13" s="1"/>
      <c r="AV13" s="1"/>
      <c r="AW13" s="1"/>
      <c r="AX13" s="1"/>
      <c r="AY13" s="1"/>
      <c r="AZ13" s="1"/>
      <c r="BA13" s="1"/>
      <c r="BB13" s="1"/>
      <c r="BC13" s="1"/>
      <c r="BD13" s="1"/>
      <c r="BE13" s="1"/>
      <c r="BF13" s="1"/>
      <c r="BG13" s="1"/>
      <c r="BH13" s="1"/>
      <c r="BI13" s="1"/>
      <c r="BJ13" s="1"/>
      <c r="BK13" s="1"/>
      <c r="BL13" s="1"/>
      <c r="BM13" s="1"/>
      <c r="BN13" s="1"/>
    </row>
    <row r="14" spans="1:66" x14ac:dyDescent="0.3">
      <c r="A14" s="1"/>
      <c r="B14" s="28">
        <v>3</v>
      </c>
      <c r="C14" s="129">
        <v>533224377.35880035</v>
      </c>
      <c r="D14" s="129">
        <v>380255071.38239992</v>
      </c>
      <c r="E14" s="129">
        <v>382313864.73719978</v>
      </c>
      <c r="F14" s="129">
        <v>276349638.66119993</v>
      </c>
      <c r="G14" s="129">
        <v>383613338.59920025</v>
      </c>
      <c r="H14" s="129">
        <v>987752422.05480051</v>
      </c>
      <c r="I14" s="129">
        <v>640081632.93119979</v>
      </c>
      <c r="J14" s="129">
        <v>652498067.54279971</v>
      </c>
      <c r="K14" s="129">
        <v>512503135.19639981</v>
      </c>
      <c r="L14" s="139"/>
      <c r="M14" s="139"/>
      <c r="N14" s="139"/>
      <c r="O14" s="139"/>
      <c r="P14" s="129">
        <v>14137686600.587997</v>
      </c>
      <c r="Q14" s="129">
        <v>14432776605.332401</v>
      </c>
      <c r="R14" s="129">
        <v>14803798312.233601</v>
      </c>
      <c r="S14" s="129">
        <v>15376819443.386398</v>
      </c>
      <c r="T14" s="129">
        <v>16467651815.032784</v>
      </c>
      <c r="U14" s="209">
        <f t="shared" si="0"/>
        <v>0.16480526696269249</v>
      </c>
      <c r="V14" s="139"/>
      <c r="W14" s="209"/>
      <c r="X14" s="132"/>
      <c r="Y14" s="132"/>
      <c r="Z14" s="132"/>
      <c r="AA14" s="132"/>
      <c r="AB14" s="132"/>
      <c r="AC14" s="132"/>
      <c r="AD14" s="132"/>
      <c r="AE14" s="139"/>
      <c r="AF14" s="139"/>
      <c r="AG14" s="139"/>
      <c r="AH14" s="139"/>
      <c r="AI14" s="139"/>
      <c r="AJ14" s="139"/>
      <c r="AK14" s="408">
        <v>565545466.29719973</v>
      </c>
      <c r="AL14" s="1"/>
      <c r="AM14" s="32" cm="1">
        <f t="array" aca="1" ref="AM14" ca="1">INDIRECT("'1"&amp;$C$8&amp;"'!W14")</f>
        <v>4.832524374012924</v>
      </c>
      <c r="AN14" s="524">
        <f t="shared" ca="1" si="1"/>
        <v>957897852.47917771</v>
      </c>
      <c r="AO14" s="524">
        <f t="shared" ca="1" si="2"/>
        <v>973188638.93193662</v>
      </c>
      <c r="AP14" s="524">
        <f t="shared" ca="1" si="3"/>
        <v>957897852.47917771</v>
      </c>
      <c r="AQ14" s="525">
        <f t="shared" si="4"/>
        <v>0.16480526696269249</v>
      </c>
      <c r="AR14" s="344">
        <f t="shared" si="5"/>
        <v>0.16480526696269249</v>
      </c>
      <c r="AS14" s="41">
        <f t="shared" si="6"/>
        <v>5.3948958542723767E-2</v>
      </c>
      <c r="AT14" s="1"/>
      <c r="AU14" s="1"/>
      <c r="AV14" s="1"/>
      <c r="AW14" s="1"/>
      <c r="AX14" s="1"/>
      <c r="AY14" s="1"/>
      <c r="AZ14" s="1"/>
      <c r="BA14" s="1"/>
      <c r="BB14" s="1"/>
      <c r="BC14" s="1"/>
      <c r="BD14" s="1"/>
      <c r="BE14" s="1"/>
      <c r="BF14" s="1"/>
      <c r="BG14" s="1"/>
      <c r="BH14" s="1"/>
      <c r="BI14" s="1"/>
      <c r="BJ14" s="1"/>
      <c r="BK14" s="1"/>
      <c r="BL14" s="1"/>
      <c r="BM14" s="1"/>
      <c r="BN14" s="1"/>
    </row>
    <row r="15" spans="1:66" x14ac:dyDescent="0.3">
      <c r="A15" s="1"/>
      <c r="B15" s="28">
        <v>4</v>
      </c>
      <c r="C15" s="129">
        <v>1052793523.0572011</v>
      </c>
      <c r="D15" s="129">
        <v>900904550.37000108</v>
      </c>
      <c r="E15" s="129">
        <v>951190436.91600072</v>
      </c>
      <c r="F15" s="129">
        <v>868638874.22640061</v>
      </c>
      <c r="G15" s="129">
        <v>988298010.73919928</v>
      </c>
      <c r="H15" s="129">
        <v>1677823946.3027983</v>
      </c>
      <c r="I15" s="129">
        <v>1244479997.6856003</v>
      </c>
      <c r="J15" s="129">
        <v>1260506295.0719998</v>
      </c>
      <c r="K15" s="129">
        <v>1081056602.599201</v>
      </c>
      <c r="L15" s="139"/>
      <c r="M15" s="139"/>
      <c r="N15" s="139"/>
      <c r="O15" s="139"/>
      <c r="P15" s="129">
        <v>17268542592.614403</v>
      </c>
      <c r="Q15" s="129">
        <v>17621500425.583176</v>
      </c>
      <c r="R15" s="129">
        <v>18086397981.267601</v>
      </c>
      <c r="S15" s="129">
        <v>18797211251.875191</v>
      </c>
      <c r="T15" s="129">
        <v>20112856417.340416</v>
      </c>
      <c r="U15" s="209">
        <f t="shared" si="0"/>
        <v>0.16471070499849239</v>
      </c>
      <c r="V15" s="139"/>
      <c r="W15" s="209"/>
      <c r="X15" s="132"/>
      <c r="Y15" s="132"/>
      <c r="Z15" s="132"/>
      <c r="AA15" s="132"/>
      <c r="AB15" s="132"/>
      <c r="AC15" s="132"/>
      <c r="AD15" s="132"/>
      <c r="AE15" s="139"/>
      <c r="AF15" s="139"/>
      <c r="AG15" s="139"/>
      <c r="AH15" s="139"/>
      <c r="AI15" s="139"/>
      <c r="AJ15" s="139"/>
      <c r="AK15" s="408">
        <v>1190618865.1908007</v>
      </c>
      <c r="AL15" s="1"/>
      <c r="AM15" s="32" cm="1">
        <f t="array" aca="1" ref="AM15" ca="1">INDIRECT("'1"&amp;$C$8&amp;"'!W15")</f>
        <v>3.4818013600640869</v>
      </c>
      <c r="AN15" s="524">
        <f t="shared" ca="1" si="1"/>
        <v>1656560034.989171</v>
      </c>
      <c r="AO15" s="524">
        <f t="shared" ca="1" si="2"/>
        <v>1678658351.2170134</v>
      </c>
      <c r="AP15" s="524">
        <f t="shared" ca="1" si="3"/>
        <v>1656560034.989171</v>
      </c>
      <c r="AQ15" s="525">
        <f t="shared" si="4"/>
        <v>0.16471070499849239</v>
      </c>
      <c r="AR15" s="344">
        <f t="shared" si="5"/>
        <v>0.16471070499849239</v>
      </c>
      <c r="AS15" s="41">
        <f t="shared" si="6"/>
        <v>6.589620457306411E-2</v>
      </c>
      <c r="AT15" s="1"/>
      <c r="AU15" s="1"/>
      <c r="AV15" s="1"/>
      <c r="AW15" s="1"/>
      <c r="AX15" s="1"/>
      <c r="AY15" s="1"/>
      <c r="AZ15" s="1"/>
      <c r="BA15" s="1"/>
      <c r="BB15" s="1"/>
      <c r="BC15" s="1"/>
      <c r="BD15" s="1"/>
      <c r="BE15" s="1"/>
      <c r="BF15" s="1"/>
      <c r="BG15" s="1"/>
      <c r="BH15" s="1"/>
      <c r="BI15" s="1"/>
      <c r="BJ15" s="1"/>
      <c r="BK15" s="1"/>
      <c r="BL15" s="1"/>
      <c r="BM15" s="1"/>
      <c r="BN15" s="1"/>
    </row>
    <row r="16" spans="1:66" x14ac:dyDescent="0.3">
      <c r="A16" s="1"/>
      <c r="B16" s="28">
        <v>5</v>
      </c>
      <c r="C16" s="129">
        <v>1607354110.5036001</v>
      </c>
      <c r="D16" s="129">
        <v>1471132534.7507982</v>
      </c>
      <c r="E16" s="129">
        <v>1566064913.5188005</v>
      </c>
      <c r="F16" s="129">
        <v>1510405260.1464005</v>
      </c>
      <c r="G16" s="129">
        <v>1642853879.8872004</v>
      </c>
      <c r="H16" s="129">
        <v>2380038185.8116002</v>
      </c>
      <c r="I16" s="129">
        <v>1903616214.6587987</v>
      </c>
      <c r="J16" s="129">
        <v>1921390020.6083994</v>
      </c>
      <c r="K16" s="129">
        <v>1719943713.4536004</v>
      </c>
      <c r="L16" s="139"/>
      <c r="M16" s="139"/>
      <c r="N16" s="139"/>
      <c r="O16" s="139"/>
      <c r="P16" s="129">
        <v>20486801428.033207</v>
      </c>
      <c r="Q16" s="129">
        <v>20893158766.80719</v>
      </c>
      <c r="R16" s="129">
        <v>21460044294.554417</v>
      </c>
      <c r="S16" s="129">
        <v>22332653953.996811</v>
      </c>
      <c r="T16" s="129">
        <v>23911845817.783203</v>
      </c>
      <c r="U16" s="209">
        <f t="shared" si="0"/>
        <v>0.16718297396407245</v>
      </c>
      <c r="V16" s="139"/>
      <c r="W16" s="209"/>
      <c r="X16" s="132"/>
      <c r="Y16" s="132"/>
      <c r="Z16" s="132"/>
      <c r="AA16" s="132"/>
      <c r="AB16" s="132"/>
      <c r="AC16" s="132"/>
      <c r="AD16" s="132"/>
      <c r="AE16" s="139"/>
      <c r="AF16" s="139"/>
      <c r="AG16" s="139"/>
      <c r="AH16" s="139"/>
      <c r="AI16" s="139"/>
      <c r="AJ16" s="139"/>
      <c r="AK16" s="408">
        <v>1837468870.9259992</v>
      </c>
      <c r="AL16" s="1"/>
      <c r="AM16" s="32" cm="1">
        <f t="array" aca="1" ref="AM16" ca="1">INDIRECT("'1"&amp;$C$8&amp;"'!W16")</f>
        <v>2.798646774550321</v>
      </c>
      <c r="AN16" s="524">
        <f t="shared" ca="1" si="1"/>
        <v>2359412741.869617</v>
      </c>
      <c r="AO16" s="524">
        <f t="shared" ca="1" si="2"/>
        <v>2375410319.94804</v>
      </c>
      <c r="AP16" s="524">
        <f t="shared" ca="1" si="3"/>
        <v>2359412741.869617</v>
      </c>
      <c r="AQ16" s="525">
        <f t="shared" si="4"/>
        <v>0.16718297396407245</v>
      </c>
      <c r="AR16" s="344">
        <f t="shared" si="5"/>
        <v>0.16718297396407245</v>
      </c>
      <c r="AS16" s="41">
        <f t="shared" si="6"/>
        <v>7.8176977049979987E-2</v>
      </c>
      <c r="AT16" s="1"/>
      <c r="AU16" s="1"/>
      <c r="AV16" s="1"/>
      <c r="AW16" s="1"/>
      <c r="AX16" s="1"/>
      <c r="AY16" s="1"/>
      <c r="AZ16" s="1"/>
      <c r="BA16" s="1"/>
      <c r="BB16" s="1"/>
      <c r="BC16" s="1"/>
      <c r="BD16" s="1"/>
      <c r="BE16" s="1"/>
      <c r="BF16" s="1"/>
      <c r="BG16" s="1"/>
      <c r="BH16" s="1"/>
      <c r="BI16" s="1"/>
      <c r="BJ16" s="1"/>
      <c r="BK16" s="1"/>
      <c r="BL16" s="1"/>
      <c r="BM16" s="1"/>
      <c r="BN16" s="1"/>
    </row>
    <row r="17" spans="1:66" x14ac:dyDescent="0.3">
      <c r="A17" s="1"/>
      <c r="B17" s="28">
        <v>6</v>
      </c>
      <c r="C17" s="129">
        <v>2298800311.6524019</v>
      </c>
      <c r="D17" s="129">
        <v>2168719786.3032007</v>
      </c>
      <c r="E17" s="129">
        <v>2288506108.3044043</v>
      </c>
      <c r="F17" s="129">
        <v>2260071684.7907991</v>
      </c>
      <c r="G17" s="129">
        <v>2429241153.5100012</v>
      </c>
      <c r="H17" s="129">
        <v>3243044049.1164055</v>
      </c>
      <c r="I17" s="129">
        <v>2720006339.3868036</v>
      </c>
      <c r="J17" s="129">
        <v>2739698074.3151975</v>
      </c>
      <c r="K17" s="129">
        <v>2515536901.2779989</v>
      </c>
      <c r="L17" s="139"/>
      <c r="M17" s="139"/>
      <c r="N17" s="139"/>
      <c r="O17" s="139"/>
      <c r="P17" s="129">
        <v>23783687010.391197</v>
      </c>
      <c r="Q17" s="129">
        <v>24263690143.715996</v>
      </c>
      <c r="R17" s="129">
        <v>24894752751.406796</v>
      </c>
      <c r="S17" s="129">
        <v>25887072291.538788</v>
      </c>
      <c r="T17" s="129">
        <v>27768145367.820015</v>
      </c>
      <c r="U17" s="209">
        <f t="shared" si="0"/>
        <v>0.16752904441132244</v>
      </c>
      <c r="V17" s="139"/>
      <c r="W17" s="209"/>
      <c r="X17" s="132"/>
      <c r="Y17" s="132"/>
      <c r="Z17" s="132"/>
      <c r="AA17" s="132"/>
      <c r="AB17" s="132"/>
      <c r="AC17" s="132"/>
      <c r="AD17" s="132"/>
      <c r="AE17" s="139"/>
      <c r="AF17" s="139"/>
      <c r="AG17" s="139"/>
      <c r="AH17" s="139"/>
      <c r="AI17" s="139"/>
      <c r="AJ17" s="139"/>
      <c r="AK17" s="408">
        <v>2637518165.3135996</v>
      </c>
      <c r="AL17" s="1"/>
      <c r="AM17" s="32" cm="1">
        <f t="array" aca="1" ref="AM17" ca="1">INDIRECT("'1"&amp;$C$8&amp;"'!W17")</f>
        <v>2.4004676228137454</v>
      </c>
      <c r="AN17" s="524">
        <f t="shared" ca="1" si="1"/>
        <v>3223258367.4041214</v>
      </c>
      <c r="AO17" s="524">
        <f t="shared" ca="1" si="2"/>
        <v>3240972870.4540286</v>
      </c>
      <c r="AP17" s="524">
        <f t="shared" ca="1" si="3"/>
        <v>3223258367.4041214</v>
      </c>
      <c r="AQ17" s="525">
        <f t="shared" si="4"/>
        <v>0.16752904441132244</v>
      </c>
      <c r="AR17" s="344">
        <f t="shared" si="5"/>
        <v>0.16752904441132244</v>
      </c>
      <c r="AS17" s="41">
        <f t="shared" si="6"/>
        <v>9.0757786670935758E-2</v>
      </c>
      <c r="AT17" s="1"/>
      <c r="AU17" s="1"/>
      <c r="AV17" s="1"/>
      <c r="AW17" s="1"/>
      <c r="AX17" s="1"/>
      <c r="AY17" s="1"/>
      <c r="AZ17" s="1"/>
      <c r="BA17" s="1"/>
      <c r="BB17" s="1"/>
      <c r="BC17" s="1"/>
      <c r="BD17" s="1"/>
      <c r="BE17" s="1"/>
      <c r="BF17" s="1"/>
      <c r="BG17" s="1"/>
      <c r="BH17" s="1"/>
      <c r="BI17" s="1"/>
      <c r="BJ17" s="1"/>
      <c r="BK17" s="1"/>
      <c r="BL17" s="1"/>
      <c r="BM17" s="1"/>
      <c r="BN17" s="1"/>
    </row>
    <row r="18" spans="1:66" x14ac:dyDescent="0.3">
      <c r="A18" s="1"/>
      <c r="B18" s="28">
        <v>7</v>
      </c>
      <c r="C18" s="129">
        <v>3100813048.0092034</v>
      </c>
      <c r="D18" s="129">
        <v>2977776063.7991991</v>
      </c>
      <c r="E18" s="129">
        <v>3137534021.8104019</v>
      </c>
      <c r="F18" s="129">
        <v>3163651274.407198</v>
      </c>
      <c r="G18" s="129">
        <v>3366509312.3052015</v>
      </c>
      <c r="H18" s="129">
        <v>4266827522.2692022</v>
      </c>
      <c r="I18" s="129">
        <v>3672061195.2431989</v>
      </c>
      <c r="J18" s="129">
        <v>3694018424.1984053</v>
      </c>
      <c r="K18" s="129">
        <v>3446269621.2948008</v>
      </c>
      <c r="L18" s="139"/>
      <c r="M18" s="139"/>
      <c r="N18" s="139"/>
      <c r="O18" s="139"/>
      <c r="P18" s="129">
        <v>28139029269.190804</v>
      </c>
      <c r="Q18" s="129">
        <v>28688937666.066002</v>
      </c>
      <c r="R18" s="129">
        <v>29461290701.865608</v>
      </c>
      <c r="S18" s="129">
        <v>30668583002.963997</v>
      </c>
      <c r="T18" s="129">
        <v>32880887061.695984</v>
      </c>
      <c r="U18" s="209">
        <f t="shared" si="0"/>
        <v>0.16851532962073446</v>
      </c>
      <c r="V18" s="139"/>
      <c r="W18" s="209"/>
      <c r="X18" s="132"/>
      <c r="Y18" s="132"/>
      <c r="Z18" s="132"/>
      <c r="AA18" s="132"/>
      <c r="AB18" s="132"/>
      <c r="AC18" s="132"/>
      <c r="AD18" s="132"/>
      <c r="AE18" s="139"/>
      <c r="AF18" s="139"/>
      <c r="AG18" s="139"/>
      <c r="AH18" s="139"/>
      <c r="AI18" s="139"/>
      <c r="AJ18" s="139"/>
      <c r="AK18" s="408">
        <v>3604938478.0595999</v>
      </c>
      <c r="AL18" s="1"/>
      <c r="AM18" s="32" cm="1">
        <f t="array" aca="1" ref="AM18" ca="1">INDIRECT("'1"&amp;$C$8&amp;"'!W18")</f>
        <v>2.1587568811364899</v>
      </c>
      <c r="AN18" s="524">
        <f t="shared" ca="1" si="1"/>
        <v>4228838066.4900455</v>
      </c>
      <c r="AO18" s="524">
        <f t="shared" ca="1" si="2"/>
        <v>4243724722.3187475</v>
      </c>
      <c r="AP18" s="524">
        <f t="shared" ca="1" si="3"/>
        <v>4228838066.4900455</v>
      </c>
      <c r="AQ18" s="525">
        <f t="shared" si="4"/>
        <v>0.16851532962073446</v>
      </c>
      <c r="AR18" s="344">
        <f t="shared" si="5"/>
        <v>0.16851532962073446</v>
      </c>
      <c r="AS18" s="41">
        <f t="shared" si="6"/>
        <v>0.10737763301479095</v>
      </c>
      <c r="AT18" s="1"/>
      <c r="AU18" s="1"/>
      <c r="AV18" s="1"/>
      <c r="AW18" s="1"/>
      <c r="AX18" s="1"/>
      <c r="AY18" s="1"/>
      <c r="AZ18" s="1"/>
      <c r="BA18" s="1"/>
      <c r="BB18" s="1"/>
      <c r="BC18" s="1"/>
      <c r="BD18" s="1"/>
      <c r="BE18" s="1"/>
      <c r="BF18" s="1"/>
      <c r="BG18" s="1"/>
      <c r="BH18" s="1"/>
      <c r="BI18" s="1"/>
      <c r="BJ18" s="1"/>
      <c r="BK18" s="1"/>
      <c r="BL18" s="1"/>
      <c r="BM18" s="1"/>
      <c r="BN18" s="1"/>
    </row>
    <row r="19" spans="1:66" x14ac:dyDescent="0.3">
      <c r="A19" s="1"/>
      <c r="B19" s="28">
        <v>8</v>
      </c>
      <c r="C19" s="129">
        <v>4101148714.0907993</v>
      </c>
      <c r="D19" s="129">
        <v>3991643671.2743998</v>
      </c>
      <c r="E19" s="129">
        <v>4207536470.6087971</v>
      </c>
      <c r="F19" s="129">
        <v>4296982522.6764021</v>
      </c>
      <c r="G19" s="129">
        <v>4587586243.1879959</v>
      </c>
      <c r="H19" s="129">
        <v>5570255176.5504026</v>
      </c>
      <c r="I19" s="129">
        <v>4892510734.8996029</v>
      </c>
      <c r="J19" s="129">
        <v>4917966844.4280014</v>
      </c>
      <c r="K19" s="129">
        <v>4630543233.8363972</v>
      </c>
      <c r="L19" s="139"/>
      <c r="M19" s="139"/>
      <c r="N19" s="139"/>
      <c r="O19" s="139"/>
      <c r="P19" s="129">
        <v>33005545716.703194</v>
      </c>
      <c r="Q19" s="129">
        <v>33634377853.530041</v>
      </c>
      <c r="R19" s="129">
        <v>34547013760.897156</v>
      </c>
      <c r="S19" s="129">
        <v>36017444265.193207</v>
      </c>
      <c r="T19" s="129">
        <v>38726234047.567261</v>
      </c>
      <c r="U19" s="209">
        <f t="shared" si="0"/>
        <v>0.17332506421698057</v>
      </c>
      <c r="V19" s="139"/>
      <c r="W19" s="209"/>
      <c r="X19" s="132"/>
      <c r="Y19" s="132"/>
      <c r="Z19" s="132"/>
      <c r="AA19" s="132"/>
      <c r="AB19" s="132"/>
      <c r="AC19" s="132"/>
      <c r="AD19" s="132"/>
      <c r="AE19" s="139"/>
      <c r="AF19" s="139"/>
      <c r="AG19" s="139"/>
      <c r="AH19" s="139"/>
      <c r="AI19" s="139"/>
      <c r="AJ19" s="139"/>
      <c r="AK19" s="408">
        <v>4834203650.7876034</v>
      </c>
      <c r="AL19" s="1"/>
      <c r="AM19" s="32" cm="1">
        <f t="array" aca="1" ref="AM19" ca="1">INDIRECT("'1"&amp;$C$8&amp;"'!W19")</f>
        <v>2.0041935923233427</v>
      </c>
      <c r="AN19" s="524">
        <f t="shared" ca="1" si="1"/>
        <v>5525793381.606185</v>
      </c>
      <c r="AO19" s="524">
        <f t="shared" ca="1" si="2"/>
        <v>5504539232.9439716</v>
      </c>
      <c r="AP19" s="524">
        <f t="shared" ca="1" si="3"/>
        <v>5140512067.400609</v>
      </c>
      <c r="AQ19" s="525">
        <f t="shared" si="4"/>
        <v>0.17332506421698057</v>
      </c>
      <c r="AR19" s="526">
        <f>U19-AP31*AS21/SUM(AS19:AS20)</f>
        <v>0.12645098392947415</v>
      </c>
      <c r="AS19" s="41">
        <f t="shared" si="6"/>
        <v>0.12594810366473519</v>
      </c>
      <c r="AT19" s="1"/>
      <c r="AU19" s="1"/>
      <c r="AV19" s="1"/>
      <c r="AW19" s="1"/>
      <c r="AX19" s="1"/>
      <c r="AY19" s="1"/>
      <c r="AZ19" s="1"/>
      <c r="BA19" s="1"/>
      <c r="BB19" s="1"/>
      <c r="BC19" s="1"/>
      <c r="BD19" s="1"/>
      <c r="BE19" s="1"/>
      <c r="BF19" s="1"/>
      <c r="BG19" s="1"/>
      <c r="BH19" s="1"/>
      <c r="BI19" s="1"/>
      <c r="BJ19" s="1"/>
      <c r="BK19" s="1"/>
      <c r="BL19" s="1"/>
      <c r="BM19" s="1"/>
      <c r="BN19" s="1"/>
    </row>
    <row r="20" spans="1:66" x14ac:dyDescent="0.3">
      <c r="A20" s="1"/>
      <c r="B20" s="28">
        <v>9</v>
      </c>
      <c r="C20" s="129">
        <v>6452372297.5272064</v>
      </c>
      <c r="D20" s="129">
        <v>6396150317.3879948</v>
      </c>
      <c r="E20" s="129">
        <v>6716970261.0588074</v>
      </c>
      <c r="F20" s="129">
        <v>6974934530.414403</v>
      </c>
      <c r="G20" s="129">
        <v>7376994174.1883907</v>
      </c>
      <c r="H20" s="129">
        <v>8460004596.2627964</v>
      </c>
      <c r="I20" s="129">
        <v>7674917925.6012077</v>
      </c>
      <c r="J20" s="129">
        <v>7704894836.2032022</v>
      </c>
      <c r="K20" s="129">
        <v>7364032953.6444073</v>
      </c>
      <c r="L20" s="139"/>
      <c r="M20" s="139"/>
      <c r="N20" s="139"/>
      <c r="O20" s="139"/>
      <c r="P20" s="129">
        <v>41649730656.535202</v>
      </c>
      <c r="Q20" s="129">
        <v>42428206504.125587</v>
      </c>
      <c r="R20" s="129">
        <v>43599840725.315964</v>
      </c>
      <c r="S20" s="129">
        <v>45491435436.313217</v>
      </c>
      <c r="T20" s="129">
        <v>48821129169.117645</v>
      </c>
      <c r="U20" s="209">
        <f t="shared" si="0"/>
        <v>0.17218355075862157</v>
      </c>
      <c r="V20" s="139"/>
      <c r="W20" s="209"/>
      <c r="X20" s="132"/>
      <c r="Y20" s="132"/>
      <c r="Z20" s="132"/>
      <c r="AA20" s="132"/>
      <c r="AB20" s="132"/>
      <c r="AC20" s="132"/>
      <c r="AD20" s="132"/>
      <c r="AE20" s="139"/>
      <c r="AF20" s="139"/>
      <c r="AG20" s="139"/>
      <c r="AH20" s="139"/>
      <c r="AI20" s="139"/>
      <c r="AJ20" s="139"/>
      <c r="AK20" s="408">
        <v>7656507817.3979959</v>
      </c>
      <c r="AL20" s="1"/>
      <c r="AM20" s="32" cm="1">
        <f t="array" aca="1" ref="AM20" ca="1">INDIRECT("'1"&amp;$C$8&amp;"'!W20")</f>
        <v>1.755348174531524</v>
      </c>
      <c r="AN20" s="524">
        <f t="shared" ca="1" si="1"/>
        <v>8402550731.3996267</v>
      </c>
      <c r="AO20" s="524">
        <f t="shared" ca="1" si="2"/>
        <v>8386192268.5547209</v>
      </c>
      <c r="AP20" s="524">
        <f t="shared" ca="1" si="3"/>
        <v>7871647401.3106337</v>
      </c>
      <c r="AQ20" s="525">
        <f t="shared" si="4"/>
        <v>0.17218355075862157</v>
      </c>
      <c r="AR20" s="526">
        <f>U20-AP31*AS21/SUM(AS19:AS20)</f>
        <v>0.12530947047111515</v>
      </c>
      <c r="AS20" s="41">
        <f t="shared" si="6"/>
        <v>0.15893403609693654</v>
      </c>
      <c r="AT20" s="1"/>
      <c r="AU20" s="1"/>
      <c r="AV20" s="1"/>
      <c r="AW20" s="1"/>
      <c r="AX20" s="1"/>
      <c r="AY20" s="1"/>
      <c r="AZ20" s="1"/>
      <c r="BA20" s="1"/>
      <c r="BB20" s="1"/>
      <c r="BC20" s="1"/>
      <c r="BD20" s="1"/>
      <c r="BE20" s="1"/>
      <c r="BF20" s="1"/>
      <c r="BG20" s="1"/>
      <c r="BH20" s="1"/>
      <c r="BI20" s="1"/>
      <c r="BJ20" s="1"/>
      <c r="BK20" s="1"/>
      <c r="BL20" s="1"/>
      <c r="BM20" s="1"/>
      <c r="BN20" s="1"/>
    </row>
    <row r="21" spans="1:66" x14ac:dyDescent="0.3">
      <c r="A21" s="1"/>
      <c r="B21" s="33">
        <v>10</v>
      </c>
      <c r="C21" s="129">
        <v>16084719443.025608</v>
      </c>
      <c r="D21" s="129">
        <v>16177745008.510788</v>
      </c>
      <c r="E21" s="129">
        <v>16934383476.660021</v>
      </c>
      <c r="F21" s="129">
        <v>17905815770.275181</v>
      </c>
      <c r="G21" s="129">
        <v>19016587823.08799</v>
      </c>
      <c r="H21" s="129">
        <v>20246350885.29599</v>
      </c>
      <c r="I21" s="129">
        <v>19190258886.626381</v>
      </c>
      <c r="J21" s="129">
        <v>19230432765.64679</v>
      </c>
      <c r="K21" s="129">
        <v>18774946367.570385</v>
      </c>
      <c r="L21" s="139"/>
      <c r="M21" s="139"/>
      <c r="N21" s="139"/>
      <c r="O21" s="139"/>
      <c r="P21" s="129">
        <v>69987948372.103165</v>
      </c>
      <c r="Q21" s="129">
        <v>71163641502.705643</v>
      </c>
      <c r="R21" s="129">
        <v>73332057919.39679</v>
      </c>
      <c r="S21" s="129">
        <v>76804596143.110855</v>
      </c>
      <c r="T21" s="129">
        <v>82231914936.700806</v>
      </c>
      <c r="U21" s="209">
        <f t="shared" si="0"/>
        <v>0.17494392748163512</v>
      </c>
      <c r="V21" s="139"/>
      <c r="W21" s="209"/>
      <c r="X21" s="132"/>
      <c r="Y21" s="132"/>
      <c r="Z21" s="132"/>
      <c r="AA21" s="132"/>
      <c r="AB21" s="132"/>
      <c r="AC21" s="132"/>
      <c r="AD21" s="132"/>
      <c r="AE21" s="139"/>
      <c r="AF21" s="139"/>
      <c r="AG21" s="139"/>
      <c r="AH21" s="139"/>
      <c r="AI21" s="139"/>
      <c r="AJ21" s="139"/>
      <c r="AK21" s="408">
        <v>19359535835.17561</v>
      </c>
      <c r="AL21" s="1"/>
      <c r="AM21" s="32" cm="1">
        <f t="array" aca="1" ref="AM21" ca="1">INDIRECT("'1"&amp;$C$8&amp;"'!W21")</f>
        <v>1.4049841818569087</v>
      </c>
      <c r="AN21" s="524">
        <f t="shared" ca="1" si="1"/>
        <v>20038238140.456638</v>
      </c>
      <c r="AO21" s="524">
        <f t="shared" ca="1" si="2"/>
        <v>19943217411.734245</v>
      </c>
      <c r="AP21" s="524">
        <f t="shared" ca="1" si="3"/>
        <v>21168176959.809502</v>
      </c>
      <c r="AQ21" s="525">
        <f t="shared" si="4"/>
        <v>0.17494392748163512</v>
      </c>
      <c r="AR21" s="527">
        <f>U21+AP31</f>
        <v>0.22494392748163511</v>
      </c>
      <c r="AS21" s="41">
        <f t="shared" si="6"/>
        <v>0.26707176583330455</v>
      </c>
      <c r="AT21" s="1"/>
      <c r="AU21" s="1"/>
      <c r="AV21" s="1"/>
      <c r="AW21" s="1"/>
      <c r="AX21" s="1"/>
      <c r="AY21" s="1"/>
      <c r="AZ21" s="1"/>
      <c r="BA21" s="1"/>
      <c r="BB21" s="1"/>
      <c r="BC21" s="1"/>
      <c r="BD21" s="1"/>
      <c r="BE21" s="1"/>
      <c r="BF21" s="1"/>
      <c r="BG21" s="1"/>
      <c r="BH21" s="1"/>
      <c r="BI21" s="1"/>
      <c r="BJ21" s="1"/>
      <c r="BK21" s="1"/>
      <c r="BL21" s="1"/>
      <c r="BM21" s="1"/>
      <c r="BN21" s="1"/>
    </row>
    <row r="22" spans="1:66" ht="13.35" customHeight="1" x14ac:dyDescent="0.3">
      <c r="A22" s="1"/>
      <c r="B22" s="34" t="s">
        <v>114</v>
      </c>
      <c r="C22" s="150">
        <v>35100628394.222267</v>
      </c>
      <c r="D22" s="150">
        <v>34142854579.258942</v>
      </c>
      <c r="E22" s="150">
        <v>35775171256.676262</v>
      </c>
      <c r="F22" s="150">
        <v>36652976262.777527</v>
      </c>
      <c r="G22" s="150">
        <v>39318046383.38752</v>
      </c>
      <c r="H22" s="150">
        <v>46939119504.332344</v>
      </c>
      <c r="I22" s="150">
        <v>41800491912.31321</v>
      </c>
      <c r="J22" s="150">
        <v>41991677538.722336</v>
      </c>
      <c r="K22" s="150">
        <v>39832312248.469131</v>
      </c>
      <c r="L22" s="139"/>
      <c r="M22" s="139"/>
      <c r="N22" s="139"/>
      <c r="O22" s="139"/>
      <c r="P22" s="150">
        <v>262056710314.28619</v>
      </c>
      <c r="Q22" s="150">
        <v>267024838634.9422</v>
      </c>
      <c r="R22" s="150">
        <v>274476957620.34106</v>
      </c>
      <c r="S22" s="150">
        <v>286224084427.08441</v>
      </c>
      <c r="T22" s="150">
        <v>306800074606.04688</v>
      </c>
      <c r="U22" s="210">
        <f t="shared" si="0"/>
        <v>0.17073924280778652</v>
      </c>
      <c r="V22" s="139"/>
      <c r="W22" s="210"/>
      <c r="X22" s="154"/>
      <c r="Y22" s="154"/>
      <c r="Z22" s="154"/>
      <c r="AA22" s="154"/>
      <c r="AB22" s="154"/>
      <c r="AC22" s="154"/>
      <c r="AD22" s="154"/>
      <c r="AE22" s="161"/>
      <c r="AF22" s="161"/>
      <c r="AG22" s="161"/>
      <c r="AH22" s="161"/>
      <c r="AI22" s="162"/>
      <c r="AJ22" s="162"/>
      <c r="AK22" s="409">
        <v>41423042281.223984</v>
      </c>
      <c r="AL22" s="1"/>
      <c r="AM22" s="534" cm="1">
        <f t="array" aca="1" ref="AM22" ca="1">INDIRECT("'1"&amp;$C$8&amp;"'!W22")</f>
        <v>1.8866256424887944</v>
      </c>
      <c r="AN22" s="528">
        <f ca="1">SUM(AN12:AN21)</f>
        <v>46421224409.749237</v>
      </c>
      <c r="AO22" s="528">
        <f ca="1">SUM(AO12:AO21)</f>
        <v>46377560723.164459</v>
      </c>
      <c r="AP22" s="528">
        <f ca="1">SUM(AP12:AP21)</f>
        <v>46634978584.807541</v>
      </c>
      <c r="AQ22" s="529">
        <f>SUMPRODUCT(AQ12:AQ21,AS12:AS21)</f>
        <v>0.17073924280778913</v>
      </c>
      <c r="AR22" s="529">
        <f>SUMPRODUCT(AR12:AR21,AS12:AS21)</f>
        <v>0.17073924280778913</v>
      </c>
      <c r="AS22" s="530"/>
      <c r="AT22" s="1"/>
      <c r="AU22" s="1"/>
      <c r="AV22" s="1"/>
      <c r="AW22" s="1"/>
      <c r="AX22" s="1"/>
      <c r="AY22" s="1"/>
      <c r="AZ22" s="1"/>
      <c r="BA22" s="1"/>
      <c r="BB22" s="1"/>
      <c r="BC22" s="1"/>
      <c r="BD22" s="1"/>
      <c r="BE22" s="1"/>
      <c r="BF22" s="1"/>
      <c r="BG22" s="1"/>
      <c r="BH22" s="1"/>
      <c r="BI22" s="1"/>
      <c r="BJ22" s="1"/>
      <c r="BK22" s="1"/>
      <c r="BL22" s="1"/>
      <c r="BM22" s="1"/>
      <c r="BN22" s="1"/>
    </row>
    <row r="23" spans="1:66" ht="12.6" customHeight="1" x14ac:dyDescent="0.3">
      <c r="A23" s="1"/>
      <c r="B23" s="1"/>
      <c r="C23" s="1"/>
      <c r="D23" s="1"/>
      <c r="E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531"/>
      <c r="AO23" s="531"/>
      <c r="AP23" s="1"/>
      <c r="AQ23" s="1"/>
      <c r="AR23" s="525">
        <f>U22</f>
        <v>0.17073924280778652</v>
      </c>
      <c r="AS23" s="1"/>
      <c r="AT23" s="1"/>
      <c r="AU23" s="1"/>
      <c r="AV23" s="1"/>
      <c r="AW23" s="1"/>
      <c r="AX23" s="1"/>
      <c r="AY23" s="1"/>
      <c r="AZ23" s="1"/>
      <c r="BA23" s="1"/>
      <c r="BB23" s="1"/>
      <c r="BC23" s="1"/>
      <c r="BD23" s="1"/>
      <c r="BE23" s="1"/>
      <c r="BF23" s="1"/>
      <c r="BG23" s="1"/>
      <c r="BH23" s="1"/>
      <c r="BI23" s="1"/>
      <c r="BJ23" s="1"/>
      <c r="BK23" s="1"/>
      <c r="BL23" s="1"/>
      <c r="BM23" s="1"/>
      <c r="BN23" s="1"/>
    </row>
    <row r="24" spans="1:66" ht="14.1" customHeight="1" x14ac:dyDescent="0.3">
      <c r="A24" s="1"/>
      <c r="B24" s="1"/>
      <c r="C24" s="1"/>
      <c r="D24" s="1"/>
      <c r="E24" s="1"/>
      <c r="F24" s="1"/>
      <c r="G24" s="11" t="s">
        <v>151</v>
      </c>
      <c r="H24" s="212">
        <f>U22</f>
        <v>0.17073924280778652</v>
      </c>
      <c r="I24" s="1"/>
      <c r="J24" s="1"/>
      <c r="K24" s="11" t="s">
        <v>151</v>
      </c>
      <c r="L24" s="212"/>
      <c r="M24" s="1"/>
      <c r="O24" s="1"/>
      <c r="P24" s="1"/>
      <c r="Q24" s="1"/>
      <c r="R24" s="1"/>
      <c r="S24" s="1"/>
      <c r="T24" s="1"/>
      <c r="U24" s="1"/>
      <c r="V24" s="1"/>
      <c r="W24" s="1"/>
      <c r="X24" s="1"/>
      <c r="Y24" s="55"/>
      <c r="Z24" s="55"/>
      <c r="AA24" s="55"/>
      <c r="AB24" s="55"/>
      <c r="AC24" s="55"/>
      <c r="AD24" s="55"/>
      <c r="AE24" s="55"/>
      <c r="AF24" s="55"/>
      <c r="AG24" s="55"/>
      <c r="AH24" s="1"/>
      <c r="AI24" s="1"/>
      <c r="AJ24" s="1"/>
      <c r="AK24" s="1"/>
      <c r="AL24" s="1"/>
      <c r="AM24" s="1"/>
      <c r="AN24" s="531">
        <f ca="1">AN22/G22-1</f>
        <v>0.18065948539505561</v>
      </c>
      <c r="AO24" s="531"/>
      <c r="AP24" s="1"/>
      <c r="AQ24" s="1"/>
      <c r="AR24" s="532" t="str">
        <f>IF(AR23-AR22&lt;0.0000000001,"ok","wrong")</f>
        <v>ok</v>
      </c>
      <c r="AS24" s="1"/>
      <c r="AT24" s="1"/>
      <c r="AU24" s="1"/>
      <c r="AV24" s="1"/>
      <c r="AW24" s="1"/>
      <c r="AX24" s="1"/>
      <c r="AY24" s="1"/>
      <c r="AZ24" s="1"/>
      <c r="BA24" s="1"/>
      <c r="BB24" s="1"/>
      <c r="BC24" s="1"/>
      <c r="BD24" s="1"/>
      <c r="BE24" s="1"/>
      <c r="BF24" s="1"/>
      <c r="BG24" s="1"/>
      <c r="BH24" s="1"/>
      <c r="BI24" s="1"/>
      <c r="BJ24" s="1"/>
      <c r="BK24" s="1"/>
      <c r="BL24" s="1"/>
      <c r="BM24" s="1"/>
      <c r="BN24" s="1"/>
    </row>
    <row r="25" spans="1:66" ht="14.1" customHeight="1" x14ac:dyDescent="0.3">
      <c r="A25" s="1"/>
      <c r="B25" s="1"/>
      <c r="C25" s="1"/>
      <c r="D25" s="1"/>
      <c r="E25" s="1"/>
      <c r="F25" s="1"/>
      <c r="G25" s="11" t="s">
        <v>152</v>
      </c>
      <c r="H25" s="213">
        <v>0.14860000000000001</v>
      </c>
      <c r="I25" s="1"/>
      <c r="J25" s="1"/>
      <c r="K25" s="11" t="s">
        <v>152</v>
      </c>
      <c r="L25" s="139"/>
      <c r="M25" s="1"/>
      <c r="N25" s="1"/>
      <c r="O25" s="1"/>
      <c r="P25" s="1"/>
      <c r="Q25" s="1"/>
      <c r="R25" s="1"/>
      <c r="S25" s="1"/>
      <c r="T25" s="1"/>
      <c r="U25" s="1"/>
      <c r="V25" s="1"/>
      <c r="W25" s="1"/>
      <c r="X25" s="1"/>
      <c r="Y25" s="55"/>
      <c r="Z25" s="55"/>
      <c r="AA25" s="55"/>
      <c r="AB25" s="55"/>
      <c r="AC25" s="55"/>
      <c r="AD25" s="55"/>
      <c r="AE25" s="55"/>
      <c r="AF25" s="55"/>
      <c r="AG25" s="55"/>
      <c r="AH25" s="1"/>
      <c r="AI25" s="1"/>
      <c r="AJ25" s="1"/>
      <c r="AK25" s="1"/>
      <c r="AL25" s="1"/>
      <c r="AM25" s="1"/>
      <c r="AN25" s="1"/>
      <c r="AO25" s="531"/>
      <c r="AP25" s="1"/>
      <c r="AQ25" s="1"/>
      <c r="AR25" s="532" t="str">
        <f>IF(AQ22-AR22&lt;0.0000000001,"ok","wrong")</f>
        <v>ok</v>
      </c>
      <c r="AS25" s="1"/>
      <c r="AT25" s="1"/>
      <c r="AU25" s="1"/>
      <c r="AV25" s="1"/>
      <c r="AW25" s="1"/>
      <c r="AX25" s="1"/>
      <c r="AY25" s="1"/>
      <c r="AZ25" s="1"/>
      <c r="BA25" s="1"/>
      <c r="BB25" s="1"/>
      <c r="BC25" s="1"/>
      <c r="BD25" s="1"/>
      <c r="BE25" s="1"/>
      <c r="BF25" s="1"/>
      <c r="BG25" s="1"/>
      <c r="BH25" s="1"/>
      <c r="BI25" s="1"/>
      <c r="BJ25" s="1"/>
      <c r="BK25" s="1"/>
      <c r="BL25" s="1"/>
      <c r="BM25" s="1"/>
      <c r="BN25" s="1"/>
    </row>
    <row r="26" spans="1:66" ht="14.1" customHeight="1" x14ac:dyDescent="0.3">
      <c r="A26" s="1"/>
      <c r="B26" s="1"/>
      <c r="C26" s="1"/>
      <c r="D26" s="1"/>
      <c r="E26" s="1"/>
      <c r="F26" s="1"/>
      <c r="G26" s="11" t="s">
        <v>153</v>
      </c>
      <c r="H26" s="213">
        <v>0.21890000000000001</v>
      </c>
      <c r="I26" s="1"/>
      <c r="J26" s="1"/>
      <c r="K26" s="11" t="s">
        <v>153</v>
      </c>
      <c r="L26" s="139"/>
      <c r="M26" s="1"/>
      <c r="N26" s="1"/>
      <c r="O26" s="1"/>
      <c r="P26" s="1"/>
      <c r="Q26" s="1"/>
      <c r="R26" s="1"/>
      <c r="S26" s="1"/>
      <c r="T26" s="1"/>
      <c r="U26" s="1"/>
      <c r="V26" s="1"/>
      <c r="W26" s="1"/>
      <c r="X26" s="1"/>
      <c r="Y26" s="55"/>
      <c r="Z26" s="55"/>
      <c r="AA26" s="55"/>
      <c r="AB26" s="55"/>
      <c r="AC26" s="55"/>
      <c r="AD26" s="55"/>
      <c r="AE26" s="55"/>
      <c r="AF26" s="55"/>
      <c r="AG26" s="55"/>
      <c r="AH26" s="1"/>
      <c r="AI26" s="1"/>
      <c r="AJ26" s="1"/>
      <c r="AK26" s="1"/>
      <c r="AL26" s="1"/>
      <c r="AM26" s="8" t="s">
        <v>571</v>
      </c>
      <c r="AN26" s="533"/>
      <c r="AO26" s="535">
        <f ca="1">AO22/$AN22-1</f>
        <v>-9.4059747755403933E-4</v>
      </c>
      <c r="AP26" s="536">
        <f ca="1">AP22/$AN22-1</f>
        <v>4.6046647363615634E-3</v>
      </c>
      <c r="AQ26" s="1"/>
      <c r="AR26" s="1"/>
      <c r="AS26" s="1"/>
      <c r="AT26" s="1"/>
      <c r="AU26" s="1"/>
      <c r="AV26" s="1"/>
      <c r="AW26" s="1"/>
      <c r="AX26" s="1"/>
      <c r="AY26" s="1"/>
      <c r="AZ26" s="1"/>
      <c r="BA26" s="1"/>
      <c r="BB26" s="1"/>
      <c r="BC26" s="1"/>
      <c r="BD26" s="1"/>
      <c r="BE26" s="1"/>
      <c r="BF26" s="1"/>
      <c r="BG26" s="1"/>
      <c r="BH26" s="1"/>
      <c r="BI26" s="1"/>
      <c r="BJ26" s="1"/>
      <c r="BK26" s="1"/>
      <c r="BL26" s="1"/>
      <c r="BM26" s="1"/>
      <c r="BN26" s="1"/>
    </row>
    <row r="27" spans="1:66" ht="9" customHeight="1" x14ac:dyDescent="0.3">
      <c r="A27" s="1"/>
      <c r="B27" s="1"/>
      <c r="C27" s="1"/>
      <c r="D27" s="1"/>
      <c r="E27" s="1"/>
      <c r="F27" s="1"/>
      <c r="G27" s="1"/>
      <c r="H27" s="1"/>
      <c r="I27" s="1"/>
      <c r="J27" s="1"/>
      <c r="K27" s="1"/>
      <c r="L27" s="1"/>
      <c r="M27" s="1"/>
      <c r="N27" s="1"/>
      <c r="O27" s="1"/>
      <c r="P27" s="1"/>
      <c r="Q27" s="1"/>
      <c r="R27" s="1"/>
      <c r="S27" s="1"/>
      <c r="T27" s="55"/>
      <c r="U27" s="55"/>
      <c r="V27" s="55"/>
      <c r="W27" s="55"/>
      <c r="X27" s="55"/>
      <c r="Y27" s="55"/>
      <c r="Z27" s="55"/>
      <c r="AA27" s="55"/>
      <c r="AB27" s="55"/>
      <c r="AC27" s="55"/>
      <c r="AD27" s="55"/>
      <c r="AE27" s="55"/>
      <c r="AF27" s="55"/>
      <c r="AG27" s="55"/>
      <c r="AH27" s="1"/>
      <c r="AI27" s="1"/>
      <c r="AJ27" s="1"/>
      <c r="AK27" s="1"/>
      <c r="AL27" s="1"/>
      <c r="AM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row>
    <row r="28" spans="1:66" ht="12" customHeight="1" thickBot="1" x14ac:dyDescent="0.35">
      <c r="A28" s="214"/>
      <c r="B28" s="214"/>
      <c r="C28" s="214"/>
      <c r="D28" s="214"/>
      <c r="E28" s="214"/>
      <c r="F28" s="214"/>
      <c r="G28" s="214"/>
      <c r="H28" s="214"/>
      <c r="I28" s="214"/>
      <c r="J28" s="214"/>
      <c r="K28" s="214"/>
      <c r="L28" s="214"/>
      <c r="M28" s="214"/>
      <c r="N28" s="214"/>
      <c r="O28" s="214"/>
      <c r="P28" s="214"/>
      <c r="Q28" s="214"/>
      <c r="R28" s="214"/>
      <c r="S28" s="214"/>
      <c r="T28" s="215"/>
      <c r="U28" s="215"/>
      <c r="V28" s="215"/>
      <c r="W28" s="215"/>
      <c r="X28" s="215"/>
      <c r="Y28" s="215"/>
      <c r="Z28" s="215"/>
      <c r="AA28" s="214"/>
      <c r="AB28" s="214"/>
      <c r="AC28" s="214"/>
      <c r="AD28" s="214"/>
      <c r="AE28" s="214"/>
      <c r="AF28" s="214"/>
      <c r="AG28" s="214"/>
      <c r="AH28" s="214"/>
      <c r="AI28" s="214"/>
      <c r="AJ28" s="1"/>
      <c r="AK28" s="1"/>
      <c r="AL28" s="1"/>
      <c r="AM28" s="8" t="s">
        <v>572</v>
      </c>
      <c r="AN28" s="8"/>
      <c r="AO28" s="535">
        <f ca="1">(AO22-$AN22)/($W$37*1000000)</f>
        <v>-7.4007692052543393E-3</v>
      </c>
      <c r="AP28" s="536">
        <f ca="1">(AP22-$AN22)/($W$37*1000000)</f>
        <v>3.6230227907909703E-2</v>
      </c>
      <c r="AQ28" s="1"/>
      <c r="AR28" s="1"/>
      <c r="AS28" s="1"/>
      <c r="AT28" s="1"/>
      <c r="AU28" s="1"/>
      <c r="AV28" s="1"/>
      <c r="AW28" s="1"/>
      <c r="AX28" s="1"/>
      <c r="AY28" s="1"/>
      <c r="AZ28" s="1"/>
      <c r="BA28" s="1"/>
      <c r="BB28" s="1"/>
      <c r="BC28" s="1"/>
      <c r="BD28" s="1"/>
      <c r="BE28" s="1"/>
      <c r="BF28" s="1"/>
      <c r="BG28" s="1"/>
      <c r="BH28" s="1"/>
      <c r="BI28" s="1"/>
      <c r="BJ28" s="1"/>
      <c r="BK28" s="1"/>
      <c r="BL28" s="1"/>
      <c r="BM28" s="1"/>
      <c r="BN28" s="1"/>
    </row>
    <row r="29" spans="1:66" ht="12" customHeight="1" thickBot="1" x14ac:dyDescent="0.35">
      <c r="A29" s="214"/>
      <c r="B29" s="216" t="s">
        <v>154</v>
      </c>
      <c r="C29" s="217"/>
      <c r="D29" s="217"/>
      <c r="E29" s="217"/>
      <c r="F29" s="217"/>
      <c r="G29" s="217"/>
      <c r="H29" s="217"/>
      <c r="I29" s="217"/>
      <c r="J29" s="217"/>
      <c r="K29" s="217"/>
      <c r="L29" s="217"/>
      <c r="M29" s="217"/>
      <c r="N29" s="217"/>
      <c r="O29" s="217"/>
      <c r="P29" s="217"/>
      <c r="Q29" s="217"/>
      <c r="R29" s="217"/>
      <c r="S29" s="217"/>
      <c r="T29" s="218"/>
      <c r="U29" s="218"/>
      <c r="V29" s="219"/>
      <c r="W29" s="215"/>
      <c r="X29" s="215"/>
      <c r="Y29" s="215"/>
      <c r="Z29" s="215"/>
      <c r="AA29" s="214"/>
      <c r="AB29" s="214"/>
      <c r="AC29" s="214"/>
      <c r="AD29" s="214"/>
      <c r="AE29" s="214"/>
      <c r="AF29" s="214"/>
      <c r="AG29" s="214"/>
      <c r="AH29" s="214"/>
      <c r="AI29" s="214"/>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row>
    <row r="30" spans="1:66" ht="21.6" customHeight="1" thickBot="1" x14ac:dyDescent="0.35">
      <c r="A30" s="214"/>
      <c r="B30" s="375" t="s">
        <v>155</v>
      </c>
      <c r="C30" s="374" t="s">
        <v>156</v>
      </c>
      <c r="D30" s="373" t="s">
        <v>157</v>
      </c>
      <c r="E30" s="214"/>
      <c r="F30" s="214"/>
      <c r="G30" s="214"/>
      <c r="H30" s="214"/>
      <c r="I30" s="214"/>
      <c r="J30" s="214"/>
      <c r="K30" s="214"/>
      <c r="L30" s="214"/>
      <c r="M30" s="214"/>
      <c r="N30" s="214"/>
      <c r="O30" s="214"/>
      <c r="P30" s="214"/>
      <c r="Q30" s="214"/>
      <c r="R30" s="214"/>
      <c r="S30" s="214"/>
      <c r="T30" s="214"/>
      <c r="U30" s="214"/>
      <c r="V30" s="214"/>
      <c r="W30" s="214"/>
      <c r="X30" s="214"/>
      <c r="Y30" s="214"/>
      <c r="Z30" s="214"/>
      <c r="AA30" s="214"/>
      <c r="AB30" s="214"/>
      <c r="AC30" s="216" t="s">
        <v>158</v>
      </c>
      <c r="AD30" s="221"/>
      <c r="AE30" s="214"/>
      <c r="AF30" s="214"/>
      <c r="AG30" s="214"/>
      <c r="AH30" s="214"/>
      <c r="AI30" s="214"/>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row>
    <row r="31" spans="1:66" ht="21" customHeight="1" thickBot="1" x14ac:dyDescent="0.35">
      <c r="A31" s="214"/>
      <c r="B31" s="216" t="s">
        <v>159</v>
      </c>
      <c r="C31" s="221"/>
      <c r="D31" s="223"/>
      <c r="E31" s="222" t="s">
        <v>160</v>
      </c>
      <c r="F31" s="222" t="s">
        <v>160</v>
      </c>
      <c r="G31" s="223"/>
      <c r="H31" s="224" t="s">
        <v>161</v>
      </c>
      <c r="I31" s="222"/>
      <c r="J31" s="222"/>
      <c r="K31" s="222"/>
      <c r="L31" s="222"/>
      <c r="M31" s="223"/>
      <c r="N31" s="216" t="s">
        <v>162</v>
      </c>
      <c r="O31" s="221"/>
      <c r="P31" s="222" t="s">
        <v>163</v>
      </c>
      <c r="Q31" s="222"/>
      <c r="R31" s="222"/>
      <c r="S31" s="223"/>
      <c r="T31" s="224" t="s">
        <v>164</v>
      </c>
      <c r="U31" s="222"/>
      <c r="V31" s="222"/>
      <c r="W31" s="223"/>
      <c r="X31" s="225" t="s">
        <v>165</v>
      </c>
      <c r="Y31" s="222"/>
      <c r="Z31" s="222"/>
      <c r="AA31" s="223"/>
      <c r="AB31" s="214"/>
      <c r="AC31" s="347" t="s">
        <v>163</v>
      </c>
      <c r="AD31" s="348"/>
      <c r="AE31" s="223"/>
      <c r="AF31" s="224" t="s">
        <v>164</v>
      </c>
      <c r="AG31" s="222"/>
      <c r="AH31" s="223"/>
      <c r="AI31" s="214"/>
      <c r="AJ31" s="1"/>
      <c r="AK31" s="1"/>
      <c r="AL31" s="1"/>
      <c r="AM31" s="1"/>
      <c r="AN31" s="1"/>
      <c r="AO31" s="8" t="s">
        <v>567</v>
      </c>
      <c r="AP31" s="10">
        <v>0.05</v>
      </c>
      <c r="AQ31" s="1"/>
      <c r="AR31" s="1"/>
      <c r="AS31" s="1"/>
      <c r="AT31" s="1"/>
      <c r="AU31" s="1"/>
      <c r="AV31" s="1"/>
      <c r="AW31" s="1"/>
      <c r="AX31" s="1"/>
      <c r="AY31" s="1"/>
      <c r="AZ31" s="1"/>
      <c r="BA31" s="1"/>
      <c r="BB31" s="1"/>
      <c r="BC31" s="1"/>
      <c r="BD31" s="1"/>
      <c r="BE31" s="1"/>
      <c r="BF31" s="1"/>
      <c r="BG31" s="1"/>
      <c r="BH31" s="1"/>
      <c r="BI31" s="1"/>
      <c r="BJ31" s="1"/>
      <c r="BK31" s="1"/>
      <c r="BL31" s="1"/>
      <c r="BM31" s="1"/>
      <c r="BN31" s="1"/>
    </row>
    <row r="32" spans="1:66" ht="51" customHeight="1" x14ac:dyDescent="0.3">
      <c r="A32" s="214"/>
      <c r="B32" s="226"/>
      <c r="C32" s="227" t="s">
        <v>166</v>
      </c>
      <c r="D32" s="228" t="s">
        <v>167</v>
      </c>
      <c r="E32" s="228" t="s">
        <v>168</v>
      </c>
      <c r="F32" s="410" t="s">
        <v>169</v>
      </c>
      <c r="G32" s="228" t="s">
        <v>170</v>
      </c>
      <c r="H32" s="228" t="s">
        <v>171</v>
      </c>
      <c r="I32" s="229" t="s">
        <v>172</v>
      </c>
      <c r="J32" s="229" t="s">
        <v>173</v>
      </c>
      <c r="K32" s="230" t="s">
        <v>174</v>
      </c>
      <c r="L32" s="229" t="s">
        <v>175</v>
      </c>
      <c r="M32" s="411" t="s">
        <v>176</v>
      </c>
      <c r="N32" s="227"/>
      <c r="O32" s="227" t="s">
        <v>177</v>
      </c>
      <c r="P32" s="231" t="s">
        <v>178</v>
      </c>
      <c r="Q32" s="231" t="s">
        <v>179</v>
      </c>
      <c r="R32" s="231" t="s">
        <v>180</v>
      </c>
      <c r="S32" s="231" t="s">
        <v>181</v>
      </c>
      <c r="T32" s="231" t="s">
        <v>182</v>
      </c>
      <c r="U32" s="231" t="s">
        <v>183</v>
      </c>
      <c r="V32" s="231" t="s">
        <v>184</v>
      </c>
      <c r="W32" s="231" t="s">
        <v>185</v>
      </c>
      <c r="X32" s="231" t="s">
        <v>186</v>
      </c>
      <c r="Y32" s="231" t="s">
        <v>187</v>
      </c>
      <c r="Z32" s="231" t="s">
        <v>188</v>
      </c>
      <c r="AA32" s="231" t="s">
        <v>189</v>
      </c>
      <c r="AB32" s="214"/>
      <c r="AC32" s="231" t="s">
        <v>178</v>
      </c>
      <c r="AD32" s="231" t="s">
        <v>179</v>
      </c>
      <c r="AE32" s="231" t="s">
        <v>180</v>
      </c>
      <c r="AF32" s="231" t="s">
        <v>182</v>
      </c>
      <c r="AG32" s="231" t="s">
        <v>183</v>
      </c>
      <c r="AH32" s="231" t="s">
        <v>184</v>
      </c>
      <c r="AI32" s="214"/>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row>
    <row r="33" spans="1:66" ht="15.6" customHeight="1" x14ac:dyDescent="0.3">
      <c r="A33" s="214"/>
      <c r="B33" s="232">
        <v>2019</v>
      </c>
      <c r="C33" s="233">
        <f>C22</f>
        <v>35100628394.222267</v>
      </c>
      <c r="D33" s="146">
        <v>395706.77003000001</v>
      </c>
      <c r="E33" s="259">
        <v>8.9520507756752252</v>
      </c>
      <c r="F33" s="146">
        <v>35423870975.869995</v>
      </c>
      <c r="G33" s="234">
        <f>F33/C33</f>
        <v>1.0092090254914334</v>
      </c>
      <c r="H33" s="235">
        <f>C33*G33</f>
        <v>35423870975.869995</v>
      </c>
      <c r="I33" s="235" t="s">
        <v>113</v>
      </c>
      <c r="J33" s="235" t="s">
        <v>113</v>
      </c>
      <c r="K33" s="235" t="s">
        <v>113</v>
      </c>
      <c r="L33" s="235" t="s">
        <v>113</v>
      </c>
      <c r="M33" s="214"/>
      <c r="N33" s="232">
        <v>2019</v>
      </c>
      <c r="O33" s="236">
        <f>G33</f>
        <v>1.0092090254914334</v>
      </c>
      <c r="P33" s="237"/>
      <c r="Q33" s="237"/>
      <c r="R33" s="237"/>
      <c r="S33" s="237"/>
      <c r="T33" s="237"/>
      <c r="U33" s="237"/>
      <c r="V33" s="238"/>
      <c r="W33" s="238"/>
      <c r="X33" s="238"/>
      <c r="Y33" s="238"/>
      <c r="Z33" s="238"/>
      <c r="AA33" s="238"/>
      <c r="AB33" s="214"/>
      <c r="AC33" s="237"/>
      <c r="AD33" s="237"/>
      <c r="AE33" s="237"/>
      <c r="AF33" s="237"/>
      <c r="AG33" s="237"/>
      <c r="AH33" s="238"/>
      <c r="AI33" s="214"/>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row>
    <row r="34" spans="1:66" s="51" customFormat="1" ht="15.6" customHeight="1" x14ac:dyDescent="0.3">
      <c r="A34" s="239"/>
      <c r="B34" s="240">
        <v>2020</v>
      </c>
      <c r="C34" s="241">
        <f>D22</f>
        <v>34142854579.258942</v>
      </c>
      <c r="D34" s="146">
        <v>380317.87886</v>
      </c>
      <c r="E34" s="259">
        <v>8.6871036327855489</v>
      </c>
      <c r="F34" s="146">
        <v>33038608270.580002</v>
      </c>
      <c r="G34" s="234">
        <f>F34/C34</f>
        <v>0.96765805547642325</v>
      </c>
      <c r="H34" s="242">
        <f>C34*G34</f>
        <v>33038608270.580002</v>
      </c>
      <c r="I34" s="243"/>
      <c r="J34" s="243"/>
      <c r="K34" s="243"/>
      <c r="L34" s="243"/>
      <c r="M34" s="214"/>
      <c r="N34" s="240">
        <v>2020</v>
      </c>
      <c r="O34" s="244"/>
      <c r="P34" s="245"/>
      <c r="Q34" s="245"/>
      <c r="R34" s="245"/>
      <c r="S34" s="245"/>
      <c r="T34" s="245"/>
      <c r="U34" s="245"/>
      <c r="V34" s="245"/>
      <c r="W34" s="245"/>
      <c r="X34" s="245"/>
      <c r="Y34" s="245"/>
      <c r="Z34" s="245"/>
      <c r="AA34" s="245"/>
      <c r="AB34" s="239"/>
      <c r="AC34" s="245"/>
      <c r="AD34" s="245"/>
      <c r="AE34" s="245"/>
      <c r="AF34" s="245"/>
      <c r="AG34" s="245"/>
      <c r="AH34" s="245"/>
      <c r="AI34" s="239"/>
      <c r="AJ34" s="47"/>
      <c r="AK34" s="47"/>
      <c r="AL34" s="47"/>
      <c r="AM34" s="47"/>
      <c r="AN34" s="47"/>
      <c r="AO34" s="47"/>
      <c r="AP34" s="47"/>
      <c r="AQ34" s="47"/>
      <c r="AR34" s="47"/>
      <c r="AS34" s="47"/>
      <c r="AT34" s="47"/>
      <c r="AU34" s="47"/>
      <c r="AV34" s="47"/>
      <c r="AW34" s="47"/>
      <c r="AX34" s="47"/>
      <c r="AY34" s="47"/>
      <c r="AZ34" s="47"/>
      <c r="BA34" s="47"/>
      <c r="BB34" s="47"/>
      <c r="BC34" s="47"/>
      <c r="BD34" s="47"/>
      <c r="BE34" s="47"/>
      <c r="BF34" s="47"/>
      <c r="BG34" s="47"/>
      <c r="BH34" s="47"/>
      <c r="BI34" s="47"/>
      <c r="BJ34" s="47"/>
      <c r="BK34" s="47"/>
      <c r="BL34" s="47"/>
      <c r="BM34" s="47"/>
      <c r="BN34" s="47"/>
    </row>
    <row r="35" spans="1:66" ht="15.6" customHeight="1" x14ac:dyDescent="0.3">
      <c r="A35" s="214"/>
      <c r="B35" s="232">
        <v>2021</v>
      </c>
      <c r="C35" s="241">
        <f>E22</f>
        <v>35775171256.676262</v>
      </c>
      <c r="D35" s="146">
        <v>406232.06430199998</v>
      </c>
      <c r="E35" s="259">
        <v>8.8437541790846588</v>
      </c>
      <c r="F35" s="146">
        <v>35926165163.490005</v>
      </c>
      <c r="G35" s="234">
        <f>F35/C35</f>
        <v>1.0042206340741295</v>
      </c>
      <c r="H35" s="242">
        <f>C35*G35</f>
        <v>35926165163.490013</v>
      </c>
      <c r="I35" s="243"/>
      <c r="J35" s="243"/>
      <c r="K35" s="243"/>
      <c r="L35" s="243"/>
      <c r="M35" s="214"/>
      <c r="N35" s="232">
        <v>2021</v>
      </c>
      <c r="O35" s="244"/>
      <c r="P35" s="246"/>
      <c r="Q35" s="246"/>
      <c r="R35" s="246"/>
      <c r="S35" s="246"/>
      <c r="T35" s="246"/>
      <c r="U35" s="246"/>
      <c r="V35" s="247"/>
      <c r="W35" s="247"/>
      <c r="X35" s="247"/>
      <c r="Y35" s="247"/>
      <c r="Z35" s="247"/>
      <c r="AA35" s="247"/>
      <c r="AB35" s="214"/>
      <c r="AC35" s="246"/>
      <c r="AD35" s="246"/>
      <c r="AE35" s="246"/>
      <c r="AF35" s="246"/>
      <c r="AG35" s="246"/>
      <c r="AH35" s="247"/>
      <c r="AI35" s="214"/>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row>
    <row r="36" spans="1:66" ht="15.6" customHeight="1" x14ac:dyDescent="0.3">
      <c r="A36" s="214"/>
      <c r="B36" s="240">
        <v>2022</v>
      </c>
      <c r="C36" s="248">
        <f>F22</f>
        <v>36652976262.777527</v>
      </c>
      <c r="D36" s="146">
        <v>448007.44518699998</v>
      </c>
      <c r="E36" s="259">
        <v>8.7861520089783109</v>
      </c>
      <c r="F36" s="146">
        <v>39362615145.670006</v>
      </c>
      <c r="G36" s="234">
        <f>F36/C36</f>
        <v>1.073926844670571</v>
      </c>
      <c r="H36" s="242">
        <f>C36*G36</f>
        <v>39362615145.670006</v>
      </c>
      <c r="I36" s="249"/>
      <c r="J36" s="249"/>
      <c r="K36" s="249"/>
      <c r="L36" s="249"/>
      <c r="M36" s="214"/>
      <c r="N36" s="240">
        <v>2022</v>
      </c>
      <c r="O36" s="250"/>
      <c r="P36" s="225"/>
      <c r="Q36" s="225"/>
      <c r="R36" s="225"/>
      <c r="S36" s="225"/>
      <c r="T36" s="225"/>
      <c r="U36" s="225"/>
      <c r="V36" s="225"/>
      <c r="W36" s="225"/>
      <c r="X36" s="225"/>
      <c r="Y36" s="225"/>
      <c r="Z36" s="225"/>
      <c r="AA36" s="225"/>
      <c r="AB36" s="214"/>
      <c r="AC36" s="225"/>
      <c r="AD36" s="225"/>
      <c r="AE36" s="225"/>
      <c r="AF36" s="225"/>
      <c r="AG36" s="225"/>
      <c r="AH36" s="225"/>
      <c r="AI36" s="214"/>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row>
    <row r="37" spans="1:66" ht="15.6" customHeight="1" x14ac:dyDescent="0.3">
      <c r="A37" s="214"/>
      <c r="B37" s="232">
        <v>2023</v>
      </c>
      <c r="C37" s="251">
        <f>G22</f>
        <v>39318046383.38752</v>
      </c>
      <c r="D37" s="146">
        <v>473226.71763099998</v>
      </c>
      <c r="E37" s="259">
        <v>8.5534026695513123</v>
      </c>
      <c r="F37" s="146">
        <v>40476986698.880005</v>
      </c>
      <c r="G37" s="234">
        <f>F37/C37</f>
        <v>1.0294760401926317</v>
      </c>
      <c r="H37" s="242">
        <f>C37*G37</f>
        <v>40476986698.880013</v>
      </c>
      <c r="I37" s="235">
        <f>H22*$G37</f>
        <v>48322698877.448792</v>
      </c>
      <c r="J37" s="235">
        <f>I22*$G37</f>
        <v>43032604891.992332</v>
      </c>
      <c r="K37" s="235">
        <f>J22*$G37</f>
        <v>43229425913.609749</v>
      </c>
      <c r="L37" s="235">
        <f>K22*$G37</f>
        <v>41006411085.270462</v>
      </c>
      <c r="M37" s="412">
        <f>AK22*$G37</f>
        <v>42644029540.406425</v>
      </c>
      <c r="N37" s="232">
        <v>2023</v>
      </c>
      <c r="O37" s="252">
        <f>G37</f>
        <v>1.0294760401926317</v>
      </c>
      <c r="P37" s="253">
        <f>($H37-J37)/1000000</f>
        <v>-2555.6181931123201</v>
      </c>
      <c r="Q37" s="253">
        <f>($H37-K37)/1000000</f>
        <v>-2752.4392147297362</v>
      </c>
      <c r="R37" s="253">
        <f>($H37-L37)/1000000</f>
        <v>-529.42438639044951</v>
      </c>
      <c r="S37" s="253">
        <f>AVERAGE(P37:R37)</f>
        <v>-1945.8272647441684</v>
      </c>
      <c r="T37" s="253">
        <f t="shared" ref="T37:V37" si="7">($I37-J37)/1000000</f>
        <v>5290.0939854564594</v>
      </c>
      <c r="U37" s="253">
        <f t="shared" si="7"/>
        <v>5093.2729638390429</v>
      </c>
      <c r="V37" s="253">
        <f t="shared" si="7"/>
        <v>7316.2877921783293</v>
      </c>
      <c r="W37" s="253">
        <f>AVERAGE(T37:V37)</f>
        <v>5899.8849138246105</v>
      </c>
      <c r="X37" s="254">
        <f>(T37-P37)/T37</f>
        <v>1.4830950452181439</v>
      </c>
      <c r="Y37" s="254">
        <f>(U37-Q37)/U37</f>
        <v>1.5404067746361452</v>
      </c>
      <c r="Z37" s="254">
        <f>(V37-R37)/V37</f>
        <v>1.0723624331667823</v>
      </c>
      <c r="AA37" s="254">
        <f>AVERAGE(X37:Z37)</f>
        <v>1.3652880843403572</v>
      </c>
      <c r="AB37" s="214"/>
      <c r="AC37" s="351">
        <f>P37/$D37</f>
        <v>-5.4004097780148402E-3</v>
      </c>
      <c r="AD37" s="351">
        <f>Q37/$D37</f>
        <v>-5.8163225198032019E-3</v>
      </c>
      <c r="AE37" s="351">
        <f>R37/$D37</f>
        <v>-1.1187542179376057E-3</v>
      </c>
      <c r="AF37" s="351">
        <f>T37/$D37</f>
        <v>1.1178772855300674E-2</v>
      </c>
      <c r="AG37" s="351">
        <f>U37/$D37</f>
        <v>1.0762860113512311E-2</v>
      </c>
      <c r="AH37" s="351">
        <f>V37/$D37</f>
        <v>1.5460428415377907E-2</v>
      </c>
      <c r="AI37" s="214"/>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row>
    <row r="38" spans="1:66" ht="15.6" customHeight="1" x14ac:dyDescent="0.3">
      <c r="A38" s="214"/>
      <c r="B38" s="240">
        <v>2024</v>
      </c>
      <c r="C38" s="255"/>
      <c r="D38" s="350">
        <v>493091.5180011873</v>
      </c>
      <c r="E38" s="256"/>
      <c r="F38" s="256"/>
      <c r="G38" s="257"/>
      <c r="H38" s="256"/>
      <c r="I38" s="249"/>
      <c r="J38" s="249"/>
      <c r="K38" s="249"/>
      <c r="L38" s="249"/>
      <c r="M38" s="214"/>
      <c r="N38" s="240">
        <v>2024</v>
      </c>
      <c r="O38" s="250"/>
      <c r="P38" s="225"/>
      <c r="Q38" s="225"/>
      <c r="R38" s="225"/>
      <c r="S38" s="225"/>
      <c r="T38" s="258"/>
      <c r="U38" s="258"/>
      <c r="V38" s="258"/>
      <c r="W38" s="258"/>
      <c r="X38" s="225"/>
      <c r="Y38" s="225"/>
      <c r="Z38" s="225"/>
      <c r="AA38" s="225"/>
      <c r="AB38" s="214"/>
      <c r="AC38" s="353"/>
      <c r="AD38" s="353"/>
      <c r="AE38" s="353"/>
      <c r="AF38" s="354"/>
      <c r="AG38" s="354"/>
      <c r="AH38" s="354"/>
      <c r="AI38" s="214"/>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row>
    <row r="39" spans="1:66" ht="15.6" customHeight="1" x14ac:dyDescent="0.3">
      <c r="A39" s="214"/>
      <c r="B39" s="232">
        <v>2025</v>
      </c>
      <c r="C39" s="255"/>
      <c r="D39" s="350">
        <v>516212.46647312213</v>
      </c>
      <c r="E39" s="256"/>
      <c r="F39" s="256"/>
      <c r="G39" s="257"/>
      <c r="H39" s="256"/>
      <c r="I39" s="249"/>
      <c r="J39" s="249"/>
      <c r="K39" s="249"/>
      <c r="L39" s="249"/>
      <c r="M39" s="214"/>
      <c r="N39" s="232">
        <v>2025</v>
      </c>
      <c r="O39" s="250"/>
      <c r="P39" s="225"/>
      <c r="Q39" s="225"/>
      <c r="R39" s="225"/>
      <c r="S39" s="225"/>
      <c r="T39" s="258"/>
      <c r="U39" s="258"/>
      <c r="V39" s="258"/>
      <c r="W39" s="258"/>
      <c r="X39" s="225"/>
      <c r="Y39" s="225"/>
      <c r="Z39" s="225"/>
      <c r="AA39" s="225"/>
      <c r="AB39" s="214"/>
      <c r="AC39" s="353"/>
      <c r="AD39" s="353"/>
      <c r="AE39" s="353"/>
      <c r="AF39" s="354"/>
      <c r="AG39" s="354"/>
      <c r="AH39" s="354"/>
      <c r="AI39" s="214"/>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row>
    <row r="40" spans="1:66" ht="15.6" customHeight="1" x14ac:dyDescent="0.3">
      <c r="A40" s="214"/>
      <c r="B40" s="240">
        <v>2026</v>
      </c>
      <c r="C40" s="251"/>
      <c r="D40" s="350">
        <v>537993.83350151184</v>
      </c>
      <c r="E40" s="256"/>
      <c r="F40" s="256"/>
      <c r="G40" s="259"/>
      <c r="H40" s="256"/>
      <c r="I40" s="235"/>
      <c r="J40" s="235"/>
      <c r="K40" s="235"/>
      <c r="L40" s="235"/>
      <c r="M40" s="214"/>
      <c r="N40" s="240">
        <v>2026</v>
      </c>
      <c r="O40" s="252"/>
      <c r="P40" s="225"/>
      <c r="Q40" s="225"/>
      <c r="R40" s="225"/>
      <c r="S40" s="225"/>
      <c r="T40" s="253"/>
      <c r="U40" s="253"/>
      <c r="V40" s="253"/>
      <c r="W40" s="253"/>
      <c r="X40" s="225"/>
      <c r="Y40" s="225"/>
      <c r="Z40" s="225"/>
      <c r="AA40" s="225"/>
      <c r="AB40" s="214"/>
      <c r="AC40" s="353"/>
      <c r="AD40" s="353"/>
      <c r="AE40" s="353"/>
      <c r="AF40" s="351"/>
      <c r="AG40" s="351"/>
      <c r="AH40" s="351"/>
      <c r="AI40" s="214"/>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row>
    <row r="41" spans="1:66" ht="12.6" customHeight="1" x14ac:dyDescent="0.3">
      <c r="A41" s="214"/>
      <c r="B41" s="214"/>
      <c r="C41" s="214"/>
      <c r="D41" s="214"/>
      <c r="E41" s="214"/>
      <c r="F41" s="214"/>
      <c r="G41" s="214"/>
      <c r="H41" s="214"/>
      <c r="I41" s="260"/>
      <c r="J41" s="214"/>
      <c r="K41" s="214"/>
      <c r="L41" s="214"/>
      <c r="M41" s="214"/>
      <c r="N41" s="214"/>
      <c r="O41" s="214"/>
      <c r="P41" s="214"/>
      <c r="Q41" s="214"/>
      <c r="R41" s="214"/>
      <c r="S41" s="214"/>
      <c r="T41" s="260"/>
      <c r="U41" s="214"/>
      <c r="V41" s="214"/>
      <c r="W41" s="214"/>
      <c r="X41" s="413" t="s">
        <v>190</v>
      </c>
      <c r="Y41" s="414"/>
      <c r="Z41" s="414"/>
      <c r="AA41" s="415"/>
      <c r="AB41" s="214"/>
      <c r="AC41" s="214"/>
      <c r="AD41" s="214"/>
      <c r="AE41" s="214"/>
      <c r="AF41" s="260"/>
      <c r="AG41" s="214"/>
      <c r="AH41" s="214"/>
      <c r="AI41" s="214"/>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row>
    <row r="42" spans="1:66" ht="12.6" customHeight="1" x14ac:dyDescent="0.3">
      <c r="A42" s="214"/>
      <c r="B42" s="214"/>
      <c r="C42" s="214"/>
      <c r="D42" s="214"/>
      <c r="E42" s="214"/>
      <c r="F42" s="214"/>
      <c r="G42" s="214"/>
      <c r="H42" s="214"/>
      <c r="I42" s="214"/>
      <c r="J42" s="214"/>
      <c r="K42" s="214"/>
      <c r="L42" s="214"/>
      <c r="M42" s="214"/>
      <c r="N42" s="214"/>
      <c r="O42" s="214"/>
      <c r="P42" s="214"/>
      <c r="Q42" s="214"/>
      <c r="R42" s="214"/>
      <c r="S42" s="214"/>
      <c r="T42" s="214"/>
      <c r="U42" s="214"/>
      <c r="V42" s="214"/>
      <c r="W42" s="416">
        <v>2023</v>
      </c>
      <c r="X42" s="417">
        <f>(($M37-$H37)/1000000)/T37</f>
        <v>0.40964165239484457</v>
      </c>
      <c r="Y42" s="417">
        <f t="shared" ref="Y42:Z42" si="8">(($M37-$H37)/1000000)/U37</f>
        <v>0.42547156944304221</v>
      </c>
      <c r="Z42" s="417">
        <f t="shared" si="8"/>
        <v>0.29619431371236477</v>
      </c>
      <c r="AA42" s="417">
        <f>AVERAGE(X42:Z42)</f>
        <v>0.37710251185008387</v>
      </c>
      <c r="AB42" s="214"/>
      <c r="AC42" s="214"/>
      <c r="AD42" s="214"/>
      <c r="AE42" s="214"/>
      <c r="AF42" s="214"/>
      <c r="AG42" s="214"/>
      <c r="AH42" s="214"/>
      <c r="AI42" s="214"/>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row>
    <row r="43" spans="1:66" ht="12.6" customHeight="1" thickBot="1" x14ac:dyDescent="0.35">
      <c r="A43" s="214"/>
      <c r="B43" s="214"/>
      <c r="C43" s="214"/>
      <c r="D43" s="214"/>
      <c r="E43" s="214"/>
      <c r="F43" s="214"/>
      <c r="G43" s="214"/>
      <c r="H43" s="214"/>
      <c r="I43" s="214"/>
      <c r="J43" s="214"/>
      <c r="K43" s="214"/>
      <c r="L43" s="214"/>
      <c r="M43" s="214"/>
      <c r="N43" s="214"/>
      <c r="O43" s="214"/>
      <c r="P43" s="214"/>
      <c r="Q43" s="214"/>
      <c r="R43" s="214"/>
      <c r="S43" s="214"/>
      <c r="T43" s="214"/>
      <c r="U43" s="214"/>
      <c r="V43" s="214"/>
      <c r="W43" s="214"/>
      <c r="X43" s="214"/>
      <c r="Y43" s="214"/>
      <c r="Z43" s="214"/>
      <c r="AA43" s="214"/>
      <c r="AB43" s="214"/>
      <c r="AC43" s="214"/>
      <c r="AD43" s="214"/>
      <c r="AE43" s="214"/>
      <c r="AF43" s="214"/>
      <c r="AG43" s="214"/>
      <c r="AH43" s="214"/>
      <c r="AI43" s="214"/>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row>
    <row r="44" spans="1:66" ht="18" customHeight="1" thickBot="1" x14ac:dyDescent="0.35">
      <c r="A44" s="214"/>
      <c r="B44" s="216" t="s">
        <v>191</v>
      </c>
      <c r="C44" s="221"/>
      <c r="D44" s="222" t="s">
        <v>160</v>
      </c>
      <c r="E44" s="223"/>
      <c r="F44" s="224" t="s">
        <v>161</v>
      </c>
      <c r="G44" s="222"/>
      <c r="H44" s="222"/>
      <c r="I44" s="222"/>
      <c r="J44" s="223"/>
      <c r="K44" s="214"/>
      <c r="L44" s="214"/>
      <c r="M44" s="214"/>
      <c r="N44" s="214"/>
      <c r="O44" s="214"/>
      <c r="P44" s="214"/>
      <c r="Q44" s="214"/>
      <c r="R44" s="214"/>
      <c r="S44" s="214"/>
      <c r="T44" s="214"/>
      <c r="U44" s="216" t="s">
        <v>192</v>
      </c>
      <c r="V44" s="221"/>
      <c r="W44" s="222" t="s">
        <v>160</v>
      </c>
      <c r="X44" s="223"/>
      <c r="Y44" s="224" t="s">
        <v>161</v>
      </c>
      <c r="Z44" s="222"/>
      <c r="AA44" s="222"/>
      <c r="AB44" s="222"/>
      <c r="AC44" s="223"/>
      <c r="AD44" s="214"/>
      <c r="AE44" s="214"/>
      <c r="AF44" s="214"/>
      <c r="AG44" s="214"/>
      <c r="AH44" s="214"/>
      <c r="AI44" s="214"/>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row>
    <row r="45" spans="1:66" ht="42" customHeight="1" x14ac:dyDescent="0.3">
      <c r="A45" s="214"/>
      <c r="B45" s="227"/>
      <c r="C45" s="231" t="s">
        <v>193</v>
      </c>
      <c r="D45" s="228" t="s">
        <v>194</v>
      </c>
      <c r="E45" s="228" t="s">
        <v>170</v>
      </c>
      <c r="F45" s="229" t="s">
        <v>195</v>
      </c>
      <c r="G45" s="229" t="s">
        <v>196</v>
      </c>
      <c r="H45" s="261" t="s">
        <v>197</v>
      </c>
      <c r="I45" s="261" t="s">
        <v>198</v>
      </c>
      <c r="J45" s="261" t="s">
        <v>199</v>
      </c>
      <c r="K45" s="411" t="s">
        <v>176</v>
      </c>
      <c r="L45" s="214"/>
      <c r="M45" s="214"/>
      <c r="N45" s="214"/>
      <c r="O45" s="214"/>
      <c r="P45" s="214"/>
      <c r="Q45" s="214"/>
      <c r="R45" s="214"/>
      <c r="S45" s="214"/>
      <c r="T45" s="214"/>
      <c r="U45" s="227"/>
      <c r="V45" s="231" t="s">
        <v>193</v>
      </c>
      <c r="W45" s="228" t="s">
        <v>194</v>
      </c>
      <c r="X45" s="228" t="s">
        <v>170</v>
      </c>
      <c r="Y45" s="229" t="s">
        <v>195</v>
      </c>
      <c r="Z45" s="229" t="s">
        <v>196</v>
      </c>
      <c r="AA45" s="261" t="s">
        <v>197</v>
      </c>
      <c r="AB45" s="261" t="s">
        <v>198</v>
      </c>
      <c r="AC45" s="261" t="s">
        <v>199</v>
      </c>
      <c r="AD45" s="214"/>
      <c r="AE45" s="214"/>
      <c r="AF45" s="214"/>
      <c r="AG45" s="214"/>
      <c r="AH45" s="214"/>
      <c r="AI45" s="214"/>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row>
    <row r="46" spans="1:66" ht="15" customHeight="1" x14ac:dyDescent="0.3">
      <c r="A46" s="214"/>
      <c r="B46" s="232">
        <v>2019</v>
      </c>
      <c r="C46" s="262">
        <f>C33/1000000</f>
        <v>35100.628394222265</v>
      </c>
      <c r="D46" s="263">
        <f>F33/1000000</f>
        <v>35423.870975869992</v>
      </c>
      <c r="E46" s="264"/>
      <c r="F46" s="262">
        <f>H33/1000000</f>
        <v>35423.870975869992</v>
      </c>
      <c r="G46" s="264"/>
      <c r="H46" s="264"/>
      <c r="I46" s="264"/>
      <c r="J46" s="264"/>
      <c r="K46" s="214"/>
      <c r="L46" s="214"/>
      <c r="M46" s="214"/>
      <c r="N46" s="214"/>
      <c r="O46" s="214"/>
      <c r="P46" s="214"/>
      <c r="Q46" s="214"/>
      <c r="R46" s="214"/>
      <c r="S46" s="214"/>
      <c r="T46" s="214"/>
      <c r="U46" s="232">
        <v>2019</v>
      </c>
      <c r="V46" s="355">
        <f>C33/1000000/D33</f>
        <v>8.8703633732526627E-2</v>
      </c>
      <c r="W46" s="355">
        <f>F33/(D33*1000000)</f>
        <v>8.9520507756752257E-2</v>
      </c>
      <c r="X46" s="264"/>
      <c r="Y46" s="355">
        <f>H33/($D33*1000000)</f>
        <v>8.9520507756752257E-2</v>
      </c>
      <c r="Z46" s="355"/>
      <c r="AA46" s="355"/>
      <c r="AB46" s="355"/>
      <c r="AC46" s="355"/>
      <c r="AD46" s="214"/>
      <c r="AE46" s="214"/>
      <c r="AF46" s="214"/>
      <c r="AG46" s="214"/>
      <c r="AH46" s="214"/>
      <c r="AI46" s="214"/>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row>
    <row r="47" spans="1:66" ht="15" customHeight="1" x14ac:dyDescent="0.3">
      <c r="A47" s="214"/>
      <c r="B47" s="240">
        <v>2020</v>
      </c>
      <c r="C47" s="262">
        <f t="shared" ref="C47:C49" si="9">C34/1000000</f>
        <v>34142.854579258943</v>
      </c>
      <c r="D47" s="263">
        <f>F34/1000000</f>
        <v>33038.60827058</v>
      </c>
      <c r="E47" s="264"/>
      <c r="F47" s="264"/>
      <c r="G47" s="264"/>
      <c r="H47" s="264"/>
      <c r="I47" s="264"/>
      <c r="J47" s="264"/>
      <c r="K47" s="214"/>
      <c r="L47" s="214"/>
      <c r="M47" s="214"/>
      <c r="N47" s="214"/>
      <c r="O47" s="214"/>
      <c r="P47" s="214"/>
      <c r="Q47" s="214"/>
      <c r="R47" s="214"/>
      <c r="S47" s="214"/>
      <c r="T47" s="214"/>
      <c r="U47" s="240">
        <v>2020</v>
      </c>
      <c r="V47" s="355">
        <f t="shared" ref="V47:V50" si="10">C34/1000000/D34</f>
        <v>8.9774518835669503E-2</v>
      </c>
      <c r="W47" s="355">
        <f t="shared" ref="W47:W50" si="11">F34/(D34*1000000)</f>
        <v>8.6871036327855491E-2</v>
      </c>
      <c r="X47" s="264"/>
      <c r="Y47" s="355"/>
      <c r="Z47" s="355"/>
      <c r="AA47" s="355"/>
      <c r="AB47" s="355"/>
      <c r="AC47" s="355"/>
      <c r="AD47" s="214"/>
      <c r="AE47" s="214"/>
      <c r="AF47" s="214"/>
      <c r="AG47" s="214"/>
      <c r="AH47" s="214"/>
      <c r="AI47" s="214"/>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row>
    <row r="48" spans="1:66" ht="15" customHeight="1" x14ac:dyDescent="0.3">
      <c r="A48" s="214"/>
      <c r="B48" s="232">
        <v>2021</v>
      </c>
      <c r="C48" s="262">
        <f t="shared" si="9"/>
        <v>35775.171256676265</v>
      </c>
      <c r="D48" s="263">
        <f>F35/1000000</f>
        <v>35926.165163490004</v>
      </c>
      <c r="E48" s="264"/>
      <c r="F48" s="264"/>
      <c r="G48" s="264"/>
      <c r="H48" s="264"/>
      <c r="I48" s="264"/>
      <c r="J48" s="264"/>
      <c r="K48" s="214"/>
      <c r="L48" s="214"/>
      <c r="M48" s="214"/>
      <c r="N48" s="214"/>
      <c r="O48" s="214"/>
      <c r="P48" s="214"/>
      <c r="Q48" s="214"/>
      <c r="R48" s="214"/>
      <c r="S48" s="214"/>
      <c r="T48" s="214"/>
      <c r="U48" s="232">
        <v>2021</v>
      </c>
      <c r="V48" s="355">
        <f t="shared" si="10"/>
        <v>8.8065848071708044E-2</v>
      </c>
      <c r="W48" s="355">
        <f t="shared" si="11"/>
        <v>8.8437541790846591E-2</v>
      </c>
      <c r="X48" s="264"/>
      <c r="Y48" s="355"/>
      <c r="Z48" s="355"/>
      <c r="AA48" s="355"/>
      <c r="AB48" s="355"/>
      <c r="AC48" s="355"/>
      <c r="AD48" s="214"/>
      <c r="AE48" s="214"/>
      <c r="AF48" s="214"/>
      <c r="AG48" s="214"/>
      <c r="AH48" s="214"/>
      <c r="AI48" s="214"/>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row>
    <row r="49" spans="1:66" ht="15" customHeight="1" x14ac:dyDescent="0.3">
      <c r="A49" s="214"/>
      <c r="B49" s="240">
        <v>2022</v>
      </c>
      <c r="C49" s="262">
        <f t="shared" si="9"/>
        <v>36652.976262777527</v>
      </c>
      <c r="D49" s="263">
        <f>F36/1000000</f>
        <v>39362.615145670003</v>
      </c>
      <c r="E49" s="264"/>
      <c r="F49" s="264"/>
      <c r="G49" s="264"/>
      <c r="H49" s="264"/>
      <c r="I49" s="264"/>
      <c r="J49" s="264"/>
      <c r="K49" s="214"/>
      <c r="L49" s="214"/>
      <c r="M49" s="214"/>
      <c r="N49" s="214"/>
      <c r="O49" s="214"/>
      <c r="P49" s="214"/>
      <c r="Q49" s="214"/>
      <c r="R49" s="214"/>
      <c r="S49" s="214"/>
      <c r="T49" s="214"/>
      <c r="U49" s="240">
        <v>2022</v>
      </c>
      <c r="V49" s="355">
        <f t="shared" si="10"/>
        <v>8.1813319525255737E-2</v>
      </c>
      <c r="W49" s="355">
        <f t="shared" si="11"/>
        <v>8.786152008978311E-2</v>
      </c>
      <c r="X49" s="264"/>
      <c r="Y49" s="355"/>
      <c r="Z49" s="355"/>
      <c r="AA49" s="355"/>
      <c r="AB49" s="355"/>
      <c r="AC49" s="355"/>
      <c r="AD49" s="214"/>
      <c r="AE49" s="214"/>
      <c r="AF49" s="214"/>
      <c r="AG49" s="214"/>
      <c r="AH49" s="214"/>
      <c r="AI49" s="214"/>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row>
    <row r="50" spans="1:66" ht="15" customHeight="1" x14ac:dyDescent="0.3">
      <c r="A50" s="214"/>
      <c r="B50" s="232">
        <v>2023</v>
      </c>
      <c r="C50" s="262">
        <f>C37/1000000</f>
        <v>39318.046383387518</v>
      </c>
      <c r="D50" s="263">
        <f>F37/1000000</f>
        <v>40476.986698880006</v>
      </c>
      <c r="E50" s="264"/>
      <c r="F50" s="262">
        <f t="shared" ref="F50:K50" si="12">H37/1000000</f>
        <v>40476.986698880013</v>
      </c>
      <c r="G50" s="262">
        <f t="shared" si="12"/>
        <v>48322.698877448791</v>
      </c>
      <c r="H50" s="262">
        <f t="shared" si="12"/>
        <v>43032.604891992334</v>
      </c>
      <c r="I50" s="262">
        <f t="shared" si="12"/>
        <v>43229.425913609746</v>
      </c>
      <c r="J50" s="262">
        <f t="shared" si="12"/>
        <v>41006.411085270462</v>
      </c>
      <c r="K50" s="418">
        <f t="shared" si="12"/>
        <v>42644.029540406424</v>
      </c>
      <c r="L50" s="214"/>
      <c r="M50" s="214"/>
      <c r="N50" s="214"/>
      <c r="O50" s="214"/>
      <c r="P50" s="214"/>
      <c r="Q50" s="214"/>
      <c r="R50" s="214"/>
      <c r="S50" s="214"/>
      <c r="T50" s="214"/>
      <c r="U50" s="232">
        <v>2023</v>
      </c>
      <c r="V50" s="355">
        <f t="shared" si="10"/>
        <v>8.3085009612762162E-2</v>
      </c>
      <c r="W50" s="355">
        <f t="shared" si="11"/>
        <v>8.5534026695513118E-2</v>
      </c>
      <c r="X50" s="264"/>
      <c r="Y50" s="355">
        <f>H37/($D37*1000000)</f>
        <v>8.5534026695513146E-2</v>
      </c>
      <c r="Z50" s="355">
        <f t="shared" ref="Z50:AC50" si="13">I37/($D37*1000000)</f>
        <v>0.10211320932882866</v>
      </c>
      <c r="AA50" s="355">
        <f t="shared" si="13"/>
        <v>9.0934436473527974E-2</v>
      </c>
      <c r="AB50" s="355">
        <f t="shared" si="13"/>
        <v>9.1350349215316345E-2</v>
      </c>
      <c r="AC50" s="355">
        <f t="shared" si="13"/>
        <v>8.6652780913450744E-2</v>
      </c>
      <c r="AD50" s="214"/>
      <c r="AE50" s="214"/>
      <c r="AF50" s="214"/>
      <c r="AG50" s="214"/>
      <c r="AH50" s="214"/>
      <c r="AI50" s="214"/>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row>
    <row r="51" spans="1:66" ht="15" customHeight="1" x14ac:dyDescent="0.3">
      <c r="A51" s="214"/>
      <c r="B51" s="240">
        <v>2024</v>
      </c>
      <c r="C51" s="264"/>
      <c r="D51" s="264"/>
      <c r="E51" s="264"/>
      <c r="F51" s="264"/>
      <c r="G51" s="264"/>
      <c r="H51" s="264"/>
      <c r="I51" s="264"/>
      <c r="J51" s="264"/>
      <c r="K51" s="214"/>
      <c r="L51" s="214"/>
      <c r="M51" s="214"/>
      <c r="N51" s="214"/>
      <c r="O51" s="214"/>
      <c r="P51" s="214"/>
      <c r="Q51" s="214"/>
      <c r="R51" s="214"/>
      <c r="S51" s="214"/>
      <c r="T51" s="214"/>
      <c r="U51" s="240">
        <v>2024</v>
      </c>
      <c r="V51" s="264"/>
      <c r="W51" s="264"/>
      <c r="X51" s="264"/>
      <c r="Y51" s="355"/>
      <c r="Z51" s="355"/>
      <c r="AA51" s="355"/>
      <c r="AB51" s="355"/>
      <c r="AC51" s="355"/>
      <c r="AD51" s="214"/>
      <c r="AE51" s="214"/>
      <c r="AF51" s="214"/>
      <c r="AG51" s="214"/>
      <c r="AH51" s="214"/>
      <c r="AI51" s="214"/>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row>
    <row r="52" spans="1:66" ht="15" customHeight="1" x14ac:dyDescent="0.3">
      <c r="A52" s="214"/>
      <c r="B52" s="232">
        <v>2025</v>
      </c>
      <c r="C52" s="264"/>
      <c r="D52" s="264"/>
      <c r="E52" s="264"/>
      <c r="F52" s="264"/>
      <c r="G52" s="264"/>
      <c r="H52" s="264"/>
      <c r="I52" s="264"/>
      <c r="J52" s="264"/>
      <c r="K52" s="214"/>
      <c r="L52" s="214"/>
      <c r="M52" s="214"/>
      <c r="N52" s="214"/>
      <c r="O52" s="214"/>
      <c r="P52" s="214"/>
      <c r="Q52" s="214"/>
      <c r="R52" s="214"/>
      <c r="S52" s="214"/>
      <c r="T52" s="214"/>
      <c r="U52" s="232">
        <v>2025</v>
      </c>
      <c r="V52" s="264"/>
      <c r="W52" s="264"/>
      <c r="X52" s="264"/>
      <c r="Y52" s="355"/>
      <c r="Z52" s="355"/>
      <c r="AA52" s="355"/>
      <c r="AB52" s="355"/>
      <c r="AC52" s="355"/>
      <c r="AD52" s="214"/>
      <c r="AE52" s="214"/>
      <c r="AF52" s="214"/>
      <c r="AG52" s="214"/>
      <c r="AH52" s="214"/>
      <c r="AI52" s="214"/>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row>
    <row r="53" spans="1:66" ht="15" customHeight="1" x14ac:dyDescent="0.3">
      <c r="A53" s="214"/>
      <c r="B53" s="240">
        <v>2026</v>
      </c>
      <c r="C53" s="262"/>
      <c r="D53" s="264"/>
      <c r="E53" s="264"/>
      <c r="F53" s="264"/>
      <c r="G53" s="262"/>
      <c r="H53" s="262"/>
      <c r="I53" s="262"/>
      <c r="J53" s="262"/>
      <c r="K53" s="214"/>
      <c r="L53" s="214"/>
      <c r="M53" s="214"/>
      <c r="N53" s="214"/>
      <c r="O53" s="214"/>
      <c r="P53" s="214"/>
      <c r="Q53" s="214"/>
      <c r="R53" s="214"/>
      <c r="S53" s="214"/>
      <c r="T53" s="214"/>
      <c r="U53" s="240">
        <v>2026</v>
      </c>
      <c r="V53" s="262"/>
      <c r="W53" s="264"/>
      <c r="X53" s="264"/>
      <c r="Y53" s="355"/>
      <c r="Z53" s="355"/>
      <c r="AA53" s="355"/>
      <c r="AB53" s="355"/>
      <c r="AC53" s="355"/>
      <c r="AD53" s="214"/>
      <c r="AE53" s="214"/>
      <c r="AF53" s="214"/>
      <c r="AG53" s="214"/>
      <c r="AH53" s="214"/>
      <c r="AI53" s="214"/>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row>
    <row r="54" spans="1:66" ht="12.6" customHeight="1" x14ac:dyDescent="0.3">
      <c r="A54" s="214"/>
      <c r="B54" s="214"/>
      <c r="C54" s="214"/>
      <c r="D54" s="214"/>
      <c r="E54" s="214"/>
      <c r="F54" s="214"/>
      <c r="G54" s="214"/>
      <c r="H54" s="214"/>
      <c r="I54" s="214"/>
      <c r="J54" s="214"/>
      <c r="K54" s="214"/>
      <c r="L54" s="214"/>
      <c r="M54" s="214"/>
      <c r="N54" s="214"/>
      <c r="O54" s="214"/>
      <c r="P54" s="214"/>
      <c r="Q54" s="214"/>
      <c r="R54" s="214"/>
      <c r="S54" s="214"/>
      <c r="T54" s="214"/>
      <c r="U54" s="214"/>
      <c r="V54" s="214"/>
      <c r="W54" s="214"/>
      <c r="X54" s="214"/>
      <c r="Y54" s="214"/>
      <c r="Z54" s="214"/>
      <c r="AA54" s="214"/>
      <c r="AB54" s="214"/>
      <c r="AC54" s="214"/>
      <c r="AD54" s="214"/>
      <c r="AE54" s="214"/>
      <c r="AF54" s="214"/>
      <c r="AG54" s="214"/>
      <c r="AH54" s="214"/>
      <c r="AI54" s="214"/>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row>
    <row r="55" spans="1:66" ht="12.6" customHeight="1" x14ac:dyDescent="0.3">
      <c r="A55" s="214"/>
      <c r="B55" s="214"/>
      <c r="C55" s="214"/>
      <c r="D55" s="214"/>
      <c r="E55" s="214"/>
      <c r="F55" s="214"/>
      <c r="G55" s="214"/>
      <c r="H55" s="214"/>
      <c r="I55" s="214"/>
      <c r="J55" s="214"/>
      <c r="K55" s="214"/>
      <c r="L55" s="214"/>
      <c r="M55" s="214"/>
      <c r="N55" s="214"/>
      <c r="O55" s="214"/>
      <c r="P55" s="214"/>
      <c r="Q55" s="214"/>
      <c r="R55" s="214"/>
      <c r="S55" s="214"/>
      <c r="T55" s="214"/>
      <c r="U55" s="214"/>
      <c r="V55" s="214"/>
      <c r="W55" s="214"/>
      <c r="X55" s="214"/>
      <c r="Y55" s="214"/>
      <c r="Z55" s="214"/>
      <c r="AA55" s="214"/>
      <c r="AB55" s="214"/>
      <c r="AC55" s="214"/>
      <c r="AD55" s="214"/>
      <c r="AE55" s="214"/>
      <c r="AF55" s="214"/>
      <c r="AG55" s="214"/>
      <c r="AH55" s="214"/>
      <c r="AI55" s="214"/>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row>
    <row r="56" spans="1:66" ht="12.6" customHeight="1" x14ac:dyDescent="0.3">
      <c r="A56" s="214"/>
      <c r="B56" s="214"/>
      <c r="C56" s="214"/>
      <c r="D56" s="214"/>
      <c r="E56" s="214"/>
      <c r="F56" s="214"/>
      <c r="G56" s="214"/>
      <c r="H56" s="214"/>
      <c r="I56" s="214"/>
      <c r="J56" s="214"/>
      <c r="K56" s="214"/>
      <c r="L56" s="214"/>
      <c r="M56" s="214"/>
      <c r="N56" s="214"/>
      <c r="O56" s="214"/>
      <c r="P56" s="214"/>
      <c r="Q56" s="214"/>
      <c r="R56" s="214"/>
      <c r="S56" s="214"/>
      <c r="T56" s="214"/>
      <c r="U56" s="214"/>
      <c r="V56" s="214"/>
      <c r="W56" s="214"/>
      <c r="X56" s="214"/>
      <c r="Y56" s="214"/>
      <c r="Z56" s="214"/>
      <c r="AA56" s="214"/>
      <c r="AB56" s="214"/>
      <c r="AC56" s="214"/>
      <c r="AD56" s="214"/>
      <c r="AE56" s="214"/>
      <c r="AF56" s="214"/>
      <c r="AG56" s="214"/>
      <c r="AH56" s="214"/>
      <c r="AI56" s="214"/>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row>
    <row r="57" spans="1:66" ht="12.6" customHeight="1" x14ac:dyDescent="0.3">
      <c r="A57" s="214"/>
      <c r="B57" s="214"/>
      <c r="C57" s="214"/>
      <c r="D57" s="214"/>
      <c r="E57" s="214"/>
      <c r="F57" s="214"/>
      <c r="G57" s="214"/>
      <c r="H57" s="214"/>
      <c r="I57" s="214"/>
      <c r="J57" s="214"/>
      <c r="K57" s="214"/>
      <c r="L57" s="214"/>
      <c r="M57" s="214"/>
      <c r="N57" s="214"/>
      <c r="O57" s="214"/>
      <c r="P57" s="214"/>
      <c r="Q57" s="214"/>
      <c r="R57" s="214"/>
      <c r="S57" s="214"/>
      <c r="T57" s="214"/>
      <c r="U57" s="214"/>
      <c r="V57" s="214"/>
      <c r="W57" s="214"/>
      <c r="X57" s="214"/>
      <c r="Y57" s="214"/>
      <c r="Z57" s="214"/>
      <c r="AA57" s="214"/>
      <c r="AB57" s="214"/>
      <c r="AC57" s="214"/>
      <c r="AD57" s="214"/>
      <c r="AE57" s="214"/>
      <c r="AF57" s="214"/>
      <c r="AG57" s="214"/>
      <c r="AH57" s="214"/>
      <c r="AI57" s="214"/>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row>
    <row r="58" spans="1:66" ht="12.6" customHeight="1" x14ac:dyDescent="0.3">
      <c r="A58" s="214"/>
      <c r="B58" s="214"/>
      <c r="C58" s="214"/>
      <c r="D58" s="214"/>
      <c r="E58" s="214"/>
      <c r="F58" s="214"/>
      <c r="G58" s="214"/>
      <c r="H58" s="214"/>
      <c r="I58" s="214"/>
      <c r="J58" s="214"/>
      <c r="K58" s="214"/>
      <c r="L58" s="214"/>
      <c r="M58" s="214"/>
      <c r="N58" s="214"/>
      <c r="O58" s="214"/>
      <c r="P58" s="214"/>
      <c r="Q58" s="214"/>
      <c r="R58" s="214"/>
      <c r="S58" s="214"/>
      <c r="T58" s="214"/>
      <c r="U58" s="214"/>
      <c r="V58" s="214"/>
      <c r="W58" s="214"/>
      <c r="X58" s="214"/>
      <c r="Y58" s="214"/>
      <c r="Z58" s="214"/>
      <c r="AA58" s="214"/>
      <c r="AB58" s="214"/>
      <c r="AC58" s="214"/>
      <c r="AD58" s="214"/>
      <c r="AE58" s="214"/>
      <c r="AF58" s="214"/>
      <c r="AG58" s="214"/>
      <c r="AH58" s="214"/>
      <c r="AI58" s="214"/>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row>
    <row r="59" spans="1:66" ht="12.6"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row>
    <row r="60" spans="1:66" ht="12" customHeight="1" thickBot="1" x14ac:dyDescent="0.35">
      <c r="A60" s="98"/>
      <c r="B60" s="98"/>
      <c r="C60" s="98"/>
      <c r="D60" s="98"/>
      <c r="E60" s="98"/>
      <c r="F60" s="98"/>
      <c r="G60" s="98"/>
      <c r="H60" s="98"/>
      <c r="I60" s="98"/>
      <c r="J60" s="98"/>
      <c r="K60" s="98"/>
      <c r="L60" s="98"/>
      <c r="M60" s="98"/>
      <c r="N60" s="98"/>
      <c r="O60" s="98"/>
      <c r="P60" s="98"/>
      <c r="Q60" s="98"/>
      <c r="R60" s="98"/>
      <c r="S60" s="98"/>
      <c r="T60" s="265"/>
      <c r="U60" s="265"/>
      <c r="V60" s="265"/>
      <c r="W60" s="265"/>
      <c r="X60" s="55"/>
      <c r="Y60" s="55"/>
      <c r="Z60" s="55"/>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row>
    <row r="61" spans="1:66" ht="12" customHeight="1" thickBot="1" x14ac:dyDescent="0.35">
      <c r="A61" s="98"/>
      <c r="B61" s="266" t="s">
        <v>200</v>
      </c>
      <c r="C61" s="267"/>
      <c r="D61" s="267"/>
      <c r="E61" s="267"/>
      <c r="F61" s="267"/>
      <c r="G61" s="267"/>
      <c r="H61" s="267"/>
      <c r="I61" s="267"/>
      <c r="J61" s="267"/>
      <c r="K61" s="267"/>
      <c r="L61" s="267"/>
      <c r="M61" s="267"/>
      <c r="N61" s="267"/>
      <c r="O61" s="267"/>
      <c r="P61" s="267"/>
      <c r="Q61" s="267"/>
      <c r="R61" s="267"/>
      <c r="S61" s="267"/>
      <c r="T61" s="268"/>
      <c r="U61" s="268"/>
      <c r="V61" s="269"/>
      <c r="W61" s="265"/>
      <c r="X61" s="55"/>
      <c r="Y61" s="55"/>
      <c r="Z61" s="55"/>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row>
    <row r="62" spans="1:66" ht="21.6" customHeight="1" x14ac:dyDescent="0.3">
      <c r="A62" s="98"/>
      <c r="B62" s="270"/>
      <c r="C62" s="98"/>
      <c r="D62" s="98"/>
      <c r="E62" s="98"/>
      <c r="F62" s="98"/>
      <c r="G62" s="98"/>
      <c r="H62" s="98"/>
      <c r="I62" s="98"/>
      <c r="J62" s="98"/>
      <c r="K62" s="98"/>
      <c r="L62" s="98"/>
      <c r="M62" s="98"/>
      <c r="N62" s="98"/>
      <c r="O62" s="98"/>
      <c r="P62" s="98"/>
      <c r="Q62" s="98"/>
      <c r="R62" s="98"/>
      <c r="S62" s="98"/>
      <c r="T62" s="98"/>
      <c r="U62" s="98"/>
      <c r="V62" s="98"/>
      <c r="W62" s="98"/>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row>
    <row r="63" spans="1:66" ht="21" customHeight="1" x14ac:dyDescent="0.3">
      <c r="A63" s="98"/>
      <c r="B63" s="98"/>
      <c r="C63" s="98"/>
      <c r="D63" s="98"/>
      <c r="E63" s="98"/>
      <c r="F63" s="98"/>
      <c r="G63" s="98"/>
      <c r="H63" s="98"/>
      <c r="I63" s="98"/>
      <c r="J63" s="98"/>
      <c r="K63" s="98"/>
      <c r="L63" s="98"/>
      <c r="M63" s="98"/>
      <c r="N63" s="98"/>
      <c r="O63" s="98"/>
      <c r="P63" s="98"/>
      <c r="Q63" s="98"/>
      <c r="R63" s="98"/>
      <c r="S63" s="98"/>
      <c r="T63" s="98"/>
      <c r="U63" s="98"/>
      <c r="V63" s="98"/>
      <c r="W63" s="98"/>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row>
    <row r="64" spans="1:66" ht="42.6" customHeight="1" x14ac:dyDescent="0.3">
      <c r="A64" s="98"/>
      <c r="B64" s="356" t="s">
        <v>201</v>
      </c>
      <c r="C64" s="271" t="s">
        <v>202</v>
      </c>
      <c r="D64" s="272" t="s">
        <v>172</v>
      </c>
      <c r="E64" s="272" t="s">
        <v>173</v>
      </c>
      <c r="F64" s="273" t="s">
        <v>174</v>
      </c>
      <c r="G64" s="272" t="s">
        <v>175</v>
      </c>
      <c r="H64" s="274"/>
      <c r="I64" s="274"/>
      <c r="J64" s="274"/>
      <c r="K64" s="274"/>
      <c r="L64" s="274"/>
      <c r="M64" s="274"/>
      <c r="N64" s="274"/>
      <c r="O64" s="274"/>
      <c r="P64" s="274"/>
      <c r="Q64" s="274"/>
      <c r="R64" s="274"/>
      <c r="S64" s="274"/>
      <c r="T64" s="274"/>
      <c r="U64" s="274"/>
      <c r="V64" s="274"/>
      <c r="W64" s="98"/>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row>
    <row r="65" spans="1:66" ht="15.6" customHeight="1" x14ac:dyDescent="0.3">
      <c r="A65" s="98"/>
      <c r="B65" s="275">
        <v>2019</v>
      </c>
      <c r="C65" s="357">
        <f>C22/P22*100</f>
        <v>13.394287195365411</v>
      </c>
      <c r="D65" s="276"/>
      <c r="E65" s="276"/>
      <c r="F65" s="276"/>
      <c r="G65" s="276"/>
      <c r="H65" s="277"/>
      <c r="I65" s="277"/>
      <c r="J65" s="277"/>
      <c r="K65" s="277"/>
      <c r="L65" s="277"/>
      <c r="M65" s="277"/>
      <c r="N65" s="277"/>
      <c r="O65" s="277"/>
      <c r="P65" s="277"/>
      <c r="Q65" s="277"/>
      <c r="R65" s="277"/>
      <c r="S65" s="277"/>
      <c r="T65" s="277"/>
      <c r="U65" s="277"/>
      <c r="V65" s="277"/>
      <c r="W65" s="278"/>
      <c r="X65" s="44"/>
      <c r="Y65" s="44"/>
      <c r="Z65" s="44"/>
      <c r="AA65" s="46"/>
      <c r="AB65" s="46"/>
      <c r="AC65" s="46"/>
      <c r="AD65" s="46"/>
      <c r="AE65" s="46"/>
      <c r="AF65" s="46"/>
      <c r="AG65" s="44"/>
      <c r="AH65" s="44"/>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row>
    <row r="66" spans="1:66" s="51" customFormat="1" ht="15.6" customHeight="1" x14ac:dyDescent="0.3">
      <c r="A66" s="279"/>
      <c r="B66" s="280">
        <v>2020</v>
      </c>
      <c r="C66" s="357">
        <f>D22/Q22*100</f>
        <v>12.786396484237439</v>
      </c>
      <c r="D66" s="276"/>
      <c r="E66" s="276"/>
      <c r="F66" s="276"/>
      <c r="G66" s="276"/>
      <c r="H66" s="281"/>
      <c r="I66" s="281"/>
      <c r="J66" s="281"/>
      <c r="K66" s="281"/>
      <c r="L66" s="281"/>
      <c r="M66" s="281"/>
      <c r="N66" s="281"/>
      <c r="O66" s="281"/>
      <c r="P66" s="281"/>
      <c r="Q66" s="281"/>
      <c r="R66" s="281"/>
      <c r="S66" s="281"/>
      <c r="T66" s="281"/>
      <c r="U66" s="281"/>
      <c r="V66" s="281"/>
      <c r="W66" s="282"/>
      <c r="X66" s="48"/>
      <c r="Y66" s="48"/>
      <c r="Z66" s="48"/>
      <c r="AA66" s="48"/>
      <c r="AB66" s="48"/>
      <c r="AC66" s="48"/>
      <c r="AD66" s="48"/>
      <c r="AE66" s="48"/>
      <c r="AF66" s="48"/>
      <c r="AG66" s="48"/>
      <c r="AH66" s="48"/>
      <c r="AI66" s="47"/>
      <c r="AJ66" s="47"/>
      <c r="AK66" s="47"/>
      <c r="AL66" s="47"/>
      <c r="AM66" s="47"/>
      <c r="AN66" s="47"/>
      <c r="AO66" s="47"/>
      <c r="AP66" s="47"/>
      <c r="AQ66" s="47"/>
      <c r="AR66" s="47"/>
      <c r="AS66" s="47"/>
      <c r="AT66" s="47"/>
      <c r="AU66" s="47"/>
      <c r="AV66" s="47"/>
      <c r="AW66" s="47"/>
      <c r="AX66" s="47"/>
      <c r="AY66" s="47"/>
      <c r="AZ66" s="47"/>
      <c r="BA66" s="47"/>
      <c r="BB66" s="47"/>
      <c r="BC66" s="47"/>
      <c r="BD66" s="47"/>
      <c r="BE66" s="47"/>
      <c r="BF66" s="47"/>
      <c r="BG66" s="47"/>
      <c r="BH66" s="47"/>
      <c r="BI66" s="47"/>
      <c r="BJ66" s="47"/>
      <c r="BK66" s="47"/>
      <c r="BL66" s="47"/>
      <c r="BM66" s="47"/>
      <c r="BN66" s="47"/>
    </row>
    <row r="67" spans="1:66" ht="15.6" customHeight="1" x14ac:dyDescent="0.3">
      <c r="A67" s="98"/>
      <c r="B67" s="275">
        <v>2021</v>
      </c>
      <c r="C67" s="357">
        <f>E22/R22*100</f>
        <v>13.033943383386227</v>
      </c>
      <c r="D67" s="276"/>
      <c r="E67" s="276"/>
      <c r="F67" s="276"/>
      <c r="G67" s="276"/>
      <c r="H67" s="281"/>
      <c r="I67" s="281"/>
      <c r="J67" s="281"/>
      <c r="K67" s="281"/>
      <c r="L67" s="281"/>
      <c r="M67" s="281"/>
      <c r="N67" s="281"/>
      <c r="O67" s="281"/>
      <c r="P67" s="281"/>
      <c r="Q67" s="281"/>
      <c r="R67" s="281"/>
      <c r="S67" s="281"/>
      <c r="T67" s="281"/>
      <c r="U67" s="281"/>
      <c r="V67" s="281"/>
      <c r="W67" s="283"/>
      <c r="X67" s="52"/>
      <c r="Y67" s="52"/>
      <c r="Z67" s="52"/>
      <c r="AA67" s="43"/>
      <c r="AB67" s="43"/>
      <c r="AC67" s="43"/>
      <c r="AD67" s="43"/>
      <c r="AE67" s="43"/>
      <c r="AF67" s="43"/>
      <c r="AG67" s="43"/>
      <c r="AH67" s="43"/>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row>
    <row r="68" spans="1:66" ht="15.6" customHeight="1" x14ac:dyDescent="0.3">
      <c r="A68" s="98"/>
      <c r="B68" s="280">
        <v>2022</v>
      </c>
      <c r="C68" s="357">
        <f>F22/S22*100</f>
        <v>12.805692552443073</v>
      </c>
      <c r="D68" s="276"/>
      <c r="E68" s="276"/>
      <c r="F68" s="276"/>
      <c r="G68" s="276"/>
      <c r="H68" s="284"/>
      <c r="I68" s="284"/>
      <c r="J68" s="284"/>
      <c r="K68" s="284"/>
      <c r="L68" s="284"/>
      <c r="M68" s="284"/>
      <c r="N68" s="284"/>
      <c r="O68" s="284"/>
      <c r="P68" s="284"/>
      <c r="Q68" s="284"/>
      <c r="R68" s="284"/>
      <c r="S68" s="284"/>
      <c r="T68" s="284"/>
      <c r="U68" s="284"/>
      <c r="V68" s="284"/>
      <c r="W68" s="98"/>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row>
    <row r="69" spans="1:66" ht="15.6" customHeight="1" x14ac:dyDescent="0.3">
      <c r="A69" s="98"/>
      <c r="B69" s="275">
        <v>2023</v>
      </c>
      <c r="C69" s="357">
        <f>G22/$T22*100</f>
        <v>12.815526995511552</v>
      </c>
      <c r="D69" s="357">
        <f>H22/$T22*100</f>
        <v>15.299578908057802</v>
      </c>
      <c r="E69" s="357">
        <f>I22/$T22*100</f>
        <v>13.624668105439028</v>
      </c>
      <c r="F69" s="357">
        <f>J22/$T22*100</f>
        <v>13.686984135399133</v>
      </c>
      <c r="G69" s="357">
        <f>K22/$T22*100</f>
        <v>12.983149466184665</v>
      </c>
      <c r="H69" s="277"/>
      <c r="I69" s="277"/>
      <c r="J69" s="277"/>
      <c r="K69" s="277"/>
      <c r="L69" s="277"/>
      <c r="M69" s="277"/>
      <c r="N69" s="277"/>
      <c r="O69" s="277"/>
      <c r="P69" s="277"/>
      <c r="Q69" s="277"/>
      <c r="R69" s="277"/>
      <c r="S69" s="277"/>
      <c r="T69" s="277"/>
      <c r="U69" s="277"/>
      <c r="V69" s="277"/>
      <c r="W69" s="98"/>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row>
    <row r="70" spans="1:66" ht="15.6" customHeight="1" x14ac:dyDescent="0.3">
      <c r="A70" s="98"/>
      <c r="B70" s="280">
        <v>2024</v>
      </c>
      <c r="C70" s="276"/>
      <c r="D70" s="358"/>
      <c r="E70" s="357"/>
      <c r="F70" s="357"/>
      <c r="G70" s="357"/>
      <c r="H70" s="284"/>
      <c r="I70" s="284"/>
      <c r="J70" s="284"/>
      <c r="K70" s="284"/>
      <c r="L70" s="284"/>
      <c r="M70" s="284"/>
      <c r="N70" s="284"/>
      <c r="O70" s="284"/>
      <c r="P70" s="284"/>
      <c r="Q70" s="284"/>
      <c r="R70" s="284"/>
      <c r="S70" s="284"/>
      <c r="T70" s="284"/>
      <c r="U70" s="284"/>
      <c r="V70" s="284"/>
      <c r="W70" s="98"/>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row>
    <row r="71" spans="1:66" ht="15.6" customHeight="1" x14ac:dyDescent="0.3">
      <c r="A71" s="98"/>
      <c r="B71" s="275">
        <v>2025</v>
      </c>
      <c r="C71" s="276"/>
      <c r="D71" s="358"/>
      <c r="E71" s="357"/>
      <c r="F71" s="357"/>
      <c r="G71" s="357"/>
      <c r="H71" s="284"/>
      <c r="I71" s="284"/>
      <c r="J71" s="284"/>
      <c r="K71" s="284"/>
      <c r="L71" s="284"/>
      <c r="M71" s="284"/>
      <c r="N71" s="284"/>
      <c r="O71" s="284"/>
      <c r="P71" s="284"/>
      <c r="Q71" s="284"/>
      <c r="R71" s="284"/>
      <c r="S71" s="284"/>
      <c r="T71" s="284"/>
      <c r="U71" s="284"/>
      <c r="V71" s="284"/>
      <c r="W71" s="98"/>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row>
    <row r="72" spans="1:66" ht="15.6" customHeight="1" x14ac:dyDescent="0.3">
      <c r="A72" s="98"/>
      <c r="B72" s="280">
        <v>2026</v>
      </c>
      <c r="C72" s="276"/>
      <c r="D72" s="357"/>
      <c r="E72" s="357"/>
      <c r="F72" s="357"/>
      <c r="G72" s="357"/>
      <c r="H72" s="277"/>
      <c r="I72" s="277"/>
      <c r="J72" s="277"/>
      <c r="K72" s="277"/>
      <c r="L72" s="277"/>
      <c r="M72" s="277"/>
      <c r="N72" s="277"/>
      <c r="O72" s="277"/>
      <c r="P72" s="277"/>
      <c r="Q72" s="277"/>
      <c r="R72" s="277"/>
      <c r="S72" s="277"/>
      <c r="T72" s="277"/>
      <c r="U72" s="277"/>
      <c r="V72" s="277"/>
      <c r="W72" s="98"/>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row>
    <row r="73" spans="1:66" ht="12.6" customHeight="1" x14ac:dyDescent="0.3">
      <c r="A73" s="98"/>
      <c r="B73" s="98"/>
      <c r="C73" s="98"/>
      <c r="D73" s="98"/>
      <c r="E73" s="98"/>
      <c r="F73" s="98"/>
      <c r="G73" s="98"/>
      <c r="H73" s="98"/>
      <c r="I73" s="98"/>
      <c r="J73" s="98"/>
      <c r="K73" s="98"/>
      <c r="L73" s="98"/>
      <c r="M73" s="98"/>
      <c r="N73" s="98"/>
      <c r="O73" s="98"/>
      <c r="P73" s="98"/>
      <c r="Q73" s="98"/>
      <c r="R73" s="98"/>
      <c r="S73" s="98"/>
      <c r="T73" s="98"/>
      <c r="U73" s="98"/>
      <c r="V73" s="98"/>
      <c r="W73" s="98"/>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row>
    <row r="74" spans="1:66" ht="12.6" customHeight="1" x14ac:dyDescent="0.3">
      <c r="A74" s="98"/>
      <c r="B74" s="98"/>
      <c r="C74" s="285"/>
      <c r="D74" s="98"/>
      <c r="E74" s="98"/>
      <c r="F74" s="98"/>
      <c r="G74" s="98"/>
      <c r="H74" s="98"/>
      <c r="I74" s="98"/>
      <c r="J74" s="98"/>
      <c r="K74" s="98"/>
      <c r="L74" s="98"/>
      <c r="M74" s="98"/>
      <c r="N74" s="98"/>
      <c r="O74" s="98"/>
      <c r="P74" s="98"/>
      <c r="Q74" s="98"/>
      <c r="R74" s="98"/>
      <c r="S74" s="98"/>
      <c r="T74" s="98"/>
      <c r="U74" s="98"/>
      <c r="V74" s="98"/>
      <c r="W74" s="98"/>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row>
    <row r="75" spans="1:66" ht="12.6" customHeight="1" x14ac:dyDescent="0.3">
      <c r="A75" s="98"/>
      <c r="B75" s="98"/>
      <c r="C75" s="98"/>
      <c r="D75" s="98"/>
      <c r="E75" s="98"/>
      <c r="F75" s="98"/>
      <c r="G75" s="98"/>
      <c r="H75" s="98"/>
      <c r="I75" s="98"/>
      <c r="J75" s="98"/>
      <c r="K75" s="98"/>
      <c r="L75" s="98"/>
      <c r="M75" s="98"/>
      <c r="N75" s="98"/>
      <c r="O75" s="98"/>
      <c r="P75" s="98"/>
      <c r="Q75" s="98"/>
      <c r="R75" s="98"/>
      <c r="S75" s="98"/>
      <c r="T75" s="98"/>
      <c r="U75" s="98"/>
      <c r="V75" s="98"/>
      <c r="W75" s="98"/>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row>
    <row r="76" spans="1:66" ht="18" customHeight="1" x14ac:dyDescent="0.3">
      <c r="A76" s="98"/>
      <c r="B76" s="98"/>
      <c r="C76" s="98"/>
      <c r="D76" s="98"/>
      <c r="E76" s="98"/>
      <c r="F76" s="98"/>
      <c r="G76" s="98"/>
      <c r="H76" s="98"/>
      <c r="I76" s="98"/>
      <c r="J76" s="98"/>
      <c r="K76" s="98"/>
      <c r="L76" s="98"/>
      <c r="M76" s="98"/>
      <c r="N76" s="98"/>
      <c r="O76" s="98"/>
      <c r="P76" s="98"/>
      <c r="Q76" s="98"/>
      <c r="R76" s="98"/>
      <c r="S76" s="98"/>
      <c r="T76" s="98"/>
      <c r="U76" s="98"/>
      <c r="V76" s="98"/>
      <c r="W76" s="98"/>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row>
    <row r="77" spans="1:66" ht="42" customHeight="1" x14ac:dyDescent="0.3">
      <c r="A77" s="98"/>
      <c r="B77" s="356" t="s">
        <v>203</v>
      </c>
      <c r="C77" s="271" t="s">
        <v>202</v>
      </c>
      <c r="D77" s="272" t="s">
        <v>172</v>
      </c>
      <c r="E77" s="272" t="s">
        <v>173</v>
      </c>
      <c r="F77" s="273" t="s">
        <v>174</v>
      </c>
      <c r="G77" s="272" t="s">
        <v>175</v>
      </c>
      <c r="H77" s="98"/>
      <c r="I77" s="98"/>
      <c r="J77" s="98"/>
      <c r="K77" s="98"/>
      <c r="L77" s="98"/>
      <c r="M77" s="98"/>
      <c r="N77" s="98"/>
      <c r="O77" s="98"/>
      <c r="P77" s="98"/>
      <c r="Q77" s="98"/>
      <c r="R77" s="98"/>
      <c r="S77" s="98"/>
      <c r="T77" s="98"/>
      <c r="U77" s="98"/>
      <c r="V77" s="98"/>
      <c r="W77" s="98"/>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row>
    <row r="78" spans="1:66" ht="15.6" customHeight="1" x14ac:dyDescent="0.3">
      <c r="A78" s="98"/>
      <c r="B78" s="275">
        <v>2019</v>
      </c>
      <c r="C78" s="357">
        <f>C65</f>
        <v>13.394287195365411</v>
      </c>
      <c r="D78" s="276"/>
      <c r="E78" s="276"/>
      <c r="F78" s="276"/>
      <c r="G78" s="276"/>
      <c r="H78" s="98"/>
      <c r="I78" s="98"/>
      <c r="J78" s="98"/>
      <c r="K78" s="98"/>
      <c r="L78" s="98"/>
      <c r="M78" s="98"/>
      <c r="N78" s="98"/>
      <c r="O78" s="98"/>
      <c r="P78" s="98"/>
      <c r="Q78" s="98"/>
      <c r="R78" s="98"/>
      <c r="S78" s="98"/>
      <c r="T78" s="98"/>
      <c r="U78" s="98"/>
      <c r="V78" s="98"/>
      <c r="W78" s="98"/>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row>
    <row r="79" spans="1:66" s="1" customFormat="1" ht="15" customHeight="1" x14ac:dyDescent="0.3">
      <c r="A79" s="98"/>
      <c r="B79" s="280">
        <v>2020</v>
      </c>
      <c r="C79" s="357">
        <f>C66</f>
        <v>12.786396484237439</v>
      </c>
      <c r="D79" s="276"/>
      <c r="E79" s="276"/>
      <c r="F79" s="276"/>
      <c r="G79" s="276"/>
      <c r="H79" s="98"/>
      <c r="I79" s="98"/>
      <c r="J79" s="98"/>
      <c r="K79" s="98"/>
      <c r="L79" s="98"/>
      <c r="M79" s="98"/>
      <c r="N79" s="98"/>
      <c r="O79" s="98"/>
      <c r="P79" s="98"/>
      <c r="Q79" s="98"/>
      <c r="R79" s="98"/>
      <c r="S79" s="98"/>
      <c r="T79" s="98"/>
      <c r="U79" s="98"/>
      <c r="V79" s="98"/>
      <c r="W79" s="98"/>
    </row>
    <row r="80" spans="1:66" s="1" customFormat="1" ht="15" customHeight="1" x14ac:dyDescent="0.3">
      <c r="A80" s="98"/>
      <c r="B80" s="275">
        <v>2021</v>
      </c>
      <c r="C80" s="357">
        <f>C67</f>
        <v>13.033943383386227</v>
      </c>
      <c r="D80" s="276"/>
      <c r="E80" s="276"/>
      <c r="F80" s="276"/>
      <c r="G80" s="276"/>
      <c r="H80" s="98"/>
      <c r="I80" s="98"/>
      <c r="J80" s="98"/>
      <c r="K80" s="98"/>
      <c r="L80" s="98"/>
      <c r="M80" s="98"/>
      <c r="N80" s="98"/>
      <c r="O80" s="98"/>
      <c r="P80" s="98"/>
      <c r="Q80" s="98"/>
      <c r="R80" s="98"/>
      <c r="S80" s="98"/>
      <c r="T80" s="98"/>
      <c r="U80" s="98"/>
      <c r="V80" s="98"/>
      <c r="W80" s="98"/>
    </row>
    <row r="81" spans="1:23" s="1" customFormat="1" ht="15" customHeight="1" x14ac:dyDescent="0.3">
      <c r="A81" s="98"/>
      <c r="B81" s="280">
        <v>2022</v>
      </c>
      <c r="C81" s="357">
        <f>C68</f>
        <v>12.805692552443073</v>
      </c>
      <c r="D81" s="276"/>
      <c r="E81" s="276"/>
      <c r="F81" s="276"/>
      <c r="G81" s="276"/>
      <c r="H81" s="98"/>
      <c r="I81" s="98"/>
      <c r="J81" s="98"/>
      <c r="K81" s="98"/>
      <c r="L81" s="98"/>
      <c r="M81" s="98"/>
      <c r="N81" s="98"/>
      <c r="O81" s="98"/>
      <c r="P81" s="98"/>
      <c r="Q81" s="98"/>
      <c r="R81" s="98"/>
      <c r="S81" s="98"/>
      <c r="T81" s="98"/>
      <c r="U81" s="98"/>
      <c r="V81" s="98"/>
      <c r="W81" s="98"/>
    </row>
    <row r="82" spans="1:23" s="1" customFormat="1" ht="15" customHeight="1" x14ac:dyDescent="0.3">
      <c r="A82" s="98"/>
      <c r="B82" s="275">
        <v>2023</v>
      </c>
      <c r="C82" s="357">
        <f>C69</f>
        <v>12.815526995511552</v>
      </c>
      <c r="D82" s="357">
        <f>D69</f>
        <v>15.299578908057802</v>
      </c>
      <c r="E82" s="357">
        <f>E69</f>
        <v>13.624668105439028</v>
      </c>
      <c r="F82" s="357">
        <f>F69</f>
        <v>13.686984135399133</v>
      </c>
      <c r="G82" s="357">
        <f>G69</f>
        <v>12.983149466184665</v>
      </c>
      <c r="H82" s="98"/>
      <c r="I82" s="98"/>
      <c r="J82" s="98"/>
      <c r="K82" s="98"/>
      <c r="L82" s="98"/>
      <c r="M82" s="98"/>
      <c r="N82" s="98"/>
      <c r="O82" s="98"/>
      <c r="P82" s="98"/>
      <c r="Q82" s="98"/>
      <c r="R82" s="98"/>
      <c r="S82" s="98"/>
      <c r="T82" s="98"/>
      <c r="U82" s="98"/>
      <c r="V82" s="98"/>
      <c r="W82" s="98"/>
    </row>
    <row r="83" spans="1:23" s="1" customFormat="1" ht="15" customHeight="1" x14ac:dyDescent="0.3">
      <c r="A83" s="98"/>
      <c r="B83" s="280">
        <v>2024</v>
      </c>
      <c r="C83" s="357"/>
      <c r="D83" s="358"/>
      <c r="E83" s="358"/>
      <c r="F83" s="358"/>
      <c r="G83" s="358"/>
      <c r="H83" s="98"/>
      <c r="I83" s="98"/>
      <c r="J83" s="98"/>
      <c r="K83" s="98"/>
      <c r="L83" s="98"/>
      <c r="M83" s="98"/>
      <c r="N83" s="98"/>
      <c r="O83" s="98"/>
      <c r="P83" s="98"/>
      <c r="Q83" s="98"/>
      <c r="R83" s="98"/>
      <c r="S83" s="98"/>
      <c r="T83" s="98"/>
      <c r="U83" s="98"/>
      <c r="V83" s="98"/>
      <c r="W83" s="98"/>
    </row>
    <row r="84" spans="1:23" s="1" customFormat="1" ht="15" customHeight="1" x14ac:dyDescent="0.3">
      <c r="A84" s="98"/>
      <c r="B84" s="275">
        <v>2025</v>
      </c>
      <c r="C84" s="357"/>
      <c r="D84" s="358"/>
      <c r="E84" s="358"/>
      <c r="F84" s="358"/>
      <c r="G84" s="358"/>
      <c r="H84" s="98"/>
      <c r="I84" s="98"/>
      <c r="J84" s="98"/>
      <c r="K84" s="98"/>
      <c r="L84" s="98"/>
      <c r="M84" s="98"/>
      <c r="N84" s="98"/>
      <c r="O84" s="98"/>
      <c r="P84" s="98"/>
      <c r="Q84" s="98"/>
      <c r="R84" s="98"/>
      <c r="S84" s="98"/>
      <c r="T84" s="98"/>
      <c r="U84" s="98"/>
      <c r="V84" s="98"/>
      <c r="W84" s="98"/>
    </row>
    <row r="85" spans="1:23" s="1" customFormat="1" ht="15" customHeight="1" x14ac:dyDescent="0.3">
      <c r="A85" s="98"/>
      <c r="B85" s="280">
        <v>2026</v>
      </c>
      <c r="C85" s="357"/>
      <c r="D85" s="357"/>
      <c r="E85" s="357"/>
      <c r="F85" s="357"/>
      <c r="G85" s="357"/>
      <c r="H85" s="98"/>
      <c r="I85" s="98"/>
      <c r="J85" s="98"/>
      <c r="K85" s="98"/>
      <c r="L85" s="98"/>
      <c r="M85" s="98"/>
      <c r="N85" s="98"/>
      <c r="O85" s="98"/>
      <c r="P85" s="98"/>
      <c r="Q85" s="98"/>
      <c r="R85" s="98"/>
      <c r="S85" s="98"/>
      <c r="T85" s="98"/>
      <c r="U85" s="98"/>
      <c r="V85" s="98"/>
      <c r="W85" s="98"/>
    </row>
    <row r="86" spans="1:23" s="1" customFormat="1" ht="12.6" customHeight="1" x14ac:dyDescent="0.3">
      <c r="A86" s="98"/>
      <c r="B86" s="98"/>
      <c r="C86" s="98"/>
      <c r="D86" s="285"/>
      <c r="E86" s="98"/>
      <c r="F86" s="98"/>
      <c r="G86" s="98"/>
      <c r="H86" s="98"/>
      <c r="I86" s="98"/>
      <c r="J86" s="98"/>
      <c r="K86" s="98"/>
      <c r="L86" s="98"/>
      <c r="M86" s="98"/>
      <c r="N86" s="98"/>
      <c r="O86" s="98"/>
      <c r="P86" s="98"/>
      <c r="Q86" s="98"/>
      <c r="R86" s="98"/>
      <c r="S86" s="98"/>
      <c r="T86" s="98"/>
      <c r="U86" s="98"/>
      <c r="V86" s="98"/>
      <c r="W86" s="98"/>
    </row>
    <row r="87" spans="1:23" s="1" customFormat="1" ht="12.6" customHeight="1" x14ac:dyDescent="0.3">
      <c r="A87" s="98"/>
      <c r="B87" s="98"/>
      <c r="C87" s="98"/>
      <c r="D87" s="98"/>
      <c r="E87" s="98"/>
      <c r="F87" s="98"/>
      <c r="G87" s="98"/>
      <c r="H87" s="98"/>
      <c r="I87" s="98"/>
      <c r="J87" s="98"/>
      <c r="K87" s="98"/>
      <c r="L87" s="98"/>
      <c r="M87" s="98"/>
      <c r="N87" s="98"/>
      <c r="O87" s="98"/>
      <c r="P87" s="98"/>
      <c r="Q87" s="98"/>
      <c r="R87" s="98"/>
      <c r="S87" s="98"/>
      <c r="T87" s="98"/>
      <c r="U87" s="98"/>
      <c r="V87" s="98"/>
      <c r="W87" s="98"/>
    </row>
    <row r="88" spans="1:23" s="1" customFormat="1" ht="12.6" customHeight="1" x14ac:dyDescent="0.3">
      <c r="A88" s="98"/>
      <c r="B88" s="98"/>
      <c r="C88" s="98"/>
      <c r="D88" s="98"/>
      <c r="E88" s="98"/>
      <c r="F88" s="98"/>
      <c r="G88" s="98"/>
      <c r="H88" s="98"/>
      <c r="I88" s="98"/>
      <c r="J88" s="98"/>
      <c r="K88" s="98"/>
      <c r="L88" s="98"/>
      <c r="M88" s="98"/>
      <c r="N88" s="98"/>
      <c r="O88" s="98"/>
      <c r="P88" s="98"/>
      <c r="Q88" s="98"/>
      <c r="R88" s="98"/>
      <c r="S88" s="98"/>
      <c r="T88" s="98"/>
      <c r="U88" s="98"/>
      <c r="V88" s="98"/>
      <c r="W88" s="98"/>
    </row>
    <row r="89" spans="1:23" s="1" customFormat="1" ht="12.6" customHeight="1" x14ac:dyDescent="0.3"/>
    <row r="90" spans="1:23" s="1" customFormat="1" ht="12.6" customHeight="1" x14ac:dyDescent="0.3"/>
    <row r="91" spans="1:23" s="1" customFormat="1" x14ac:dyDescent="0.3"/>
    <row r="92" spans="1:23" s="1" customFormat="1" x14ac:dyDescent="0.3"/>
    <row r="93" spans="1:23" s="1" customFormat="1" x14ac:dyDescent="0.3"/>
    <row r="94" spans="1:23" s="1" customFormat="1" x14ac:dyDescent="0.3"/>
    <row r="95" spans="1:23" s="1" customFormat="1" x14ac:dyDescent="0.3"/>
    <row r="96" spans="1:23" s="1" customFormat="1" x14ac:dyDescent="0.3"/>
    <row r="97" s="1" customFormat="1" x14ac:dyDescent="0.3"/>
    <row r="98" s="1" customFormat="1" x14ac:dyDescent="0.3"/>
    <row r="99" s="1" customFormat="1" x14ac:dyDescent="0.3"/>
    <row r="100" s="1" customFormat="1" x14ac:dyDescent="0.3"/>
    <row r="101" s="1" customFormat="1" x14ac:dyDescent="0.3"/>
    <row r="102" s="1" customFormat="1" x14ac:dyDescent="0.3"/>
    <row r="103" s="1" customFormat="1" x14ac:dyDescent="0.3"/>
    <row r="104" s="1" customFormat="1" x14ac:dyDescent="0.3"/>
    <row r="105" s="1" customFormat="1" x14ac:dyDescent="0.3"/>
    <row r="106" s="1" customFormat="1" x14ac:dyDescent="0.3"/>
    <row r="107" s="1" customFormat="1" x14ac:dyDescent="0.3"/>
    <row r="108" s="1" customFormat="1" x14ac:dyDescent="0.3"/>
    <row r="109" s="1" customFormat="1" x14ac:dyDescent="0.3"/>
    <row r="110" s="1" customFormat="1" x14ac:dyDescent="0.3"/>
    <row r="111" s="1" customFormat="1" x14ac:dyDescent="0.3"/>
    <row r="112" s="1" customFormat="1" x14ac:dyDescent="0.3"/>
    <row r="113" s="1" customFormat="1" x14ac:dyDescent="0.3"/>
    <row r="114" s="1" customFormat="1" x14ac:dyDescent="0.3"/>
    <row r="115" s="1" customFormat="1" x14ac:dyDescent="0.3"/>
    <row r="116" s="1" customFormat="1" x14ac:dyDescent="0.3"/>
    <row r="117" s="1" customFormat="1" x14ac:dyDescent="0.3"/>
    <row r="118" s="1" customFormat="1" x14ac:dyDescent="0.3"/>
    <row r="119" s="1" customFormat="1" x14ac:dyDescent="0.3"/>
    <row r="120" s="1" customFormat="1" x14ac:dyDescent="0.3"/>
    <row r="121" s="1" customFormat="1" x14ac:dyDescent="0.3"/>
  </sheetData>
  <pageMargins left="0.7" right="0.7" top="0.75" bottom="0.75" header="0.3" footer="0.3"/>
  <pageSetup paperSize="9" orientation="portrait" r:id="rId1"/>
  <headerFooter>
    <oddHeader>&amp;R&amp;"Arial"&amp;10&amp;K000000 ECB-RESTRICTED&amp;1#_x000D_</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14EC4-452C-4452-ADDC-55C89CCCB143}">
  <dimension ref="A1:FQ27"/>
  <sheetViews>
    <sheetView zoomScale="85" zoomScaleNormal="85" workbookViewId="0">
      <selection activeCell="G38" sqref="G38"/>
    </sheetView>
  </sheetViews>
  <sheetFormatPr baseColWidth="10" defaultColWidth="8.6640625" defaultRowHeight="14.4" x14ac:dyDescent="0.3"/>
  <cols>
    <col min="1" max="1" width="4.33203125" customWidth="1"/>
    <col min="3" max="3" width="15.6640625" customWidth="1"/>
    <col min="4" max="7" width="14.5546875" customWidth="1"/>
    <col min="8" max="15" width="18" customWidth="1"/>
    <col min="16" max="17" width="18.6640625" customWidth="1"/>
    <col min="18" max="18" width="15.33203125" customWidth="1"/>
    <col min="19" max="22" width="18" customWidth="1"/>
    <col min="23" max="31" width="14.6640625" customWidth="1"/>
    <col min="32" max="32" width="15.33203125" customWidth="1"/>
    <col min="33" max="33" width="14.6640625" customWidth="1"/>
    <col min="34" max="41" width="13.5546875" customWidth="1"/>
    <col min="42" max="42" width="15.5546875" customWidth="1"/>
    <col min="43" max="43" width="13" customWidth="1"/>
    <col min="44" max="44" width="11.33203125" customWidth="1"/>
    <col min="45" max="45" width="12.33203125" customWidth="1"/>
    <col min="46" max="50" width="11.33203125" customWidth="1"/>
    <col min="51" max="51" width="13.44140625" customWidth="1"/>
    <col min="56" max="56" width="9.6640625" customWidth="1"/>
    <col min="60" max="60" width="16.44140625" customWidth="1"/>
    <col min="61" max="61" width="16.33203125" customWidth="1"/>
    <col min="62" max="63" width="15.33203125" customWidth="1"/>
    <col min="68" max="68" width="11.44140625" bestFit="1" customWidth="1"/>
    <col min="69" max="69" width="13.5546875" customWidth="1"/>
    <col min="70" max="70" width="13.6640625" customWidth="1"/>
    <col min="71" max="71" width="12.44140625" customWidth="1"/>
    <col min="72" max="77" width="12.6640625" customWidth="1"/>
    <col min="78" max="80" width="11.33203125" customWidth="1"/>
    <col min="81" max="85" width="11.6640625" hidden="1" customWidth="1"/>
    <col min="86" max="86" width="13.33203125" hidden="1" customWidth="1"/>
    <col min="87" max="88" width="11.6640625" hidden="1" customWidth="1"/>
    <col min="89" max="94" width="12.6640625" customWidth="1"/>
    <col min="95" max="96" width="11.33203125" customWidth="1"/>
    <col min="97" max="104" width="11.6640625" customWidth="1"/>
    <col min="105" max="108" width="13.44140625" customWidth="1"/>
    <col min="110" max="130" width="0.5546875" customWidth="1"/>
    <col min="131" max="132" width="15.5546875" customWidth="1"/>
    <col min="133" max="133" width="15.33203125" customWidth="1"/>
    <col min="134" max="134" width="14.5546875" customWidth="1"/>
    <col min="135" max="135" width="16.5546875" customWidth="1"/>
    <col min="136" max="138" width="18" customWidth="1"/>
    <col min="139" max="142" width="15.33203125" customWidth="1"/>
    <col min="143" max="143" width="11" customWidth="1"/>
    <col min="144" max="145" width="16" customWidth="1"/>
    <col min="146" max="146" width="9.33203125" customWidth="1"/>
    <col min="147" max="150" width="17" customWidth="1"/>
    <col min="153" max="153" width="10.6640625" customWidth="1"/>
    <col min="156" max="157" width="11.33203125" customWidth="1"/>
    <col min="158" max="161" width="9.6640625" customWidth="1"/>
    <col min="162" max="165" width="11.5546875" customWidth="1"/>
  </cols>
  <sheetData>
    <row r="1" spans="1:173" ht="15" thickBot="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ht="18" customHeight="1" thickBot="1" x14ac:dyDescent="0.35">
      <c r="A2" s="1"/>
      <c r="B2" s="2" t="s">
        <v>579</v>
      </c>
      <c r="C2" s="3"/>
      <c r="D2" s="3"/>
      <c r="E2" s="3"/>
      <c r="F2" s="3"/>
      <c r="G2" s="3"/>
      <c r="H2" s="4"/>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18" customHeight="1" x14ac:dyDescent="0.3">
      <c r="A3" s="1"/>
      <c r="B3" s="5" t="s">
        <v>0</v>
      </c>
      <c r="C3" s="6"/>
      <c r="D3" s="6"/>
      <c r="E3" s="6"/>
      <c r="F3" s="6"/>
      <c r="G3" s="6"/>
      <c r="H3" s="7"/>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84.75" customHeight="1" x14ac:dyDescent="0.3">
      <c r="A4" s="1"/>
      <c r="B4" s="8" t="s">
        <v>1</v>
      </c>
      <c r="C4" s="9"/>
      <c r="D4" s="9"/>
      <c r="E4" s="9"/>
      <c r="F4" s="9"/>
      <c r="G4" s="9"/>
      <c r="H4" s="10"/>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12.6" customHeight="1" x14ac:dyDescent="0.3">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row>
    <row r="6" spans="1:173" ht="12.6" customHeight="1" x14ac:dyDescent="0.3">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row>
    <row r="7" spans="1:173" ht="12.6" customHeight="1" x14ac:dyDescent="0.3">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c r="EU7" s="1"/>
      <c r="EV7" s="1"/>
      <c r="EW7" s="1"/>
      <c r="EX7" s="1"/>
      <c r="EY7" s="1"/>
      <c r="EZ7" s="1"/>
      <c r="FA7" s="1"/>
      <c r="FB7" s="1"/>
      <c r="FC7" s="1"/>
      <c r="FD7" s="1"/>
      <c r="FE7" s="1"/>
      <c r="FF7" s="1"/>
      <c r="FG7" s="1"/>
      <c r="FH7" s="1"/>
      <c r="FI7" s="1"/>
      <c r="FJ7" s="1"/>
      <c r="FK7" s="1"/>
      <c r="FL7" s="1"/>
      <c r="FM7" s="1"/>
      <c r="FN7" s="1"/>
      <c r="FO7" s="1"/>
      <c r="FP7" s="1"/>
      <c r="FQ7" s="1"/>
    </row>
    <row r="8" spans="1:173" ht="17.7" customHeight="1" x14ac:dyDescent="0.3">
      <c r="A8" s="1"/>
      <c r="B8" s="11" t="s">
        <v>2</v>
      </c>
      <c r="C8" s="12" t="s">
        <v>204</v>
      </c>
      <c r="D8" s="12" t="s">
        <v>205</v>
      </c>
      <c r="E8" s="124" t="s">
        <v>518</v>
      </c>
      <c r="F8" s="125"/>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56"/>
      <c r="CD8" s="56"/>
      <c r="CE8" s="56"/>
      <c r="CF8" s="56"/>
      <c r="CG8" s="56"/>
      <c r="CH8" s="56"/>
      <c r="CI8" s="56"/>
      <c r="CJ8" s="56"/>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row>
    <row r="9" spans="1:173" ht="10.35" customHeight="1" x14ac:dyDescent="0.3">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56"/>
      <c r="CD9" s="56"/>
      <c r="CE9" s="56"/>
      <c r="CF9" s="56"/>
      <c r="CG9" s="56"/>
      <c r="CH9" s="56"/>
      <c r="CI9" s="56"/>
      <c r="CJ9" s="56"/>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row>
    <row r="10" spans="1:173" x14ac:dyDescent="0.3">
      <c r="A10" s="1"/>
      <c r="B10" s="1"/>
      <c r="C10" s="13" t="s">
        <v>6</v>
      </c>
      <c r="D10" s="14"/>
      <c r="E10" s="14"/>
      <c r="F10" s="14"/>
      <c r="G10" s="14"/>
      <c r="H10" s="14"/>
      <c r="I10" s="14"/>
      <c r="J10" s="14"/>
      <c r="K10" s="14"/>
      <c r="L10" s="14"/>
      <c r="M10" s="14"/>
      <c r="N10" s="14"/>
      <c r="O10" s="14"/>
      <c r="P10" s="15" t="s">
        <v>580</v>
      </c>
      <c r="Q10" s="16"/>
      <c r="R10" s="16"/>
      <c r="S10" s="16"/>
      <c r="T10" s="16"/>
      <c r="U10" s="16"/>
      <c r="V10" s="16"/>
      <c r="W10" s="13" t="s">
        <v>628</v>
      </c>
      <c r="X10" s="17"/>
      <c r="Y10" s="17"/>
      <c r="Z10" s="17"/>
      <c r="AA10" s="17"/>
      <c r="AB10" s="17"/>
      <c r="AC10" s="17"/>
      <c r="AD10" s="13" t="s">
        <v>629</v>
      </c>
      <c r="AE10" s="17"/>
      <c r="AF10" s="17"/>
      <c r="AG10" s="18"/>
      <c r="AH10" s="19" t="s">
        <v>630</v>
      </c>
      <c r="AI10" s="20"/>
      <c r="AJ10" s="16"/>
      <c r="AK10" s="16"/>
      <c r="AL10" s="16"/>
      <c r="AM10" s="16"/>
      <c r="AN10" s="16"/>
      <c r="AO10" s="16"/>
      <c r="AP10" s="21"/>
      <c r="AQ10" s="19" t="s">
        <v>9</v>
      </c>
      <c r="AR10" s="16"/>
      <c r="AS10" s="16"/>
      <c r="AT10" s="16"/>
      <c r="AU10" s="16"/>
      <c r="AV10" s="16"/>
      <c r="AW10" s="16"/>
      <c r="AX10" s="16"/>
      <c r="AY10" s="21"/>
      <c r="AZ10" s="22" t="s">
        <v>10</v>
      </c>
      <c r="BA10" s="23"/>
      <c r="BB10" s="23"/>
      <c r="BC10" s="23"/>
      <c r="BD10" s="23"/>
      <c r="BE10" s="23"/>
      <c r="BF10" s="23"/>
      <c r="BG10" s="23"/>
      <c r="BH10" s="23"/>
      <c r="BI10" s="23"/>
      <c r="BJ10" s="23"/>
      <c r="BK10" s="23"/>
      <c r="BL10" s="23"/>
      <c r="BM10" s="23"/>
      <c r="BN10" s="23"/>
      <c r="BO10" s="23"/>
      <c r="BP10" s="23"/>
      <c r="BQ10" s="23"/>
      <c r="BR10" s="24"/>
      <c r="BS10" s="11"/>
      <c r="BT10" s="19"/>
      <c r="BU10" s="16"/>
      <c r="BV10" s="16"/>
      <c r="BW10" s="16"/>
      <c r="BX10" s="16"/>
      <c r="BY10" s="16"/>
      <c r="BZ10" s="16"/>
      <c r="CA10" s="16"/>
      <c r="CB10" s="16"/>
      <c r="CC10" s="58" t="s">
        <v>12</v>
      </c>
      <c r="CD10" s="59"/>
      <c r="CE10" s="59"/>
      <c r="CF10" s="59"/>
      <c r="CG10" s="59"/>
      <c r="CH10" s="59"/>
      <c r="CI10" s="59"/>
      <c r="CJ10" s="59"/>
      <c r="CK10" s="19" t="s">
        <v>581</v>
      </c>
      <c r="CL10" s="16"/>
      <c r="CM10" s="16"/>
      <c r="CN10" s="16"/>
      <c r="CO10" s="16"/>
      <c r="CP10" s="16"/>
      <c r="CQ10" s="16"/>
      <c r="CR10" s="16"/>
      <c r="CS10" s="19" t="s">
        <v>582</v>
      </c>
      <c r="CT10" s="127"/>
      <c r="CU10" s="59"/>
      <c r="CV10" s="59"/>
      <c r="CW10" s="59"/>
      <c r="CX10" s="59"/>
      <c r="CY10" s="59"/>
      <c r="CZ10" s="59"/>
      <c r="DA10" s="15" t="s">
        <v>15</v>
      </c>
      <c r="DB10" s="60"/>
      <c r="DC10" s="60"/>
      <c r="DD10" s="8" t="s">
        <v>16</v>
      </c>
      <c r="DE10" s="10"/>
      <c r="DF10" s="1"/>
      <c r="DG10" s="1"/>
      <c r="DH10" s="1"/>
      <c r="DI10" s="1"/>
      <c r="DJ10" s="1"/>
      <c r="DK10" s="1"/>
      <c r="DL10" s="1"/>
      <c r="DM10" s="1"/>
      <c r="DN10" s="1"/>
      <c r="DO10" s="1"/>
      <c r="DP10" s="1"/>
      <c r="DQ10" s="1"/>
      <c r="DR10" s="1"/>
      <c r="DS10" s="1"/>
      <c r="DT10" s="1"/>
      <c r="DU10" s="1"/>
      <c r="DV10" s="1"/>
      <c r="DW10" s="1"/>
      <c r="DX10" s="1"/>
      <c r="DY10" s="1"/>
      <c r="DZ10" s="1"/>
      <c r="EA10" s="13" t="s">
        <v>17</v>
      </c>
      <c r="EB10" s="14"/>
      <c r="EC10" s="14"/>
      <c r="ED10" s="14"/>
      <c r="EE10" s="14"/>
      <c r="EF10" s="14"/>
      <c r="EG10" s="14"/>
      <c r="EH10" s="14"/>
      <c r="EI10" s="14"/>
      <c r="EJ10" s="14"/>
      <c r="EK10" s="14"/>
      <c r="EL10" s="14"/>
      <c r="EM10" s="14"/>
      <c r="EN10" s="15" t="s">
        <v>583</v>
      </c>
      <c r="EO10" s="16"/>
      <c r="EP10" s="16"/>
      <c r="EQ10" s="16"/>
      <c r="ER10" s="16"/>
      <c r="ES10" s="16"/>
      <c r="ET10" s="16"/>
      <c r="EU10" s="16"/>
      <c r="EV10" s="13" t="s">
        <v>631</v>
      </c>
      <c r="EW10" s="14"/>
      <c r="EX10" s="14"/>
      <c r="EY10" s="61"/>
      <c r="EZ10" s="62" t="s">
        <v>19</v>
      </c>
      <c r="FA10" s="10"/>
      <c r="FB10" s="14" t="s">
        <v>632</v>
      </c>
      <c r="FC10" s="17"/>
      <c r="FD10" s="17"/>
      <c r="FE10" s="17"/>
      <c r="FF10" s="17"/>
      <c r="FG10" s="17"/>
      <c r="FH10" s="17"/>
      <c r="FI10" s="18"/>
      <c r="FJ10" s="1"/>
      <c r="FK10" s="1"/>
      <c r="FL10" s="1"/>
      <c r="FM10" s="1"/>
      <c r="FN10" s="1"/>
      <c r="FO10" s="1"/>
      <c r="FP10" s="1"/>
      <c r="FQ10" s="1"/>
    </row>
    <row r="11" spans="1:173" ht="78.75" customHeight="1" x14ac:dyDescent="0.3">
      <c r="A11" s="1"/>
      <c r="B11" s="25" t="s">
        <v>20</v>
      </c>
      <c r="C11" s="26" t="s">
        <v>21</v>
      </c>
      <c r="D11" s="27" t="s">
        <v>22</v>
      </c>
      <c r="E11" s="27" t="s">
        <v>23</v>
      </c>
      <c r="F11" s="27" t="s">
        <v>24</v>
      </c>
      <c r="G11" s="27" t="s">
        <v>36</v>
      </c>
      <c r="H11" s="27" t="s">
        <v>26</v>
      </c>
      <c r="I11" s="27" t="s">
        <v>27</v>
      </c>
      <c r="J11" s="121"/>
      <c r="K11" s="27" t="s">
        <v>29</v>
      </c>
      <c r="L11" s="27" t="s">
        <v>30</v>
      </c>
      <c r="M11" s="27" t="s">
        <v>31</v>
      </c>
      <c r="N11" s="27" t="s">
        <v>32</v>
      </c>
      <c r="O11" s="27" t="s">
        <v>33</v>
      </c>
      <c r="P11" s="26" t="s">
        <v>21</v>
      </c>
      <c r="Q11" s="27" t="s">
        <v>22</v>
      </c>
      <c r="R11" s="27" t="s">
        <v>34</v>
      </c>
      <c r="S11" s="27" t="s">
        <v>29</v>
      </c>
      <c r="T11" s="27" t="s">
        <v>30</v>
      </c>
      <c r="U11" s="27" t="s">
        <v>31</v>
      </c>
      <c r="V11" s="27" t="s">
        <v>32</v>
      </c>
      <c r="W11" s="27" t="s">
        <v>22</v>
      </c>
      <c r="X11" s="27" t="s">
        <v>23</v>
      </c>
      <c r="Y11" s="27" t="s">
        <v>35</v>
      </c>
      <c r="Z11" s="27" t="s">
        <v>36</v>
      </c>
      <c r="AA11" s="27" t="s">
        <v>26</v>
      </c>
      <c r="AB11" s="27" t="s">
        <v>27</v>
      </c>
      <c r="AC11" s="27" t="s">
        <v>28</v>
      </c>
      <c r="AD11" s="27" t="s">
        <v>29</v>
      </c>
      <c r="AE11" s="27" t="s">
        <v>30</v>
      </c>
      <c r="AF11" s="27" t="s">
        <v>31</v>
      </c>
      <c r="AG11" s="27" t="s">
        <v>32</v>
      </c>
      <c r="AH11" s="27" t="s">
        <v>37</v>
      </c>
      <c r="AI11" s="27" t="s">
        <v>38</v>
      </c>
      <c r="AJ11" s="27" t="s">
        <v>39</v>
      </c>
      <c r="AK11" s="27" t="s">
        <v>40</v>
      </c>
      <c r="AL11" s="27" t="s">
        <v>41</v>
      </c>
      <c r="AM11" s="27" t="s">
        <v>42</v>
      </c>
      <c r="AN11" s="121" t="s">
        <v>43</v>
      </c>
      <c r="AO11" s="27" t="s">
        <v>44</v>
      </c>
      <c r="AP11" s="27" t="s">
        <v>45</v>
      </c>
      <c r="AQ11" s="27" t="s">
        <v>37</v>
      </c>
      <c r="AR11" s="27" t="s">
        <v>38</v>
      </c>
      <c r="AS11" s="27" t="s">
        <v>39</v>
      </c>
      <c r="AT11" s="27" t="s">
        <v>40</v>
      </c>
      <c r="AU11" s="27" t="s">
        <v>41</v>
      </c>
      <c r="AV11" s="27" t="s">
        <v>42</v>
      </c>
      <c r="AW11" s="121"/>
      <c r="AX11" s="27" t="s">
        <v>44</v>
      </c>
      <c r="AY11" s="27" t="s">
        <v>45</v>
      </c>
      <c r="AZ11" s="27" t="s">
        <v>633</v>
      </c>
      <c r="BA11" s="27" t="s">
        <v>634</v>
      </c>
      <c r="BB11" s="27" t="s">
        <v>635</v>
      </c>
      <c r="BC11" s="27" t="s">
        <v>636</v>
      </c>
      <c r="BD11" s="27" t="s">
        <v>46</v>
      </c>
      <c r="BE11" s="27" t="s">
        <v>47</v>
      </c>
      <c r="BF11" s="27" t="s">
        <v>48</v>
      </c>
      <c r="BG11" s="27" t="s">
        <v>49</v>
      </c>
      <c r="BH11" s="27" t="s">
        <v>50</v>
      </c>
      <c r="BI11" s="27" t="s">
        <v>51</v>
      </c>
      <c r="BJ11" s="27" t="s">
        <v>52</v>
      </c>
      <c r="BK11" s="27" t="s">
        <v>53</v>
      </c>
      <c r="BL11" s="27" t="s">
        <v>54</v>
      </c>
      <c r="BM11" s="27" t="s">
        <v>55</v>
      </c>
      <c r="BN11" s="27" t="s">
        <v>56</v>
      </c>
      <c r="BO11" s="27" t="s">
        <v>57</v>
      </c>
      <c r="BP11" s="27" t="s">
        <v>637</v>
      </c>
      <c r="BQ11" s="27" t="s">
        <v>638</v>
      </c>
      <c r="BR11" s="27" t="s">
        <v>273</v>
      </c>
      <c r="BS11" s="27" t="s">
        <v>584</v>
      </c>
      <c r="BT11" s="27"/>
      <c r="BU11" s="27"/>
      <c r="BV11" s="27"/>
      <c r="BW11" s="27"/>
      <c r="BX11" s="27"/>
      <c r="BY11" s="27"/>
      <c r="BZ11" s="27"/>
      <c r="CA11" s="27"/>
      <c r="CB11" s="27"/>
      <c r="CC11" s="63" t="s">
        <v>68</v>
      </c>
      <c r="CD11" s="63" t="s">
        <v>69</v>
      </c>
      <c r="CE11" s="63" t="s">
        <v>70</v>
      </c>
      <c r="CF11" s="63" t="s">
        <v>71</v>
      </c>
      <c r="CG11" s="63" t="s">
        <v>72</v>
      </c>
      <c r="CH11" s="63" t="s">
        <v>73</v>
      </c>
      <c r="CI11" s="63" t="s">
        <v>74</v>
      </c>
      <c r="CJ11" s="63" t="s">
        <v>75</v>
      </c>
      <c r="CK11" s="27" t="s">
        <v>585</v>
      </c>
      <c r="CL11" s="27" t="s">
        <v>586</v>
      </c>
      <c r="CM11" s="27" t="s">
        <v>587</v>
      </c>
      <c r="CN11" s="27" t="s">
        <v>588</v>
      </c>
      <c r="CO11" s="27" t="s">
        <v>80</v>
      </c>
      <c r="CP11" s="27" t="s">
        <v>81</v>
      </c>
      <c r="CQ11" s="27" t="s">
        <v>82</v>
      </c>
      <c r="CR11" s="27" t="s">
        <v>589</v>
      </c>
      <c r="CS11" s="128" t="s">
        <v>590</v>
      </c>
      <c r="CT11" s="128" t="s">
        <v>591</v>
      </c>
      <c r="CU11" s="128" t="s">
        <v>592</v>
      </c>
      <c r="CV11" s="128" t="s">
        <v>593</v>
      </c>
      <c r="CW11" s="128" t="s">
        <v>88</v>
      </c>
      <c r="CX11" s="128" t="s">
        <v>89</v>
      </c>
      <c r="CY11" s="128" t="s">
        <v>90</v>
      </c>
      <c r="CZ11" s="128" t="s">
        <v>91</v>
      </c>
      <c r="DA11" s="64" t="s">
        <v>92</v>
      </c>
      <c r="DB11" s="64" t="s">
        <v>93</v>
      </c>
      <c r="DC11" s="64" t="s">
        <v>94</v>
      </c>
      <c r="DD11" s="64" t="s">
        <v>95</v>
      </c>
      <c r="DE11" s="64" t="s">
        <v>96</v>
      </c>
      <c r="DF11" s="1"/>
      <c r="DG11" s="1"/>
      <c r="DH11" s="1"/>
      <c r="DI11" s="1"/>
      <c r="DJ11" s="1"/>
      <c r="DK11" s="1"/>
      <c r="DL11" s="1"/>
      <c r="DM11" s="1"/>
      <c r="DN11" s="1"/>
      <c r="DO11" s="1"/>
      <c r="DP11" s="1"/>
      <c r="DQ11" s="1"/>
      <c r="DR11" s="1"/>
      <c r="DS11" s="1"/>
      <c r="DT11" s="1"/>
      <c r="DU11" s="1"/>
      <c r="DV11" s="1"/>
      <c r="DW11" s="1"/>
      <c r="DX11" s="1"/>
      <c r="DY11" s="1"/>
      <c r="DZ11" s="1"/>
      <c r="EA11" s="26" t="s">
        <v>97</v>
      </c>
      <c r="EB11" s="27" t="s">
        <v>98</v>
      </c>
      <c r="EC11" s="27" t="s">
        <v>99</v>
      </c>
      <c r="ED11" s="27" t="s">
        <v>100</v>
      </c>
      <c r="EE11" s="27" t="s">
        <v>101</v>
      </c>
      <c r="EF11" s="27" t="s">
        <v>102</v>
      </c>
      <c r="EG11" s="27" t="s">
        <v>103</v>
      </c>
      <c r="EH11" s="121"/>
      <c r="EI11" s="27" t="s">
        <v>104</v>
      </c>
      <c r="EJ11" s="27" t="s">
        <v>105</v>
      </c>
      <c r="EK11" s="27" t="s">
        <v>106</v>
      </c>
      <c r="EL11" s="27" t="s">
        <v>107</v>
      </c>
      <c r="EM11" s="27" t="s">
        <v>33</v>
      </c>
      <c r="EN11" s="27" t="s">
        <v>97</v>
      </c>
      <c r="EO11" s="27" t="s">
        <v>98</v>
      </c>
      <c r="EP11" s="27" t="s">
        <v>108</v>
      </c>
      <c r="EQ11" s="27" t="s">
        <v>104</v>
      </c>
      <c r="ER11" s="27" t="s">
        <v>105</v>
      </c>
      <c r="ES11" s="27" t="s">
        <v>106</v>
      </c>
      <c r="ET11" s="27" t="s">
        <v>107</v>
      </c>
      <c r="EU11" s="27" t="s">
        <v>594</v>
      </c>
      <c r="EV11" s="64" t="s">
        <v>639</v>
      </c>
      <c r="EW11" s="27" t="s">
        <v>99</v>
      </c>
      <c r="EX11" s="64" t="s">
        <v>110</v>
      </c>
      <c r="EY11" s="64" t="s">
        <v>640</v>
      </c>
      <c r="EZ11" s="64" t="s">
        <v>111</v>
      </c>
      <c r="FA11" s="64" t="s">
        <v>112</v>
      </c>
      <c r="FB11" s="27" t="s">
        <v>641</v>
      </c>
      <c r="FC11" s="27" t="s">
        <v>642</v>
      </c>
      <c r="FD11" s="27" t="s">
        <v>643</v>
      </c>
      <c r="FE11" s="27" t="s">
        <v>644</v>
      </c>
      <c r="FF11" s="27" t="s">
        <v>645</v>
      </c>
      <c r="FG11" s="27" t="s">
        <v>646</v>
      </c>
      <c r="FH11" s="27" t="s">
        <v>647</v>
      </c>
      <c r="FI11" s="27" t="s">
        <v>648</v>
      </c>
      <c r="FJ11" s="1"/>
      <c r="FK11" s="1"/>
      <c r="FL11" s="1"/>
      <c r="FM11" s="1"/>
      <c r="FN11" s="1"/>
      <c r="FO11" s="1"/>
      <c r="FP11" s="1"/>
      <c r="FQ11" s="1"/>
    </row>
    <row r="12" spans="1:173" x14ac:dyDescent="0.3">
      <c r="A12" s="1"/>
      <c r="B12" s="28">
        <v>1</v>
      </c>
      <c r="C12" s="129">
        <f>'[5]2. Distributional by deciles o'!B100</f>
        <v>-193202616.41279995</v>
      </c>
      <c r="D12" s="129">
        <f>'[5]2. Distributional by deciles o'!C100</f>
        <v>-190011591.59400022</v>
      </c>
      <c r="E12" s="129">
        <f>'[5]2. Distributional by deciles o'!D100</f>
        <v>-194541321.73799989</v>
      </c>
      <c r="F12" s="129">
        <f>'[5]2. Distributional by deciles o'!E100</f>
        <v>-190199533.10400021</v>
      </c>
      <c r="G12" s="129">
        <f>'[5]2. Distributional by deciles o'!F100</f>
        <v>-194380872.44879994</v>
      </c>
      <c r="H12" s="129">
        <f>'[5]2. Distributional by deciles o'!G100</f>
        <v>-194541321.73799989</v>
      </c>
      <c r="I12" s="129">
        <f>'[5]2. Distributional by deciles o'!H100</f>
        <v>-194541321.73799989</v>
      </c>
      <c r="J12" s="122"/>
      <c r="K12" s="130" t="s">
        <v>113</v>
      </c>
      <c r="L12" s="130" t="s">
        <v>113</v>
      </c>
      <c r="M12" s="130" t="s">
        <v>113</v>
      </c>
      <c r="N12" s="130" t="s">
        <v>113</v>
      </c>
      <c r="O12" s="131">
        <f>C12/C$22*100</f>
        <v>-0.34150138895239185</v>
      </c>
      <c r="P12" s="129">
        <f>'[5]2. Distributional by deciles o'!B118</f>
        <v>5981079759.9636002</v>
      </c>
      <c r="Q12" s="129">
        <f>'[5]2. Distributional by deciles o'!C118</f>
        <v>6040890033.5507927</v>
      </c>
      <c r="R12" s="131">
        <f t="shared" ref="R12:R21" si="0">(Q12/P12-1)*100</f>
        <v>0.999991238832032</v>
      </c>
      <c r="S12" s="130" t="s">
        <v>113</v>
      </c>
      <c r="T12" s="130" t="s">
        <v>113</v>
      </c>
      <c r="U12" s="130" t="s">
        <v>113</v>
      </c>
      <c r="V12" s="130" t="s">
        <v>113</v>
      </c>
      <c r="W12" s="132">
        <f>IF(D12&lt;&gt;0,((D12-$C12)/ABS($C12)) / ($Q12/$P12-1),0)</f>
        <v>1.6516612639090991</v>
      </c>
      <c r="X12" s="132">
        <f>IF(E12&lt;&gt;0,((E12-$C12)/ABS($C12)) / ($Q12/$P12-1),0)</f>
        <v>-0.69290834605706242</v>
      </c>
      <c r="Y12" s="132">
        <f t="shared" ref="Y12:AA22" si="1">IF(F12&lt;&gt;0,MAX(((F12-$C12)/ABS($C12)) / ($Q12/$P12-1),0),0)</f>
        <v>1.5543835147299727</v>
      </c>
      <c r="Z12" s="403">
        <f>IF(G12&lt;&gt;0,MAX(((G12-$C12)/ABS($C12)) / ($Q12/$P12-1),0),0)</f>
        <v>0</v>
      </c>
      <c r="AA12" s="403">
        <f t="shared" si="1"/>
        <v>0</v>
      </c>
      <c r="AB12" s="403">
        <f>IF(I12&lt;&gt;0,MAX(((I12-$C12)/ABS($C12)) / ($Q12/$P12-1),0),AA12)</f>
        <v>0</v>
      </c>
      <c r="AC12" s="403">
        <f>IF(J12&lt;&gt;0,MAX(((J12-$C12)/ABS($C12)) / ($Q12/$P12-1),0),AB12)</f>
        <v>0</v>
      </c>
      <c r="AD12" s="130" t="s">
        <v>113</v>
      </c>
      <c r="AE12" s="130" t="s">
        <v>113</v>
      </c>
      <c r="AF12" s="130" t="s">
        <v>113</v>
      </c>
      <c r="AG12" s="130" t="s">
        <v>113</v>
      </c>
      <c r="AH12" s="133">
        <f t="shared" ref="AH12:AH22" si="2">MIN(W12,1)</f>
        <v>1</v>
      </c>
      <c r="AI12" s="134">
        <f>IF(W12&gt;1,MAX(W12-SUM(AH12,AJ12:AO12),0),0)</f>
        <v>0</v>
      </c>
      <c r="AJ12" s="134">
        <f t="shared" ref="AJ12:AJ22" si="3">IF(W12&gt;1,MIN($W12-Y12,W12-AH12),0)</f>
        <v>9.7277749179126349E-2</v>
      </c>
      <c r="AK12" s="134">
        <f t="shared" ref="AK12:AK20" si="4">IF(W12&gt;1,MAX(MIN(Y12-Z12,W12-AH12-AJ12),0),0)</f>
        <v>0.55438351472997272</v>
      </c>
      <c r="AL12" s="134">
        <f>IF(W12&gt;1,MAX(MIN(Z12-AA12,W12-AH12-AJ12-AK12),0),0)</f>
        <v>0</v>
      </c>
      <c r="AM12" s="134">
        <f>IF(I12&lt;&gt;0,IF(W12&gt;1,MAX(MIN(AA12-AB12,W12-AH12-AJ12-AK12-AL12),0),0),0)</f>
        <v>0</v>
      </c>
      <c r="AN12" s="135">
        <f t="shared" ref="AN12:AN13" si="5">IF(J12&lt;&gt;0,IF(W12&gt;1,MAX(MIN(AB12-AC12,W12-AH12-AJ12-AK12-AL12-AM12),0),0),0)</f>
        <v>0</v>
      </c>
      <c r="AO12" s="134">
        <f>IF(W12&gt;1,MAX(0,MIN(W12-AH12-AJ12-AK12-AL12-AM12,W12-AH12-AJ12-AK12-AL12-AM12-X12+1)),0)</f>
        <v>0</v>
      </c>
      <c r="AP12" s="134">
        <f t="shared" ref="AP12:AP22" si="6">AI12+AO12</f>
        <v>0</v>
      </c>
      <c r="AQ12" s="136" t="s">
        <v>113</v>
      </c>
      <c r="AR12" s="137">
        <f t="shared" ref="AR12:AY22" si="7">AI12/($W12-1)*100</f>
        <v>0</v>
      </c>
      <c r="AS12" s="137">
        <f t="shared" si="7"/>
        <v>14.927655603708819</v>
      </c>
      <c r="AT12" s="137">
        <f t="shared" si="7"/>
        <v>85.072344396291172</v>
      </c>
      <c r="AU12" s="137">
        <f t="shared" si="7"/>
        <v>0</v>
      </c>
      <c r="AV12" s="137">
        <f t="shared" si="7"/>
        <v>0</v>
      </c>
      <c r="AW12" s="138">
        <f t="shared" si="7"/>
        <v>0</v>
      </c>
      <c r="AX12" s="137">
        <f t="shared" si="7"/>
        <v>0</v>
      </c>
      <c r="AY12" s="137">
        <f t="shared" si="7"/>
        <v>0</v>
      </c>
      <c r="AZ12" s="139" t="s">
        <v>113</v>
      </c>
      <c r="BA12" s="139" t="s">
        <v>113</v>
      </c>
      <c r="BB12" s="139" t="s">
        <v>113</v>
      </c>
      <c r="BC12" s="139" t="s">
        <v>113</v>
      </c>
      <c r="BD12" s="139" t="s">
        <v>113</v>
      </c>
      <c r="BE12" s="139" t="s">
        <v>113</v>
      </c>
      <c r="BF12" s="139" t="s">
        <v>113</v>
      </c>
      <c r="BG12" s="139" t="s">
        <v>113</v>
      </c>
      <c r="BH12" s="140">
        <f>'[5]2. Distributional by deciles o'!B136</f>
        <v>1761538192.2576005</v>
      </c>
      <c r="BI12" s="140">
        <f>'[5]2. Distributional by deciles o'!B154</f>
        <v>3866587576.5587997</v>
      </c>
      <c r="BJ12" s="140">
        <f>'[5]2. Distributional by deciles o'!B172</f>
        <v>312239665.61760008</v>
      </c>
      <c r="BK12" s="140">
        <f>'[5]2. Distributional by deciles o'!B190</f>
        <v>40712714.78639999</v>
      </c>
      <c r="BL12" s="141">
        <f>BH12/SUM($BH12:$BK12)</f>
        <v>0.29451850457550149</v>
      </c>
      <c r="BM12" s="141">
        <f t="shared" ref="BM12:BO12" si="8">BI12/SUM($BH12:$BK12)</f>
        <v>0.64646999756436674</v>
      </c>
      <c r="BN12" s="141">
        <f t="shared" si="8"/>
        <v>5.2204578811313261E-2</v>
      </c>
      <c r="BO12" s="141">
        <f t="shared" si="8"/>
        <v>6.8069190488184239E-3</v>
      </c>
      <c r="BP12" s="139" t="s">
        <v>113</v>
      </c>
      <c r="BQ12" s="139" t="s">
        <v>113</v>
      </c>
      <c r="BR12" s="139" t="s">
        <v>113</v>
      </c>
      <c r="BS12" s="131">
        <f>P12/P$22*100</f>
        <v>2.1403717610699089</v>
      </c>
      <c r="BT12" s="139"/>
      <c r="BU12" s="139"/>
      <c r="BV12" s="139"/>
      <c r="BW12" s="139"/>
      <c r="BX12" s="139"/>
      <c r="BY12" s="139"/>
      <c r="BZ12" s="139"/>
      <c r="CA12" s="139"/>
      <c r="CB12" s="139"/>
      <c r="CC12" s="142" t="s">
        <v>113</v>
      </c>
      <c r="CD12" s="142" t="s">
        <v>113</v>
      </c>
      <c r="CE12" s="142" t="s">
        <v>113</v>
      </c>
      <c r="CF12" s="142" t="s">
        <v>113</v>
      </c>
      <c r="CG12" s="142" t="s">
        <v>113</v>
      </c>
      <c r="CH12" s="142" t="s">
        <v>113</v>
      </c>
      <c r="CI12" s="142" t="s">
        <v>113</v>
      </c>
      <c r="CJ12" s="142"/>
      <c r="CK12" s="139" t="s">
        <v>113</v>
      </c>
      <c r="CL12" s="139" t="s">
        <v>113</v>
      </c>
      <c r="CM12" s="139" t="s">
        <v>113</v>
      </c>
      <c r="CN12" s="139" t="s">
        <v>113</v>
      </c>
      <c r="CO12" s="139" t="s">
        <v>113</v>
      </c>
      <c r="CP12" s="139" t="s">
        <v>113</v>
      </c>
      <c r="CQ12" s="139" t="s">
        <v>113</v>
      </c>
      <c r="CR12" s="139"/>
      <c r="CS12" s="143" t="s">
        <v>113</v>
      </c>
      <c r="CT12" s="143" t="s">
        <v>113</v>
      </c>
      <c r="CU12" s="143" t="s">
        <v>113</v>
      </c>
      <c r="CV12" s="143" t="s">
        <v>113</v>
      </c>
      <c r="CW12" s="143" t="s">
        <v>113</v>
      </c>
      <c r="CX12" s="143" t="s">
        <v>113</v>
      </c>
      <c r="CY12" s="143" t="s">
        <v>113</v>
      </c>
      <c r="CZ12" s="143"/>
      <c r="DA12" s="139" t="s">
        <v>113</v>
      </c>
      <c r="DB12" s="139" t="s">
        <v>113</v>
      </c>
      <c r="DC12" s="139" t="s">
        <v>113</v>
      </c>
      <c r="DD12" s="404">
        <f>(1-DE12)*100</f>
        <v>38.935880688253718</v>
      </c>
      <c r="DE12" s="297">
        <f>'[5]2. Distributional by deciles o'!J28</f>
        <v>0.61064119311746279</v>
      </c>
      <c r="DF12" s="1"/>
      <c r="DG12" s="1"/>
      <c r="DH12" s="1"/>
      <c r="DI12" s="1"/>
      <c r="DJ12" s="1"/>
      <c r="DK12" s="1"/>
      <c r="DL12" s="1"/>
      <c r="DM12" s="1"/>
      <c r="DN12" s="1"/>
      <c r="DO12" s="1"/>
      <c r="DP12" s="1"/>
      <c r="DQ12" s="1"/>
      <c r="DR12" s="1"/>
      <c r="DS12" s="1"/>
      <c r="DT12" s="1"/>
      <c r="DU12" s="1"/>
      <c r="DV12" s="1"/>
      <c r="DW12" s="1"/>
      <c r="DX12" s="1"/>
      <c r="DY12" s="1"/>
      <c r="DZ12" s="1"/>
      <c r="EA12" s="146">
        <f>'[6]2. Distributional by deciles o'!B100</f>
        <v>-207250654.10640007</v>
      </c>
      <c r="EB12" s="146">
        <f>'[6]2. Distributional by deciles o'!C100</f>
        <v>-202076740.47720006</v>
      </c>
      <c r="EC12" s="146">
        <f>'[6]2. Distributional by deciles o'!D100</f>
        <v>-208485603.84840006</v>
      </c>
      <c r="ED12" s="147">
        <f>'[6]2. Distributional by deciles o'!E100</f>
        <v>-202617106.9776001</v>
      </c>
      <c r="EE12" s="147">
        <f>'[6]2. Distributional by deciles o'!F100</f>
        <v>-208241836.72080004</v>
      </c>
      <c r="EF12" s="147">
        <f>'[6]2. Distributional by deciles o'!G100</f>
        <v>-208485603.84840006</v>
      </c>
      <c r="EG12" s="129"/>
      <c r="EH12" s="122"/>
      <c r="EI12" s="130" t="s">
        <v>113</v>
      </c>
      <c r="EJ12" s="130" t="s">
        <v>113</v>
      </c>
      <c r="EK12" s="130" t="s">
        <v>113</v>
      </c>
      <c r="EL12" s="130" t="s">
        <v>113</v>
      </c>
      <c r="EM12" s="131">
        <f t="shared" ref="EM12:EM21" si="9">EA12/EA$22*100</f>
        <v>-0.28280637438334438</v>
      </c>
      <c r="EN12" s="146">
        <f>'[6]2. Distributional by deciles o'!B118</f>
        <v>7432484085.9491987</v>
      </c>
      <c r="EO12" s="146">
        <f>'[6]2. Distributional by deciles o'!C118</f>
        <v>7506540527.6495914</v>
      </c>
      <c r="EP12" s="131">
        <f t="shared" ref="EP12:EP21" si="10">(EO12/EN12-1)*100</f>
        <v>0.99638883641059994</v>
      </c>
      <c r="EQ12" s="130" t="s">
        <v>113</v>
      </c>
      <c r="ER12" s="130" t="s">
        <v>113</v>
      </c>
      <c r="ES12" s="130" t="s">
        <v>113</v>
      </c>
      <c r="ET12" s="130" t="s">
        <v>113</v>
      </c>
      <c r="EU12" s="131">
        <f>EN12/EN$22*100</f>
        <v>2.1874929091313726</v>
      </c>
      <c r="EV12" s="132">
        <f>((EB12-$EA12)/ABS($EA12)) / ($EO12/$EN12-1)</f>
        <v>2.5055000260746549</v>
      </c>
      <c r="EW12" s="132">
        <f>IF(EC12&lt;&gt;0,((EC12-$EA12)/ABS($EA12)) / ($EO12/$EN12-1),0)</f>
        <v>-0.59803213438262726</v>
      </c>
      <c r="EX12" s="132"/>
      <c r="EY12" s="148">
        <f t="shared" ref="EY12:EY22" si="11">EV12-W12</f>
        <v>0.85383876216555588</v>
      </c>
      <c r="EZ12" s="404">
        <f>(1-FA12)*100</f>
        <v>39.582017916651346</v>
      </c>
      <c r="FA12" s="297">
        <f>'[6]2. Distributional by deciles o'!I28</f>
        <v>0.60417982083348654</v>
      </c>
      <c r="FB12" s="130" t="s">
        <v>113</v>
      </c>
      <c r="FC12" s="130" t="s">
        <v>113</v>
      </c>
      <c r="FD12" s="130" t="s">
        <v>113</v>
      </c>
      <c r="FE12" s="130" t="s">
        <v>113</v>
      </c>
      <c r="FF12" s="130" t="s">
        <v>113</v>
      </c>
      <c r="FG12" s="130" t="s">
        <v>113</v>
      </c>
      <c r="FH12" s="130" t="s">
        <v>113</v>
      </c>
      <c r="FI12" s="130" t="s">
        <v>113</v>
      </c>
      <c r="FJ12" s="1"/>
      <c r="FK12" s="1"/>
      <c r="FL12" s="1"/>
      <c r="FM12" s="1"/>
      <c r="FN12" s="1"/>
      <c r="FO12" s="1"/>
      <c r="FP12" s="1"/>
      <c r="FQ12" s="1"/>
    </row>
    <row r="13" spans="1:173" x14ac:dyDescent="0.3">
      <c r="A13" s="1"/>
      <c r="B13" s="28">
        <v>2</v>
      </c>
      <c r="C13" s="129">
        <f>'[5]2. Distributional by deciles o'!B101</f>
        <v>55151602.171200052</v>
      </c>
      <c r="D13" s="129">
        <f>'[5]2. Distributional by deciles o'!C101</f>
        <v>74307300.933599949</v>
      </c>
      <c r="E13" s="129">
        <f>'[5]2. Distributional by deciles o'!D101</f>
        <v>56101665.441599987</v>
      </c>
      <c r="F13" s="129">
        <f>'[5]2. Distributional by deciles o'!E101</f>
        <v>70011928.035599962</v>
      </c>
      <c r="G13" s="129">
        <f>'[5]2. Distributional by deciles o'!F101</f>
        <v>56915037.704400003</v>
      </c>
      <c r="H13" s="129">
        <f>'[5]2. Distributional by deciles o'!G101</f>
        <v>56162394.505199999</v>
      </c>
      <c r="I13" s="129">
        <f>'[5]2. Distributional by deciles o'!H101</f>
        <v>56162394.505199999</v>
      </c>
      <c r="J13" s="122"/>
      <c r="K13" s="130" t="s">
        <v>113</v>
      </c>
      <c r="L13" s="130" t="s">
        <v>113</v>
      </c>
      <c r="M13" s="130" t="s">
        <v>113</v>
      </c>
      <c r="N13" s="130" t="s">
        <v>113</v>
      </c>
      <c r="O13" s="131">
        <f t="shared" ref="O13:O21" si="12">C13/C$22*100</f>
        <v>9.7484956954065172E-2</v>
      </c>
      <c r="P13" s="129">
        <f>'[5]2. Distributional by deciles o'!B119</f>
        <v>13228336812.1152</v>
      </c>
      <c r="Q13" s="129">
        <f>'[5]2. Distributional by deciles o'!C119</f>
        <v>13360616113.624805</v>
      </c>
      <c r="R13" s="131">
        <f t="shared" si="0"/>
        <v>0.99996925833076844</v>
      </c>
      <c r="S13" s="130" t="s">
        <v>113</v>
      </c>
      <c r="T13" s="130" t="s">
        <v>113</v>
      </c>
      <c r="U13" s="130" t="s">
        <v>113</v>
      </c>
      <c r="V13" s="130" t="s">
        <v>113</v>
      </c>
      <c r="W13" s="132">
        <f t="shared" ref="W13:X22" si="13">IF(D13&lt;&gt;0,((D13-$C13)/ABS($C13)) / ($Q13/$P13-1),0)</f>
        <v>34.733873368165071</v>
      </c>
      <c r="X13" s="132">
        <f t="shared" si="13"/>
        <v>1.7226924339919953</v>
      </c>
      <c r="Y13" s="132">
        <f t="shared" si="1"/>
        <v>26.945332727662326</v>
      </c>
      <c r="Z13" s="132">
        <f t="shared" si="1"/>
        <v>3.1975313071490379</v>
      </c>
      <c r="AA13" s="132">
        <f t="shared" si="1"/>
        <v>1.8328087827096116</v>
      </c>
      <c r="AB13" s="132">
        <f t="shared" ref="AB13:AC22" si="14">IF(I13&lt;&gt;0,MAX(((I13-$C13)/ABS($C13)) / ($Q13/$P13-1),0),AA13)</f>
        <v>1.8328087827096116</v>
      </c>
      <c r="AC13" s="132">
        <f t="shared" si="14"/>
        <v>1.8328087827096116</v>
      </c>
      <c r="AD13" s="130" t="s">
        <v>113</v>
      </c>
      <c r="AE13" s="130" t="s">
        <v>113</v>
      </c>
      <c r="AF13" s="130" t="s">
        <v>113</v>
      </c>
      <c r="AG13" s="130" t="s">
        <v>113</v>
      </c>
      <c r="AH13" s="133">
        <f t="shared" si="2"/>
        <v>1</v>
      </c>
      <c r="AI13" s="134">
        <f t="shared" ref="AI13:AI22" si="15">IF(W13&gt;1,MAX(W13-SUM(AH13,AJ13:AO13),0),0)</f>
        <v>0.72269243399199468</v>
      </c>
      <c r="AJ13" s="134">
        <f t="shared" si="3"/>
        <v>7.7885406405027453</v>
      </c>
      <c r="AK13" s="134">
        <f t="shared" si="4"/>
        <v>23.747801420513287</v>
      </c>
      <c r="AL13" s="134">
        <f t="shared" ref="AL13:AL22" si="16">IF(W13&gt;1,MAX(MIN(Z13-AA13,W13-AH13-AJ13-AK13),0),0)</f>
        <v>1.3647225244394263</v>
      </c>
      <c r="AM13" s="134">
        <f t="shared" ref="AM13:AM22" si="17">IF(I13&lt;&gt;0,IF(W13&gt;1,MAX(MIN(AA13-AB13,W13-AH13-AJ13-AK13-AL13),0),0),0)</f>
        <v>0</v>
      </c>
      <c r="AN13" s="135">
        <f t="shared" si="5"/>
        <v>0</v>
      </c>
      <c r="AO13" s="134">
        <f t="shared" ref="AO13:AO22" si="18">IF(W13&gt;1,MAX(0,MIN(W13-AH13-AJ13-AK13-AL13-AM13,W13-AH13-AJ13-AK13-AL13-AM13-X13+1)),0)</f>
        <v>0.11011634871761666</v>
      </c>
      <c r="AP13" s="134">
        <f t="shared" si="6"/>
        <v>0.83280878270961134</v>
      </c>
      <c r="AQ13" s="136" t="s">
        <v>113</v>
      </c>
      <c r="AR13" s="137">
        <f t="shared" si="7"/>
        <v>2.1423345789695332</v>
      </c>
      <c r="AS13" s="137">
        <f t="shared" si="7"/>
        <v>23.088189593587714</v>
      </c>
      <c r="AT13" s="137">
        <f t="shared" si="7"/>
        <v>70.397493822705457</v>
      </c>
      <c r="AU13" s="137">
        <f t="shared" si="7"/>
        <v>4.0455553666936037</v>
      </c>
      <c r="AV13" s="137">
        <f t="shared" si="7"/>
        <v>0</v>
      </c>
      <c r="AW13" s="138">
        <f t="shared" si="7"/>
        <v>0</v>
      </c>
      <c r="AX13" s="137">
        <f t="shared" si="7"/>
        <v>0.32642663804368921</v>
      </c>
      <c r="AY13" s="137">
        <f t="shared" si="7"/>
        <v>2.4687612170132227</v>
      </c>
      <c r="AZ13" s="139" t="s">
        <v>113</v>
      </c>
      <c r="BA13" s="139" t="s">
        <v>113</v>
      </c>
      <c r="BB13" s="139" t="s">
        <v>113</v>
      </c>
      <c r="BC13" s="139" t="s">
        <v>113</v>
      </c>
      <c r="BD13" s="139" t="s">
        <v>113</v>
      </c>
      <c r="BE13" s="139" t="s">
        <v>113</v>
      </c>
      <c r="BF13" s="139" t="s">
        <v>113</v>
      </c>
      <c r="BG13" s="139" t="s">
        <v>113</v>
      </c>
      <c r="BH13" s="140">
        <f>'[5]2. Distributional by deciles o'!B137</f>
        <v>2656933840.2612019</v>
      </c>
      <c r="BI13" s="140">
        <f>'[5]2. Distributional by deciles o'!B155</f>
        <v>10069663063.171204</v>
      </c>
      <c r="BJ13" s="140">
        <f>'[5]2. Distributional by deciles o'!B173</f>
        <v>378689981.79360008</v>
      </c>
      <c r="BK13" s="140">
        <f>'[5]2. Distributional by deciles o'!B191</f>
        <v>123050602.4208</v>
      </c>
      <c r="BL13" s="141">
        <f t="shared" ref="BL13:BL22" si="19">BH13/SUM($BH13:$BK13)</f>
        <v>0.20085168243873139</v>
      </c>
      <c r="BM13" s="141">
        <f t="shared" ref="BM13:BM22" si="20">BI13/SUM($BH13:$BK13)</f>
        <v>0.76121909291887146</v>
      </c>
      <c r="BN13" s="141">
        <f t="shared" ref="BN13:BO22" si="21">BJ13/SUM($BH13:$BK13)</f>
        <v>2.8627178747687471E-2</v>
      </c>
      <c r="BO13" s="141">
        <f t="shared" si="21"/>
        <v>9.3020458947097456E-3</v>
      </c>
      <c r="BP13" s="139" t="s">
        <v>113</v>
      </c>
      <c r="BQ13" s="139" t="s">
        <v>113</v>
      </c>
      <c r="BR13" s="139" t="s">
        <v>113</v>
      </c>
      <c r="BS13" s="131">
        <f t="shared" ref="BS13:BS21" si="22">P13/P$22*100</f>
        <v>4.7338540355370924</v>
      </c>
      <c r="BT13" s="139"/>
      <c r="BU13" s="139"/>
      <c r="BV13" s="139"/>
      <c r="BW13" s="139"/>
      <c r="BX13" s="139"/>
      <c r="BY13" s="139"/>
      <c r="BZ13" s="139"/>
      <c r="CA13" s="139"/>
      <c r="CB13" s="139"/>
      <c r="CC13" s="142" t="s">
        <v>113</v>
      </c>
      <c r="CD13" s="142" t="s">
        <v>113</v>
      </c>
      <c r="CE13" s="142" t="s">
        <v>113</v>
      </c>
      <c r="CF13" s="142" t="s">
        <v>113</v>
      </c>
      <c r="CG13" s="142" t="s">
        <v>113</v>
      </c>
      <c r="CH13" s="142" t="s">
        <v>113</v>
      </c>
      <c r="CI13" s="142" t="s">
        <v>113</v>
      </c>
      <c r="CJ13" s="142"/>
      <c r="CK13" s="139" t="s">
        <v>113</v>
      </c>
      <c r="CL13" s="139" t="s">
        <v>113</v>
      </c>
      <c r="CM13" s="139" t="s">
        <v>113</v>
      </c>
      <c r="CN13" s="139" t="s">
        <v>113</v>
      </c>
      <c r="CO13" s="139" t="s">
        <v>113</v>
      </c>
      <c r="CP13" s="139" t="s">
        <v>113</v>
      </c>
      <c r="CQ13" s="139" t="s">
        <v>113</v>
      </c>
      <c r="CR13" s="139"/>
      <c r="CS13" s="143" t="s">
        <v>113</v>
      </c>
      <c r="CT13" s="143" t="s">
        <v>113</v>
      </c>
      <c r="CU13" s="143" t="s">
        <v>113</v>
      </c>
      <c r="CV13" s="143" t="s">
        <v>113</v>
      </c>
      <c r="CW13" s="143" t="s">
        <v>113</v>
      </c>
      <c r="CX13" s="143" t="s">
        <v>113</v>
      </c>
      <c r="CY13" s="143" t="s">
        <v>113</v>
      </c>
      <c r="CZ13" s="143"/>
      <c r="DA13" s="139" t="s">
        <v>113</v>
      </c>
      <c r="DB13" s="139" t="s">
        <v>113</v>
      </c>
      <c r="DC13" s="139" t="s">
        <v>113</v>
      </c>
      <c r="DD13" s="404">
        <f t="shared" ref="DD13:DD22" si="23">(1-DE13)*100</f>
        <v>34.835838819858736</v>
      </c>
      <c r="DE13" s="297">
        <f>'[5]2. Distributional by deciles o'!J29</f>
        <v>0.65164161180141267</v>
      </c>
      <c r="DF13" s="1"/>
      <c r="DG13" s="1"/>
      <c r="DH13" s="1"/>
      <c r="DI13" s="1"/>
      <c r="DJ13" s="1"/>
      <c r="DK13" s="1"/>
      <c r="DL13" s="1"/>
      <c r="DM13" s="1"/>
      <c r="DN13" s="1"/>
      <c r="DO13" s="1"/>
      <c r="DP13" s="1"/>
      <c r="DQ13" s="1"/>
      <c r="DR13" s="1"/>
      <c r="DS13" s="1"/>
      <c r="DT13" s="1"/>
      <c r="DU13" s="1"/>
      <c r="DV13" s="1"/>
      <c r="DW13" s="1"/>
      <c r="DX13" s="1"/>
      <c r="DY13" s="1"/>
      <c r="DZ13" s="1"/>
      <c r="EA13" s="146">
        <f>'[6]2. Distributional by deciles o'!B101</f>
        <v>284761247.10600013</v>
      </c>
      <c r="EB13" s="146">
        <f>'[6]2. Distributional by deciles o'!C101</f>
        <v>326606182.19400018</v>
      </c>
      <c r="EC13" s="146">
        <f>'[6]2. Distributional by deciles o'!D101</f>
        <v>288114822.9552002</v>
      </c>
      <c r="ED13" s="147">
        <f>'[6]2. Distributional by deciles o'!E101</f>
        <v>317202234.30960017</v>
      </c>
      <c r="EE13" s="147">
        <f>'[6]2. Distributional by deciles o'!F101</f>
        <v>289363556.26800025</v>
      </c>
      <c r="EF13" s="147">
        <f>'[6]2. Distributional by deciles o'!G101</f>
        <v>288132430.44360018</v>
      </c>
      <c r="EG13" s="129"/>
      <c r="EH13" s="122"/>
      <c r="EI13" s="130" t="s">
        <v>113</v>
      </c>
      <c r="EJ13" s="130" t="s">
        <v>113</v>
      </c>
      <c r="EK13" s="130" t="s">
        <v>113</v>
      </c>
      <c r="EL13" s="130" t="s">
        <v>113</v>
      </c>
      <c r="EM13" s="131">
        <f t="shared" si="9"/>
        <v>0.38857438692368701</v>
      </c>
      <c r="EN13" s="146">
        <f>'[6]2. Distributional by deciles o'!B119</f>
        <v>16447736030.731186</v>
      </c>
      <c r="EO13" s="146">
        <f>'[6]2. Distributional by deciles o'!C119</f>
        <v>16612032168.72718</v>
      </c>
      <c r="EP13" s="131">
        <f t="shared" si="10"/>
        <v>0.99889819297331872</v>
      </c>
      <c r="EQ13" s="130" t="s">
        <v>113</v>
      </c>
      <c r="ER13" s="130" t="s">
        <v>113</v>
      </c>
      <c r="ES13" s="130" t="s">
        <v>113</v>
      </c>
      <c r="ET13" s="130" t="s">
        <v>113</v>
      </c>
      <c r="EU13" s="131">
        <f t="shared" ref="EU13:EU21" si="24">EN13/EN$22*100</f>
        <v>4.8408184292659886</v>
      </c>
      <c r="EV13" s="132">
        <f t="shared" ref="EV13:EV22" si="25">((EB13-$EA13)/ABS($EA13)) / ($EO13/$EN13-1)</f>
        <v>14.710952214228291</v>
      </c>
      <c r="EW13" s="132">
        <f t="shared" ref="EW13:EW22" si="26">IF(EC13&lt;&gt;0,((EC13-$EA13)/ABS($EA13)) / ($EO13/$EN13-1),0)</f>
        <v>1.1789788647209531</v>
      </c>
      <c r="EX13" s="132"/>
      <c r="EY13" s="148">
        <f t="shared" si="11"/>
        <v>-20.022921153936778</v>
      </c>
      <c r="EZ13" s="404">
        <f t="shared" ref="EZ13:EZ22" si="27">(1-FA13)*100</f>
        <v>19.399748620490243</v>
      </c>
      <c r="FA13" s="297">
        <f>'[6]2. Distributional by deciles o'!I29</f>
        <v>0.80600251379509757</v>
      </c>
      <c r="FB13" s="130" t="s">
        <v>113</v>
      </c>
      <c r="FC13" s="130" t="s">
        <v>113</v>
      </c>
      <c r="FD13" s="130" t="s">
        <v>113</v>
      </c>
      <c r="FE13" s="130" t="s">
        <v>113</v>
      </c>
      <c r="FF13" s="130" t="s">
        <v>113</v>
      </c>
      <c r="FG13" s="130" t="s">
        <v>113</v>
      </c>
      <c r="FH13" s="130" t="s">
        <v>113</v>
      </c>
      <c r="FI13" s="130" t="s">
        <v>113</v>
      </c>
      <c r="FJ13" s="1"/>
      <c r="FK13" s="1"/>
      <c r="FL13" s="1"/>
      <c r="FM13" s="1"/>
      <c r="FN13" s="1"/>
      <c r="FO13" s="1"/>
      <c r="FP13" s="1"/>
      <c r="FQ13" s="1"/>
    </row>
    <row r="14" spans="1:173" x14ac:dyDescent="0.3">
      <c r="A14" s="1"/>
      <c r="B14" s="28">
        <v>3</v>
      </c>
      <c r="C14" s="129">
        <f>'[5]2. Distributional by deciles o'!B102</f>
        <v>860335420.20600033</v>
      </c>
      <c r="D14" s="129">
        <f>'[5]2. Distributional by deciles o'!C102</f>
        <v>916744324.91999936</v>
      </c>
      <c r="E14" s="129">
        <f>'[5]2. Distributional by deciles o'!D102</f>
        <v>870524086.30919874</v>
      </c>
      <c r="F14" s="129">
        <f>'[5]2. Distributional by deciles o'!E102</f>
        <v>904922778.41519976</v>
      </c>
      <c r="G14" s="129">
        <f>'[5]2. Distributional by deciles o'!F102</f>
        <v>873455191.15799904</v>
      </c>
      <c r="H14" s="129">
        <f>'[5]2. Distributional by deciles o'!G102</f>
        <v>870632611.21199894</v>
      </c>
      <c r="I14" s="129">
        <f>'[5]2. Distributional by deciles o'!H102</f>
        <v>870632611.21199894</v>
      </c>
      <c r="J14" s="122"/>
      <c r="K14" s="130" t="s">
        <v>113</v>
      </c>
      <c r="L14" s="130" t="s">
        <v>113</v>
      </c>
      <c r="M14" s="130" t="s">
        <v>113</v>
      </c>
      <c r="N14" s="130" t="s">
        <v>113</v>
      </c>
      <c r="O14" s="131">
        <f t="shared" si="12"/>
        <v>1.5207130546179484</v>
      </c>
      <c r="P14" s="129">
        <f>'[5]2. Distributional by deciles o'!B120</f>
        <v>16300934634.87001</v>
      </c>
      <c r="Q14" s="129">
        <f>'[5]2. Distributional by deciles o'!C120</f>
        <v>16463942525.637594</v>
      </c>
      <c r="R14" s="131">
        <f t="shared" si="0"/>
        <v>0.99999107056651937</v>
      </c>
      <c r="S14" s="130" t="s">
        <v>113</v>
      </c>
      <c r="T14" s="130" t="s">
        <v>113</v>
      </c>
      <c r="U14" s="130" t="s">
        <v>113</v>
      </c>
      <c r="V14" s="130" t="s">
        <v>113</v>
      </c>
      <c r="W14" s="132">
        <f t="shared" si="13"/>
        <v>6.5566762791833453</v>
      </c>
      <c r="X14" s="132">
        <f t="shared" si="13"/>
        <v>1.1842772997289148</v>
      </c>
      <c r="Y14" s="132">
        <f t="shared" si="1"/>
        <v>5.1826014953479023</v>
      </c>
      <c r="Z14" s="132">
        <f t="shared" si="1"/>
        <v>1.5249736087845096</v>
      </c>
      <c r="AA14" s="132">
        <f t="shared" si="1"/>
        <v>1.1968916672564973</v>
      </c>
      <c r="AB14" s="132">
        <f t="shared" si="14"/>
        <v>1.1968916672564973</v>
      </c>
      <c r="AC14" s="132">
        <f t="shared" si="14"/>
        <v>1.1968916672564973</v>
      </c>
      <c r="AD14" s="130" t="s">
        <v>113</v>
      </c>
      <c r="AE14" s="130" t="s">
        <v>113</v>
      </c>
      <c r="AF14" s="130" t="s">
        <v>113</v>
      </c>
      <c r="AG14" s="130" t="s">
        <v>113</v>
      </c>
      <c r="AH14" s="133">
        <f t="shared" si="2"/>
        <v>1</v>
      </c>
      <c r="AI14" s="134">
        <f t="shared" si="15"/>
        <v>0.18427729972891438</v>
      </c>
      <c r="AJ14" s="134">
        <f t="shared" si="3"/>
        <v>1.374074783835443</v>
      </c>
      <c r="AK14" s="134">
        <f t="shared" si="4"/>
        <v>3.6576278865633927</v>
      </c>
      <c r="AL14" s="134">
        <f t="shared" si="16"/>
        <v>0.32808194152801229</v>
      </c>
      <c r="AM14" s="134">
        <f t="shared" si="17"/>
        <v>0</v>
      </c>
      <c r="AN14" s="135">
        <f>IF(J14&lt;&gt;0,IF(W14&gt;1,MAX(MIN(AB14-AC14,W14-AH14-AJ14-AK14-AL14-AM14),0),0),0)</f>
        <v>0</v>
      </c>
      <c r="AO14" s="134">
        <f t="shared" si="18"/>
        <v>1.2614367527582493E-2</v>
      </c>
      <c r="AP14" s="134">
        <f t="shared" si="6"/>
        <v>0.19689166725649687</v>
      </c>
      <c r="AQ14" s="136" t="s">
        <v>113</v>
      </c>
      <c r="AR14" s="137">
        <f t="shared" si="7"/>
        <v>3.3163223925651701</v>
      </c>
      <c r="AS14" s="137">
        <f t="shared" si="7"/>
        <v>24.728357651192674</v>
      </c>
      <c r="AT14" s="137">
        <f t="shared" si="7"/>
        <v>65.824023261274959</v>
      </c>
      <c r="AU14" s="137">
        <f t="shared" si="7"/>
        <v>5.9042838748243565</v>
      </c>
      <c r="AV14" s="137">
        <f t="shared" si="7"/>
        <v>0</v>
      </c>
      <c r="AW14" s="138">
        <f t="shared" si="7"/>
        <v>0</v>
      </c>
      <c r="AX14" s="137">
        <f t="shared" si="7"/>
        <v>0.22701282014284271</v>
      </c>
      <c r="AY14" s="137">
        <f t="shared" si="7"/>
        <v>3.5433352127080124</v>
      </c>
      <c r="AZ14" s="139" t="s">
        <v>113</v>
      </c>
      <c r="BA14" s="139" t="s">
        <v>113</v>
      </c>
      <c r="BB14" s="139" t="s">
        <v>113</v>
      </c>
      <c r="BC14" s="139" t="s">
        <v>113</v>
      </c>
      <c r="BD14" s="139" t="s">
        <v>113</v>
      </c>
      <c r="BE14" s="139" t="s">
        <v>113</v>
      </c>
      <c r="BF14" s="139" t="s">
        <v>113</v>
      </c>
      <c r="BG14" s="139" t="s">
        <v>113</v>
      </c>
      <c r="BH14" s="140">
        <f>'[5]2. Distributional by deciles o'!B138</f>
        <v>5169522845.3892012</v>
      </c>
      <c r="BI14" s="140">
        <f>'[5]2. Distributional by deciles o'!B156</f>
        <v>10114223784.999588</v>
      </c>
      <c r="BJ14" s="140">
        <f>'[5]2. Distributional by deciles o'!B174</f>
        <v>834752350.04999995</v>
      </c>
      <c r="BK14" s="140">
        <f>'[5]2. Distributional by deciles o'!B192</f>
        <v>182437719.26160002</v>
      </c>
      <c r="BL14" s="141">
        <f t="shared" si="19"/>
        <v>0.31713041652902169</v>
      </c>
      <c r="BM14" s="141">
        <f t="shared" si="20"/>
        <v>0.62046887067449852</v>
      </c>
      <c r="BN14" s="141">
        <f t="shared" si="21"/>
        <v>5.1208857836086356E-2</v>
      </c>
      <c r="BO14" s="141">
        <f t="shared" si="21"/>
        <v>1.1191854960393363E-2</v>
      </c>
      <c r="BP14" s="139" t="s">
        <v>113</v>
      </c>
      <c r="BQ14" s="139" t="s">
        <v>113</v>
      </c>
      <c r="BR14" s="139" t="s">
        <v>113</v>
      </c>
      <c r="BS14" s="131">
        <f t="shared" si="22"/>
        <v>5.8334049321780865</v>
      </c>
      <c r="BT14" s="139"/>
      <c r="BU14" s="139"/>
      <c r="BV14" s="139"/>
      <c r="BW14" s="139"/>
      <c r="BX14" s="139"/>
      <c r="BY14" s="139"/>
      <c r="BZ14" s="139"/>
      <c r="CA14" s="139"/>
      <c r="CB14" s="139"/>
      <c r="CC14" s="142" t="s">
        <v>113</v>
      </c>
      <c r="CD14" s="142" t="s">
        <v>113</v>
      </c>
      <c r="CE14" s="142" t="s">
        <v>113</v>
      </c>
      <c r="CF14" s="142" t="s">
        <v>113</v>
      </c>
      <c r="CG14" s="142" t="s">
        <v>113</v>
      </c>
      <c r="CH14" s="142" t="s">
        <v>113</v>
      </c>
      <c r="CI14" s="142" t="s">
        <v>113</v>
      </c>
      <c r="CJ14" s="142"/>
      <c r="CK14" s="139" t="s">
        <v>113</v>
      </c>
      <c r="CL14" s="139" t="s">
        <v>113</v>
      </c>
      <c r="CM14" s="139" t="s">
        <v>113</v>
      </c>
      <c r="CN14" s="139" t="s">
        <v>113</v>
      </c>
      <c r="CO14" s="139" t="s">
        <v>113</v>
      </c>
      <c r="CP14" s="139" t="s">
        <v>113</v>
      </c>
      <c r="CQ14" s="139" t="s">
        <v>113</v>
      </c>
      <c r="CR14" s="139"/>
      <c r="CS14" s="143" t="s">
        <v>113</v>
      </c>
      <c r="CT14" s="143" t="s">
        <v>113</v>
      </c>
      <c r="CU14" s="143" t="s">
        <v>113</v>
      </c>
      <c r="CV14" s="143" t="s">
        <v>113</v>
      </c>
      <c r="CW14" s="143" t="s">
        <v>113</v>
      </c>
      <c r="CX14" s="143" t="s">
        <v>113</v>
      </c>
      <c r="CY14" s="143" t="s">
        <v>113</v>
      </c>
      <c r="CZ14" s="143"/>
      <c r="DA14" s="139" t="s">
        <v>113</v>
      </c>
      <c r="DB14" s="139" t="s">
        <v>113</v>
      </c>
      <c r="DC14" s="139" t="s">
        <v>113</v>
      </c>
      <c r="DD14" s="404">
        <f t="shared" si="23"/>
        <v>3.5931418090808243</v>
      </c>
      <c r="DE14" s="297">
        <f>'[5]2. Distributional by deciles o'!J30</f>
        <v>0.96406858190919176</v>
      </c>
      <c r="DF14" s="1"/>
      <c r="DG14" s="1"/>
      <c r="DH14" s="1"/>
      <c r="DI14" s="1"/>
      <c r="DJ14" s="1"/>
      <c r="DK14" s="1"/>
      <c r="DL14" s="1"/>
      <c r="DM14" s="1"/>
      <c r="DN14" s="1"/>
      <c r="DO14" s="1"/>
      <c r="DP14" s="1"/>
      <c r="DQ14" s="1"/>
      <c r="DR14" s="1"/>
      <c r="DS14" s="1"/>
      <c r="DT14" s="1"/>
      <c r="DU14" s="1"/>
      <c r="DV14" s="1"/>
      <c r="DW14" s="1"/>
      <c r="DX14" s="1"/>
      <c r="DY14" s="1"/>
      <c r="DZ14" s="1"/>
      <c r="EA14" s="146">
        <f>'[6]2. Distributional by deciles o'!B102</f>
        <v>1429145104.9956005</v>
      </c>
      <c r="EB14" s="146">
        <f>'[6]2. Distributional by deciles o'!C102</f>
        <v>1493650862.9244001</v>
      </c>
      <c r="EC14" s="146">
        <f>'[6]2. Distributional by deciles o'!D102</f>
        <v>1437197538.664799</v>
      </c>
      <c r="ED14" s="147">
        <f>'[6]2. Distributional by deciles o'!E102</f>
        <v>1478677229.3171995</v>
      </c>
      <c r="EE14" s="147">
        <f>'[6]2. Distributional by deciles o'!F102</f>
        <v>1440737247.2880001</v>
      </c>
      <c r="EF14" s="147">
        <f>'[6]2. Distributional by deciles o'!G102</f>
        <v>1437255242.0075994</v>
      </c>
      <c r="EG14" s="129"/>
      <c r="EH14" s="122"/>
      <c r="EI14" s="130" t="s">
        <v>113</v>
      </c>
      <c r="EJ14" s="130" t="s">
        <v>113</v>
      </c>
      <c r="EK14" s="130" t="s">
        <v>113</v>
      </c>
      <c r="EL14" s="130" t="s">
        <v>113</v>
      </c>
      <c r="EM14" s="131">
        <f t="shared" si="9"/>
        <v>1.9501571532025803</v>
      </c>
      <c r="EN14" s="146">
        <f>'[6]2. Distributional by deciles o'!B120</f>
        <v>19546733598.411629</v>
      </c>
      <c r="EO14" s="146">
        <f>'[6]2. Distributional by deciles o'!C120</f>
        <v>19741867459.062004</v>
      </c>
      <c r="EP14" s="131">
        <f t="shared" si="10"/>
        <v>0.99829395877288896</v>
      </c>
      <c r="EQ14" s="130" t="s">
        <v>113</v>
      </c>
      <c r="ER14" s="130" t="s">
        <v>113</v>
      </c>
      <c r="ES14" s="130" t="s">
        <v>113</v>
      </c>
      <c r="ET14" s="130" t="s">
        <v>113</v>
      </c>
      <c r="EU14" s="131">
        <f t="shared" si="24"/>
        <v>5.7529004635258154</v>
      </c>
      <c r="EV14" s="132">
        <f t="shared" si="25"/>
        <v>4.521304047794362</v>
      </c>
      <c r="EW14" s="132">
        <f t="shared" si="26"/>
        <v>0.56440699423032636</v>
      </c>
      <c r="EX14" s="132"/>
      <c r="EY14" s="148">
        <f t="shared" si="11"/>
        <v>-2.0353722313889833</v>
      </c>
      <c r="EZ14" s="404">
        <f t="shared" si="27"/>
        <v>0.89335210727857772</v>
      </c>
      <c r="FA14" s="297">
        <f>'[6]2. Distributional by deciles o'!I30</f>
        <v>0.99106647892721422</v>
      </c>
      <c r="FB14" s="130" t="s">
        <v>113</v>
      </c>
      <c r="FC14" s="130" t="s">
        <v>113</v>
      </c>
      <c r="FD14" s="130" t="s">
        <v>113</v>
      </c>
      <c r="FE14" s="130" t="s">
        <v>113</v>
      </c>
      <c r="FF14" s="130" t="s">
        <v>113</v>
      </c>
      <c r="FG14" s="130" t="s">
        <v>113</v>
      </c>
      <c r="FH14" s="130" t="s">
        <v>113</v>
      </c>
      <c r="FI14" s="130" t="s">
        <v>113</v>
      </c>
      <c r="FJ14" s="1"/>
      <c r="FK14" s="1"/>
      <c r="FL14" s="1"/>
      <c r="FM14" s="1"/>
      <c r="FN14" s="1"/>
      <c r="FO14" s="1"/>
      <c r="FP14" s="1"/>
      <c r="FQ14" s="1"/>
    </row>
    <row r="15" spans="1:173" x14ac:dyDescent="0.3">
      <c r="A15" s="1"/>
      <c r="B15" s="28">
        <v>4</v>
      </c>
      <c r="C15" s="129">
        <f>'[5]2. Distributional by deciles o'!B103</f>
        <v>1895620830.2243996</v>
      </c>
      <c r="D15" s="129">
        <f>'[5]2. Distributional by deciles o'!C103</f>
        <v>1967882857.689599</v>
      </c>
      <c r="E15" s="129">
        <f>'[5]2. Distributional by deciles o'!D103</f>
        <v>1915207585.8923988</v>
      </c>
      <c r="F15" s="129">
        <f>'[5]2. Distributional by deciles o'!E103</f>
        <v>1951808861.6436005</v>
      </c>
      <c r="G15" s="129">
        <f>'[5]2. Distributional by deciles o'!F103</f>
        <v>1919715397.4267974</v>
      </c>
      <c r="H15" s="129">
        <f>'[5]2. Distributional by deciles o'!G103</f>
        <v>1915432287.9455988</v>
      </c>
      <c r="I15" s="129">
        <f>'[5]2. Distributional by deciles o'!H103</f>
        <v>1915432287.9455988</v>
      </c>
      <c r="J15" s="122"/>
      <c r="K15" s="130" t="s">
        <v>113</v>
      </c>
      <c r="L15" s="130" t="s">
        <v>113</v>
      </c>
      <c r="M15" s="130" t="s">
        <v>113</v>
      </c>
      <c r="N15" s="130" t="s">
        <v>113</v>
      </c>
      <c r="O15" s="131">
        <f t="shared" si="12"/>
        <v>3.3506644913419001</v>
      </c>
      <c r="P15" s="129">
        <f>'[5]2. Distributional by deciles o'!B121</f>
        <v>19440481383.124813</v>
      </c>
      <c r="Q15" s="129">
        <f>'[5]2. Distributional by deciles o'!C121</f>
        <v>19634883512.090374</v>
      </c>
      <c r="R15" s="131">
        <f t="shared" si="0"/>
        <v>0.99998618930450256</v>
      </c>
      <c r="S15" s="130" t="s">
        <v>113</v>
      </c>
      <c r="T15" s="130" t="s">
        <v>113</v>
      </c>
      <c r="U15" s="130" t="s">
        <v>113</v>
      </c>
      <c r="V15" s="130" t="s">
        <v>113</v>
      </c>
      <c r="W15" s="132">
        <f t="shared" si="13"/>
        <v>3.812103365591609</v>
      </c>
      <c r="X15" s="132">
        <f t="shared" si="13"/>
        <v>1.0332776400296704</v>
      </c>
      <c r="Y15" s="132">
        <f t="shared" si="1"/>
        <v>2.9641374756922834</v>
      </c>
      <c r="Z15" s="132">
        <f t="shared" si="1"/>
        <v>1.2710822536631465</v>
      </c>
      <c r="AA15" s="132">
        <f t="shared" si="1"/>
        <v>1.0451315484142865</v>
      </c>
      <c r="AB15" s="132">
        <f t="shared" si="14"/>
        <v>1.0451315484142865</v>
      </c>
      <c r="AC15" s="132">
        <f t="shared" si="14"/>
        <v>1.0451315484142865</v>
      </c>
      <c r="AD15" s="130" t="s">
        <v>113</v>
      </c>
      <c r="AE15" s="130" t="s">
        <v>113</v>
      </c>
      <c r="AF15" s="130" t="s">
        <v>113</v>
      </c>
      <c r="AG15" s="130" t="s">
        <v>113</v>
      </c>
      <c r="AH15" s="133">
        <f t="shared" si="2"/>
        <v>1</v>
      </c>
      <c r="AI15" s="134">
        <f t="shared" si="15"/>
        <v>3.3277640029670152E-2</v>
      </c>
      <c r="AJ15" s="134">
        <f t="shared" si="3"/>
        <v>0.84796588989932564</v>
      </c>
      <c r="AK15" s="134">
        <f t="shared" si="4"/>
        <v>1.6930552220291368</v>
      </c>
      <c r="AL15" s="134">
        <f t="shared" si="16"/>
        <v>0.22595070524886007</v>
      </c>
      <c r="AM15" s="134">
        <f t="shared" si="17"/>
        <v>0</v>
      </c>
      <c r="AN15" s="135">
        <f t="shared" ref="AN15:AN22" si="28">IF(J15&lt;&gt;0,IF(W15&gt;1,MAX(MIN(AB15-AC15,W15-AH15-AJ15-AK15-AL15-AM15),0),0),0)</f>
        <v>0</v>
      </c>
      <c r="AO15" s="134">
        <f t="shared" si="18"/>
        <v>1.1853908384616085E-2</v>
      </c>
      <c r="AP15" s="134">
        <f t="shared" si="6"/>
        <v>4.5131548414286238E-2</v>
      </c>
      <c r="AQ15" s="136" t="s">
        <v>113</v>
      </c>
      <c r="AR15" s="137">
        <f t="shared" si="7"/>
        <v>1.1833718645213889</v>
      </c>
      <c r="AS15" s="137">
        <f t="shared" si="7"/>
        <v>30.154150813760396</v>
      </c>
      <c r="AT15" s="137">
        <f t="shared" si="7"/>
        <v>60.206009592145726</v>
      </c>
      <c r="AU15" s="137">
        <f t="shared" si="7"/>
        <v>8.0349359846992918</v>
      </c>
      <c r="AV15" s="137">
        <f t="shared" si="7"/>
        <v>0</v>
      </c>
      <c r="AW15" s="138">
        <f t="shared" si="7"/>
        <v>0</v>
      </c>
      <c r="AX15" s="137">
        <f t="shared" si="7"/>
        <v>0.42153174487319262</v>
      </c>
      <c r="AY15" s="137">
        <f t="shared" si="7"/>
        <v>1.6049036093945817</v>
      </c>
      <c r="AZ15" s="139" t="s">
        <v>113</v>
      </c>
      <c r="BA15" s="139" t="s">
        <v>113</v>
      </c>
      <c r="BB15" s="139" t="s">
        <v>113</v>
      </c>
      <c r="BC15" s="139" t="s">
        <v>113</v>
      </c>
      <c r="BD15" s="139" t="s">
        <v>113</v>
      </c>
      <c r="BE15" s="139" t="s">
        <v>113</v>
      </c>
      <c r="BF15" s="139" t="s">
        <v>113</v>
      </c>
      <c r="BG15" s="139" t="s">
        <v>113</v>
      </c>
      <c r="BH15" s="140">
        <f>'[5]2. Distributional by deciles o'!B139</f>
        <v>7390402999.298398</v>
      </c>
      <c r="BI15" s="140">
        <f>'[5]2. Distributional by deciles o'!B157</f>
        <v>10202753039.644802</v>
      </c>
      <c r="BJ15" s="140">
        <f>'[5]2. Distributional by deciles o'!B175</f>
        <v>1414201856.9304004</v>
      </c>
      <c r="BK15" s="140">
        <f>'[5]2. Distributional by deciles o'!B193</f>
        <v>433121041.6224001</v>
      </c>
      <c r="BL15" s="141">
        <f t="shared" si="19"/>
        <v>0.38015539756297317</v>
      </c>
      <c r="BM15" s="141">
        <f t="shared" si="20"/>
        <v>0.52482004545506078</v>
      </c>
      <c r="BN15" s="141">
        <f t="shared" si="21"/>
        <v>7.274521689909326E-2</v>
      </c>
      <c r="BO15" s="141">
        <f t="shared" si="21"/>
        <v>2.2279340082872856E-2</v>
      </c>
      <c r="BP15" s="139" t="s">
        <v>113</v>
      </c>
      <c r="BQ15" s="139" t="s">
        <v>113</v>
      </c>
      <c r="BR15" s="139" t="s">
        <v>113</v>
      </c>
      <c r="BS15" s="131">
        <f t="shared" si="22"/>
        <v>6.9569139760642242</v>
      </c>
      <c r="BT15" s="139"/>
      <c r="BU15" s="139"/>
      <c r="BV15" s="139"/>
      <c r="BW15" s="139"/>
      <c r="BX15" s="139"/>
      <c r="BY15" s="139"/>
      <c r="BZ15" s="139"/>
      <c r="CA15" s="139"/>
      <c r="CB15" s="139"/>
      <c r="CC15" s="142" t="s">
        <v>113</v>
      </c>
      <c r="CD15" s="142" t="s">
        <v>113</v>
      </c>
      <c r="CE15" s="142" t="s">
        <v>113</v>
      </c>
      <c r="CF15" s="142" t="s">
        <v>113</v>
      </c>
      <c r="CG15" s="142" t="s">
        <v>113</v>
      </c>
      <c r="CH15" s="142" t="s">
        <v>113</v>
      </c>
      <c r="CI15" s="142" t="s">
        <v>113</v>
      </c>
      <c r="CJ15" s="142"/>
      <c r="CK15" s="139" t="s">
        <v>113</v>
      </c>
      <c r="CL15" s="139" t="s">
        <v>113</v>
      </c>
      <c r="CM15" s="139" t="s">
        <v>113</v>
      </c>
      <c r="CN15" s="139" t="s">
        <v>113</v>
      </c>
      <c r="CO15" s="139" t="s">
        <v>113</v>
      </c>
      <c r="CP15" s="139" t="s">
        <v>113</v>
      </c>
      <c r="CQ15" s="139" t="s">
        <v>113</v>
      </c>
      <c r="CR15" s="139"/>
      <c r="CS15" s="143" t="s">
        <v>113</v>
      </c>
      <c r="CT15" s="143" t="s">
        <v>113</v>
      </c>
      <c r="CU15" s="143" t="s">
        <v>113</v>
      </c>
      <c r="CV15" s="143" t="s">
        <v>113</v>
      </c>
      <c r="CW15" s="143" t="s">
        <v>113</v>
      </c>
      <c r="CX15" s="143" t="s">
        <v>113</v>
      </c>
      <c r="CY15" s="143" t="s">
        <v>113</v>
      </c>
      <c r="CZ15" s="143"/>
      <c r="DA15" s="139" t="s">
        <v>113</v>
      </c>
      <c r="DB15" s="139" t="s">
        <v>113</v>
      </c>
      <c r="DC15" s="139" t="s">
        <v>113</v>
      </c>
      <c r="DD15" s="404">
        <f t="shared" si="23"/>
        <v>0.32938727279874236</v>
      </c>
      <c r="DE15" s="297">
        <f>'[5]2. Distributional by deciles o'!J31</f>
        <v>0.99670612727201258</v>
      </c>
      <c r="DF15" s="1"/>
      <c r="DG15" s="1"/>
      <c r="DH15" s="1"/>
      <c r="DI15" s="1"/>
      <c r="DJ15" s="1"/>
      <c r="DK15" s="1"/>
      <c r="DL15" s="1"/>
      <c r="DM15" s="1"/>
      <c r="DN15" s="1"/>
      <c r="DO15" s="1"/>
      <c r="DP15" s="1"/>
      <c r="DQ15" s="1"/>
      <c r="DR15" s="1"/>
      <c r="DS15" s="1"/>
      <c r="DT15" s="1"/>
      <c r="DU15" s="1"/>
      <c r="DV15" s="1"/>
      <c r="DW15" s="1"/>
      <c r="DX15" s="1"/>
      <c r="DY15" s="1"/>
      <c r="DZ15" s="1"/>
      <c r="EA15" s="146">
        <f>'[6]2. Distributional by deciles o'!B103</f>
        <v>2806059210.3660002</v>
      </c>
      <c r="EB15" s="146">
        <f>'[6]2. Distributional by deciles o'!C103</f>
        <v>2898504247.0511985</v>
      </c>
      <c r="EC15" s="146">
        <f>'[6]2. Distributional by deciles o'!D103</f>
        <v>2833280203.4735966</v>
      </c>
      <c r="ED15" s="147">
        <f>'[6]2. Distributional by deciles o'!E103</f>
        <v>2877649697.9483981</v>
      </c>
      <c r="EE15" s="147">
        <f>'[6]2. Distributional by deciles o'!F103</f>
        <v>2838513576.9167967</v>
      </c>
      <c r="EF15" s="147">
        <f>'[6]2. Distributional by deciles o'!G103</f>
        <v>2833334674.751997</v>
      </c>
      <c r="EG15" s="129"/>
      <c r="EH15" s="122"/>
      <c r="EI15" s="130" t="s">
        <v>113</v>
      </c>
      <c r="EJ15" s="130" t="s">
        <v>113</v>
      </c>
      <c r="EK15" s="130" t="s">
        <v>113</v>
      </c>
      <c r="EL15" s="130" t="s">
        <v>113</v>
      </c>
      <c r="EM15" s="131">
        <f t="shared" si="9"/>
        <v>3.8290418672511808</v>
      </c>
      <c r="EN15" s="146">
        <f>'[6]2. Distributional by deciles o'!B121</f>
        <v>24022771902.802807</v>
      </c>
      <c r="EO15" s="146">
        <f>'[6]2. Distributional by deciles o'!C121</f>
        <v>24262540274.066406</v>
      </c>
      <c r="EP15" s="131">
        <f t="shared" si="10"/>
        <v>0.99808786527098015</v>
      </c>
      <c r="EQ15" s="130" t="s">
        <v>113</v>
      </c>
      <c r="ER15" s="130" t="s">
        <v>113</v>
      </c>
      <c r="ES15" s="130" t="s">
        <v>113</v>
      </c>
      <c r="ET15" s="130" t="s">
        <v>113</v>
      </c>
      <c r="EU15" s="131">
        <f t="shared" si="24"/>
        <v>7.0702664933254846</v>
      </c>
      <c r="EV15" s="132">
        <f t="shared" si="25"/>
        <v>3.3007907444993685</v>
      </c>
      <c r="EW15" s="132">
        <f t="shared" si="26"/>
        <v>0.97193754610756311</v>
      </c>
      <c r="EX15" s="132"/>
      <c r="EY15" s="148">
        <f t="shared" si="11"/>
        <v>-0.51131262109224052</v>
      </c>
      <c r="EZ15" s="404">
        <f t="shared" si="27"/>
        <v>0.51720640150986208</v>
      </c>
      <c r="FA15" s="297">
        <f>'[6]2. Distributional by deciles o'!I31</f>
        <v>0.99482793598490138</v>
      </c>
      <c r="FB15" s="130" t="s">
        <v>113</v>
      </c>
      <c r="FC15" s="130" t="s">
        <v>113</v>
      </c>
      <c r="FD15" s="130" t="s">
        <v>113</v>
      </c>
      <c r="FE15" s="130" t="s">
        <v>113</v>
      </c>
      <c r="FF15" s="130" t="s">
        <v>113</v>
      </c>
      <c r="FG15" s="130" t="s">
        <v>113</v>
      </c>
      <c r="FH15" s="130" t="s">
        <v>113</v>
      </c>
      <c r="FI15" s="130" t="s">
        <v>113</v>
      </c>
      <c r="FJ15" s="1"/>
      <c r="FK15" s="1"/>
      <c r="FL15" s="1"/>
      <c r="FM15" s="1"/>
      <c r="FN15" s="1"/>
      <c r="FO15" s="1"/>
      <c r="FP15" s="1"/>
      <c r="FQ15" s="1"/>
    </row>
    <row r="16" spans="1:173" x14ac:dyDescent="0.3">
      <c r="A16" s="1"/>
      <c r="B16" s="28">
        <v>5</v>
      </c>
      <c r="C16" s="129">
        <f>'[5]2. Distributional by deciles o'!B104</f>
        <v>2867394216.1259985</v>
      </c>
      <c r="D16" s="129">
        <f>'[5]2. Distributional by deciles o'!C104</f>
        <v>2950514873.8548012</v>
      </c>
      <c r="E16" s="129">
        <f>'[5]2. Distributional by deciles o'!D104</f>
        <v>2896823987.8367977</v>
      </c>
      <c r="F16" s="129">
        <f>'[5]2. Distributional by deciles o'!E104</f>
        <v>2932773691.4243989</v>
      </c>
      <c r="G16" s="129">
        <f>'[5]2. Distributional by deciles o'!F104</f>
        <v>2904605736.6384025</v>
      </c>
      <c r="H16" s="129">
        <f>'[5]2. Distributional by deciles o'!G104</f>
        <v>2897380569.7775979</v>
      </c>
      <c r="I16" s="129">
        <f>'[5]2. Distributional by deciles o'!H104</f>
        <v>2897380569.7775979</v>
      </c>
      <c r="J16" s="122"/>
      <c r="K16" s="130" t="s">
        <v>113</v>
      </c>
      <c r="L16" s="130" t="s">
        <v>113</v>
      </c>
      <c r="M16" s="130" t="s">
        <v>113</v>
      </c>
      <c r="N16" s="130" t="s">
        <v>113</v>
      </c>
      <c r="O16" s="131">
        <f t="shared" si="12"/>
        <v>5.0683532431510523</v>
      </c>
      <c r="P16" s="129">
        <f>'[5]2. Distributional by deciles o'!B122</f>
        <v>21748542437.44442</v>
      </c>
      <c r="Q16" s="129">
        <f>'[5]2. Distributional by deciles o'!C122</f>
        <v>21966025522.245609</v>
      </c>
      <c r="R16" s="131">
        <f t="shared" si="0"/>
        <v>0.99998924262045819</v>
      </c>
      <c r="S16" s="130" t="s">
        <v>113</v>
      </c>
      <c r="T16" s="130" t="s">
        <v>113</v>
      </c>
      <c r="U16" s="130" t="s">
        <v>113</v>
      </c>
      <c r="V16" s="130" t="s">
        <v>113</v>
      </c>
      <c r="W16" s="132">
        <f t="shared" si="13"/>
        <v>2.8988533014196487</v>
      </c>
      <c r="X16" s="132">
        <f t="shared" si="13"/>
        <v>1.0263704982006496</v>
      </c>
      <c r="Y16" s="132">
        <f t="shared" si="1"/>
        <v>2.2801252178756362</v>
      </c>
      <c r="Z16" s="132">
        <f t="shared" si="1"/>
        <v>1.2977608940508687</v>
      </c>
      <c r="AA16" s="132">
        <f t="shared" si="1"/>
        <v>1.0457814297390331</v>
      </c>
      <c r="AB16" s="132">
        <f t="shared" si="14"/>
        <v>1.0457814297390331</v>
      </c>
      <c r="AC16" s="132">
        <f t="shared" si="14"/>
        <v>1.0457814297390331</v>
      </c>
      <c r="AD16" s="130" t="s">
        <v>113</v>
      </c>
      <c r="AE16" s="130" t="s">
        <v>113</v>
      </c>
      <c r="AF16" s="130" t="s">
        <v>113</v>
      </c>
      <c r="AG16" s="130" t="s">
        <v>113</v>
      </c>
      <c r="AH16" s="133">
        <f t="shared" si="2"/>
        <v>1</v>
      </c>
      <c r="AI16" s="134">
        <f t="shared" si="15"/>
        <v>2.6370498200649628E-2</v>
      </c>
      <c r="AJ16" s="134">
        <f t="shared" si="3"/>
        <v>0.61872808354401254</v>
      </c>
      <c r="AK16" s="134">
        <f t="shared" si="4"/>
        <v>0.98236432382476746</v>
      </c>
      <c r="AL16" s="134">
        <f t="shared" si="16"/>
        <v>0.2519794643118356</v>
      </c>
      <c r="AM16" s="134">
        <f t="shared" si="17"/>
        <v>0</v>
      </c>
      <c r="AN16" s="135">
        <f t="shared" si="28"/>
        <v>0</v>
      </c>
      <c r="AO16" s="134">
        <f t="shared" si="18"/>
        <v>1.9410931538383469E-2</v>
      </c>
      <c r="AP16" s="134">
        <f t="shared" si="6"/>
        <v>4.5781429739033097E-2</v>
      </c>
      <c r="AQ16" s="136" t="s">
        <v>113</v>
      </c>
      <c r="AR16" s="137">
        <f t="shared" si="7"/>
        <v>1.3887591095601817</v>
      </c>
      <c r="AS16" s="137">
        <f t="shared" si="7"/>
        <v>32.584301435051877</v>
      </c>
      <c r="AT16" s="137">
        <f t="shared" si="7"/>
        <v>51.734608623547572</v>
      </c>
      <c r="AU16" s="137">
        <f t="shared" si="7"/>
        <v>13.270085905185356</v>
      </c>
      <c r="AV16" s="137">
        <f t="shared" si="7"/>
        <v>0</v>
      </c>
      <c r="AW16" s="138">
        <f t="shared" si="7"/>
        <v>0</v>
      </c>
      <c r="AX16" s="137">
        <f t="shared" si="7"/>
        <v>1.0222449266550071</v>
      </c>
      <c r="AY16" s="137">
        <f t="shared" si="7"/>
        <v>2.4110040362151888</v>
      </c>
      <c r="AZ16" s="139" t="s">
        <v>113</v>
      </c>
      <c r="BA16" s="139" t="s">
        <v>113</v>
      </c>
      <c r="BB16" s="139" t="s">
        <v>113</v>
      </c>
      <c r="BC16" s="139" t="s">
        <v>113</v>
      </c>
      <c r="BD16" s="139" t="s">
        <v>113</v>
      </c>
      <c r="BE16" s="139" t="s">
        <v>113</v>
      </c>
      <c r="BF16" s="139" t="s">
        <v>113</v>
      </c>
      <c r="BG16" s="139" t="s">
        <v>113</v>
      </c>
      <c r="BH16" s="140">
        <f>'[5]2. Distributional by deciles o'!B140</f>
        <v>12241261227.962399</v>
      </c>
      <c r="BI16" s="140">
        <f>'[5]2. Distributional by deciles o'!B158</f>
        <v>7328287935.532794</v>
      </c>
      <c r="BJ16" s="140">
        <f>'[5]2. Distributional by deciles o'!B176</f>
        <v>1691907127.1928005</v>
      </c>
      <c r="BK16" s="140">
        <f>'[5]2. Distributional by deciles o'!B194</f>
        <v>487087831.78559983</v>
      </c>
      <c r="BL16" s="141">
        <f t="shared" si="19"/>
        <v>0.56285428390183778</v>
      </c>
      <c r="BM16" s="141">
        <f t="shared" si="20"/>
        <v>0.3369553333898887</v>
      </c>
      <c r="BN16" s="141">
        <f t="shared" si="21"/>
        <v>7.7794040725902597E-2</v>
      </c>
      <c r="BO16" s="141">
        <f t="shared" si="21"/>
        <v>2.2396341982370834E-2</v>
      </c>
      <c r="BP16" s="139" t="s">
        <v>113</v>
      </c>
      <c r="BQ16" s="139" t="s">
        <v>113</v>
      </c>
      <c r="BR16" s="139" t="s">
        <v>113</v>
      </c>
      <c r="BS16" s="131">
        <f t="shared" si="22"/>
        <v>7.7828699742703069</v>
      </c>
      <c r="BT16" s="139"/>
      <c r="BU16" s="139"/>
      <c r="BV16" s="139"/>
      <c r="BW16" s="139"/>
      <c r="BX16" s="139"/>
      <c r="BY16" s="139"/>
      <c r="BZ16" s="139"/>
      <c r="CA16" s="139"/>
      <c r="CB16" s="139"/>
      <c r="CC16" s="142" t="s">
        <v>113</v>
      </c>
      <c r="CD16" s="142" t="s">
        <v>113</v>
      </c>
      <c r="CE16" s="142" t="s">
        <v>113</v>
      </c>
      <c r="CF16" s="142" t="s">
        <v>113</v>
      </c>
      <c r="CG16" s="142" t="s">
        <v>113</v>
      </c>
      <c r="CH16" s="142" t="s">
        <v>113</v>
      </c>
      <c r="CI16" s="142" t="s">
        <v>113</v>
      </c>
      <c r="CJ16" s="142"/>
      <c r="CK16" s="139" t="s">
        <v>113</v>
      </c>
      <c r="CL16" s="139" t="s">
        <v>113</v>
      </c>
      <c r="CM16" s="139" t="s">
        <v>113</v>
      </c>
      <c r="CN16" s="139" t="s">
        <v>113</v>
      </c>
      <c r="CO16" s="139" t="s">
        <v>113</v>
      </c>
      <c r="CP16" s="139" t="s">
        <v>113</v>
      </c>
      <c r="CQ16" s="139" t="s">
        <v>113</v>
      </c>
      <c r="CR16" s="139"/>
      <c r="CS16" s="143" t="s">
        <v>113</v>
      </c>
      <c r="CT16" s="143" t="s">
        <v>113</v>
      </c>
      <c r="CU16" s="143" t="s">
        <v>113</v>
      </c>
      <c r="CV16" s="143" t="s">
        <v>113</v>
      </c>
      <c r="CW16" s="143" t="s">
        <v>113</v>
      </c>
      <c r="CX16" s="143" t="s">
        <v>113</v>
      </c>
      <c r="CY16" s="143" t="s">
        <v>113</v>
      </c>
      <c r="CZ16" s="143"/>
      <c r="DA16" s="139" t="s">
        <v>113</v>
      </c>
      <c r="DB16" s="139" t="s">
        <v>113</v>
      </c>
      <c r="DC16" s="139" t="s">
        <v>113</v>
      </c>
      <c r="DD16" s="404">
        <f t="shared" si="23"/>
        <v>0</v>
      </c>
      <c r="DE16" s="297">
        <f>'[5]2. Distributional by deciles o'!J32</f>
        <v>1</v>
      </c>
      <c r="DF16" s="1"/>
      <c r="DG16" s="1"/>
      <c r="DH16" s="1"/>
      <c r="DI16" s="1"/>
      <c r="DJ16" s="1"/>
      <c r="DK16" s="1"/>
      <c r="DL16" s="1"/>
      <c r="DM16" s="1"/>
      <c r="DN16" s="1"/>
      <c r="DO16" s="1"/>
      <c r="DP16" s="1"/>
      <c r="DQ16" s="1"/>
      <c r="DR16" s="1"/>
      <c r="DS16" s="1"/>
      <c r="DT16" s="1"/>
      <c r="DU16" s="1"/>
      <c r="DV16" s="1"/>
      <c r="DW16" s="1"/>
      <c r="DX16" s="1"/>
      <c r="DY16" s="1"/>
      <c r="DZ16" s="1"/>
      <c r="EA16" s="146">
        <f>'[6]2. Distributional by deciles o'!B104</f>
        <v>3909115215.6660018</v>
      </c>
      <c r="EB16" s="146">
        <f>'[6]2. Distributional by deciles o'!C104</f>
        <v>4012526313.3767958</v>
      </c>
      <c r="EC16" s="146">
        <f>'[6]2. Distributional by deciles o'!D104</f>
        <v>3947333148.9911971</v>
      </c>
      <c r="ED16" s="147">
        <f>'[6]2. Distributional by deciles o'!E104</f>
        <v>3990296354.1948004</v>
      </c>
      <c r="EE16" s="147">
        <f>'[6]2. Distributional by deciles o'!F104</f>
        <v>3956315256.3312016</v>
      </c>
      <c r="EF16" s="147">
        <f>'[6]2. Distributional by deciles o'!G104</f>
        <v>3947405908.246798</v>
      </c>
      <c r="EG16" s="129"/>
      <c r="EH16" s="122"/>
      <c r="EI16" s="130" t="s">
        <v>113</v>
      </c>
      <c r="EJ16" s="130" t="s">
        <v>113</v>
      </c>
      <c r="EK16" s="130" t="s">
        <v>113</v>
      </c>
      <c r="EL16" s="130" t="s">
        <v>113</v>
      </c>
      <c r="EM16" s="131">
        <f t="shared" si="9"/>
        <v>5.3342302148861007</v>
      </c>
      <c r="EN16" s="146">
        <f>'[6]2. Distributional by deciles o'!B122</f>
        <v>26525502172.770012</v>
      </c>
      <c r="EO16" s="146">
        <f>'[6]2. Distributional by deciles o'!C122</f>
        <v>26790238217.696396</v>
      </c>
      <c r="EP16" s="131">
        <f t="shared" si="10"/>
        <v>0.99804347982581643</v>
      </c>
      <c r="EQ16" s="130" t="s">
        <v>113</v>
      </c>
      <c r="ER16" s="130" t="s">
        <v>113</v>
      </c>
      <c r="ES16" s="130" t="s">
        <v>113</v>
      </c>
      <c r="ET16" s="130" t="s">
        <v>113</v>
      </c>
      <c r="EU16" s="131">
        <f t="shared" si="24"/>
        <v>7.8068580091245439</v>
      </c>
      <c r="EV16" s="132">
        <f t="shared" si="25"/>
        <v>2.6505696180347997</v>
      </c>
      <c r="EW16" s="132">
        <f t="shared" si="26"/>
        <v>0.97957854793440458</v>
      </c>
      <c r="EX16" s="132"/>
      <c r="EY16" s="148">
        <f t="shared" si="11"/>
        <v>-0.24828368338484896</v>
      </c>
      <c r="EZ16" s="404">
        <f t="shared" si="27"/>
        <v>0</v>
      </c>
      <c r="FA16" s="297">
        <f>'[6]2. Distributional by deciles o'!I32</f>
        <v>1</v>
      </c>
      <c r="FB16" s="130" t="s">
        <v>113</v>
      </c>
      <c r="FC16" s="130" t="s">
        <v>113</v>
      </c>
      <c r="FD16" s="130" t="s">
        <v>113</v>
      </c>
      <c r="FE16" s="130" t="s">
        <v>113</v>
      </c>
      <c r="FF16" s="130" t="s">
        <v>113</v>
      </c>
      <c r="FG16" s="130" t="s">
        <v>113</v>
      </c>
      <c r="FH16" s="130" t="s">
        <v>113</v>
      </c>
      <c r="FI16" s="130" t="s">
        <v>113</v>
      </c>
      <c r="FJ16" s="1"/>
      <c r="FK16" s="1"/>
      <c r="FL16" s="1"/>
      <c r="FM16" s="1"/>
      <c r="FN16" s="1"/>
      <c r="FO16" s="1"/>
      <c r="FP16" s="1"/>
      <c r="FQ16" s="1"/>
    </row>
    <row r="17" spans="1:173" x14ac:dyDescent="0.3">
      <c r="A17" s="1"/>
      <c r="B17" s="28">
        <v>6</v>
      </c>
      <c r="C17" s="129">
        <f>'[5]2. Distributional by deciles o'!B105</f>
        <v>4252605858.471601</v>
      </c>
      <c r="D17" s="129">
        <f>'[5]2. Distributional by deciles o'!C105</f>
        <v>4355587270.9067974</v>
      </c>
      <c r="E17" s="129">
        <f>'[5]2. Distributional by deciles o'!D105</f>
        <v>4296324920.7792053</v>
      </c>
      <c r="F17" s="129">
        <f>'[5]2. Distributional by deciles o'!E105</f>
        <v>4333993432.3260012</v>
      </c>
      <c r="G17" s="129">
        <f>'[5]2. Distributional by deciles o'!F105</f>
        <v>4306616716.8048029</v>
      </c>
      <c r="H17" s="129">
        <f>'[5]2. Distributional by deciles o'!G105</f>
        <v>4296841013.6184034</v>
      </c>
      <c r="I17" s="129">
        <f>'[5]2. Distributional by deciles o'!H105</f>
        <v>4296841013.6184034</v>
      </c>
      <c r="J17" s="122"/>
      <c r="K17" s="130" t="s">
        <v>113</v>
      </c>
      <c r="L17" s="130" t="s">
        <v>113</v>
      </c>
      <c r="M17" s="130" t="s">
        <v>113</v>
      </c>
      <c r="N17" s="130" t="s">
        <v>113</v>
      </c>
      <c r="O17" s="131">
        <f t="shared" si="12"/>
        <v>7.5168278478806121</v>
      </c>
      <c r="P17" s="129">
        <f>'[5]2. Distributional by deciles o'!B123</f>
        <v>25952553746.482796</v>
      </c>
      <c r="Q17" s="129">
        <f>'[5]2. Distributional by deciles o'!C123</f>
        <v>26212076122.090775</v>
      </c>
      <c r="R17" s="131">
        <f t="shared" si="0"/>
        <v>0.99998781677950177</v>
      </c>
      <c r="S17" s="130" t="s">
        <v>113</v>
      </c>
      <c r="T17" s="130" t="s">
        <v>113</v>
      </c>
      <c r="U17" s="130" t="s">
        <v>113</v>
      </c>
      <c r="V17" s="130" t="s">
        <v>113</v>
      </c>
      <c r="W17" s="132">
        <f t="shared" si="13"/>
        <v>2.4216367686788027</v>
      </c>
      <c r="X17" s="132">
        <f t="shared" si="13"/>
        <v>1.0280660001908257</v>
      </c>
      <c r="Y17" s="132">
        <f t="shared" si="1"/>
        <v>1.9138516038843558</v>
      </c>
      <c r="Z17" s="132">
        <f t="shared" si="1"/>
        <v>1.2700804674813464</v>
      </c>
      <c r="AA17" s="132">
        <f t="shared" si="1"/>
        <v>1.0402020679131485</v>
      </c>
      <c r="AB17" s="132">
        <f t="shared" si="14"/>
        <v>1.0402020679131485</v>
      </c>
      <c r="AC17" s="132">
        <f t="shared" si="14"/>
        <v>1.0402020679131485</v>
      </c>
      <c r="AD17" s="130" t="s">
        <v>113</v>
      </c>
      <c r="AE17" s="130" t="s">
        <v>113</v>
      </c>
      <c r="AF17" s="130" t="s">
        <v>113</v>
      </c>
      <c r="AG17" s="130" t="s">
        <v>113</v>
      </c>
      <c r="AH17" s="133">
        <f t="shared" si="2"/>
        <v>1</v>
      </c>
      <c r="AI17" s="134">
        <f t="shared" si="15"/>
        <v>2.8066000190825502E-2</v>
      </c>
      <c r="AJ17" s="134">
        <f t="shared" si="3"/>
        <v>0.50778516479444691</v>
      </c>
      <c r="AK17" s="134">
        <f t="shared" si="4"/>
        <v>0.64377113640300943</v>
      </c>
      <c r="AL17" s="134">
        <f t="shared" si="16"/>
        <v>0.22987839956819789</v>
      </c>
      <c r="AM17" s="134">
        <f t="shared" si="17"/>
        <v>0</v>
      </c>
      <c r="AN17" s="135">
        <f t="shared" si="28"/>
        <v>0</v>
      </c>
      <c r="AO17" s="134">
        <f t="shared" si="18"/>
        <v>1.2136067722322785E-2</v>
      </c>
      <c r="AP17" s="134">
        <f t="shared" si="6"/>
        <v>4.0202067913148287E-2</v>
      </c>
      <c r="AQ17" s="136" t="s">
        <v>113</v>
      </c>
      <c r="AR17" s="137">
        <f t="shared" si="7"/>
        <v>1.9742033133335897</v>
      </c>
      <c r="AS17" s="137">
        <f t="shared" si="7"/>
        <v>35.718347751117662</v>
      </c>
      <c r="AT17" s="137">
        <f t="shared" si="7"/>
        <v>45.283798969359644</v>
      </c>
      <c r="AU17" s="137">
        <f t="shared" si="7"/>
        <v>16.1699812942961</v>
      </c>
      <c r="AV17" s="137">
        <f t="shared" si="7"/>
        <v>0</v>
      </c>
      <c r="AW17" s="138">
        <f t="shared" si="7"/>
        <v>0</v>
      </c>
      <c r="AX17" s="137">
        <f t="shared" si="7"/>
        <v>0.85366867189299223</v>
      </c>
      <c r="AY17" s="137">
        <f t="shared" si="7"/>
        <v>2.8278719852265817</v>
      </c>
      <c r="AZ17" s="139" t="s">
        <v>113</v>
      </c>
      <c r="BA17" s="139" t="s">
        <v>113</v>
      </c>
      <c r="BB17" s="139" t="s">
        <v>113</v>
      </c>
      <c r="BC17" s="139" t="s">
        <v>113</v>
      </c>
      <c r="BD17" s="139" t="s">
        <v>113</v>
      </c>
      <c r="BE17" s="139" t="s">
        <v>113</v>
      </c>
      <c r="BF17" s="139" t="s">
        <v>113</v>
      </c>
      <c r="BG17" s="139" t="s">
        <v>113</v>
      </c>
      <c r="BH17" s="140">
        <f>'[5]2. Distributional by deciles o'!B141</f>
        <v>16755022363.047609</v>
      </c>
      <c r="BI17" s="140">
        <f>'[5]2. Distributional by deciles o'!B159</f>
        <v>6717711214.6319904</v>
      </c>
      <c r="BJ17" s="140">
        <f>'[5]2. Distributional by deciles o'!B177</f>
        <v>1918101747.0648003</v>
      </c>
      <c r="BK17" s="140">
        <f>'[5]2. Distributional by deciles o'!B195</f>
        <v>561723368.90400004</v>
      </c>
      <c r="BL17" s="141">
        <f t="shared" si="19"/>
        <v>0.64560194471877697</v>
      </c>
      <c r="BM17" s="141">
        <f t="shared" si="20"/>
        <v>0.25884581531747292</v>
      </c>
      <c r="BN17" s="141">
        <f t="shared" si="21"/>
        <v>7.3908001507929713E-2</v>
      </c>
      <c r="BO17" s="141">
        <f t="shared" si="21"/>
        <v>2.1644238455820374E-2</v>
      </c>
      <c r="BP17" s="139" t="s">
        <v>113</v>
      </c>
      <c r="BQ17" s="139" t="s">
        <v>113</v>
      </c>
      <c r="BR17" s="139" t="s">
        <v>113</v>
      </c>
      <c r="BS17" s="131">
        <f t="shared" si="22"/>
        <v>9.2873052017214519</v>
      </c>
      <c r="BT17" s="139"/>
      <c r="BU17" s="139"/>
      <c r="BV17" s="139"/>
      <c r="BW17" s="139"/>
      <c r="BX17" s="139"/>
      <c r="BY17" s="139"/>
      <c r="BZ17" s="139"/>
      <c r="CA17" s="139"/>
      <c r="CB17" s="139"/>
      <c r="CC17" s="142" t="s">
        <v>113</v>
      </c>
      <c r="CD17" s="142" t="s">
        <v>113</v>
      </c>
      <c r="CE17" s="142" t="s">
        <v>113</v>
      </c>
      <c r="CF17" s="142" t="s">
        <v>113</v>
      </c>
      <c r="CG17" s="142" t="s">
        <v>113</v>
      </c>
      <c r="CH17" s="142" t="s">
        <v>113</v>
      </c>
      <c r="CI17" s="142" t="s">
        <v>113</v>
      </c>
      <c r="CJ17" s="142"/>
      <c r="CK17" s="139" t="s">
        <v>113</v>
      </c>
      <c r="CL17" s="139" t="s">
        <v>113</v>
      </c>
      <c r="CM17" s="139" t="s">
        <v>113</v>
      </c>
      <c r="CN17" s="139" t="s">
        <v>113</v>
      </c>
      <c r="CO17" s="139" t="s">
        <v>113</v>
      </c>
      <c r="CP17" s="139" t="s">
        <v>113</v>
      </c>
      <c r="CQ17" s="139" t="s">
        <v>113</v>
      </c>
      <c r="CR17" s="139"/>
      <c r="CS17" s="143" t="s">
        <v>113</v>
      </c>
      <c r="CT17" s="143" t="s">
        <v>113</v>
      </c>
      <c r="CU17" s="143" t="s">
        <v>113</v>
      </c>
      <c r="CV17" s="143" t="s">
        <v>113</v>
      </c>
      <c r="CW17" s="143" t="s">
        <v>113</v>
      </c>
      <c r="CX17" s="143" t="s">
        <v>113</v>
      </c>
      <c r="CY17" s="143" t="s">
        <v>113</v>
      </c>
      <c r="CZ17" s="143"/>
      <c r="DA17" s="139" t="s">
        <v>113</v>
      </c>
      <c r="DB17" s="139" t="s">
        <v>113</v>
      </c>
      <c r="DC17" s="139" t="s">
        <v>113</v>
      </c>
      <c r="DD17" s="404">
        <f t="shared" si="23"/>
        <v>0</v>
      </c>
      <c r="DE17" s="297">
        <f>'[5]2. Distributional by deciles o'!J33</f>
        <v>1</v>
      </c>
      <c r="DF17" s="1"/>
      <c r="DG17" s="1"/>
      <c r="DH17" s="1"/>
      <c r="DI17" s="1"/>
      <c r="DJ17" s="1"/>
      <c r="DK17" s="1"/>
      <c r="DL17" s="1"/>
      <c r="DM17" s="1"/>
      <c r="DN17" s="1"/>
      <c r="DO17" s="1"/>
      <c r="DP17" s="1"/>
      <c r="DQ17" s="1"/>
      <c r="DR17" s="1"/>
      <c r="DS17" s="1"/>
      <c r="DT17" s="1"/>
      <c r="DU17" s="1"/>
      <c r="DV17" s="1"/>
      <c r="DW17" s="1"/>
      <c r="DX17" s="1"/>
      <c r="DY17" s="1"/>
      <c r="DZ17" s="1"/>
      <c r="EA17" s="146">
        <f>'[6]2. Distributional by deciles o'!B105</f>
        <v>5672665720.0679941</v>
      </c>
      <c r="EB17" s="146">
        <f>'[6]2. Distributional by deciles o'!C105</f>
        <v>5799828838.603199</v>
      </c>
      <c r="EC17" s="146">
        <f>'[6]2. Distributional by deciles o'!D105</f>
        <v>5729586816.2652035</v>
      </c>
      <c r="ED17" s="147">
        <f>'[6]2. Distributional by deciles o'!E105</f>
        <v>5773536780.9911995</v>
      </c>
      <c r="EE17" s="147">
        <f>'[6]2. Distributional by deciles o'!F105</f>
        <v>5741104109.7060041</v>
      </c>
      <c r="EF17" s="147">
        <f>'[6]2. Distributional by deciles o'!G105</f>
        <v>5729707341.1500044</v>
      </c>
      <c r="EG17" s="129"/>
      <c r="EH17" s="122"/>
      <c r="EI17" s="130" t="s">
        <v>113</v>
      </c>
      <c r="EJ17" s="130" t="s">
        <v>113</v>
      </c>
      <c r="EK17" s="130" t="s">
        <v>113</v>
      </c>
      <c r="EL17" s="130" t="s">
        <v>113</v>
      </c>
      <c r="EM17" s="131">
        <f t="shared" si="9"/>
        <v>7.7407042805158133</v>
      </c>
      <c r="EN17" s="146">
        <f>'[6]2. Distributional by deciles o'!B123</f>
        <v>31476472181.573959</v>
      </c>
      <c r="EO17" s="146">
        <f>'[6]2. Distributional by deciles o'!C123</f>
        <v>31790926273.981194</v>
      </c>
      <c r="EP17" s="131">
        <f t="shared" si="10"/>
        <v>0.9990131377915823</v>
      </c>
      <c r="EQ17" s="130" t="s">
        <v>113</v>
      </c>
      <c r="ER17" s="130" t="s">
        <v>113</v>
      </c>
      <c r="ES17" s="130" t="s">
        <v>113</v>
      </c>
      <c r="ET17" s="130" t="s">
        <v>113</v>
      </c>
      <c r="EU17" s="131">
        <f t="shared" si="24"/>
        <v>9.2640036501161998</v>
      </c>
      <c r="EV17" s="132">
        <f t="shared" si="25"/>
        <v>2.2438962783759022</v>
      </c>
      <c r="EW17" s="132">
        <f t="shared" si="26"/>
        <v>1.0044188707328245</v>
      </c>
      <c r="EX17" s="132"/>
      <c r="EY17" s="148">
        <f t="shared" si="11"/>
        <v>-0.17774049030290051</v>
      </c>
      <c r="EZ17" s="404">
        <f t="shared" si="27"/>
        <v>0</v>
      </c>
      <c r="FA17" s="297">
        <f>'[6]2. Distributional by deciles o'!I33</f>
        <v>1</v>
      </c>
      <c r="FB17" s="130" t="s">
        <v>113</v>
      </c>
      <c r="FC17" s="130" t="s">
        <v>113</v>
      </c>
      <c r="FD17" s="130" t="s">
        <v>113</v>
      </c>
      <c r="FE17" s="130" t="s">
        <v>113</v>
      </c>
      <c r="FF17" s="130" t="s">
        <v>113</v>
      </c>
      <c r="FG17" s="130" t="s">
        <v>113</v>
      </c>
      <c r="FH17" s="130" t="s">
        <v>113</v>
      </c>
      <c r="FI17" s="130" t="s">
        <v>113</v>
      </c>
      <c r="FJ17" s="1"/>
      <c r="FK17" s="1"/>
      <c r="FL17" s="1"/>
      <c r="FM17" s="1"/>
      <c r="FN17" s="1"/>
      <c r="FO17" s="1"/>
      <c r="FP17" s="1"/>
      <c r="FQ17" s="1"/>
    </row>
    <row r="18" spans="1:173" x14ac:dyDescent="0.3">
      <c r="A18" s="1"/>
      <c r="B18" s="28">
        <v>7</v>
      </c>
      <c r="C18" s="129">
        <f>'[5]2. Distributional by deciles o'!B106</f>
        <v>5815808918.0003939</v>
      </c>
      <c r="D18" s="129">
        <f>'[5]2. Distributional by deciles o'!C106</f>
        <v>5938636844.0604029</v>
      </c>
      <c r="E18" s="129">
        <f>'[5]2. Distributional by deciles o'!D106</f>
        <v>5876798246.798399</v>
      </c>
      <c r="F18" s="129">
        <f>'[5]2. Distributional by deciles o'!E106</f>
        <v>5914695645.2339964</v>
      </c>
      <c r="G18" s="129">
        <f>'[5]2. Distributional by deciles o'!F106</f>
        <v>5888735784.1763964</v>
      </c>
      <c r="H18" s="129">
        <f>'[5]2. Distributional by deciles o'!G106</f>
        <v>5877199621.6523972</v>
      </c>
      <c r="I18" s="129">
        <f>'[5]2. Distributional by deciles o'!H106</f>
        <v>5877199621.6523972</v>
      </c>
      <c r="J18" s="122"/>
      <c r="K18" s="130" t="s">
        <v>113</v>
      </c>
      <c r="L18" s="130" t="s">
        <v>113</v>
      </c>
      <c r="M18" s="130" t="s">
        <v>113</v>
      </c>
      <c r="N18" s="130" t="s">
        <v>113</v>
      </c>
      <c r="O18" s="131">
        <f t="shared" si="12"/>
        <v>10.2799168057605</v>
      </c>
      <c r="P18" s="129">
        <f>'[5]2. Distributional by deciles o'!B124</f>
        <v>29668272581.229645</v>
      </c>
      <c r="Q18" s="129">
        <f>'[5]2. Distributional by deciles o'!C124</f>
        <v>29964955739.960411</v>
      </c>
      <c r="R18" s="131">
        <f t="shared" si="0"/>
        <v>1.0000014591967421</v>
      </c>
      <c r="S18" s="130" t="s">
        <v>113</v>
      </c>
      <c r="T18" s="130" t="s">
        <v>113</v>
      </c>
      <c r="U18" s="130" t="s">
        <v>113</v>
      </c>
      <c r="V18" s="130" t="s">
        <v>113</v>
      </c>
      <c r="W18" s="132">
        <f t="shared" si="13"/>
        <v>2.1119632464195872</v>
      </c>
      <c r="X18" s="132">
        <f t="shared" si="13"/>
        <v>1.0486802551909591</v>
      </c>
      <c r="Y18" s="132">
        <f t="shared" si="1"/>
        <v>1.7003066010742025</v>
      </c>
      <c r="Z18" s="132">
        <f t="shared" si="1"/>
        <v>1.2539400931106606</v>
      </c>
      <c r="AA18" s="132">
        <f t="shared" si="1"/>
        <v>1.0555816901241437</v>
      </c>
      <c r="AB18" s="132">
        <f t="shared" si="14"/>
        <v>1.0555816901241437</v>
      </c>
      <c r="AC18" s="132">
        <f t="shared" si="14"/>
        <v>1.0555816901241437</v>
      </c>
      <c r="AD18" s="130" t="s">
        <v>113</v>
      </c>
      <c r="AE18" s="130" t="s">
        <v>113</v>
      </c>
      <c r="AF18" s="130" t="s">
        <v>113</v>
      </c>
      <c r="AG18" s="130" t="s">
        <v>113</v>
      </c>
      <c r="AH18" s="133">
        <f t="shared" si="2"/>
        <v>1</v>
      </c>
      <c r="AI18" s="134">
        <f t="shared" si="15"/>
        <v>4.8680255190959087E-2</v>
      </c>
      <c r="AJ18" s="134">
        <f t="shared" si="3"/>
        <v>0.41165664534538471</v>
      </c>
      <c r="AK18" s="134">
        <f t="shared" si="4"/>
        <v>0.44636650796354194</v>
      </c>
      <c r="AL18" s="134">
        <f t="shared" si="16"/>
        <v>0.19835840298651686</v>
      </c>
      <c r="AM18" s="134">
        <f t="shared" si="17"/>
        <v>0</v>
      </c>
      <c r="AN18" s="135">
        <f t="shared" si="28"/>
        <v>0</v>
      </c>
      <c r="AO18" s="134">
        <f t="shared" si="18"/>
        <v>6.9014349331846248E-3</v>
      </c>
      <c r="AP18" s="134">
        <f t="shared" si="6"/>
        <v>5.5581690124143712E-2</v>
      </c>
      <c r="AQ18" s="136" t="s">
        <v>113</v>
      </c>
      <c r="AR18" s="137">
        <f t="shared" si="7"/>
        <v>4.3778654868049589</v>
      </c>
      <c r="AS18" s="137">
        <f t="shared" si="7"/>
        <v>37.020706095356907</v>
      </c>
      <c r="AT18" s="137">
        <f t="shared" si="7"/>
        <v>40.142199789498292</v>
      </c>
      <c r="AU18" s="137">
        <f t="shared" si="7"/>
        <v>17.838575476771513</v>
      </c>
      <c r="AV18" s="137">
        <f t="shared" si="7"/>
        <v>0</v>
      </c>
      <c r="AW18" s="138">
        <f t="shared" si="7"/>
        <v>0</v>
      </c>
      <c r="AX18" s="137">
        <f t="shared" si="7"/>
        <v>0.62065315156832468</v>
      </c>
      <c r="AY18" s="137">
        <f t="shared" si="7"/>
        <v>4.9985186383732838</v>
      </c>
      <c r="AZ18" s="139" t="s">
        <v>113</v>
      </c>
      <c r="BA18" s="139" t="s">
        <v>113</v>
      </c>
      <c r="BB18" s="139" t="s">
        <v>113</v>
      </c>
      <c r="BC18" s="139" t="s">
        <v>113</v>
      </c>
      <c r="BD18" s="139" t="s">
        <v>113</v>
      </c>
      <c r="BE18" s="139" t="s">
        <v>113</v>
      </c>
      <c r="BF18" s="139" t="s">
        <v>113</v>
      </c>
      <c r="BG18" s="139" t="s">
        <v>113</v>
      </c>
      <c r="BH18" s="140">
        <f>'[5]2. Distributional by deciles o'!B142</f>
        <v>21669745508.732422</v>
      </c>
      <c r="BI18" s="140">
        <f>'[5]2. Distributional by deciles o'!B160</f>
        <v>5250375322.9811993</v>
      </c>
      <c r="BJ18" s="140">
        <f>'[5]2. Distributional by deciles o'!B178</f>
        <v>2260126736.868</v>
      </c>
      <c r="BK18" s="140">
        <f>'[5]2. Distributional by deciles o'!B196</f>
        <v>488028673.35480022</v>
      </c>
      <c r="BL18" s="141">
        <f t="shared" si="19"/>
        <v>0.73040123167324444</v>
      </c>
      <c r="BM18" s="141">
        <f t="shared" si="20"/>
        <v>0.17696934193836775</v>
      </c>
      <c r="BN18" s="141">
        <f t="shared" si="21"/>
        <v>7.6179914142544172E-2</v>
      </c>
      <c r="BO18" s="141">
        <f t="shared" si="21"/>
        <v>1.6449512245843474E-2</v>
      </c>
      <c r="BP18" s="139" t="s">
        <v>113</v>
      </c>
      <c r="BQ18" s="139" t="s">
        <v>113</v>
      </c>
      <c r="BR18" s="139" t="s">
        <v>113</v>
      </c>
      <c r="BS18" s="131">
        <f t="shared" si="22"/>
        <v>10.617001508265297</v>
      </c>
      <c r="BT18" s="139"/>
      <c r="BU18" s="139"/>
      <c r="BV18" s="139"/>
      <c r="BW18" s="139"/>
      <c r="BX18" s="139"/>
      <c r="BY18" s="139"/>
      <c r="BZ18" s="139"/>
      <c r="CA18" s="139"/>
      <c r="CB18" s="139"/>
      <c r="CC18" s="142" t="s">
        <v>113</v>
      </c>
      <c r="CD18" s="142" t="s">
        <v>113</v>
      </c>
      <c r="CE18" s="142" t="s">
        <v>113</v>
      </c>
      <c r="CF18" s="142" t="s">
        <v>113</v>
      </c>
      <c r="CG18" s="142" t="s">
        <v>113</v>
      </c>
      <c r="CH18" s="142" t="s">
        <v>113</v>
      </c>
      <c r="CI18" s="142" t="s">
        <v>113</v>
      </c>
      <c r="CJ18" s="142"/>
      <c r="CK18" s="139" t="s">
        <v>113</v>
      </c>
      <c r="CL18" s="139" t="s">
        <v>113</v>
      </c>
      <c r="CM18" s="139" t="s">
        <v>113</v>
      </c>
      <c r="CN18" s="139" t="s">
        <v>113</v>
      </c>
      <c r="CO18" s="139" t="s">
        <v>113</v>
      </c>
      <c r="CP18" s="139" t="s">
        <v>113</v>
      </c>
      <c r="CQ18" s="139" t="s">
        <v>113</v>
      </c>
      <c r="CR18" s="139"/>
      <c r="CS18" s="143" t="s">
        <v>113</v>
      </c>
      <c r="CT18" s="143" t="s">
        <v>113</v>
      </c>
      <c r="CU18" s="143" t="s">
        <v>113</v>
      </c>
      <c r="CV18" s="143" t="s">
        <v>113</v>
      </c>
      <c r="CW18" s="143" t="s">
        <v>113</v>
      </c>
      <c r="CX18" s="143" t="s">
        <v>113</v>
      </c>
      <c r="CY18" s="143" t="s">
        <v>113</v>
      </c>
      <c r="CZ18" s="143"/>
      <c r="DA18" s="139" t="s">
        <v>113</v>
      </c>
      <c r="DB18" s="139" t="s">
        <v>113</v>
      </c>
      <c r="DC18" s="139" t="s">
        <v>113</v>
      </c>
      <c r="DD18" s="404">
        <f t="shared" si="23"/>
        <v>0.10707779666832007</v>
      </c>
      <c r="DE18" s="297">
        <f>'[5]2. Distributional by deciles o'!J34</f>
        <v>0.9989292220333168</v>
      </c>
      <c r="DF18" s="1"/>
      <c r="DG18" s="1"/>
      <c r="DH18" s="1"/>
      <c r="DI18" s="1"/>
      <c r="DJ18" s="1"/>
      <c r="DK18" s="1"/>
      <c r="DL18" s="1"/>
      <c r="DM18" s="1"/>
      <c r="DN18" s="1"/>
      <c r="DO18" s="1"/>
      <c r="DP18" s="1"/>
      <c r="DQ18" s="1"/>
      <c r="DR18" s="1"/>
      <c r="DS18" s="1"/>
      <c r="DT18" s="1"/>
      <c r="DU18" s="1"/>
      <c r="DV18" s="1"/>
      <c r="DW18" s="1"/>
      <c r="DX18" s="1"/>
      <c r="DY18" s="1"/>
      <c r="DZ18" s="1"/>
      <c r="EA18" s="146">
        <f>'[6]2. Distributional by deciles o'!B106</f>
        <v>7642386883.4279957</v>
      </c>
      <c r="EB18" s="146">
        <f>'[6]2. Distributional by deciles o'!C106</f>
        <v>7800688044.2940025</v>
      </c>
      <c r="EC18" s="146">
        <f>'[6]2. Distributional by deciles o'!D106</f>
        <v>7726501838.8919878</v>
      </c>
      <c r="ED18" s="147">
        <f>'[6]2. Distributional by deciles o'!E106</f>
        <v>7770645827.831995</v>
      </c>
      <c r="EE18" s="147">
        <f>'[6]2. Distributional by deciles o'!F106</f>
        <v>7740128424.8748112</v>
      </c>
      <c r="EF18" s="147">
        <f>'[6]2. Distributional by deciles o'!G106</f>
        <v>7726656025.1147861</v>
      </c>
      <c r="EG18" s="129"/>
      <c r="EH18" s="122"/>
      <c r="EI18" s="130" t="s">
        <v>113</v>
      </c>
      <c r="EJ18" s="130" t="s">
        <v>113</v>
      </c>
      <c r="EK18" s="130" t="s">
        <v>113</v>
      </c>
      <c r="EL18" s="130" t="s">
        <v>113</v>
      </c>
      <c r="EM18" s="131">
        <f t="shared" si="9"/>
        <v>10.428511000151074</v>
      </c>
      <c r="EN18" s="146">
        <f>'[6]2. Distributional by deciles o'!B124</f>
        <v>36207601694.528427</v>
      </c>
      <c r="EO18" s="146">
        <f>'[6]2. Distributional by deciles o'!C124</f>
        <v>36569368322.728806</v>
      </c>
      <c r="EP18" s="131">
        <f t="shared" si="10"/>
        <v>0.99914551439359567</v>
      </c>
      <c r="EQ18" s="130" t="s">
        <v>113</v>
      </c>
      <c r="ER18" s="130" t="s">
        <v>113</v>
      </c>
      <c r="ES18" s="130" t="s">
        <v>113</v>
      </c>
      <c r="ET18" s="130" t="s">
        <v>113</v>
      </c>
      <c r="EU18" s="131">
        <f t="shared" si="24"/>
        <v>10.656446895482173</v>
      </c>
      <c r="EV18" s="132">
        <f t="shared" si="25"/>
        <v>2.073129050228478</v>
      </c>
      <c r="EW18" s="132">
        <f t="shared" si="26"/>
        <v>1.1015785151359734</v>
      </c>
      <c r="EX18" s="132"/>
      <c r="EY18" s="148">
        <f t="shared" si="11"/>
        <v>-3.8834196191109172E-2</v>
      </c>
      <c r="EZ18" s="404">
        <f t="shared" si="27"/>
        <v>0.1048875531702409</v>
      </c>
      <c r="FA18" s="297">
        <f>'[6]2. Distributional by deciles o'!I34</f>
        <v>0.99895112446829759</v>
      </c>
      <c r="FB18" s="130" t="s">
        <v>113</v>
      </c>
      <c r="FC18" s="130" t="s">
        <v>113</v>
      </c>
      <c r="FD18" s="130" t="s">
        <v>113</v>
      </c>
      <c r="FE18" s="130" t="s">
        <v>113</v>
      </c>
      <c r="FF18" s="130" t="s">
        <v>113</v>
      </c>
      <c r="FG18" s="130" t="s">
        <v>113</v>
      </c>
      <c r="FH18" s="130" t="s">
        <v>113</v>
      </c>
      <c r="FI18" s="130" t="s">
        <v>113</v>
      </c>
      <c r="FJ18" s="1"/>
      <c r="FK18" s="1"/>
      <c r="FL18" s="1"/>
      <c r="FM18" s="1"/>
      <c r="FN18" s="1"/>
      <c r="FO18" s="1"/>
      <c r="FP18" s="1"/>
      <c r="FQ18" s="1"/>
    </row>
    <row r="19" spans="1:173" x14ac:dyDescent="0.3">
      <c r="A19" s="1"/>
      <c r="B19" s="28">
        <v>8</v>
      </c>
      <c r="C19" s="129">
        <f>'[5]2. Distributional by deciles o'!B107</f>
        <v>7681843583.3987999</v>
      </c>
      <c r="D19" s="129">
        <f>'[5]2. Distributional by deciles o'!C107</f>
        <v>7830293642.2488022</v>
      </c>
      <c r="E19" s="129">
        <f>'[5]2. Distributional by deciles o'!D107</f>
        <v>7761582999.2904091</v>
      </c>
      <c r="F19" s="129">
        <f>'[5]2. Distributional by deciles o'!E107</f>
        <v>7801659809.0675964</v>
      </c>
      <c r="G19" s="129">
        <f>'[5]2. Distributional by deciles o'!F107</f>
        <v>7775810176.1627979</v>
      </c>
      <c r="H19" s="129">
        <f>'[5]2. Distributional by deciles o'!G107</f>
        <v>7762347664.6632118</v>
      </c>
      <c r="I19" s="129">
        <f>'[5]2. Distributional by deciles o'!H107</f>
        <v>7762347664.6632118</v>
      </c>
      <c r="J19" s="122"/>
      <c r="K19" s="130" t="s">
        <v>113</v>
      </c>
      <c r="L19" s="130" t="s">
        <v>113</v>
      </c>
      <c r="M19" s="130" t="s">
        <v>113</v>
      </c>
      <c r="N19" s="130" t="s">
        <v>113</v>
      </c>
      <c r="O19" s="131">
        <f t="shared" si="12"/>
        <v>13.578285336677808</v>
      </c>
      <c r="P19" s="129">
        <f>'[5]2. Distributional by deciles o'!B125</f>
        <v>34809441649.048813</v>
      </c>
      <c r="Q19" s="129">
        <f>'[5]2. Distributional by deciles o'!C125</f>
        <v>35157536758.8396</v>
      </c>
      <c r="R19" s="131">
        <f t="shared" si="0"/>
        <v>1.000001991701871</v>
      </c>
      <c r="S19" s="130" t="s">
        <v>113</v>
      </c>
      <c r="T19" s="130" t="s">
        <v>113</v>
      </c>
      <c r="U19" s="130" t="s">
        <v>113</v>
      </c>
      <c r="V19" s="130" t="s">
        <v>113</v>
      </c>
      <c r="W19" s="132">
        <f t="shared" si="13"/>
        <v>1.9324757341212386</v>
      </c>
      <c r="X19" s="132">
        <f t="shared" si="13"/>
        <v>1.0380223992988593</v>
      </c>
      <c r="Y19" s="132">
        <f t="shared" si="1"/>
        <v>1.5597295848356614</v>
      </c>
      <c r="Z19" s="132">
        <f t="shared" si="1"/>
        <v>1.2232272707817506</v>
      </c>
      <c r="AA19" s="132">
        <f t="shared" si="1"/>
        <v>1.047976570345414</v>
      </c>
      <c r="AB19" s="132">
        <f t="shared" si="14"/>
        <v>1.047976570345414</v>
      </c>
      <c r="AC19" s="132">
        <f t="shared" si="14"/>
        <v>1.047976570345414</v>
      </c>
      <c r="AD19" s="130" t="s">
        <v>113</v>
      </c>
      <c r="AE19" s="130" t="s">
        <v>113</v>
      </c>
      <c r="AF19" s="130" t="s">
        <v>113</v>
      </c>
      <c r="AG19" s="130" t="s">
        <v>113</v>
      </c>
      <c r="AH19" s="133">
        <f t="shared" si="2"/>
        <v>1</v>
      </c>
      <c r="AI19" s="134">
        <f t="shared" si="15"/>
        <v>3.8022399298859311E-2</v>
      </c>
      <c r="AJ19" s="134">
        <f t="shared" si="3"/>
        <v>0.37274614928557726</v>
      </c>
      <c r="AK19" s="134">
        <f t="shared" si="4"/>
        <v>0.33650231405391073</v>
      </c>
      <c r="AL19" s="134">
        <f t="shared" si="16"/>
        <v>0.17525070043633661</v>
      </c>
      <c r="AM19" s="134">
        <f t="shared" si="17"/>
        <v>0</v>
      </c>
      <c r="AN19" s="135">
        <f t="shared" si="28"/>
        <v>0</v>
      </c>
      <c r="AO19" s="134">
        <f t="shared" si="18"/>
        <v>9.9541710465547162E-3</v>
      </c>
      <c r="AP19" s="134">
        <f t="shared" si="6"/>
        <v>4.7976570345414027E-2</v>
      </c>
      <c r="AQ19" s="136" t="s">
        <v>113</v>
      </c>
      <c r="AR19" s="137">
        <f t="shared" si="7"/>
        <v>4.0775752019639917</v>
      </c>
      <c r="AS19" s="137">
        <f t="shared" si="7"/>
        <v>39.973817617554595</v>
      </c>
      <c r="AT19" s="137">
        <f t="shared" si="7"/>
        <v>36.086978110055497</v>
      </c>
      <c r="AU19" s="137">
        <f t="shared" si="7"/>
        <v>18.794129865641189</v>
      </c>
      <c r="AV19" s="137">
        <f t="shared" si="7"/>
        <v>0</v>
      </c>
      <c r="AW19" s="138">
        <f t="shared" si="7"/>
        <v>0</v>
      </c>
      <c r="AX19" s="137">
        <f t="shared" si="7"/>
        <v>1.0674992047847216</v>
      </c>
      <c r="AY19" s="137">
        <f t="shared" si="7"/>
        <v>5.1450744067487131</v>
      </c>
      <c r="AZ19" s="139" t="s">
        <v>113</v>
      </c>
      <c r="BA19" s="139" t="s">
        <v>113</v>
      </c>
      <c r="BB19" s="139" t="s">
        <v>113</v>
      </c>
      <c r="BC19" s="139" t="s">
        <v>113</v>
      </c>
      <c r="BD19" s="139" t="s">
        <v>113</v>
      </c>
      <c r="BE19" s="139" t="s">
        <v>113</v>
      </c>
      <c r="BF19" s="139" t="s">
        <v>113</v>
      </c>
      <c r="BG19" s="139" t="s">
        <v>113</v>
      </c>
      <c r="BH19" s="140">
        <f>'[5]2. Distributional by deciles o'!B143</f>
        <v>27520063916.315998</v>
      </c>
      <c r="BI19" s="140">
        <f>'[5]2. Distributional by deciles o'!B161</f>
        <v>4462027400.6291971</v>
      </c>
      <c r="BJ19" s="140">
        <f>'[5]2. Distributional by deciles o'!B179</f>
        <v>2255573772.6492009</v>
      </c>
      <c r="BK19" s="140">
        <f>'[5]2. Distributional by deciles o'!B197</f>
        <v>571779775.66680002</v>
      </c>
      <c r="BL19" s="141">
        <f t="shared" si="19"/>
        <v>0.79059186444481955</v>
      </c>
      <c r="BM19" s="141">
        <f t="shared" si="20"/>
        <v>0.12818438840092419</v>
      </c>
      <c r="BN19" s="141">
        <f t="shared" si="21"/>
        <v>6.4797751914170781E-2</v>
      </c>
      <c r="BO19" s="141">
        <f t="shared" si="21"/>
        <v>1.642599524008553E-2</v>
      </c>
      <c r="BP19" s="139" t="s">
        <v>113</v>
      </c>
      <c r="BQ19" s="139" t="s">
        <v>113</v>
      </c>
      <c r="BR19" s="139" t="s">
        <v>113</v>
      </c>
      <c r="BS19" s="131">
        <f t="shared" si="22"/>
        <v>12.456805278364698</v>
      </c>
      <c r="BT19" s="139"/>
      <c r="BU19" s="139"/>
      <c r="BV19" s="139"/>
      <c r="BW19" s="139"/>
      <c r="BX19" s="139"/>
      <c r="BY19" s="139"/>
      <c r="BZ19" s="139"/>
      <c r="CA19" s="139"/>
      <c r="CB19" s="139"/>
      <c r="CC19" s="142" t="s">
        <v>113</v>
      </c>
      <c r="CD19" s="142" t="s">
        <v>113</v>
      </c>
      <c r="CE19" s="142" t="s">
        <v>113</v>
      </c>
      <c r="CF19" s="142" t="s">
        <v>113</v>
      </c>
      <c r="CG19" s="142" t="s">
        <v>113</v>
      </c>
      <c r="CH19" s="142" t="s">
        <v>113</v>
      </c>
      <c r="CI19" s="142" t="s">
        <v>113</v>
      </c>
      <c r="CJ19" s="142"/>
      <c r="CK19" s="139" t="s">
        <v>113</v>
      </c>
      <c r="CL19" s="139" t="s">
        <v>113</v>
      </c>
      <c r="CM19" s="139" t="s">
        <v>113</v>
      </c>
      <c r="CN19" s="139" t="s">
        <v>113</v>
      </c>
      <c r="CO19" s="139" t="s">
        <v>113</v>
      </c>
      <c r="CP19" s="139" t="s">
        <v>113</v>
      </c>
      <c r="CQ19" s="139" t="s">
        <v>113</v>
      </c>
      <c r="CR19" s="139"/>
      <c r="CS19" s="143" t="s">
        <v>113</v>
      </c>
      <c r="CT19" s="143" t="s">
        <v>113</v>
      </c>
      <c r="CU19" s="143" t="s">
        <v>113</v>
      </c>
      <c r="CV19" s="143" t="s">
        <v>113</v>
      </c>
      <c r="CW19" s="143" t="s">
        <v>113</v>
      </c>
      <c r="CX19" s="143" t="s">
        <v>113</v>
      </c>
      <c r="CY19" s="143" t="s">
        <v>113</v>
      </c>
      <c r="CZ19" s="143"/>
      <c r="DA19" s="139" t="s">
        <v>113</v>
      </c>
      <c r="DB19" s="139" t="s">
        <v>113</v>
      </c>
      <c r="DC19" s="139" t="s">
        <v>113</v>
      </c>
      <c r="DD19" s="404">
        <f t="shared" si="23"/>
        <v>0</v>
      </c>
      <c r="DE19" s="297">
        <f>'[5]2. Distributional by deciles o'!J35</f>
        <v>1</v>
      </c>
      <c r="DF19" s="1"/>
      <c r="DG19" s="1"/>
      <c r="DH19" s="1"/>
      <c r="DI19" s="1"/>
      <c r="DJ19" s="1"/>
      <c r="DK19" s="1"/>
      <c r="DL19" s="1"/>
      <c r="DM19" s="1"/>
      <c r="DN19" s="1"/>
      <c r="DO19" s="1"/>
      <c r="DP19" s="1"/>
      <c r="DQ19" s="1"/>
      <c r="DR19" s="1"/>
      <c r="DS19" s="1"/>
      <c r="DT19" s="1"/>
      <c r="DU19" s="1"/>
      <c r="DV19" s="1"/>
      <c r="DW19" s="1"/>
      <c r="DX19" s="1"/>
      <c r="DY19" s="1"/>
      <c r="DZ19" s="1"/>
      <c r="EA19" s="146">
        <f>'[6]2. Distributional by deciles o'!B107</f>
        <v>9920317564.9679928</v>
      </c>
      <c r="EB19" s="146">
        <f>'[6]2. Distributional by deciles o'!C107</f>
        <v>10103975723.857197</v>
      </c>
      <c r="EC19" s="146">
        <f>'[6]2. Distributional by deciles o'!D107</f>
        <v>10021260697.947609</v>
      </c>
      <c r="ED19" s="147">
        <f>'[6]2. Distributional by deciles o'!E107</f>
        <v>10068525398.765985</v>
      </c>
      <c r="EE19" s="147">
        <f>'[6]2. Distributional by deciles o'!F107</f>
        <v>10038262645.64879</v>
      </c>
      <c r="EF19" s="147">
        <f>'[6]2. Distributional by deciles o'!G107</f>
        <v>10022533477.104006</v>
      </c>
      <c r="EG19" s="129"/>
      <c r="EH19" s="122"/>
      <c r="EI19" s="130" t="s">
        <v>113</v>
      </c>
      <c r="EJ19" s="130" t="s">
        <v>113</v>
      </c>
      <c r="EK19" s="130" t="s">
        <v>113</v>
      </c>
      <c r="EL19" s="130" t="s">
        <v>113</v>
      </c>
      <c r="EM19" s="131">
        <f t="shared" si="9"/>
        <v>13.536888727210867</v>
      </c>
      <c r="EN19" s="146">
        <f>'[6]2. Distributional by deciles o'!B125</f>
        <v>42119808704.948372</v>
      </c>
      <c r="EO19" s="146">
        <f>'[6]2. Distributional by deciles o'!C125</f>
        <v>42540829633.323631</v>
      </c>
      <c r="EP19" s="131">
        <f t="shared" si="10"/>
        <v>0.99957939345007851</v>
      </c>
      <c r="EQ19" s="130" t="s">
        <v>113</v>
      </c>
      <c r="ER19" s="130" t="s">
        <v>113</v>
      </c>
      <c r="ES19" s="130" t="s">
        <v>113</v>
      </c>
      <c r="ET19" s="130" t="s">
        <v>113</v>
      </c>
      <c r="EU19" s="131">
        <f t="shared" si="24"/>
        <v>12.396499179893997</v>
      </c>
      <c r="EV19" s="132">
        <f t="shared" si="25"/>
        <v>1.8521124753830882</v>
      </c>
      <c r="EW19" s="132">
        <f t="shared" si="26"/>
        <v>1.0179674947552306</v>
      </c>
      <c r="EX19" s="132"/>
      <c r="EY19" s="148">
        <f t="shared" si="11"/>
        <v>-8.0363258738150423E-2</v>
      </c>
      <c r="EZ19" s="404">
        <f t="shared" si="27"/>
        <v>0</v>
      </c>
      <c r="FA19" s="297">
        <f>'[6]2. Distributional by deciles o'!I35</f>
        <v>1</v>
      </c>
      <c r="FB19" s="130" t="s">
        <v>113</v>
      </c>
      <c r="FC19" s="130" t="s">
        <v>113</v>
      </c>
      <c r="FD19" s="130" t="s">
        <v>113</v>
      </c>
      <c r="FE19" s="130" t="s">
        <v>113</v>
      </c>
      <c r="FF19" s="130" t="s">
        <v>113</v>
      </c>
      <c r="FG19" s="130" t="s">
        <v>113</v>
      </c>
      <c r="FH19" s="130" t="s">
        <v>113</v>
      </c>
      <c r="FI19" s="130" t="s">
        <v>113</v>
      </c>
      <c r="FJ19" s="1"/>
      <c r="FK19" s="1"/>
      <c r="FL19" s="1"/>
      <c r="FM19" s="1"/>
      <c r="FN19" s="1"/>
      <c r="FO19" s="1"/>
      <c r="FP19" s="1"/>
      <c r="FQ19" s="1"/>
    </row>
    <row r="20" spans="1:173" x14ac:dyDescent="0.3">
      <c r="A20" s="1"/>
      <c r="B20" s="28">
        <v>9</v>
      </c>
      <c r="C20" s="129">
        <f>'[5]2. Distributional by deciles o'!B108</f>
        <v>10867807167.724808</v>
      </c>
      <c r="D20" s="129">
        <f>'[5]2. Distributional by deciles o'!C108</f>
        <v>11057491170.326401</v>
      </c>
      <c r="E20" s="129">
        <f>'[5]2. Distributional by deciles o'!D108</f>
        <v>10980011293.342806</v>
      </c>
      <c r="F20" s="129">
        <f>'[5]2. Distributional by deciles o'!E108</f>
        <v>11021777436.987604</v>
      </c>
      <c r="G20" s="129">
        <f>'[5]2. Distributional by deciles o'!F108</f>
        <v>10996003080.652817</v>
      </c>
      <c r="H20" s="129">
        <f>'[5]2. Distributional by deciles o'!G108</f>
        <v>10980487097.252407</v>
      </c>
      <c r="I20" s="129">
        <f>'[5]2. Distributional by deciles o'!H108</f>
        <v>10980487097.252407</v>
      </c>
      <c r="J20" s="122"/>
      <c r="K20" s="130" t="s">
        <v>113</v>
      </c>
      <c r="L20" s="130" t="s">
        <v>113</v>
      </c>
      <c r="M20" s="130" t="s">
        <v>113</v>
      </c>
      <c r="N20" s="130" t="s">
        <v>113</v>
      </c>
      <c r="O20" s="131">
        <f t="shared" si="12"/>
        <v>19.209735931914111</v>
      </c>
      <c r="P20" s="129">
        <f>'[5]2. Distributional by deciles o'!B126</f>
        <v>43129454573.426346</v>
      </c>
      <c r="Q20" s="129">
        <f>'[5]2. Distributional by deciles o'!C126</f>
        <v>43560748048.940399</v>
      </c>
      <c r="R20" s="131">
        <f t="shared" si="0"/>
        <v>0.99999751858625974</v>
      </c>
      <c r="S20" s="130" t="s">
        <v>113</v>
      </c>
      <c r="T20" s="130" t="s">
        <v>113</v>
      </c>
      <c r="U20" s="130" t="s">
        <v>113</v>
      </c>
      <c r="V20" s="130" t="s">
        <v>113</v>
      </c>
      <c r="W20" s="132">
        <f t="shared" si="13"/>
        <v>1.7453794529091013</v>
      </c>
      <c r="X20" s="132">
        <f t="shared" si="13"/>
        <v>1.0324475058480285</v>
      </c>
      <c r="Y20" s="132">
        <f t="shared" si="1"/>
        <v>1.4167591396445451</v>
      </c>
      <c r="Z20" s="132">
        <f t="shared" si="1"/>
        <v>1.179596114077319</v>
      </c>
      <c r="AA20" s="132">
        <f t="shared" si="1"/>
        <v>1.0368256207973214</v>
      </c>
      <c r="AB20" s="132">
        <f t="shared" si="14"/>
        <v>1.0368256207973214</v>
      </c>
      <c r="AC20" s="132">
        <f t="shared" si="14"/>
        <v>1.0368256207973214</v>
      </c>
      <c r="AD20" s="130" t="s">
        <v>113</v>
      </c>
      <c r="AE20" s="130" t="s">
        <v>113</v>
      </c>
      <c r="AF20" s="130" t="s">
        <v>113</v>
      </c>
      <c r="AG20" s="130" t="s">
        <v>113</v>
      </c>
      <c r="AH20" s="133">
        <f t="shared" si="2"/>
        <v>1</v>
      </c>
      <c r="AI20" s="134">
        <f t="shared" si="15"/>
        <v>3.2447505848028468E-2</v>
      </c>
      <c r="AJ20" s="134">
        <f t="shared" si="3"/>
        <v>0.32862031326455621</v>
      </c>
      <c r="AK20" s="134">
        <f t="shared" si="4"/>
        <v>0.23716302556722613</v>
      </c>
      <c r="AL20" s="134">
        <f t="shared" si="16"/>
        <v>0.14277049327999758</v>
      </c>
      <c r="AM20" s="134">
        <f t="shared" si="17"/>
        <v>0</v>
      </c>
      <c r="AN20" s="135">
        <f t="shared" si="28"/>
        <v>0</v>
      </c>
      <c r="AO20" s="134">
        <f t="shared" si="18"/>
        <v>4.3781149492929661E-3</v>
      </c>
      <c r="AP20" s="134">
        <f t="shared" si="6"/>
        <v>3.6825620797321434E-2</v>
      </c>
      <c r="AQ20" s="136" t="s">
        <v>113</v>
      </c>
      <c r="AR20" s="137">
        <f t="shared" si="7"/>
        <v>4.3531527091860189</v>
      </c>
      <c r="AS20" s="137">
        <f t="shared" si="7"/>
        <v>44.087653876425179</v>
      </c>
      <c r="AT20" s="137">
        <f t="shared" si="7"/>
        <v>31.817757337100627</v>
      </c>
      <c r="AU20" s="137">
        <f t="shared" si="7"/>
        <v>19.154068806536902</v>
      </c>
      <c r="AV20" s="137">
        <f t="shared" si="7"/>
        <v>0</v>
      </c>
      <c r="AW20" s="138">
        <f t="shared" si="7"/>
        <v>0</v>
      </c>
      <c r="AX20" s="137">
        <f t="shared" si="7"/>
        <v>0.58736727075127404</v>
      </c>
      <c r="AY20" s="137">
        <f t="shared" si="7"/>
        <v>4.9405199799372923</v>
      </c>
      <c r="AZ20" s="139" t="s">
        <v>113</v>
      </c>
      <c r="BA20" s="139" t="s">
        <v>113</v>
      </c>
      <c r="BB20" s="139" t="s">
        <v>113</v>
      </c>
      <c r="BC20" s="139" t="s">
        <v>113</v>
      </c>
      <c r="BD20" s="139" t="s">
        <v>113</v>
      </c>
      <c r="BE20" s="139" t="s">
        <v>113</v>
      </c>
      <c r="BF20" s="139" t="s">
        <v>113</v>
      </c>
      <c r="BG20" s="139" t="s">
        <v>113</v>
      </c>
      <c r="BH20" s="140">
        <f>'[5]2. Distributional by deciles o'!B144</f>
        <v>34022259463.971622</v>
      </c>
      <c r="BI20" s="140">
        <f>'[5]2. Distributional by deciles o'!B162</f>
        <v>4458949254.4823999</v>
      </c>
      <c r="BJ20" s="140">
        <f>'[5]2. Distributional by deciles o'!B180</f>
        <v>3528233234.4167991</v>
      </c>
      <c r="BK20" s="140">
        <f>'[5]2. Distributional by deciles o'!B198</f>
        <v>1120017892.0212011</v>
      </c>
      <c r="BL20" s="141">
        <f t="shared" si="19"/>
        <v>0.78884037932139783</v>
      </c>
      <c r="BM20" s="141">
        <f t="shared" si="20"/>
        <v>0.10338523298270541</v>
      </c>
      <c r="BN20" s="141">
        <f t="shared" si="21"/>
        <v>8.180564391730169E-2</v>
      </c>
      <c r="BO20" s="141">
        <f t="shared" si="21"/>
        <v>2.5968743778594962E-2</v>
      </c>
      <c r="BP20" s="139" t="s">
        <v>113</v>
      </c>
      <c r="BQ20" s="139" t="s">
        <v>113</v>
      </c>
      <c r="BR20" s="139" t="s">
        <v>113</v>
      </c>
      <c r="BS20" s="131">
        <f t="shared" si="22"/>
        <v>15.434180840930797</v>
      </c>
      <c r="BT20" s="139"/>
      <c r="BU20" s="139"/>
      <c r="BV20" s="139"/>
      <c r="BW20" s="139"/>
      <c r="BX20" s="139"/>
      <c r="BY20" s="139"/>
      <c r="BZ20" s="139"/>
      <c r="CA20" s="139"/>
      <c r="CB20" s="139"/>
      <c r="CC20" s="142" t="s">
        <v>113</v>
      </c>
      <c r="CD20" s="142" t="s">
        <v>113</v>
      </c>
      <c r="CE20" s="142" t="s">
        <v>113</v>
      </c>
      <c r="CF20" s="142" t="s">
        <v>113</v>
      </c>
      <c r="CG20" s="142" t="s">
        <v>113</v>
      </c>
      <c r="CH20" s="142" t="s">
        <v>113</v>
      </c>
      <c r="CI20" s="142" t="s">
        <v>113</v>
      </c>
      <c r="CJ20" s="142"/>
      <c r="CK20" s="139" t="s">
        <v>113</v>
      </c>
      <c r="CL20" s="139" t="s">
        <v>113</v>
      </c>
      <c r="CM20" s="139" t="s">
        <v>113</v>
      </c>
      <c r="CN20" s="139" t="s">
        <v>113</v>
      </c>
      <c r="CO20" s="139" t="s">
        <v>113</v>
      </c>
      <c r="CP20" s="139" t="s">
        <v>113</v>
      </c>
      <c r="CQ20" s="139" t="s">
        <v>113</v>
      </c>
      <c r="CR20" s="139"/>
      <c r="CS20" s="143" t="s">
        <v>113</v>
      </c>
      <c r="CT20" s="143" t="s">
        <v>113</v>
      </c>
      <c r="CU20" s="143" t="s">
        <v>113</v>
      </c>
      <c r="CV20" s="143" t="s">
        <v>113</v>
      </c>
      <c r="CW20" s="143" t="s">
        <v>113</v>
      </c>
      <c r="CX20" s="143" t="s">
        <v>113</v>
      </c>
      <c r="CY20" s="143" t="s">
        <v>113</v>
      </c>
      <c r="CZ20" s="143"/>
      <c r="DA20" s="139" t="s">
        <v>113</v>
      </c>
      <c r="DB20" s="139" t="s">
        <v>113</v>
      </c>
      <c r="DC20" s="139" t="s">
        <v>113</v>
      </c>
      <c r="DD20" s="404">
        <f t="shared" si="23"/>
        <v>0</v>
      </c>
      <c r="DE20" s="297">
        <f>'[5]2. Distributional by deciles o'!J36</f>
        <v>1</v>
      </c>
      <c r="DF20" s="1"/>
      <c r="DG20" s="1"/>
      <c r="DH20" s="1"/>
      <c r="DI20" s="1"/>
      <c r="DJ20" s="1"/>
      <c r="DK20" s="1"/>
      <c r="DL20" s="1"/>
      <c r="DM20" s="1"/>
      <c r="DN20" s="1"/>
      <c r="DO20" s="1"/>
      <c r="DP20" s="1"/>
      <c r="DQ20" s="1"/>
      <c r="DR20" s="1"/>
      <c r="DS20" s="1"/>
      <c r="DT20" s="1"/>
      <c r="DU20" s="1"/>
      <c r="DV20" s="1"/>
      <c r="DW20" s="1"/>
      <c r="DX20" s="1"/>
      <c r="DY20" s="1"/>
      <c r="DZ20" s="1"/>
      <c r="EA20" s="146">
        <f>'[6]2. Distributional by deciles o'!B108</f>
        <v>13830877052.705994</v>
      </c>
      <c r="EB20" s="146">
        <f>'[6]2. Distributional by deciles o'!C108</f>
        <v>14063000751.188412</v>
      </c>
      <c r="EC20" s="146">
        <f>'[6]2. Distributional by deciles o'!D108</f>
        <v>13971703875.867596</v>
      </c>
      <c r="ED20" s="147">
        <f>'[6]2. Distributional by deciles o'!E108</f>
        <v>14019944152.110023</v>
      </c>
      <c r="EE20" s="147">
        <f>'[6]2. Distributional by deciles o'!F108</f>
        <v>13989955284.506393</v>
      </c>
      <c r="EF20" s="147">
        <f>'[6]2. Distributional by deciles o'!G108</f>
        <v>13971917476.610395</v>
      </c>
      <c r="EG20" s="129"/>
      <c r="EH20" s="122"/>
      <c r="EI20" s="130" t="s">
        <v>113</v>
      </c>
      <c r="EJ20" s="130" t="s">
        <v>113</v>
      </c>
      <c r="EK20" s="130" t="s">
        <v>113</v>
      </c>
      <c r="EL20" s="130" t="s">
        <v>113</v>
      </c>
      <c r="EM20" s="131">
        <f t="shared" si="9"/>
        <v>18.873089740935054</v>
      </c>
      <c r="EN20" s="146">
        <f>'[6]2. Distributional by deciles o'!B126</f>
        <v>52114558105.333176</v>
      </c>
      <c r="EO20" s="146">
        <f>'[6]2. Distributional by deciles o'!C126</f>
        <v>52635598208.992828</v>
      </c>
      <c r="EP20" s="131">
        <f t="shared" si="10"/>
        <v>0.99979760474324664</v>
      </c>
      <c r="EQ20" s="130" t="s">
        <v>113</v>
      </c>
      <c r="ER20" s="130" t="s">
        <v>113</v>
      </c>
      <c r="ES20" s="130" t="s">
        <v>113</v>
      </c>
      <c r="ET20" s="130" t="s">
        <v>113</v>
      </c>
      <c r="EU20" s="131">
        <f t="shared" si="24"/>
        <v>15.338105672293857</v>
      </c>
      <c r="EV20" s="132">
        <f t="shared" si="25"/>
        <v>1.6786403916673525</v>
      </c>
      <c r="EW20" s="132">
        <f t="shared" si="26"/>
        <v>1.0184121446228218</v>
      </c>
      <c r="EX20" s="132"/>
      <c r="EY20" s="148">
        <f t="shared" si="11"/>
        <v>-6.6739061241748887E-2</v>
      </c>
      <c r="EZ20" s="404">
        <f t="shared" si="27"/>
        <v>0</v>
      </c>
      <c r="FA20" s="297">
        <f>'[6]2. Distributional by deciles o'!I36</f>
        <v>1</v>
      </c>
      <c r="FB20" s="130" t="s">
        <v>113</v>
      </c>
      <c r="FC20" s="130" t="s">
        <v>113</v>
      </c>
      <c r="FD20" s="130" t="s">
        <v>113</v>
      </c>
      <c r="FE20" s="130" t="s">
        <v>113</v>
      </c>
      <c r="FF20" s="130" t="s">
        <v>113</v>
      </c>
      <c r="FG20" s="130" t="s">
        <v>113</v>
      </c>
      <c r="FH20" s="130" t="s">
        <v>113</v>
      </c>
      <c r="FI20" s="130" t="s">
        <v>113</v>
      </c>
      <c r="FJ20" s="1"/>
      <c r="FK20" s="1"/>
      <c r="FL20" s="1"/>
      <c r="FM20" s="1"/>
      <c r="FN20" s="1"/>
      <c r="FO20" s="1"/>
      <c r="FP20" s="1"/>
      <c r="FQ20" s="1"/>
    </row>
    <row r="21" spans="1:173" x14ac:dyDescent="0.3">
      <c r="A21" s="1"/>
      <c r="B21" s="33">
        <v>10</v>
      </c>
      <c r="C21" s="129">
        <f>'[5]2. Distributional by deciles o'!B109</f>
        <v>22471109579.469608</v>
      </c>
      <c r="D21" s="129">
        <f>'[5]2. Distributional by deciles o'!C109</f>
        <v>22785532273.307999</v>
      </c>
      <c r="E21" s="129">
        <f>'[5]2. Distributional by deciles o'!D109</f>
        <v>22700334202.672806</v>
      </c>
      <c r="F21" s="129">
        <f>'[5]2. Distributional by deciles o'!E109</f>
        <v>22742331964.75322</v>
      </c>
      <c r="G21" s="129">
        <f>'[5]2. Distributional by deciles o'!F109</f>
        <v>22716932933.980782</v>
      </c>
      <c r="H21" s="129">
        <f>'[5]2. Distributional by deciles o'!G109</f>
        <v>22701123321.7272</v>
      </c>
      <c r="I21" s="129">
        <f>'[5]2. Distributional by deciles o'!H109</f>
        <v>22701123321.7272</v>
      </c>
      <c r="J21" s="122"/>
      <c r="K21" s="130" t="s">
        <v>113</v>
      </c>
      <c r="L21" s="130" t="s">
        <v>113</v>
      </c>
      <c r="M21" s="130" t="s">
        <v>113</v>
      </c>
      <c r="N21" s="130" t="s">
        <v>113</v>
      </c>
      <c r="O21" s="131">
        <f t="shared" si="12"/>
        <v>39.719519720654581</v>
      </c>
      <c r="P21" s="129">
        <f>'[5]2. Distributional by deciles o'!B127</f>
        <v>69182066277.578415</v>
      </c>
      <c r="Q21" s="129">
        <f>'[5]2. Distributional by deciles o'!C127</f>
        <v>69873884056.248016</v>
      </c>
      <c r="R21" s="131">
        <f t="shared" si="0"/>
        <v>0.99999583113610235</v>
      </c>
      <c r="S21" s="130" t="s">
        <v>113</v>
      </c>
      <c r="T21" s="130" t="s">
        <v>113</v>
      </c>
      <c r="U21" s="130" t="s">
        <v>113</v>
      </c>
      <c r="V21" s="130" t="s">
        <v>113</v>
      </c>
      <c r="W21" s="132">
        <f t="shared" si="13"/>
        <v>1.3992366666065328</v>
      </c>
      <c r="X21" s="132">
        <f t="shared" si="13"/>
        <v>1.0200901651196874</v>
      </c>
      <c r="Y21" s="132">
        <f t="shared" si="1"/>
        <v>1.2069876434821649</v>
      </c>
      <c r="Z21" s="132">
        <f t="shared" si="1"/>
        <v>1.093957458799218</v>
      </c>
      <c r="AA21" s="132">
        <f t="shared" si="1"/>
        <v>1.0236018846515897</v>
      </c>
      <c r="AB21" s="132">
        <f t="shared" si="14"/>
        <v>1.0236018846515897</v>
      </c>
      <c r="AC21" s="132">
        <f t="shared" si="14"/>
        <v>1.0236018846515897</v>
      </c>
      <c r="AD21" s="130" t="s">
        <v>113</v>
      </c>
      <c r="AE21" s="130" t="s">
        <v>113</v>
      </c>
      <c r="AF21" s="130" t="s">
        <v>113</v>
      </c>
      <c r="AG21" s="130" t="s">
        <v>113</v>
      </c>
      <c r="AH21" s="133">
        <f t="shared" si="2"/>
        <v>1</v>
      </c>
      <c r="AI21" s="134">
        <f t="shared" si="15"/>
        <v>2.009016511968742E-2</v>
      </c>
      <c r="AJ21" s="134">
        <f t="shared" si="3"/>
        <v>0.19224902312436787</v>
      </c>
      <c r="AK21" s="134">
        <f>IF(W21&gt;1,MAX(MIN(Y21-Z21,W21-AH21-AJ21),0),0)</f>
        <v>0.1130301846829469</v>
      </c>
      <c r="AL21" s="134">
        <f t="shared" si="16"/>
        <v>7.0355574147628275E-2</v>
      </c>
      <c r="AM21" s="134">
        <f t="shared" si="17"/>
        <v>0</v>
      </c>
      <c r="AN21" s="135">
        <f t="shared" si="28"/>
        <v>0</v>
      </c>
      <c r="AO21" s="134">
        <f t="shared" si="18"/>
        <v>3.5117195319023242E-3</v>
      </c>
      <c r="AP21" s="134">
        <f t="shared" si="6"/>
        <v>2.3601884651589744E-2</v>
      </c>
      <c r="AQ21" s="136" t="s">
        <v>113</v>
      </c>
      <c r="AR21" s="137">
        <f t="shared" si="7"/>
        <v>5.032144289363897</v>
      </c>
      <c r="AS21" s="137">
        <f t="shared" si="7"/>
        <v>48.154149957834072</v>
      </c>
      <c r="AT21" s="137">
        <f t="shared" si="7"/>
        <v>28.31157409555863</v>
      </c>
      <c r="AU21" s="137">
        <f t="shared" si="7"/>
        <v>17.622523187973393</v>
      </c>
      <c r="AV21" s="137">
        <f t="shared" si="7"/>
        <v>0</v>
      </c>
      <c r="AW21" s="138">
        <f t="shared" si="7"/>
        <v>0</v>
      </c>
      <c r="AX21" s="137">
        <f t="shared" si="7"/>
        <v>0.87960846927000702</v>
      </c>
      <c r="AY21" s="137">
        <f t="shared" si="7"/>
        <v>5.911752758633904</v>
      </c>
      <c r="AZ21" s="139" t="s">
        <v>113</v>
      </c>
      <c r="BA21" s="139" t="s">
        <v>113</v>
      </c>
      <c r="BB21" s="139" t="s">
        <v>113</v>
      </c>
      <c r="BC21" s="139" t="s">
        <v>113</v>
      </c>
      <c r="BD21" s="139" t="s">
        <v>113</v>
      </c>
      <c r="BE21" s="139" t="s">
        <v>113</v>
      </c>
      <c r="BF21" s="139" t="s">
        <v>113</v>
      </c>
      <c r="BG21" s="139" t="s">
        <v>113</v>
      </c>
      <c r="BH21" s="140">
        <f>'[5]2. Distributional by deciles o'!B145</f>
        <v>51714468012.931168</v>
      </c>
      <c r="BI21" s="140">
        <f>'[5]2. Distributional by deciles o'!B163</f>
        <v>9222790826.8560009</v>
      </c>
      <c r="BJ21" s="140">
        <f>'[5]2. Distributional by deciles o'!B181</f>
        <v>5351376622.471199</v>
      </c>
      <c r="BK21" s="140">
        <f>'[5]2. Distributional by deciles o'!B199</f>
        <v>2893434548.6447992</v>
      </c>
      <c r="BL21" s="141">
        <f t="shared" si="19"/>
        <v>0.74751258533867104</v>
      </c>
      <c r="BM21" s="141">
        <f t="shared" si="20"/>
        <v>0.13331186571032755</v>
      </c>
      <c r="BN21" s="141">
        <f t="shared" si="21"/>
        <v>7.7352074339894952E-2</v>
      </c>
      <c r="BO21" s="141">
        <f t="shared" si="21"/>
        <v>4.1823474611106477E-2</v>
      </c>
      <c r="BP21" s="139" t="s">
        <v>113</v>
      </c>
      <c r="BQ21" s="139" t="s">
        <v>113</v>
      </c>
      <c r="BR21" s="139" t="s">
        <v>113</v>
      </c>
      <c r="BS21" s="131">
        <f t="shared" si="22"/>
        <v>24.757292491598008</v>
      </c>
      <c r="BT21" s="139"/>
      <c r="BU21" s="139"/>
      <c r="BV21" s="139"/>
      <c r="BW21" s="139"/>
      <c r="BX21" s="139"/>
      <c r="BY21" s="139"/>
      <c r="BZ21" s="139"/>
      <c r="CA21" s="139"/>
      <c r="CB21" s="139"/>
      <c r="CC21" s="142" t="s">
        <v>113</v>
      </c>
      <c r="CD21" s="142" t="s">
        <v>113</v>
      </c>
      <c r="CE21" s="142" t="s">
        <v>113</v>
      </c>
      <c r="CF21" s="142" t="s">
        <v>113</v>
      </c>
      <c r="CG21" s="142" t="s">
        <v>113</v>
      </c>
      <c r="CH21" s="142" t="s">
        <v>113</v>
      </c>
      <c r="CI21" s="142" t="s">
        <v>113</v>
      </c>
      <c r="CJ21" s="142"/>
      <c r="CK21" s="139" t="s">
        <v>113</v>
      </c>
      <c r="CL21" s="139" t="s">
        <v>113</v>
      </c>
      <c r="CM21" s="139" t="s">
        <v>113</v>
      </c>
      <c r="CN21" s="139" t="s">
        <v>113</v>
      </c>
      <c r="CO21" s="139" t="s">
        <v>113</v>
      </c>
      <c r="CP21" s="139" t="s">
        <v>113</v>
      </c>
      <c r="CQ21" s="139" t="s">
        <v>113</v>
      </c>
      <c r="CR21" s="139"/>
      <c r="CS21" s="143" t="s">
        <v>113</v>
      </c>
      <c r="CT21" s="143" t="s">
        <v>113</v>
      </c>
      <c r="CU21" s="143" t="s">
        <v>113</v>
      </c>
      <c r="CV21" s="143" t="s">
        <v>113</v>
      </c>
      <c r="CW21" s="143" t="s">
        <v>113</v>
      </c>
      <c r="CX21" s="143" t="s">
        <v>113</v>
      </c>
      <c r="CY21" s="143" t="s">
        <v>113</v>
      </c>
      <c r="CZ21" s="143"/>
      <c r="DA21" s="139" t="s">
        <v>113</v>
      </c>
      <c r="DB21" s="139" t="s">
        <v>113</v>
      </c>
      <c r="DC21" s="139" t="s">
        <v>113</v>
      </c>
      <c r="DD21" s="404">
        <f t="shared" si="23"/>
        <v>0</v>
      </c>
      <c r="DE21" s="297">
        <f>'[5]2. Distributional by deciles o'!J37</f>
        <v>1</v>
      </c>
      <c r="DF21" s="1"/>
      <c r="DG21" s="1"/>
      <c r="DH21" s="1"/>
      <c r="DI21" s="1"/>
      <c r="DJ21" s="1"/>
      <c r="DK21" s="1"/>
      <c r="DL21" s="1"/>
      <c r="DM21" s="1"/>
      <c r="DN21" s="1"/>
      <c r="DO21" s="1"/>
      <c r="DP21" s="1"/>
      <c r="DQ21" s="1"/>
      <c r="DR21" s="1"/>
      <c r="DS21" s="1"/>
      <c r="DT21" s="1"/>
      <c r="DU21" s="1"/>
      <c r="DV21" s="1"/>
      <c r="DW21" s="1"/>
      <c r="DX21" s="1"/>
      <c r="DY21" s="1"/>
      <c r="DZ21" s="1"/>
      <c r="EA21" s="146">
        <f>'[6]2. Distributional by deciles o'!B109</f>
        <v>27995509192.87439</v>
      </c>
      <c r="EB21" s="146">
        <f>'[6]2. Distributional by deciles o'!C109</f>
        <v>28377822229.243233</v>
      </c>
      <c r="EC21" s="146">
        <f>'[6]2. Distributional by deciles o'!D109</f>
        <v>28278082509.6408</v>
      </c>
      <c r="ED21" s="147">
        <f>'[6]2. Distributional by deciles o'!E109</f>
        <v>28326527463.903614</v>
      </c>
      <c r="EE21" s="147">
        <f>'[6]2. Distributional by deciles o'!F109</f>
        <v>28296643473.740387</v>
      </c>
      <c r="EF21" s="147">
        <f>'[6]2. Distributional by deciles o'!G109</f>
        <v>28278333174.824402</v>
      </c>
      <c r="EG21" s="129"/>
      <c r="EH21" s="122"/>
      <c r="EI21" s="130" t="s">
        <v>113</v>
      </c>
      <c r="EJ21" s="130" t="s">
        <v>113</v>
      </c>
      <c r="EK21" s="130" t="s">
        <v>113</v>
      </c>
      <c r="EL21" s="130" t="s">
        <v>113</v>
      </c>
      <c r="EM21" s="131">
        <f t="shared" si="9"/>
        <v>38.201609003307368</v>
      </c>
      <c r="EN21" s="146">
        <f>'[6]2. Distributional by deciles o'!B127</f>
        <v>83878133978.782761</v>
      </c>
      <c r="EO21" s="146">
        <f>'[6]2. Distributional by deciles o'!C127</f>
        <v>84716779109.533188</v>
      </c>
      <c r="EP21" s="131">
        <f t="shared" si="10"/>
        <v>0.99983761079205369</v>
      </c>
      <c r="EQ21" s="130" t="s">
        <v>113</v>
      </c>
      <c r="ER21" s="130" t="s">
        <v>113</v>
      </c>
      <c r="ES21" s="130" t="s">
        <v>113</v>
      </c>
      <c r="ET21" s="130" t="s">
        <v>113</v>
      </c>
      <c r="EU21" s="131">
        <f t="shared" si="24"/>
        <v>24.686608297840174</v>
      </c>
      <c r="EV21" s="132">
        <f t="shared" si="25"/>
        <v>1.3658445264523389</v>
      </c>
      <c r="EW21" s="132">
        <f t="shared" si="26"/>
        <v>1.0095162375120581</v>
      </c>
      <c r="EX21" s="132"/>
      <c r="EY21" s="148">
        <f t="shared" si="11"/>
        <v>-3.3392140154193894E-2</v>
      </c>
      <c r="EZ21" s="404">
        <f t="shared" si="27"/>
        <v>0</v>
      </c>
      <c r="FA21" s="297">
        <f>'[6]2. Distributional by deciles o'!I37</f>
        <v>1</v>
      </c>
      <c r="FB21" s="130" t="s">
        <v>113</v>
      </c>
      <c r="FC21" s="130" t="s">
        <v>113</v>
      </c>
      <c r="FD21" s="130" t="s">
        <v>113</v>
      </c>
      <c r="FE21" s="130" t="s">
        <v>113</v>
      </c>
      <c r="FF21" s="130" t="s">
        <v>113</v>
      </c>
      <c r="FG21" s="130" t="s">
        <v>113</v>
      </c>
      <c r="FH21" s="130" t="s">
        <v>113</v>
      </c>
      <c r="FI21" s="130" t="s">
        <v>113</v>
      </c>
      <c r="FJ21" s="1"/>
      <c r="FK21" s="1"/>
      <c r="FL21" s="1"/>
      <c r="FM21" s="1"/>
      <c r="FN21" s="1"/>
      <c r="FO21" s="1"/>
      <c r="FP21" s="1"/>
      <c r="FQ21" s="1"/>
    </row>
    <row r="22" spans="1:173" ht="13.2" customHeight="1" x14ac:dyDescent="0.3">
      <c r="A22" s="1"/>
      <c r="B22" s="34" t="s">
        <v>114</v>
      </c>
      <c r="C22" s="150">
        <f>'[5]2. Distributional by deciles o'!B110</f>
        <v>56574474559.379906</v>
      </c>
      <c r="D22" s="150">
        <f>'[5]2. Distributional by deciles o'!C110</f>
        <v>57686978966.65419</v>
      </c>
      <c r="E22" s="150">
        <f>'[5]2. Distributional by deciles o'!D110</f>
        <v>57159167666.62561</v>
      </c>
      <c r="F22" s="150">
        <f>'[5]2. Distributional by deciles o'!E110</f>
        <v>57483776014.783195</v>
      </c>
      <c r="G22" s="150">
        <f>'[5]2. Distributional by deciles o'!F110</f>
        <v>57244409182.256447</v>
      </c>
      <c r="H22" s="150">
        <f>'[5]2. Distributional by deciles o'!G110</f>
        <v>57163065260.615997</v>
      </c>
      <c r="I22" s="150">
        <f>'[5]2. Distributional by deciles o'!H110</f>
        <v>57163065260.615997</v>
      </c>
      <c r="J22" s="122"/>
      <c r="K22" s="151">
        <f>'[7]1. Fiscal'!D11+'[7]1. Fiscal'!D12</f>
        <v>57338275219.123245</v>
      </c>
      <c r="L22" s="151">
        <f>'[7]1. Fiscal'!E11+'[7]1. Fiscal'!E12</f>
        <v>56830047496.094513</v>
      </c>
      <c r="M22" s="151">
        <f>'[7]1. Fiscal'!F11+'[7]1. Fiscal'!F12</f>
        <v>56653195985.894432</v>
      </c>
      <c r="N22" s="151">
        <f>'[7]1. Fiscal'!G11+'[7]1. Fiscal'!G12</f>
        <v>56594928128.306435</v>
      </c>
      <c r="O22" s="152" t="s">
        <v>113</v>
      </c>
      <c r="P22" s="150">
        <f>'[5]2. Distributional by deciles o'!B128</f>
        <v>279441163855.28442</v>
      </c>
      <c r="Q22" s="150">
        <f>'[5]2. Distributional by deciles o'!C128</f>
        <v>282235558433.22778</v>
      </c>
      <c r="R22" s="153">
        <f>(Q22/P22-1)*100</f>
        <v>0.99999389474003664</v>
      </c>
      <c r="S22" s="151">
        <f>'[7]2. Distributional by deciles o'!D128</f>
        <v>281250175380.50183</v>
      </c>
      <c r="T22" s="151">
        <f>'[7]2. Distributional by deciles o'!E128</f>
        <v>280158084162.18097</v>
      </c>
      <c r="U22" s="151">
        <f>'[7]2. Distributional by deciles o'!F128</f>
        <v>279640615153.27509</v>
      </c>
      <c r="V22" s="151">
        <f>'[7]2. Distributional by deciles o'!G128</f>
        <v>279510169999.84113</v>
      </c>
      <c r="W22" s="154">
        <f t="shared" si="13"/>
        <v>1.966454320802733</v>
      </c>
      <c r="X22" s="154">
        <f t="shared" si="13"/>
        <v>1.0334990850992818</v>
      </c>
      <c r="Y22" s="154">
        <f t="shared" si="1"/>
        <v>1.6072743300594965</v>
      </c>
      <c r="Z22" s="154">
        <f t="shared" si="1"/>
        <v>1.1841713391847482</v>
      </c>
      <c r="AA22" s="154">
        <f t="shared" si="1"/>
        <v>1.0403884425643095</v>
      </c>
      <c r="AB22" s="154">
        <f t="shared" si="14"/>
        <v>1.0403884425643095</v>
      </c>
      <c r="AC22" s="154">
        <f t="shared" si="14"/>
        <v>1.0403884425643095</v>
      </c>
      <c r="AD22" s="155">
        <f>(K22/$C22-1) / (S22/$P22-1)</f>
        <v>2.0854920937951134</v>
      </c>
      <c r="AE22" s="155">
        <f>(L22/$C22-1) / (T22/$P22-1)</f>
        <v>1.7608154234504292</v>
      </c>
      <c r="AF22" s="155">
        <f>(M22/$C22-1) / (U22/$P22-1)</f>
        <v>1.9495121255522077</v>
      </c>
      <c r="AG22" s="155">
        <f>(N22/$C22-1) / (V22/$P22-1)</f>
        <v>1.4640340832739966</v>
      </c>
      <c r="AH22" s="156">
        <f t="shared" si="2"/>
        <v>1</v>
      </c>
      <c r="AI22" s="155">
        <f t="shared" si="15"/>
        <v>3.3499085099281789E-2</v>
      </c>
      <c r="AJ22" s="155">
        <f t="shared" si="3"/>
        <v>0.35917999074323648</v>
      </c>
      <c r="AK22" s="155">
        <f>IF(W22&gt;1,MAX(MIN(Y22-Z22,W22-AH22-AJ22),0),0)</f>
        <v>0.42310299087474834</v>
      </c>
      <c r="AL22" s="155">
        <f t="shared" si="16"/>
        <v>0.14378289662043864</v>
      </c>
      <c r="AM22" s="155">
        <f t="shared" si="17"/>
        <v>0</v>
      </c>
      <c r="AN22" s="157">
        <f t="shared" si="28"/>
        <v>0</v>
      </c>
      <c r="AO22" s="155">
        <f t="shared" si="18"/>
        <v>6.8893574650277234E-3</v>
      </c>
      <c r="AP22" s="155">
        <f t="shared" si="6"/>
        <v>4.0388442564309512E-2</v>
      </c>
      <c r="AQ22" s="136" t="s">
        <v>113</v>
      </c>
      <c r="AR22" s="137">
        <f>AI22/($W22-1)*100</f>
        <v>3.4661840066540948</v>
      </c>
      <c r="AS22" s="137">
        <f t="shared" si="7"/>
        <v>37.164714670104956</v>
      </c>
      <c r="AT22" s="137">
        <f t="shared" si="7"/>
        <v>43.778891745584083</v>
      </c>
      <c r="AU22" s="137">
        <f t="shared" si="7"/>
        <v>14.877360835948581</v>
      </c>
      <c r="AV22" s="137">
        <f t="shared" si="7"/>
        <v>0</v>
      </c>
      <c r="AW22" s="138">
        <f t="shared" si="7"/>
        <v>0</v>
      </c>
      <c r="AX22" s="137">
        <f t="shared" si="7"/>
        <v>0.71284874170829426</v>
      </c>
      <c r="AY22" s="137">
        <f t="shared" si="7"/>
        <v>4.1790327483623892</v>
      </c>
      <c r="AZ22" s="158">
        <v>1.62</v>
      </c>
      <c r="BA22" s="158">
        <v>1.63</v>
      </c>
      <c r="BB22" s="158">
        <v>1.39</v>
      </c>
      <c r="BC22" s="158">
        <v>1.69</v>
      </c>
      <c r="BD22" s="159">
        <f>W22-AZ22</f>
        <v>0.34645432080273286</v>
      </c>
      <c r="BE22" s="159">
        <f>AD22-BA22</f>
        <v>0.45549209379511346</v>
      </c>
      <c r="BF22" s="159">
        <f>AF22-BB22</f>
        <v>0.55951212555220775</v>
      </c>
      <c r="BG22" s="159">
        <f>AG22-BC22</f>
        <v>-0.2259659167260033</v>
      </c>
      <c r="BH22" s="160">
        <f>'[5]2. Distributional by deciles o'!B146</f>
        <v>180901218370.16754</v>
      </c>
      <c r="BI22" s="160">
        <f>'[5]2. Distributional by deciles o'!B164</f>
        <v>71693369419.487961</v>
      </c>
      <c r="BJ22" s="160">
        <f>'[5]2. Distributional by deciles o'!B182</f>
        <v>19945203095.054398</v>
      </c>
      <c r="BK22" s="160">
        <f>'[5]2. Distributional by deciles o'!B200</f>
        <v>6901394168.4683857</v>
      </c>
      <c r="BL22" s="141">
        <f t="shared" si="19"/>
        <v>0.64736777556873604</v>
      </c>
      <c r="BM22" s="141">
        <f t="shared" si="20"/>
        <v>0.25655978164365628</v>
      </c>
      <c r="BN22" s="141">
        <f t="shared" si="21"/>
        <v>7.1375316746022169E-2</v>
      </c>
      <c r="BO22" s="141">
        <f t="shared" si="21"/>
        <v>2.4697126041585585E-2</v>
      </c>
      <c r="BP22" s="159">
        <f>(AD22*BL22+AF22*BN22+AG22*BO22)/(BL22+BN22+BO22)</f>
        <v>2.0517922219005911</v>
      </c>
      <c r="BQ22" s="159">
        <f>W22-BP22</f>
        <v>-8.5337901097858104E-2</v>
      </c>
      <c r="BR22" s="159">
        <f>BP22-AZ22</f>
        <v>0.43179222190059097</v>
      </c>
      <c r="BS22" s="152" t="s">
        <v>113</v>
      </c>
      <c r="BT22" s="161"/>
      <c r="BU22" s="161"/>
      <c r="BV22" s="161"/>
      <c r="BW22" s="161"/>
      <c r="BX22" s="162"/>
      <c r="BY22" s="162"/>
      <c r="BZ22" s="163"/>
      <c r="CA22" s="164"/>
      <c r="CB22" s="165"/>
      <c r="CC22" s="166"/>
      <c r="CD22" s="166"/>
      <c r="CE22" s="166"/>
      <c r="CF22" s="166"/>
      <c r="CG22" s="167"/>
      <c r="CH22" s="167"/>
      <c r="CI22" s="168"/>
      <c r="CJ22" s="169"/>
      <c r="CK22" s="161">
        <f>'[5]3. Inequality and Poverty'!$B$7</f>
        <v>0.33621701890483702</v>
      </c>
      <c r="CL22" s="161">
        <f>'[5]3. Inequality and Poverty'!$B$8</f>
        <v>0.27285549959526501</v>
      </c>
      <c r="CM22" s="161">
        <f>'[5]3. Inequality and Poverty'!$C$7</f>
        <v>0.33621703940437703</v>
      </c>
      <c r="CN22" s="161">
        <f>'[5]3. Inequality and Poverty'!$C$8</f>
        <v>0.27289573264207201</v>
      </c>
      <c r="CO22" s="162">
        <f t="shared" ref="CO22" si="29">(CK22-CL22)/CK22</f>
        <v>0.18845422969949621</v>
      </c>
      <c r="CP22" s="162">
        <f>(CM22-CN22)/CM22</f>
        <v>0.18833461526661896</v>
      </c>
      <c r="CQ22" s="163">
        <f>(CP22-CO22)*100</f>
        <v>-1.1961443287725193E-2</v>
      </c>
      <c r="CR22" s="165">
        <f>CN22-CL22</f>
        <v>4.0233046807003348E-5</v>
      </c>
      <c r="CS22" s="170">
        <f>(SUM(P20:P21))/(SUM(P12:P13))</f>
        <v>5.8466908887931242</v>
      </c>
      <c r="CT22" s="170">
        <f>(SUM(P20:P21)-SUM(C20:C21))/(SUM(P12:P13)-SUM(C12:C13))</f>
        <v>4.0818057325315182</v>
      </c>
      <c r="CU22" s="170">
        <f>(SUM(Q20:Q21))/(SUM(Q12:Q13))</f>
        <v>5.8466920683733523</v>
      </c>
      <c r="CV22" s="170">
        <f>(SUM(Q20:Q21)-SUM(D20:D21))/(SUM(Q12:Q13)-SUM(D12:D13))</f>
        <v>4.0780217498325477</v>
      </c>
      <c r="CW22" s="162">
        <f>(CS22-CT22)/CS22</f>
        <v>0.30186052073396241</v>
      </c>
      <c r="CX22" s="162">
        <f>(CU22-CV22)/CU22</f>
        <v>0.30250786219922787</v>
      </c>
      <c r="CY22" s="163">
        <f>(CX22-CW22)*100</f>
        <v>6.4734146526546077E-2</v>
      </c>
      <c r="CZ22" s="165">
        <f>CV22-CT22</f>
        <v>-3.7839826989705116E-3</v>
      </c>
      <c r="DA22" s="171">
        <f>'[5]3. Inequality and Poverty'!$B$34</f>
        <v>0.25452626670974099</v>
      </c>
      <c r="DB22" s="171">
        <f>'[5]3. Inequality and Poverty'!$C$34</f>
        <v>0.25134647991759701</v>
      </c>
      <c r="DC22" s="172">
        <f>DB22-DA22</f>
        <v>-3.1797867921439793E-3</v>
      </c>
      <c r="DD22" s="404">
        <f t="shared" si="23"/>
        <v>8.68814883280975</v>
      </c>
      <c r="DE22" s="298">
        <f>'[5]2. Distributional by deciles o'!J38</f>
        <v>0.9131185116719025</v>
      </c>
      <c r="DF22" s="1"/>
      <c r="DG22" s="1"/>
      <c r="DH22" s="1"/>
      <c r="DI22" s="1"/>
      <c r="DJ22" s="1"/>
      <c r="DK22" s="1"/>
      <c r="DL22" s="1"/>
      <c r="DM22" s="1"/>
      <c r="DN22" s="1"/>
      <c r="DO22" s="1"/>
      <c r="DP22" s="1"/>
      <c r="DQ22" s="1"/>
      <c r="DR22" s="1"/>
      <c r="DS22" s="1"/>
      <c r="DT22" s="1"/>
      <c r="DU22" s="1"/>
      <c r="DV22" s="1"/>
      <c r="DW22" s="1"/>
      <c r="DX22" s="1"/>
      <c r="DY22" s="1"/>
      <c r="DZ22" s="1"/>
      <c r="EA22" s="151">
        <f>'[6]2. Distributional by deciles o'!B110</f>
        <v>73283586538.071289</v>
      </c>
      <c r="EB22" s="151">
        <f>'[6]2. Distributional by deciles o'!C110</f>
        <v>74674526452.255127</v>
      </c>
      <c r="EC22" s="151">
        <f>'[6]2. Distributional by deciles o'!D110</f>
        <v>74024575848.849487</v>
      </c>
      <c r="ED22" s="173">
        <f>'[6]2. Distributional by deciles o'!E110</f>
        <v>74420388032.394836</v>
      </c>
      <c r="EE22" s="173">
        <f>'[6]2. Distributional by deciles o'!F110</f>
        <v>74122781738.559753</v>
      </c>
      <c r="EF22" s="173">
        <f>'[6]2. Distributional by deciles o'!G110</f>
        <v>74026790146.404999</v>
      </c>
      <c r="EG22" s="150"/>
      <c r="EH22" s="123"/>
      <c r="EI22" s="151">
        <f>'[8]1. Fiscal'!D11+'[8]1. Fiscal'!D12</f>
        <v>74207511687.574661</v>
      </c>
      <c r="EJ22" s="151">
        <f>'[8]1. Fiscal'!E11+'[8]1. Fiscal'!E12</f>
        <v>73624916074.829117</v>
      </c>
      <c r="EK22" s="151">
        <f>'[8]1. Fiscal'!F11+'[8]1. Fiscal'!F12</f>
        <v>73373246081.104813</v>
      </c>
      <c r="EL22" s="151">
        <f>'[8]1. Fiscal'!G11+'[8]1. Fiscal'!G12</f>
        <v>73304502424.161713</v>
      </c>
      <c r="EM22" s="152" t="s">
        <v>113</v>
      </c>
      <c r="EN22" s="151">
        <f>'[6]2. Distributional by deciles o'!B128</f>
        <v>339771802455.83289</v>
      </c>
      <c r="EO22" s="151">
        <f>'[6]2. Distributional by deciles o'!C128</f>
        <v>343166720195.76196</v>
      </c>
      <c r="EP22" s="153">
        <f>(EO22/EN22-1)*100</f>
        <v>0.99917583371869068</v>
      </c>
      <c r="EQ22" s="151">
        <f>'[8]2. Distributional by deciles o'!D128</f>
        <v>341951076371.87726</v>
      </c>
      <c r="ER22" s="151">
        <f>'[8]2. Distributional by deciles o'!E128</f>
        <v>340662409185.18805</v>
      </c>
      <c r="ES22" s="151">
        <f>'[8]2. Distributional by deciles o'!F128</f>
        <v>340010289560.34583</v>
      </c>
      <c r="ET22" s="151">
        <f>'[8]2. Distributional by deciles o'!G128</f>
        <v>339858349526.17865</v>
      </c>
      <c r="EU22" s="152" t="s">
        <v>113</v>
      </c>
      <c r="EV22" s="154">
        <f t="shared" si="25"/>
        <v>1.8995893777832062</v>
      </c>
      <c r="EW22" s="154">
        <f t="shared" si="26"/>
        <v>1.0119599052782144</v>
      </c>
      <c r="EX22" s="174">
        <f>EW22-X22</f>
        <v>-2.1539179821067345E-2</v>
      </c>
      <c r="EY22" s="175">
        <f t="shared" si="11"/>
        <v>-6.6864943019526724E-2</v>
      </c>
      <c r="EZ22" s="404">
        <f t="shared" si="27"/>
        <v>6.4294060485493354</v>
      </c>
      <c r="FA22" s="298">
        <f>'[6]2. Distributional by deciles o'!I38</f>
        <v>0.93570593951450665</v>
      </c>
      <c r="FB22" s="155">
        <f>(EI22/$EA22-1) / (EQ22/$EN22-1)</f>
        <v>1.9656472649186927</v>
      </c>
      <c r="FC22" s="155">
        <f>(EJ22/$EA22-1) / (ER22/$EN22-1)</f>
        <v>1.7769226257844879</v>
      </c>
      <c r="FD22" s="155">
        <f>(EK22/$EA22-1) / (ES22/$EN22-1)</f>
        <v>1.7430596058776968</v>
      </c>
      <c r="FE22" s="155">
        <f>(EL22/$EA22-1) / (ET22/$EN22-1)</f>
        <v>1.1204810470705304</v>
      </c>
      <c r="FF22" s="75">
        <f>FB22-AD22</f>
        <v>-0.11984482887642067</v>
      </c>
      <c r="FG22" s="75">
        <f>FC22-AE22</f>
        <v>1.6107202334058712E-2</v>
      </c>
      <c r="FH22" s="75">
        <f>FD22-AF22</f>
        <v>-0.20645251967451084</v>
      </c>
      <c r="FI22" s="75">
        <f>FE22-AG22</f>
        <v>-0.34355303620346622</v>
      </c>
      <c r="FJ22" s="1"/>
      <c r="FK22" s="1"/>
      <c r="FL22" s="1"/>
      <c r="FM22" s="1"/>
      <c r="FN22" s="1"/>
      <c r="FO22" s="1"/>
      <c r="FP22" s="1"/>
      <c r="FQ22" s="1"/>
    </row>
    <row r="23" spans="1:173" x14ac:dyDescent="0.3">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c r="ET23" s="1"/>
      <c r="EU23" s="1"/>
      <c r="EV23" s="1"/>
      <c r="EW23" s="1"/>
      <c r="EX23" s="1"/>
      <c r="EY23" s="1"/>
      <c r="EZ23" s="1"/>
      <c r="FA23" s="1"/>
      <c r="FB23" s="1"/>
      <c r="FC23" s="1"/>
      <c r="FD23" s="1"/>
      <c r="FE23" s="1"/>
      <c r="FF23" s="1"/>
      <c r="FG23" s="1"/>
      <c r="FH23" s="1"/>
      <c r="FI23" s="1"/>
      <c r="FJ23" s="1"/>
      <c r="FK23" s="1"/>
      <c r="FL23" s="1"/>
      <c r="FM23" s="1"/>
      <c r="FN23" s="1"/>
      <c r="FO23" s="1"/>
      <c r="FP23" s="1"/>
      <c r="FQ23" s="1"/>
    </row>
    <row r="24" spans="1:173" x14ac:dyDescent="0.3">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c r="EJ24" s="1"/>
      <c r="EK24" s="1"/>
      <c r="EL24" s="1"/>
      <c r="EM24" s="1"/>
      <c r="EN24" s="1"/>
      <c r="EO24" s="1"/>
      <c r="EP24" s="1"/>
      <c r="EQ24" s="1"/>
      <c r="ER24" s="1"/>
      <c r="ES24" s="1"/>
      <c r="ET24" s="1"/>
      <c r="EU24" s="1"/>
      <c r="EV24" s="1"/>
      <c r="EW24" s="1"/>
      <c r="EX24" s="1"/>
      <c r="EY24" s="1"/>
      <c r="EZ24" s="1"/>
      <c r="FA24" s="1"/>
      <c r="FB24" s="1"/>
      <c r="FC24" s="1"/>
      <c r="FD24" s="1"/>
      <c r="FE24" s="1"/>
      <c r="FF24" s="1"/>
      <c r="FG24" s="1"/>
      <c r="FH24" s="1"/>
      <c r="FI24" s="1"/>
      <c r="FJ24" s="1"/>
      <c r="FK24" s="1"/>
      <c r="FL24" s="1"/>
      <c r="FM24" s="1"/>
      <c r="FN24" s="1"/>
      <c r="FO24" s="1"/>
      <c r="FP24" s="1"/>
      <c r="FQ24" s="1"/>
    </row>
    <row r="25" spans="1:173" x14ac:dyDescent="0.3">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Q25" s="1"/>
    </row>
    <row r="26" spans="1:173" x14ac:dyDescent="0.3">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c r="ER26" s="1"/>
      <c r="ES26" s="1"/>
      <c r="ET26" s="1"/>
      <c r="EU26" s="1"/>
      <c r="EV26" s="1"/>
      <c r="EW26" s="1"/>
      <c r="EX26" s="1"/>
      <c r="EY26" s="1"/>
      <c r="EZ26" s="1"/>
      <c r="FA26" s="1"/>
      <c r="FB26" s="1"/>
      <c r="FC26" s="1"/>
      <c r="FD26" s="1"/>
      <c r="FE26" s="1"/>
      <c r="FF26" s="1"/>
      <c r="FG26" s="1"/>
      <c r="FH26" s="1"/>
      <c r="FI26" s="1"/>
      <c r="FJ26" s="1"/>
      <c r="FK26" s="1"/>
      <c r="FL26" s="1"/>
      <c r="FM26" s="1"/>
      <c r="FN26" s="1"/>
      <c r="FO26" s="1"/>
      <c r="FP26" s="1"/>
      <c r="FQ26" s="1"/>
    </row>
    <row r="27" spans="1:173" x14ac:dyDescent="0.3">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c r="CW27" s="1"/>
      <c r="CX27" s="1"/>
      <c r="CY27" s="1"/>
      <c r="CZ27" s="1"/>
      <c r="DA27" s="1"/>
      <c r="DB27" s="1"/>
      <c r="DC27" s="1"/>
      <c r="DD27" s="1"/>
      <c r="DE27" s="1"/>
      <c r="DF27" s="1"/>
      <c r="DG27" s="1"/>
      <c r="DH27" s="1"/>
      <c r="DI27" s="1"/>
      <c r="DJ27" s="1"/>
      <c r="DK27" s="1"/>
      <c r="DL27" s="1"/>
      <c r="DM27" s="1"/>
      <c r="DN27" s="1"/>
      <c r="DO27" s="1"/>
      <c r="DP27" s="1"/>
      <c r="DQ27" s="1"/>
      <c r="DR27" s="1"/>
      <c r="DS27" s="1"/>
      <c r="DT27" s="1"/>
      <c r="DU27" s="1"/>
      <c r="DV27" s="1"/>
      <c r="DW27" s="1"/>
      <c r="DX27" s="1"/>
      <c r="DY27" s="1"/>
      <c r="DZ27" s="1"/>
      <c r="EA27" s="1"/>
      <c r="EB27" s="1"/>
      <c r="EC27" s="1"/>
      <c r="ED27" s="1"/>
      <c r="EE27" s="1"/>
      <c r="EF27" s="1"/>
      <c r="EG27" s="1"/>
      <c r="EH27" s="1"/>
      <c r="EI27" s="1"/>
      <c r="EJ27" s="1"/>
      <c r="EK27" s="1"/>
      <c r="EL27" s="1"/>
      <c r="EM27" s="1"/>
      <c r="EN27" s="1"/>
      <c r="EO27" s="1"/>
      <c r="EP27" s="1"/>
      <c r="EQ27" s="1"/>
      <c r="ER27" s="1"/>
      <c r="ES27" s="1"/>
      <c r="ET27" s="1"/>
      <c r="EU27" s="1"/>
      <c r="EV27" s="1"/>
      <c r="EW27" s="1"/>
      <c r="EX27" s="1"/>
      <c r="EY27" s="1"/>
      <c r="EZ27" s="1"/>
      <c r="FA27" s="1"/>
      <c r="FB27" s="1"/>
      <c r="FC27" s="1"/>
      <c r="FD27" s="1"/>
      <c r="FE27" s="1"/>
      <c r="FF27" s="1"/>
      <c r="FG27" s="1"/>
      <c r="FH27" s="1"/>
      <c r="FI27" s="1"/>
      <c r="FJ27" s="1"/>
      <c r="FK27" s="1"/>
      <c r="FL27" s="1"/>
      <c r="FM27" s="1"/>
      <c r="FN27" s="1"/>
      <c r="FO27" s="1"/>
      <c r="FP27" s="1"/>
      <c r="FQ27" s="1"/>
    </row>
  </sheetData>
  <pageMargins left="0.7" right="0.7" top="0.75" bottom="0.75" header="0.3" footer="0.3"/>
  <pageSetup paperSize="9" orientation="portrait" r:id="rId1"/>
  <headerFooter>
    <oddHeader>&amp;R&amp;"Arial"&amp;10&amp;K000000 ECB-RESTRICTED&amp;1#_x000D_</oddHead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DDFBE4-37AE-4071-8C20-385FBCD7DFC8}">
  <dimension ref="A1:BN121"/>
  <sheetViews>
    <sheetView zoomScale="55" zoomScaleNormal="55" workbookViewId="0">
      <selection activeCell="L7" sqref="A7:L8"/>
    </sheetView>
  </sheetViews>
  <sheetFormatPr baseColWidth="10" defaultColWidth="8.6640625" defaultRowHeight="14.4" x14ac:dyDescent="0.3"/>
  <cols>
    <col min="1" max="1" width="4.33203125" customWidth="1"/>
    <col min="3" max="3" width="17.33203125" customWidth="1"/>
    <col min="4" max="4" width="15.6640625" customWidth="1"/>
    <col min="5" max="5" width="16.33203125" customWidth="1"/>
    <col min="6" max="6" width="15.6640625" customWidth="1"/>
    <col min="7" max="7" width="16" customWidth="1"/>
    <col min="8" max="8" width="19" customWidth="1"/>
    <col min="9" max="12" width="17" customWidth="1"/>
    <col min="13" max="13" width="17.33203125" customWidth="1"/>
    <col min="14" max="18" width="16.33203125" customWidth="1"/>
    <col min="19" max="19" width="17" customWidth="1"/>
    <col min="20" max="33" width="16.33203125" customWidth="1"/>
    <col min="34" max="34" width="14.6640625" customWidth="1"/>
    <col min="35" max="35" width="12.6640625" customWidth="1"/>
    <col min="36" max="36" width="17.6640625" customWidth="1"/>
    <col min="37" max="37" width="17.33203125" customWidth="1"/>
    <col min="38" max="38" width="17.6640625" customWidth="1"/>
    <col min="39" max="39" width="9.6640625" customWidth="1"/>
    <col min="40" max="42" width="17.44140625" customWidth="1"/>
    <col min="43" max="50" width="9.6640625" customWidth="1"/>
    <col min="51" max="59" width="0.5546875" customWidth="1"/>
  </cols>
  <sheetData>
    <row r="1" spans="1:66" ht="15" thickBot="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row>
    <row r="2" spans="1:66" ht="18" customHeight="1" thickBot="1" x14ac:dyDescent="0.35">
      <c r="A2" s="1"/>
      <c r="B2" s="2" t="s">
        <v>654</v>
      </c>
      <c r="C2" s="3"/>
      <c r="D2" s="3"/>
      <c r="E2" s="3"/>
      <c r="F2" s="3"/>
      <c r="G2" s="3"/>
      <c r="H2" s="3"/>
      <c r="I2" s="3"/>
      <c r="J2" s="3"/>
      <c r="K2" s="3"/>
      <c r="L2" s="3"/>
      <c r="M2" s="4"/>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row>
    <row r="3" spans="1:66" ht="18" customHeight="1" x14ac:dyDescent="0.3">
      <c r="A3" s="1"/>
      <c r="B3" s="5" t="s">
        <v>115</v>
      </c>
      <c r="C3" s="6"/>
      <c r="D3" s="6"/>
      <c r="E3" s="6"/>
      <c r="F3" s="6"/>
      <c r="G3" s="6"/>
      <c r="H3" s="6"/>
      <c r="I3" s="6"/>
      <c r="J3" s="6"/>
      <c r="K3" s="6"/>
      <c r="L3" s="6"/>
      <c r="M3" s="7"/>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row>
    <row r="4" spans="1:66" ht="18" customHeight="1" x14ac:dyDescent="0.3">
      <c r="A4" s="1"/>
      <c r="B4" s="99" t="s">
        <v>1</v>
      </c>
      <c r="C4" s="296"/>
      <c r="D4" s="296"/>
      <c r="E4" s="296"/>
      <c r="F4" s="296"/>
      <c r="G4" s="296"/>
      <c r="H4" s="296"/>
      <c r="I4" s="296"/>
      <c r="J4" s="296"/>
      <c r="K4" s="296"/>
      <c r="L4" s="296"/>
      <c r="M4" s="100"/>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row>
    <row r="5" spans="1:66" ht="14.25" customHeight="1" x14ac:dyDescent="0.3">
      <c r="A5" s="1"/>
      <c r="B5" s="293" t="s">
        <v>116</v>
      </c>
      <c r="C5" s="294"/>
      <c r="D5" s="294"/>
      <c r="E5" s="294"/>
      <c r="F5" s="294"/>
      <c r="G5" s="294"/>
      <c r="H5" s="294"/>
      <c r="I5" s="294"/>
      <c r="J5" s="294"/>
      <c r="K5" s="294"/>
      <c r="L5" s="294"/>
      <c r="M5" s="295"/>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row>
    <row r="6" spans="1:66" ht="12.6" customHeight="1" x14ac:dyDescent="0.3">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row>
    <row r="7" spans="1:66" ht="12.6" customHeight="1" x14ac:dyDescent="0.3">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row>
    <row r="8" spans="1:66" ht="17.7" customHeight="1" x14ac:dyDescent="0.3">
      <c r="A8" s="1"/>
      <c r="B8" s="11" t="s">
        <v>2</v>
      </c>
      <c r="C8" s="12" t="s">
        <v>204</v>
      </c>
      <c r="D8" s="12" t="s">
        <v>205</v>
      </c>
      <c r="E8" s="124" t="s">
        <v>206</v>
      </c>
      <c r="F8" s="125"/>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row>
    <row r="9" spans="1:66" ht="10.35" customHeight="1" x14ac:dyDescent="0.3">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row>
    <row r="10" spans="1:66" x14ac:dyDescent="0.3">
      <c r="A10" s="1"/>
      <c r="B10" s="1"/>
      <c r="C10" s="13" t="s">
        <v>6</v>
      </c>
      <c r="D10" s="14"/>
      <c r="E10" s="14"/>
      <c r="F10" s="14"/>
      <c r="G10" s="14"/>
      <c r="H10" s="14"/>
      <c r="I10" s="14"/>
      <c r="J10" s="14"/>
      <c r="K10" s="14"/>
      <c r="L10" s="14"/>
      <c r="M10" s="14"/>
      <c r="N10" s="14"/>
      <c r="O10" s="14"/>
      <c r="P10" s="15" t="s">
        <v>596</v>
      </c>
      <c r="Q10" s="16"/>
      <c r="R10" s="16"/>
      <c r="S10" s="16"/>
      <c r="T10" s="16"/>
      <c r="U10" s="16"/>
      <c r="V10" s="16"/>
      <c r="W10" s="16"/>
      <c r="X10" s="13"/>
      <c r="Y10" s="17"/>
      <c r="Z10" s="17"/>
      <c r="AA10" s="17"/>
      <c r="AB10" s="17"/>
      <c r="AC10" s="17"/>
      <c r="AD10" s="17"/>
      <c r="AE10" s="19"/>
      <c r="AF10" s="16"/>
      <c r="AG10" s="16"/>
      <c r="AH10" s="16"/>
      <c r="AI10" s="16"/>
      <c r="AJ10" s="16"/>
      <c r="AK10" s="1"/>
      <c r="AL10" s="1"/>
      <c r="AM10" s="99" t="s">
        <v>562</v>
      </c>
      <c r="AN10" s="9"/>
      <c r="AO10" s="9"/>
      <c r="AP10" s="9"/>
      <c r="AQ10" s="9"/>
      <c r="AR10" s="9"/>
      <c r="AS10" s="10"/>
      <c r="AT10" s="1"/>
      <c r="AU10" s="1"/>
      <c r="AV10" s="1"/>
      <c r="AW10" s="1"/>
      <c r="AX10" s="1"/>
      <c r="AY10" s="1"/>
      <c r="AZ10" s="1"/>
      <c r="BA10" s="1"/>
      <c r="BB10" s="1"/>
      <c r="BC10" s="1"/>
      <c r="BD10" s="1"/>
      <c r="BE10" s="1"/>
      <c r="BF10" s="1"/>
      <c r="BG10" s="1"/>
      <c r="BH10" s="1"/>
      <c r="BI10" s="1"/>
      <c r="BJ10" s="1"/>
      <c r="BK10" s="1"/>
      <c r="BL10" s="1"/>
      <c r="BM10" s="1"/>
      <c r="BN10" s="1"/>
    </row>
    <row r="11" spans="1:66" ht="78.75" customHeight="1" x14ac:dyDescent="0.3">
      <c r="A11" s="1"/>
      <c r="B11" s="25" t="s">
        <v>20</v>
      </c>
      <c r="C11" s="26" t="s">
        <v>119</v>
      </c>
      <c r="D11" s="27" t="s">
        <v>120</v>
      </c>
      <c r="E11" s="26" t="s">
        <v>121</v>
      </c>
      <c r="F11" s="27" t="s">
        <v>122</v>
      </c>
      <c r="G11" s="27" t="s">
        <v>123</v>
      </c>
      <c r="H11" s="27" t="s">
        <v>124</v>
      </c>
      <c r="I11" s="27" t="s">
        <v>125</v>
      </c>
      <c r="J11" s="27" t="s">
        <v>126</v>
      </c>
      <c r="K11" s="27" t="s">
        <v>127</v>
      </c>
      <c r="L11" s="27"/>
      <c r="M11" s="27"/>
      <c r="N11" s="27"/>
      <c r="O11" s="27"/>
      <c r="P11" s="26" t="s">
        <v>119</v>
      </c>
      <c r="Q11" s="27" t="s">
        <v>120</v>
      </c>
      <c r="R11" s="27" t="s">
        <v>121</v>
      </c>
      <c r="S11" s="27" t="s">
        <v>122</v>
      </c>
      <c r="T11" s="27" t="s">
        <v>123</v>
      </c>
      <c r="U11" s="27" t="s">
        <v>130</v>
      </c>
      <c r="V11" s="27"/>
      <c r="W11" s="27"/>
      <c r="X11" s="27"/>
      <c r="Y11" s="27"/>
      <c r="Z11" s="27"/>
      <c r="AA11" s="27"/>
      <c r="AB11" s="27"/>
      <c r="AC11" s="27"/>
      <c r="AD11" s="27"/>
      <c r="AE11" s="27"/>
      <c r="AF11" s="27"/>
      <c r="AG11" s="27"/>
      <c r="AH11" s="27"/>
      <c r="AI11" s="27"/>
      <c r="AJ11" s="27"/>
      <c r="AK11" s="27" t="s">
        <v>150</v>
      </c>
      <c r="AL11" s="432" t="s">
        <v>207</v>
      </c>
      <c r="AM11" s="522" t="s">
        <v>563</v>
      </c>
      <c r="AN11" s="523" t="s">
        <v>568</v>
      </c>
      <c r="AO11" s="523" t="s">
        <v>569</v>
      </c>
      <c r="AP11" s="523" t="s">
        <v>570</v>
      </c>
      <c r="AQ11" s="523" t="s">
        <v>564</v>
      </c>
      <c r="AR11" s="523" t="s">
        <v>565</v>
      </c>
      <c r="AS11" s="523" t="s">
        <v>566</v>
      </c>
      <c r="AT11" s="1"/>
      <c r="AU11" s="1"/>
      <c r="AV11" s="1"/>
      <c r="AW11" s="1"/>
      <c r="AX11" s="1"/>
      <c r="AY11" s="1"/>
      <c r="AZ11" s="1"/>
      <c r="BA11" s="1"/>
      <c r="BB11" s="1"/>
      <c r="BC11" s="1"/>
      <c r="BD11" s="1"/>
      <c r="BE11" s="1"/>
      <c r="BF11" s="1"/>
      <c r="BG11" s="1"/>
      <c r="BH11" s="1"/>
      <c r="BI11" s="1"/>
      <c r="BJ11" s="1"/>
      <c r="BK11" s="1"/>
      <c r="BL11" s="1"/>
      <c r="BM11" s="1"/>
      <c r="BN11" s="1"/>
    </row>
    <row r="12" spans="1:66" x14ac:dyDescent="0.3">
      <c r="A12" s="1"/>
      <c r="B12" s="28">
        <v>1</v>
      </c>
      <c r="C12" s="129">
        <f>'[9]2. Distributional by deciles o'!B100</f>
        <v>-193202616.41279995</v>
      </c>
      <c r="D12" s="129">
        <f>'[9]2. Distributional by deciles o'!C100</f>
        <v>-192170738.5571999</v>
      </c>
      <c r="E12" s="129">
        <f>'[9]2. Distributional by deciles o'!D100</f>
        <v>-191283528.46080005</v>
      </c>
      <c r="F12" s="129">
        <f>'[9]2. Distributional by deciles o'!E100</f>
        <v>-182561042.70720008</v>
      </c>
      <c r="G12" s="129">
        <f>'[9]2. Distributional by deciles o'!F100</f>
        <v>-202320145.0704</v>
      </c>
      <c r="H12" s="129">
        <f>'[9]2. Distributional by deciles o'!H100</f>
        <v>-72406202.721600056</v>
      </c>
      <c r="I12" s="129">
        <f>'[9]2. Distributional by deciles o'!I100</f>
        <v>-213683971.18919992</v>
      </c>
      <c r="J12" s="129">
        <f>'[9]2. Distributional by deciles o'!J100</f>
        <v>-183957274.28760001</v>
      </c>
      <c r="K12" s="129">
        <f>'[9]2. Distributional by deciles o'!K100</f>
        <v>-190254285.03119999</v>
      </c>
      <c r="L12" s="291">
        <f t="shared" ref="L12:L22" si="0">G12*(1+0.1+0.085)</f>
        <v>-239749371.90842402</v>
      </c>
      <c r="M12" s="291">
        <f t="shared" ref="M12:O22" si="1">$G12*(1+0.1+0)</f>
        <v>-222552159.57744002</v>
      </c>
      <c r="N12" s="291">
        <f t="shared" si="1"/>
        <v>-222552159.57744002</v>
      </c>
      <c r="O12" s="291">
        <f t="shared" si="1"/>
        <v>-222552159.57744002</v>
      </c>
      <c r="P12" s="129">
        <f>'[9]2. Distributional by deciles o'!B118</f>
        <v>5981079759.9636002</v>
      </c>
      <c r="Q12" s="129">
        <f>'[9]2. Distributional by deciles o'!C118</f>
        <v>6190938350.7467976</v>
      </c>
      <c r="R12" s="129">
        <f>'[9]2. Distributional by deciles o'!D118</f>
        <v>6331803935.8836012</v>
      </c>
      <c r="S12" s="129">
        <f>'[9]2. Distributional by deciles o'!E118</f>
        <v>6781129664.8091946</v>
      </c>
      <c r="T12" s="129">
        <f>'[9]2. Distributional by deciles o'!F118</f>
        <v>7384796319.3107986</v>
      </c>
      <c r="U12" s="209">
        <f t="shared" ref="U12:U22" si="2">T12/P12-1</f>
        <v>0.23469283401693697</v>
      </c>
      <c r="V12" s="139"/>
      <c r="W12" s="209"/>
      <c r="X12" s="132"/>
      <c r="Y12" s="132"/>
      <c r="Z12" s="132"/>
      <c r="AA12" s="132"/>
      <c r="AB12" s="132"/>
      <c r="AC12" s="132"/>
      <c r="AD12" s="132"/>
      <c r="AE12" s="139"/>
      <c r="AF12" s="139"/>
      <c r="AG12" s="139"/>
      <c r="AH12" s="139"/>
      <c r="AI12" s="139"/>
      <c r="AJ12" s="139"/>
      <c r="AK12" s="408">
        <f>'[9]2. Distributional by deciles o'!L100</f>
        <v>-88182819.792000055</v>
      </c>
      <c r="AL12" s="433">
        <f>'[9]2. Distributional by deciles o'!M100</f>
        <v>-178432573.10279995</v>
      </c>
      <c r="AM12" s="32" cm="1">
        <f t="array" aca="1" ref="AM12" ca="1">INDIRECT("'1"&amp;$C$8&amp;"'!W12")</f>
        <v>1.6516612639090991</v>
      </c>
      <c r="AN12" s="524">
        <f t="shared" ref="AN12:AN21" ca="1" si="3">C12+C12*U12*AM12</f>
        <v>-268094338.36600465</v>
      </c>
      <c r="AO12" s="524">
        <f t="shared" ref="AO12:AO21" ca="1" si="4">C12+C12*U$22*AM12</f>
        <v>-262096636.58401161</v>
      </c>
      <c r="AP12" s="524">
        <f t="shared" ref="AP12:AP21" ca="1" si="5">C12+C12*AR12*AM12</f>
        <v>-268094338.36600465</v>
      </c>
      <c r="AQ12" s="525">
        <f t="shared" ref="AQ12:AQ21" si="6">U12</f>
        <v>0.23469283401693697</v>
      </c>
      <c r="AR12" s="344">
        <f>AQ12</f>
        <v>0.23469283401693697</v>
      </c>
      <c r="AS12" s="41">
        <f>P12/P$22</f>
        <v>2.1403717610699088E-2</v>
      </c>
      <c r="AT12" s="1"/>
      <c r="AU12" s="1"/>
      <c r="AV12" s="1"/>
      <c r="AW12" s="1"/>
      <c r="AX12" s="1"/>
      <c r="AY12" s="1"/>
      <c r="AZ12" s="1"/>
      <c r="BA12" s="1"/>
      <c r="BB12" s="1"/>
      <c r="BC12" s="1"/>
      <c r="BD12" s="1"/>
      <c r="BE12" s="1"/>
      <c r="BF12" s="1"/>
      <c r="BG12" s="1"/>
      <c r="BH12" s="1"/>
      <c r="BI12" s="1"/>
      <c r="BJ12" s="1"/>
      <c r="BK12" s="1"/>
      <c r="BL12" s="1"/>
      <c r="BM12" s="1"/>
      <c r="BN12" s="1"/>
    </row>
    <row r="13" spans="1:66" x14ac:dyDescent="0.3">
      <c r="A13" s="1"/>
      <c r="B13" s="28">
        <v>2</v>
      </c>
      <c r="C13" s="129">
        <f>'[9]2. Distributional by deciles o'!B101</f>
        <v>55151602.171200052</v>
      </c>
      <c r="D13" s="129">
        <f>'[9]2. Distributional by deciles o'!C101</f>
        <v>69562771.75440006</v>
      </c>
      <c r="E13" s="129">
        <f>'[9]2. Distributional by deciles o'!D101</f>
        <v>104154541.49640007</v>
      </c>
      <c r="F13" s="129">
        <f>'[9]2. Distributional by deciles o'!E101</f>
        <v>204887260.79280013</v>
      </c>
      <c r="G13" s="129">
        <f>'[9]2. Distributional by deciles o'!F101</f>
        <v>266871846.97680002</v>
      </c>
      <c r="H13" s="129">
        <f>'[9]2. Distributional by deciles o'!H101</f>
        <v>811227715.87079978</v>
      </c>
      <c r="I13" s="129">
        <f>'[9]2. Distributional by deciles o'!I101</f>
        <v>70601415.058799982</v>
      </c>
      <c r="J13" s="129">
        <f>'[9]2. Distributional by deciles o'!J101</f>
        <v>191081997.08399981</v>
      </c>
      <c r="K13" s="129">
        <f>'[9]2. Distributional by deciles o'!K101</f>
        <v>162379710.1967999</v>
      </c>
      <c r="L13" s="291">
        <f t="shared" si="0"/>
        <v>316243138.66750807</v>
      </c>
      <c r="M13" s="291">
        <f t="shared" si="1"/>
        <v>293559031.67448002</v>
      </c>
      <c r="N13" s="291">
        <f t="shared" si="1"/>
        <v>293559031.67448002</v>
      </c>
      <c r="O13" s="291">
        <f t="shared" si="1"/>
        <v>293559031.67448002</v>
      </c>
      <c r="P13" s="129">
        <f>'[9]2. Distributional by deciles o'!B119</f>
        <v>13228336812.1152</v>
      </c>
      <c r="Q13" s="129">
        <f>'[9]2. Distributional by deciles o'!C119</f>
        <v>13616261102.16959</v>
      </c>
      <c r="R13" s="129">
        <f>'[9]2. Distributional by deciles o'!D119</f>
        <v>13941608182.947596</v>
      </c>
      <c r="S13" s="129">
        <f>'[9]2. Distributional by deciles o'!E119</f>
        <v>14821061442.913197</v>
      </c>
      <c r="T13" s="129">
        <f>'[9]2. Distributional by deciles o'!F119</f>
        <v>16359976496.474388</v>
      </c>
      <c r="U13" s="209">
        <f t="shared" si="2"/>
        <v>0.23673722016898369</v>
      </c>
      <c r="V13" s="139"/>
      <c r="W13" s="209"/>
      <c r="X13" s="132"/>
      <c r="Y13" s="132"/>
      <c r="Z13" s="132"/>
      <c r="AA13" s="132"/>
      <c r="AB13" s="132"/>
      <c r="AC13" s="132"/>
      <c r="AD13" s="132"/>
      <c r="AE13" s="139"/>
      <c r="AF13" s="139"/>
      <c r="AG13" s="139"/>
      <c r="AH13" s="139"/>
      <c r="AI13" s="139"/>
      <c r="AJ13" s="139"/>
      <c r="AK13" s="408">
        <f>'[9]2. Distributional by deciles o'!L101</f>
        <v>894993663.12720132</v>
      </c>
      <c r="AL13" s="433">
        <f>'[9]2. Distributional by deciles o'!M101</f>
        <v>218929590.09839979</v>
      </c>
      <c r="AM13" s="32" cm="1">
        <f t="array" aca="1" ref="AM13" ca="1">INDIRECT("'1"&amp;$C$8&amp;"'!W13")</f>
        <v>34.733873368165071</v>
      </c>
      <c r="AN13" s="524">
        <f t="shared" ca="1" si="3"/>
        <v>508652231.07802951</v>
      </c>
      <c r="AO13" s="524">
        <f t="shared" ca="1" si="4"/>
        <v>468730994.59786665</v>
      </c>
      <c r="AP13" s="524">
        <f t="shared" ca="1" si="5"/>
        <v>508652231.07802951</v>
      </c>
      <c r="AQ13" s="525">
        <f t="shared" si="6"/>
        <v>0.23673722016898369</v>
      </c>
      <c r="AR13" s="344">
        <f t="shared" ref="AR13:AR18" si="7">AQ13</f>
        <v>0.23673722016898369</v>
      </c>
      <c r="AS13" s="41">
        <f t="shared" ref="AS13:AS21" si="8">P13/P$22</f>
        <v>4.7338540355370926E-2</v>
      </c>
      <c r="AT13" s="1"/>
      <c r="AU13" s="1"/>
      <c r="AV13" s="1"/>
      <c r="AW13" s="1"/>
      <c r="AX13" s="1"/>
      <c r="AY13" s="1"/>
      <c r="AZ13" s="1"/>
      <c r="BA13" s="1"/>
      <c r="BB13" s="1"/>
      <c r="BC13" s="1"/>
      <c r="BD13" s="1"/>
      <c r="BE13" s="1"/>
      <c r="BF13" s="1"/>
      <c r="BG13" s="1"/>
      <c r="BH13" s="1"/>
      <c r="BI13" s="1"/>
      <c r="BJ13" s="1"/>
      <c r="BK13" s="1"/>
      <c r="BL13" s="1"/>
      <c r="BM13" s="1"/>
      <c r="BN13" s="1"/>
    </row>
    <row r="14" spans="1:66" x14ac:dyDescent="0.3">
      <c r="A14" s="1"/>
      <c r="B14" s="28">
        <v>3</v>
      </c>
      <c r="C14" s="129">
        <f>'[9]2. Distributional by deciles o'!B102</f>
        <v>860335420.20600033</v>
      </c>
      <c r="D14" s="129">
        <f>'[9]2. Distributional by deciles o'!C102</f>
        <v>951069161.1191994</v>
      </c>
      <c r="E14" s="129">
        <f>'[9]2. Distributional by deciles o'!D102</f>
        <v>1035106824.9779981</v>
      </c>
      <c r="F14" s="129">
        <f>'[9]2. Distributional by deciles o'!E102</f>
        <v>1282103748.2952001</v>
      </c>
      <c r="G14" s="129">
        <f>'[9]2. Distributional by deciles o'!F102</f>
        <v>1466551354.009201</v>
      </c>
      <c r="H14" s="129">
        <f>'[9]2. Distributional by deciles o'!H102</f>
        <v>2175709077.4271994</v>
      </c>
      <c r="I14" s="129">
        <f>'[9]2. Distributional by deciles o'!I102</f>
        <v>1083864273.3948016</v>
      </c>
      <c r="J14" s="129">
        <f>'[9]2. Distributional by deciles o'!J102</f>
        <v>1357585644.7212005</v>
      </c>
      <c r="K14" s="129">
        <f>'[9]2. Distributional by deciles o'!K102</f>
        <v>1300693181.9856021</v>
      </c>
      <c r="L14" s="291">
        <f t="shared" si="0"/>
        <v>1737863354.5009034</v>
      </c>
      <c r="M14" s="291">
        <f t="shared" si="1"/>
        <v>1613206489.4101212</v>
      </c>
      <c r="N14" s="291">
        <f t="shared" si="1"/>
        <v>1613206489.4101212</v>
      </c>
      <c r="O14" s="291">
        <f t="shared" si="1"/>
        <v>1613206489.4101212</v>
      </c>
      <c r="P14" s="129">
        <f>'[9]2. Distributional by deciles o'!B120</f>
        <v>16300934634.87001</v>
      </c>
      <c r="Q14" s="129">
        <f>'[9]2. Distributional by deciles o'!C120</f>
        <v>16764428377.793982</v>
      </c>
      <c r="R14" s="129">
        <f>'[9]2. Distributional by deciles o'!D120</f>
        <v>17127267700.054779</v>
      </c>
      <c r="S14" s="129">
        <f>'[9]2. Distributional by deciles o'!E120</f>
        <v>18129284407.220383</v>
      </c>
      <c r="T14" s="129">
        <f>'[9]2. Distributional by deciles o'!F120</f>
        <v>20006150303.562027</v>
      </c>
      <c r="U14" s="209">
        <f t="shared" si="2"/>
        <v>0.22730081137593383</v>
      </c>
      <c r="V14" s="139"/>
      <c r="W14" s="209"/>
      <c r="X14" s="132"/>
      <c r="Y14" s="132"/>
      <c r="Z14" s="132"/>
      <c r="AA14" s="132"/>
      <c r="AB14" s="132"/>
      <c r="AC14" s="132"/>
      <c r="AD14" s="132"/>
      <c r="AE14" s="139"/>
      <c r="AF14" s="139"/>
      <c r="AG14" s="139"/>
      <c r="AH14" s="139"/>
      <c r="AI14" s="139"/>
      <c r="AJ14" s="139"/>
      <c r="AK14" s="408">
        <f>'[9]2. Distributional by deciles o'!L102</f>
        <v>2251621725.2999978</v>
      </c>
      <c r="AL14" s="433">
        <f>'[9]2. Distributional by deciles o'!M102</f>
        <v>1409038461.3000007</v>
      </c>
      <c r="AM14" s="32" cm="1">
        <f t="array" aca="1" ref="AM14" ca="1">INDIRECT("'1"&amp;$C$8&amp;"'!W14")</f>
        <v>6.5566762791833453</v>
      </c>
      <c r="AN14" s="524">
        <f t="shared" ca="1" si="3"/>
        <v>2142525850.4721286</v>
      </c>
      <c r="AO14" s="524">
        <f t="shared" ca="1" si="4"/>
        <v>2078200242.2631776</v>
      </c>
      <c r="AP14" s="524">
        <f t="shared" ca="1" si="5"/>
        <v>2142525850.4721286</v>
      </c>
      <c r="AQ14" s="525">
        <f t="shared" si="6"/>
        <v>0.22730081137593383</v>
      </c>
      <c r="AR14" s="344">
        <f t="shared" si="7"/>
        <v>0.22730081137593383</v>
      </c>
      <c r="AS14" s="41">
        <f t="shared" si="8"/>
        <v>5.8334049321780865E-2</v>
      </c>
      <c r="AT14" s="1"/>
      <c r="AU14" s="1"/>
      <c r="AV14" s="1"/>
      <c r="AW14" s="1"/>
      <c r="AX14" s="1"/>
      <c r="AY14" s="1"/>
      <c r="AZ14" s="1"/>
      <c r="BA14" s="1"/>
      <c r="BB14" s="1"/>
      <c r="BC14" s="1"/>
      <c r="BD14" s="1"/>
      <c r="BE14" s="1"/>
      <c r="BF14" s="1"/>
      <c r="BG14" s="1"/>
      <c r="BH14" s="1"/>
      <c r="BI14" s="1"/>
      <c r="BJ14" s="1"/>
      <c r="BK14" s="1"/>
      <c r="BL14" s="1"/>
      <c r="BM14" s="1"/>
      <c r="BN14" s="1"/>
    </row>
    <row r="15" spans="1:66" x14ac:dyDescent="0.3">
      <c r="A15" s="1"/>
      <c r="B15" s="28">
        <v>4</v>
      </c>
      <c r="C15" s="129">
        <f>'[9]2. Distributional by deciles o'!B103</f>
        <v>1895620830.2243996</v>
      </c>
      <c r="D15" s="129">
        <f>'[9]2. Distributional by deciles o'!C103</f>
        <v>2026601091.508801</v>
      </c>
      <c r="E15" s="129">
        <f>'[9]2. Distributional by deciles o'!D103</f>
        <v>2146738021.2504005</v>
      </c>
      <c r="F15" s="129">
        <f>'[9]2. Distributional by deciles o'!E103</f>
        <v>2469320579.6544008</v>
      </c>
      <c r="G15" s="129">
        <f>'[9]2. Distributional by deciles o'!F103</f>
        <v>2788336836.7452006</v>
      </c>
      <c r="H15" s="129">
        <f>'[9]2. Distributional by deciles o'!H103</f>
        <v>3617656174.6704035</v>
      </c>
      <c r="I15" s="129">
        <f>'[9]2. Distributional by deciles o'!I103</f>
        <v>2379953066.105999</v>
      </c>
      <c r="J15" s="129">
        <f>'[9]2. Distributional by deciles o'!J103</f>
        <v>2688650922.6347976</v>
      </c>
      <c r="K15" s="129">
        <f>'[9]2. Distributional by deciles o'!K103</f>
        <v>2624134364.3399982</v>
      </c>
      <c r="L15" s="291">
        <f t="shared" si="0"/>
        <v>3304179151.5430627</v>
      </c>
      <c r="M15" s="291">
        <f t="shared" si="1"/>
        <v>3067170520.4197211</v>
      </c>
      <c r="N15" s="291">
        <f t="shared" si="1"/>
        <v>3067170520.4197211</v>
      </c>
      <c r="O15" s="291">
        <f t="shared" si="1"/>
        <v>3067170520.4197211</v>
      </c>
      <c r="P15" s="129">
        <f>'[9]2. Distributional by deciles o'!B121</f>
        <v>19440481383.124813</v>
      </c>
      <c r="Q15" s="129">
        <f>'[9]2. Distributional by deciles o'!C121</f>
        <v>20008369349.20322</v>
      </c>
      <c r="R15" s="129">
        <f>'[9]2. Distributional by deciles o'!D121</f>
        <v>20430077257.466393</v>
      </c>
      <c r="S15" s="129">
        <f>'[9]2. Distributional by deciles o'!E121</f>
        <v>21653169597.208817</v>
      </c>
      <c r="T15" s="129">
        <f>'[9]2. Distributional by deciles o'!F121</f>
        <v>23832293099.824802</v>
      </c>
      <c r="U15" s="209">
        <f t="shared" si="2"/>
        <v>0.22591064645715386</v>
      </c>
      <c r="V15" s="139"/>
      <c r="W15" s="209"/>
      <c r="X15" s="132"/>
      <c r="Y15" s="132"/>
      <c r="Z15" s="132"/>
      <c r="AA15" s="132"/>
      <c r="AB15" s="132"/>
      <c r="AC15" s="132"/>
      <c r="AD15" s="132"/>
      <c r="AE15" s="139"/>
      <c r="AF15" s="139"/>
      <c r="AG15" s="139"/>
      <c r="AH15" s="139"/>
      <c r="AI15" s="139"/>
      <c r="AJ15" s="139"/>
      <c r="AK15" s="408">
        <f>'[9]2. Distributional by deciles o'!L103</f>
        <v>3670580938.4196005</v>
      </c>
      <c r="AL15" s="433">
        <f>'[9]2. Distributional by deciles o'!M103</f>
        <v>2748094406.4863968</v>
      </c>
      <c r="AM15" s="32" cm="1">
        <f t="array" aca="1" ref="AM15" ca="1">INDIRECT("'1"&amp;$C$8&amp;"'!W15")</f>
        <v>3.812103365591609</v>
      </c>
      <c r="AN15" s="524">
        <f t="shared" ca="1" si="3"/>
        <v>3528119510.0633488</v>
      </c>
      <c r="AO15" s="524">
        <f t="shared" ca="1" si="4"/>
        <v>3455761223.835216</v>
      </c>
      <c r="AP15" s="524">
        <f t="shared" ca="1" si="5"/>
        <v>3528119510.0633488</v>
      </c>
      <c r="AQ15" s="525">
        <f t="shared" si="6"/>
        <v>0.22591064645715386</v>
      </c>
      <c r="AR15" s="344">
        <f t="shared" si="7"/>
        <v>0.22591064645715386</v>
      </c>
      <c r="AS15" s="41">
        <f t="shared" si="8"/>
        <v>6.9569139760642246E-2</v>
      </c>
      <c r="AT15" s="1"/>
      <c r="AU15" s="1"/>
      <c r="AV15" s="1"/>
      <c r="AW15" s="1"/>
      <c r="AX15" s="1"/>
      <c r="AY15" s="1"/>
      <c r="AZ15" s="1"/>
      <c r="BA15" s="1"/>
      <c r="BB15" s="1"/>
      <c r="BC15" s="1"/>
      <c r="BD15" s="1"/>
      <c r="BE15" s="1"/>
      <c r="BF15" s="1"/>
      <c r="BG15" s="1"/>
      <c r="BH15" s="1"/>
      <c r="BI15" s="1"/>
      <c r="BJ15" s="1"/>
      <c r="BK15" s="1"/>
      <c r="BL15" s="1"/>
      <c r="BM15" s="1"/>
      <c r="BN15" s="1"/>
    </row>
    <row r="16" spans="1:66" x14ac:dyDescent="0.3">
      <c r="A16" s="1"/>
      <c r="B16" s="28">
        <v>5</v>
      </c>
      <c r="C16" s="129">
        <f>'[9]2. Distributional by deciles o'!B104</f>
        <v>2867394216.1259985</v>
      </c>
      <c r="D16" s="129">
        <f>'[9]2. Distributional by deciles o'!C104</f>
        <v>3070218140.3087988</v>
      </c>
      <c r="E16" s="129">
        <f>'[9]2. Distributional by deciles o'!D104</f>
        <v>3177216015.1704016</v>
      </c>
      <c r="F16" s="129">
        <f>'[9]2. Distributional by deciles o'!E104</f>
        <v>3602809802.7924027</v>
      </c>
      <c r="G16" s="129">
        <f>'[9]2. Distributional by deciles o'!F104</f>
        <v>3956080219.7592015</v>
      </c>
      <c r="H16" s="129">
        <f>'[9]2. Distributional by deciles o'!H104</f>
        <v>4777903202.3652048</v>
      </c>
      <c r="I16" s="129">
        <f>'[9]2. Distributional by deciles o'!I104</f>
        <v>3544825973.907599</v>
      </c>
      <c r="J16" s="129">
        <f>'[9]2. Distributional by deciles o'!J104</f>
        <v>3859085024.4288011</v>
      </c>
      <c r="K16" s="129">
        <f>'[9]2. Distributional by deciles o'!K104</f>
        <v>3794102863.9404016</v>
      </c>
      <c r="L16" s="291">
        <f t="shared" si="0"/>
        <v>4687955060.4146538</v>
      </c>
      <c r="M16" s="291">
        <f t="shared" si="1"/>
        <v>4351688241.7351217</v>
      </c>
      <c r="N16" s="291">
        <f t="shared" si="1"/>
        <v>4351688241.7351217</v>
      </c>
      <c r="O16" s="291">
        <f t="shared" si="1"/>
        <v>4351688241.7351217</v>
      </c>
      <c r="P16" s="129">
        <f>'[9]2. Distributional by deciles o'!B122</f>
        <v>21748542437.44442</v>
      </c>
      <c r="Q16" s="129">
        <f>'[9]2. Distributional by deciles o'!C122</f>
        <v>22484790947.239189</v>
      </c>
      <c r="R16" s="129">
        <f>'[9]2. Distributional by deciles o'!D122</f>
        <v>22886090358.089996</v>
      </c>
      <c r="S16" s="129">
        <f>'[9]2. Distributional by deciles o'!E122</f>
        <v>24276449142.471603</v>
      </c>
      <c r="T16" s="129">
        <f>'[9]2. Distributional by deciles o'!F122</f>
        <v>26527869930.672012</v>
      </c>
      <c r="U16" s="209">
        <f t="shared" si="2"/>
        <v>0.21975392176162734</v>
      </c>
      <c r="V16" s="139"/>
      <c r="W16" s="209"/>
      <c r="X16" s="132"/>
      <c r="Y16" s="132"/>
      <c r="Z16" s="132"/>
      <c r="AA16" s="132"/>
      <c r="AB16" s="132"/>
      <c r="AC16" s="132"/>
      <c r="AD16" s="132"/>
      <c r="AE16" s="139"/>
      <c r="AF16" s="139"/>
      <c r="AG16" s="139"/>
      <c r="AH16" s="139"/>
      <c r="AI16" s="139"/>
      <c r="AJ16" s="139"/>
      <c r="AK16" s="408">
        <f>'[9]2. Distributional by deciles o'!L104</f>
        <v>4844252207.2476006</v>
      </c>
      <c r="AL16" s="433">
        <f>'[9]2. Distributional by deciles o'!M104</f>
        <v>3918366643.8972025</v>
      </c>
      <c r="AM16" s="32" cm="1">
        <f t="array" aca="1" ref="AM16" ca="1">INDIRECT("'1"&amp;$C$8&amp;"'!W16")</f>
        <v>2.8988533014196487</v>
      </c>
      <c r="AN16" s="524">
        <f t="shared" ca="1" si="3"/>
        <v>4694022917.3952513</v>
      </c>
      <c r="AO16" s="524">
        <f t="shared" ca="1" si="4"/>
        <v>4661967441.6101885</v>
      </c>
      <c r="AP16" s="524">
        <f t="shared" ca="1" si="5"/>
        <v>4694022917.3952513</v>
      </c>
      <c r="AQ16" s="525">
        <f t="shared" si="6"/>
        <v>0.21975392176162734</v>
      </c>
      <c r="AR16" s="344">
        <f t="shared" si="7"/>
        <v>0.21975392176162734</v>
      </c>
      <c r="AS16" s="41">
        <f t="shared" si="8"/>
        <v>7.7828699742703067E-2</v>
      </c>
      <c r="AT16" s="1"/>
      <c r="AU16" s="1"/>
      <c r="AV16" s="1"/>
      <c r="AW16" s="1"/>
      <c r="AX16" s="1"/>
      <c r="AY16" s="1"/>
      <c r="AZ16" s="1"/>
      <c r="BA16" s="1"/>
      <c r="BB16" s="1"/>
      <c r="BC16" s="1"/>
      <c r="BD16" s="1"/>
      <c r="BE16" s="1"/>
      <c r="BF16" s="1"/>
      <c r="BG16" s="1"/>
      <c r="BH16" s="1"/>
      <c r="BI16" s="1"/>
      <c r="BJ16" s="1"/>
      <c r="BK16" s="1"/>
      <c r="BL16" s="1"/>
      <c r="BM16" s="1"/>
      <c r="BN16" s="1"/>
    </row>
    <row r="17" spans="1:66" x14ac:dyDescent="0.3">
      <c r="A17" s="1"/>
      <c r="B17" s="28">
        <v>6</v>
      </c>
      <c r="C17" s="129">
        <f>'[9]2. Distributional by deciles o'!B105</f>
        <v>4252605858.471601</v>
      </c>
      <c r="D17" s="129">
        <f>'[9]2. Distributional by deciles o'!C105</f>
        <v>4543327943.2079964</v>
      </c>
      <c r="E17" s="129">
        <f>'[9]2. Distributional by deciles o'!D105</f>
        <v>4678305340.2396021</v>
      </c>
      <c r="F17" s="129">
        <f>'[9]2. Distributional by deciles o'!E105</f>
        <v>5216665191.7668047</v>
      </c>
      <c r="G17" s="129">
        <f>'[9]2. Distributional by deciles o'!F105</f>
        <v>5686546336.3463955</v>
      </c>
      <c r="H17" s="129">
        <f>'[9]2. Distributional by deciles o'!H105</f>
        <v>6576549876.2795992</v>
      </c>
      <c r="I17" s="129">
        <f>'[9]2. Distributional by deciles o'!I105</f>
        <v>5232279421.969202</v>
      </c>
      <c r="J17" s="129">
        <f>'[9]2. Distributional by deciles o'!J105</f>
        <v>5578495938.5051975</v>
      </c>
      <c r="K17" s="129">
        <f>'[9]2. Distributional by deciles o'!K105</f>
        <v>5507193282.8675928</v>
      </c>
      <c r="L17" s="291">
        <f t="shared" si="0"/>
        <v>6738557408.5704794</v>
      </c>
      <c r="M17" s="291">
        <f t="shared" si="1"/>
        <v>6255200969.9810352</v>
      </c>
      <c r="N17" s="291">
        <f t="shared" si="1"/>
        <v>6255200969.9810352</v>
      </c>
      <c r="O17" s="291">
        <f t="shared" si="1"/>
        <v>6255200969.9810352</v>
      </c>
      <c r="P17" s="129">
        <f>'[9]2. Distributional by deciles o'!B123</f>
        <v>25952553746.482796</v>
      </c>
      <c r="Q17" s="129">
        <f>'[9]2. Distributional by deciles o'!C123</f>
        <v>26886681796.60321</v>
      </c>
      <c r="R17" s="129">
        <f>'[9]2. Distributional by deciles o'!D123</f>
        <v>27333765636.543587</v>
      </c>
      <c r="S17" s="129">
        <f>'[9]2. Distributional by deciles o'!E123</f>
        <v>28988833704.843613</v>
      </c>
      <c r="T17" s="129">
        <f>'[9]2. Distributional by deciles o'!F123</f>
        <v>31579760042.347176</v>
      </c>
      <c r="U17" s="209">
        <f t="shared" si="2"/>
        <v>0.21682668884278877</v>
      </c>
      <c r="V17" s="139"/>
      <c r="W17" s="209"/>
      <c r="X17" s="132"/>
      <c r="Y17" s="132"/>
      <c r="Z17" s="132"/>
      <c r="AA17" s="132"/>
      <c r="AB17" s="132"/>
      <c r="AC17" s="132"/>
      <c r="AD17" s="132"/>
      <c r="AE17" s="139"/>
      <c r="AF17" s="139"/>
      <c r="AG17" s="139"/>
      <c r="AH17" s="139"/>
      <c r="AI17" s="139"/>
      <c r="AJ17" s="139"/>
      <c r="AK17" s="408">
        <f>'[9]2. Distributional by deciles o'!L105</f>
        <v>6639069936.1883984</v>
      </c>
      <c r="AL17" s="433">
        <f>'[9]2. Distributional by deciles o'!M105</f>
        <v>5643219735.556797</v>
      </c>
      <c r="AM17" s="32" cm="1">
        <f t="array" aca="1" ref="AM17" ca="1">INDIRECT("'1"&amp;$C$8&amp;"'!W17")</f>
        <v>2.4216367686788027</v>
      </c>
      <c r="AN17" s="524">
        <f t="shared" ca="1" si="3"/>
        <v>6485544929.9283905</v>
      </c>
      <c r="AO17" s="524">
        <f t="shared" ca="1" si="4"/>
        <v>6475975524.184515</v>
      </c>
      <c r="AP17" s="524">
        <f t="shared" ca="1" si="5"/>
        <v>6485544929.9283905</v>
      </c>
      <c r="AQ17" s="525">
        <f t="shared" si="6"/>
        <v>0.21682668884278877</v>
      </c>
      <c r="AR17" s="344">
        <f t="shared" si="7"/>
        <v>0.21682668884278877</v>
      </c>
      <c r="AS17" s="41">
        <f t="shared" si="8"/>
        <v>9.2873052017214519E-2</v>
      </c>
      <c r="AT17" s="1"/>
      <c r="AU17" s="1"/>
      <c r="AV17" s="1"/>
      <c r="AW17" s="1"/>
      <c r="AX17" s="1"/>
      <c r="AY17" s="1"/>
      <c r="AZ17" s="1"/>
      <c r="BA17" s="1"/>
      <c r="BB17" s="1"/>
      <c r="BC17" s="1"/>
      <c r="BD17" s="1"/>
      <c r="BE17" s="1"/>
      <c r="BF17" s="1"/>
      <c r="BG17" s="1"/>
      <c r="BH17" s="1"/>
      <c r="BI17" s="1"/>
      <c r="BJ17" s="1"/>
      <c r="BK17" s="1"/>
      <c r="BL17" s="1"/>
      <c r="BM17" s="1"/>
      <c r="BN17" s="1"/>
    </row>
    <row r="18" spans="1:66" x14ac:dyDescent="0.3">
      <c r="A18" s="1"/>
      <c r="B18" s="28">
        <v>7</v>
      </c>
      <c r="C18" s="129">
        <f>'[9]2. Distributional by deciles o'!B106</f>
        <v>5815808918.0003939</v>
      </c>
      <c r="D18" s="129">
        <f>'[9]2. Distributional by deciles o'!C106</f>
        <v>6180483758.644803</v>
      </c>
      <c r="E18" s="129">
        <f>'[9]2. Distributional by deciles o'!D106</f>
        <v>6352006712.3111973</v>
      </c>
      <c r="F18" s="129">
        <f>'[9]2. Distributional by deciles o'!E106</f>
        <v>6998969010.1487989</v>
      </c>
      <c r="G18" s="129">
        <f>'[9]2. Distributional by deciles o'!F106</f>
        <v>7594451938.3811913</v>
      </c>
      <c r="H18" s="129">
        <f>'[9]2. Distributional by deciles o'!H106</f>
        <v>8515292029.3740005</v>
      </c>
      <c r="I18" s="129">
        <f>'[9]2. Distributional by deciles o'!I106</f>
        <v>7113574714.570796</v>
      </c>
      <c r="J18" s="129">
        <f>'[9]2. Distributional by deciles o'!J106</f>
        <v>7476973534.2551956</v>
      </c>
      <c r="K18" s="129">
        <f>'[9]2. Distributional by deciles o'!K106</f>
        <v>7402295244.7668037</v>
      </c>
      <c r="L18" s="291">
        <f t="shared" si="0"/>
        <v>8999425546.9817123</v>
      </c>
      <c r="M18" s="291">
        <f t="shared" si="1"/>
        <v>8353897132.2193108</v>
      </c>
      <c r="N18" s="291">
        <f t="shared" si="1"/>
        <v>8353897132.2193108</v>
      </c>
      <c r="O18" s="291">
        <f t="shared" si="1"/>
        <v>8353897132.2193108</v>
      </c>
      <c r="P18" s="129">
        <f>'[9]2. Distributional by deciles o'!B124</f>
        <v>29668272581.229645</v>
      </c>
      <c r="Q18" s="129">
        <f>'[9]2. Distributional by deciles o'!C124</f>
        <v>30745607836.572018</v>
      </c>
      <c r="R18" s="129">
        <f>'[9]2. Distributional by deciles o'!D124</f>
        <v>31245071752.501221</v>
      </c>
      <c r="S18" s="129">
        <f>'[9]2. Distributional by deciles o'!E124</f>
        <v>33124811013.602463</v>
      </c>
      <c r="T18" s="129">
        <f>'[9]2. Distributional by deciles o'!F124</f>
        <v>35993310079.297226</v>
      </c>
      <c r="U18" s="209">
        <f t="shared" si="2"/>
        <v>0.21319197067338758</v>
      </c>
      <c r="V18" s="139"/>
      <c r="W18" s="209"/>
      <c r="X18" s="132"/>
      <c r="Y18" s="132"/>
      <c r="Z18" s="132"/>
      <c r="AA18" s="132"/>
      <c r="AB18" s="132"/>
      <c r="AC18" s="132"/>
      <c r="AD18" s="132"/>
      <c r="AE18" s="139"/>
      <c r="AF18" s="139"/>
      <c r="AG18" s="139"/>
      <c r="AH18" s="139"/>
      <c r="AI18" s="139"/>
      <c r="AJ18" s="139"/>
      <c r="AK18" s="408">
        <f>'[9]2. Distributional by deciles o'!L106</f>
        <v>8581396824.1680107</v>
      </c>
      <c r="AL18" s="433">
        <f>'[9]2. Distributional by deciles o'!M106</f>
        <v>7545136947.5039902</v>
      </c>
      <c r="AM18" s="32" cm="1">
        <f t="array" aca="1" ref="AM18" ca="1">INDIRECT("'1"&amp;$C$8&amp;"'!W18")</f>
        <v>2.1119632464195872</v>
      </c>
      <c r="AN18" s="524">
        <f t="shared" ca="1" si="3"/>
        <v>8434397858.0097895</v>
      </c>
      <c r="AO18" s="524">
        <f t="shared" ca="1" si="4"/>
        <v>8467628822.3748627</v>
      </c>
      <c r="AP18" s="524">
        <f t="shared" ca="1" si="5"/>
        <v>8434397858.0097895</v>
      </c>
      <c r="AQ18" s="525">
        <f t="shared" si="6"/>
        <v>0.21319197067338758</v>
      </c>
      <c r="AR18" s="344">
        <f t="shared" si="7"/>
        <v>0.21319197067338758</v>
      </c>
      <c r="AS18" s="41">
        <f t="shared" si="8"/>
        <v>0.10617001508265296</v>
      </c>
      <c r="AT18" s="1"/>
      <c r="AU18" s="1"/>
      <c r="AV18" s="1"/>
      <c r="AW18" s="1"/>
      <c r="AX18" s="1"/>
      <c r="AY18" s="1"/>
      <c r="AZ18" s="1"/>
      <c r="BA18" s="1"/>
      <c r="BB18" s="1"/>
      <c r="BC18" s="1"/>
      <c r="BD18" s="1"/>
      <c r="BE18" s="1"/>
      <c r="BF18" s="1"/>
      <c r="BG18" s="1"/>
      <c r="BH18" s="1"/>
      <c r="BI18" s="1"/>
      <c r="BJ18" s="1"/>
      <c r="BK18" s="1"/>
      <c r="BL18" s="1"/>
      <c r="BM18" s="1"/>
      <c r="BN18" s="1"/>
    </row>
    <row r="19" spans="1:66" x14ac:dyDescent="0.3">
      <c r="A19" s="1"/>
      <c r="B19" s="28">
        <v>8</v>
      </c>
      <c r="C19" s="129">
        <f>'[9]2. Distributional by deciles o'!B107</f>
        <v>7681843583.3987999</v>
      </c>
      <c r="D19" s="129">
        <f>'[9]2. Distributional by deciles o'!C107</f>
        <v>8138353074.2327871</v>
      </c>
      <c r="E19" s="129">
        <f>'[9]2. Distributional by deciles o'!D107</f>
        <v>8336651710.3259964</v>
      </c>
      <c r="F19" s="129">
        <f>'[9]2. Distributional by deciles o'!E107</f>
        <v>9158926067.1923981</v>
      </c>
      <c r="G19" s="129">
        <f>'[9]2. Distributional by deciles o'!F107</f>
        <v>9924664945.8791924</v>
      </c>
      <c r="H19" s="129">
        <f>'[9]2. Distributional by deciles o'!H107</f>
        <v>10907677536.779999</v>
      </c>
      <c r="I19" s="129">
        <f>'[9]2. Distributional by deciles o'!I107</f>
        <v>9355307513.1732063</v>
      </c>
      <c r="J19" s="129">
        <f>'[9]2. Distributional by deciles o'!J107</f>
        <v>9757352612.1275921</v>
      </c>
      <c r="K19" s="129">
        <f>'[9]2. Distributional by deciles o'!K107</f>
        <v>9673747071.9839993</v>
      </c>
      <c r="L19" s="291">
        <f t="shared" si="0"/>
        <v>11760727960.866844</v>
      </c>
      <c r="M19" s="291">
        <f t="shared" si="1"/>
        <v>10917131440.467112</v>
      </c>
      <c r="N19" s="291">
        <f t="shared" si="1"/>
        <v>10917131440.467112</v>
      </c>
      <c r="O19" s="291">
        <f t="shared" si="1"/>
        <v>10917131440.467112</v>
      </c>
      <c r="P19" s="129">
        <f>'[9]2. Distributional by deciles o'!B125</f>
        <v>34809441649.048813</v>
      </c>
      <c r="Q19" s="129">
        <f>'[9]2. Distributional by deciles o'!C125</f>
        <v>36089334341.010025</v>
      </c>
      <c r="R19" s="129">
        <f>'[9]2. Distributional by deciles o'!D125</f>
        <v>36649557847.146019</v>
      </c>
      <c r="S19" s="129">
        <f>'[9]2. Distributional by deciles o'!E125</f>
        <v>38807381232.49678</v>
      </c>
      <c r="T19" s="129">
        <f>'[9]2. Distributional by deciles o'!F125</f>
        <v>42126652070.261978</v>
      </c>
      <c r="U19" s="209">
        <f t="shared" si="2"/>
        <v>0.21020763547389776</v>
      </c>
      <c r="V19" s="139"/>
      <c r="W19" s="209"/>
      <c r="X19" s="132"/>
      <c r="Y19" s="132"/>
      <c r="Z19" s="132"/>
      <c r="AA19" s="132"/>
      <c r="AB19" s="132"/>
      <c r="AC19" s="132"/>
      <c r="AD19" s="132"/>
      <c r="AE19" s="139"/>
      <c r="AF19" s="139"/>
      <c r="AG19" s="139"/>
      <c r="AH19" s="139"/>
      <c r="AI19" s="139"/>
      <c r="AJ19" s="139"/>
      <c r="AK19" s="408">
        <f>'[9]2. Distributional by deciles o'!L107</f>
        <v>11007880500.093596</v>
      </c>
      <c r="AL19" s="433">
        <f>'[9]2. Distributional by deciles o'!M107</f>
        <v>9832623746.3736172</v>
      </c>
      <c r="AM19" s="32" cm="1">
        <f t="array" aca="1" ref="AM19" ca="1">INDIRECT("'1"&amp;$C$8&amp;"'!W19")</f>
        <v>1.9324757341212386</v>
      </c>
      <c r="AN19" s="524">
        <f t="shared" ca="1" si="3"/>
        <v>10802370953.920593</v>
      </c>
      <c r="AO19" s="524">
        <f t="shared" ca="1" si="4"/>
        <v>10886836322.953934</v>
      </c>
      <c r="AP19" s="524">
        <f t="shared" ca="1" si="5"/>
        <v>10143517553.812439</v>
      </c>
      <c r="AQ19" s="525">
        <f t="shared" si="6"/>
        <v>0.21020763547389776</v>
      </c>
      <c r="AR19" s="526">
        <f>U19-AP31*AS21/SUM(AS19:AS20)</f>
        <v>0.16582538884822098</v>
      </c>
      <c r="AS19" s="41">
        <f t="shared" si="8"/>
        <v>0.12456805278364698</v>
      </c>
      <c r="AT19" s="1"/>
      <c r="AU19" s="1"/>
      <c r="AV19" s="1"/>
      <c r="AW19" s="1"/>
      <c r="AX19" s="1"/>
      <c r="AY19" s="1"/>
      <c r="AZ19" s="1"/>
      <c r="BA19" s="1"/>
      <c r="BB19" s="1"/>
      <c r="BC19" s="1"/>
      <c r="BD19" s="1"/>
      <c r="BE19" s="1"/>
      <c r="BF19" s="1"/>
      <c r="BG19" s="1"/>
      <c r="BH19" s="1"/>
      <c r="BI19" s="1"/>
      <c r="BJ19" s="1"/>
      <c r="BK19" s="1"/>
      <c r="BL19" s="1"/>
      <c r="BM19" s="1"/>
      <c r="BN19" s="1"/>
    </row>
    <row r="20" spans="1:66" x14ac:dyDescent="0.3">
      <c r="A20" s="1"/>
      <c r="B20" s="28">
        <v>9</v>
      </c>
      <c r="C20" s="129">
        <f>'[9]2. Distributional by deciles o'!B108</f>
        <v>10867807167.724808</v>
      </c>
      <c r="D20" s="129">
        <f>'[9]2. Distributional by deciles o'!C108</f>
        <v>11468810050.161604</v>
      </c>
      <c r="E20" s="129">
        <f>'[9]2. Distributional by deciles o'!D108</f>
        <v>11752439473.851614</v>
      </c>
      <c r="F20" s="129">
        <f>'[9]2. Distributional by deciles o'!E108</f>
        <v>12811003391.696405</v>
      </c>
      <c r="G20" s="129">
        <f>'[9]2. Distributional by deciles o'!F108</f>
        <v>13868375908.696798</v>
      </c>
      <c r="H20" s="129">
        <f>'[9]2. Distributional by deciles o'!H108</f>
        <v>14961451047.900013</v>
      </c>
      <c r="I20" s="129">
        <f>'[9]2. Distributional by deciles o'!I108</f>
        <v>13225034327.228409</v>
      </c>
      <c r="J20" s="129">
        <f>'[9]2. Distributional by deciles o'!J108</f>
        <v>13677782962.408796</v>
      </c>
      <c r="K20" s="129">
        <f>'[9]2. Distributional by deciles o'!K108</f>
        <v>13584785096.745602</v>
      </c>
      <c r="L20" s="291">
        <f t="shared" si="0"/>
        <v>16434025451.805706</v>
      </c>
      <c r="M20" s="291">
        <f t="shared" si="1"/>
        <v>15255213499.566479</v>
      </c>
      <c r="N20" s="291">
        <f t="shared" si="1"/>
        <v>15255213499.566479</v>
      </c>
      <c r="O20" s="291">
        <f t="shared" si="1"/>
        <v>15255213499.566479</v>
      </c>
      <c r="P20" s="129">
        <f>'[9]2. Distributional by deciles o'!B126</f>
        <v>43129454573.426346</v>
      </c>
      <c r="Q20" s="129">
        <f>'[9]2. Distributional by deciles o'!C126</f>
        <v>44712939056.201996</v>
      </c>
      <c r="R20" s="129">
        <f>'[9]2. Distributional by deciles o'!D126</f>
        <v>45418533197.139542</v>
      </c>
      <c r="S20" s="129">
        <f>'[9]2. Distributional by deciles o'!E126</f>
        <v>48164660944.429199</v>
      </c>
      <c r="T20" s="129">
        <f>'[9]2. Distributional by deciles o'!F126</f>
        <v>52238301001.257584</v>
      </c>
      <c r="U20" s="209">
        <f t="shared" si="2"/>
        <v>0.21119781174890018</v>
      </c>
      <c r="V20" s="139"/>
      <c r="W20" s="209"/>
      <c r="X20" s="132"/>
      <c r="Y20" s="132"/>
      <c r="Z20" s="132"/>
      <c r="AA20" s="132"/>
      <c r="AB20" s="132"/>
      <c r="AC20" s="132"/>
      <c r="AD20" s="132"/>
      <c r="AE20" s="139"/>
      <c r="AF20" s="139"/>
      <c r="AG20" s="139"/>
      <c r="AH20" s="139"/>
      <c r="AI20" s="139"/>
      <c r="AJ20" s="139"/>
      <c r="AK20" s="408">
        <f>'[9]2. Distributional by deciles o'!L108</f>
        <v>15058783808.942419</v>
      </c>
      <c r="AL20" s="433">
        <f>'[9]2. Distributional by deciles o'!M108</f>
        <v>13762305066.147594</v>
      </c>
      <c r="AM20" s="32" cm="1">
        <f t="array" aca="1" ref="AM20" ca="1">INDIRECT("'1"&amp;$C$8&amp;"'!W20")</f>
        <v>1.7453794529091013</v>
      </c>
      <c r="AN20" s="524">
        <f t="shared" ca="1" si="3"/>
        <v>14873901735.825827</v>
      </c>
      <c r="AO20" s="524">
        <f t="shared" ca="1" si="4"/>
        <v>14963046841.130621</v>
      </c>
      <c r="AP20" s="524">
        <f t="shared" ca="1" si="5"/>
        <v>14032039428.376188</v>
      </c>
      <c r="AQ20" s="525">
        <f t="shared" si="6"/>
        <v>0.21119781174890018</v>
      </c>
      <c r="AR20" s="526">
        <f>U20-AP31*AS21/SUM(AS19:AS20)</f>
        <v>0.1668155651232234</v>
      </c>
      <c r="AS20" s="41">
        <f t="shared" si="8"/>
        <v>0.15434180840930797</v>
      </c>
      <c r="AT20" s="1"/>
      <c r="AU20" s="1"/>
      <c r="AV20" s="1"/>
      <c r="AW20" s="1"/>
      <c r="AX20" s="1"/>
      <c r="AY20" s="1"/>
      <c r="AZ20" s="1"/>
      <c r="BA20" s="1"/>
      <c r="BB20" s="1"/>
      <c r="BC20" s="1"/>
      <c r="BD20" s="1"/>
      <c r="BE20" s="1"/>
      <c r="BF20" s="1"/>
      <c r="BG20" s="1"/>
      <c r="BH20" s="1"/>
      <c r="BI20" s="1"/>
      <c r="BJ20" s="1"/>
      <c r="BK20" s="1"/>
      <c r="BL20" s="1"/>
      <c r="BM20" s="1"/>
      <c r="BN20" s="1"/>
    </row>
    <row r="21" spans="1:66" x14ac:dyDescent="0.3">
      <c r="A21" s="1"/>
      <c r="B21" s="33">
        <v>10</v>
      </c>
      <c r="C21" s="129">
        <f>'[9]2. Distributional by deciles o'!B109</f>
        <v>22471109579.469608</v>
      </c>
      <c r="D21" s="129">
        <f>'[9]2. Distributional by deciles o'!C109</f>
        <v>23451922157.848812</v>
      </c>
      <c r="E21" s="129">
        <f>'[9]2. Distributional by deciles o'!D109</f>
        <v>23973436018.43401</v>
      </c>
      <c r="F21" s="129">
        <f>'[9]2. Distributional by deciles o'!E109</f>
        <v>25742903111.634029</v>
      </c>
      <c r="G21" s="129">
        <f>'[9]2. Distributional by deciles o'!F109</f>
        <v>27934027296.347992</v>
      </c>
      <c r="H21" s="129">
        <f>'[9]2. Distributional by deciles o'!H109</f>
        <v>29137001541.003632</v>
      </c>
      <c r="I21" s="129">
        <f>'[9]2. Distributional by deciles o'!I109</f>
        <v>27220185456.540012</v>
      </c>
      <c r="J21" s="129">
        <f>'[9]2. Distributional by deciles o'!J109</f>
        <v>27716288078.584846</v>
      </c>
      <c r="K21" s="129">
        <f>'[9]2. Distributional by deciles o'!K109</f>
        <v>27614527126.384781</v>
      </c>
      <c r="L21" s="291">
        <f t="shared" si="0"/>
        <v>33101822346.172371</v>
      </c>
      <c r="M21" s="291">
        <f t="shared" si="1"/>
        <v>30727430025.982792</v>
      </c>
      <c r="N21" s="291">
        <f t="shared" si="1"/>
        <v>30727430025.982792</v>
      </c>
      <c r="O21" s="291">
        <f t="shared" si="1"/>
        <v>30727430025.982792</v>
      </c>
      <c r="P21" s="129">
        <f>'[9]2. Distributional by deciles o'!B127</f>
        <v>69182066277.578415</v>
      </c>
      <c r="Q21" s="129">
        <f>'[9]2. Distributional by deciles o'!C127</f>
        <v>71488043336.674744</v>
      </c>
      <c r="R21" s="129">
        <f>'[9]2. Distributional by deciles o'!D127</f>
        <v>72742777228.044022</v>
      </c>
      <c r="S21" s="129">
        <f>'[9]2. Distributional by deciles o'!E127</f>
        <v>77080862461.244522</v>
      </c>
      <c r="T21" s="129">
        <f>'[9]2. Distributional by deciles o'!F127</f>
        <v>83722693112.823547</v>
      </c>
      <c r="U21" s="209">
        <f t="shared" si="2"/>
        <v>0.21017913481947681</v>
      </c>
      <c r="V21" s="139"/>
      <c r="W21" s="209"/>
      <c r="X21" s="132"/>
      <c r="Y21" s="132"/>
      <c r="Z21" s="132"/>
      <c r="AA21" s="132"/>
      <c r="AB21" s="132"/>
      <c r="AC21" s="132"/>
      <c r="AD21" s="132"/>
      <c r="AE21" s="139"/>
      <c r="AF21" s="139"/>
      <c r="AG21" s="139"/>
      <c r="AH21" s="139"/>
      <c r="AI21" s="139"/>
      <c r="AJ21" s="139"/>
      <c r="AK21" s="408">
        <f>'[9]2. Distributional by deciles o'!L109</f>
        <v>29227750407.67923</v>
      </c>
      <c r="AL21" s="433">
        <f>'[9]2. Distributional by deciles o'!M109</f>
        <v>27808681470.032387</v>
      </c>
      <c r="AM21" s="32" cm="1">
        <f t="array" aca="1" ref="AM21" ca="1">INDIRECT("'1"&amp;$C$8&amp;"'!W21")</f>
        <v>1.3992366666065328</v>
      </c>
      <c r="AN21" s="524">
        <f t="shared" ca="1" si="3"/>
        <v>29079646105.415161</v>
      </c>
      <c r="AO21" s="524">
        <f t="shared" ca="1" si="4"/>
        <v>29259444100.023479</v>
      </c>
      <c r="AP21" s="524">
        <f t="shared" ca="1" si="5"/>
        <v>30651766128.56152</v>
      </c>
      <c r="AQ21" s="525">
        <f t="shared" si="6"/>
        <v>0.21017913481947681</v>
      </c>
      <c r="AR21" s="527">
        <f>U21+AP31</f>
        <v>0.2601791348194768</v>
      </c>
      <c r="AS21" s="41">
        <f t="shared" si="8"/>
        <v>0.24757292491598007</v>
      </c>
      <c r="AT21" s="1"/>
      <c r="AU21" s="1"/>
      <c r="AV21" s="1"/>
      <c r="AW21" s="1"/>
      <c r="AX21" s="1"/>
      <c r="AY21" s="1"/>
      <c r="AZ21" s="1"/>
      <c r="BA21" s="1"/>
      <c r="BB21" s="1"/>
      <c r="BC21" s="1"/>
      <c r="BD21" s="1"/>
      <c r="BE21" s="1"/>
      <c r="BF21" s="1"/>
      <c r="BG21" s="1"/>
      <c r="BH21" s="1"/>
      <c r="BI21" s="1"/>
      <c r="BJ21" s="1"/>
      <c r="BK21" s="1"/>
      <c r="BL21" s="1"/>
      <c r="BM21" s="1"/>
      <c r="BN21" s="1"/>
    </row>
    <row r="22" spans="1:66" ht="13.2" customHeight="1" x14ac:dyDescent="0.3">
      <c r="A22" s="1"/>
      <c r="B22" s="34" t="s">
        <v>114</v>
      </c>
      <c r="C22" s="129">
        <f>'[9]2. Distributional by deciles o'!B110</f>
        <v>56574474559.379906</v>
      </c>
      <c r="D22" s="129">
        <f>'[9]2. Distributional by deciles o'!C110</f>
        <v>59708177410.230042</v>
      </c>
      <c r="E22" s="129">
        <f>'[9]2. Distributional by deciles o'!D110</f>
        <v>61364771129.596924</v>
      </c>
      <c r="F22" s="129">
        <f>'[9]2. Distributional by deciles o'!E110</f>
        <v>67305027121.266037</v>
      </c>
      <c r="G22" s="129">
        <f>'[9]2. Distributional by deciles o'!F110</f>
        <v>73283586538.071289</v>
      </c>
      <c r="H22" s="129">
        <f>'[9]2. Distributional by deciles o'!H110</f>
        <v>81408061998.949081</v>
      </c>
      <c r="I22" s="129">
        <f>'[9]2. Distributional by deciles o'!I110</f>
        <v>69011942190.759583</v>
      </c>
      <c r="J22" s="129">
        <f>'[9]2. Distributional by deciles o'!J110</f>
        <v>72119339440.462738</v>
      </c>
      <c r="K22" s="129">
        <f>'[9]2. Distributional by deciles o'!K110</f>
        <v>71473603658.180481</v>
      </c>
      <c r="L22" s="292">
        <f t="shared" si="0"/>
        <v>86841050047.614487</v>
      </c>
      <c r="M22" s="292">
        <f t="shared" si="1"/>
        <v>80611945191.878418</v>
      </c>
      <c r="N22" s="292">
        <f t="shared" si="1"/>
        <v>80611945191.878418</v>
      </c>
      <c r="O22" s="292">
        <f t="shared" si="1"/>
        <v>80611945191.878418</v>
      </c>
      <c r="P22" s="129">
        <f>'[9]2. Distributional by deciles o'!B128</f>
        <v>279441163855.28442</v>
      </c>
      <c r="Q22" s="129">
        <f>'[9]2. Distributional by deciles o'!C128</f>
        <v>288987394494.21729</v>
      </c>
      <c r="R22" s="129">
        <f>'[9]2. Distributional by deciles o'!D128</f>
        <v>294106553095.81616</v>
      </c>
      <c r="S22" s="129">
        <f>'[9]2. Distributional by deciles o'!E128</f>
        <v>311827643611.23987</v>
      </c>
      <c r="T22" s="129">
        <f>'[9]2. Distributional by deciles o'!F128</f>
        <v>339771802455.83289</v>
      </c>
      <c r="U22" s="210">
        <f t="shared" si="2"/>
        <v>0.21589746395342169</v>
      </c>
      <c r="V22" s="139"/>
      <c r="W22" s="210"/>
      <c r="X22" s="154"/>
      <c r="Y22" s="154"/>
      <c r="Z22" s="154"/>
      <c r="AA22" s="154"/>
      <c r="AB22" s="154"/>
      <c r="AC22" s="154"/>
      <c r="AD22" s="154"/>
      <c r="AE22" s="161"/>
      <c r="AF22" s="161"/>
      <c r="AG22" s="161"/>
      <c r="AH22" s="161"/>
      <c r="AI22" s="162"/>
      <c r="AJ22" s="162"/>
      <c r="AK22" s="408">
        <f>'[9]2. Distributional by deciles o'!L110</f>
        <v>82088147191.373947</v>
      </c>
      <c r="AL22" s="433">
        <f>'[9]2. Distributional by deciles o'!M110</f>
        <v>72707963494.293518</v>
      </c>
      <c r="AM22" s="534" cm="1">
        <f t="array" aca="1" ref="AM22" ca="1">INDIRECT("'1"&amp;$C$8&amp;"'!W22")</f>
        <v>1.966454320802733</v>
      </c>
      <c r="AN22" s="528">
        <f ca="1">SUM(AN12:AN21)</f>
        <v>80281087753.742523</v>
      </c>
      <c r="AO22" s="528">
        <f ca="1">SUM(AO12:AO21)</f>
        <v>80455494876.389847</v>
      </c>
      <c r="AP22" s="528">
        <f ca="1">SUM(AP12:AP21)</f>
        <v>80352492069.331085</v>
      </c>
      <c r="AQ22" s="529">
        <f>SUMPRODUCT(AQ12:AQ21,AS12:AS21)</f>
        <v>0.21589746395341813</v>
      </c>
      <c r="AR22" s="529">
        <f>SUMPRODUCT(AR12:AR21,AS12:AS21)</f>
        <v>0.21589746395341813</v>
      </c>
      <c r="AS22" s="530"/>
      <c r="AT22" s="1"/>
      <c r="AU22" s="1"/>
      <c r="AV22" s="1"/>
      <c r="AW22" s="1"/>
      <c r="AX22" s="1"/>
      <c r="AY22" s="1"/>
      <c r="AZ22" s="1"/>
      <c r="BA22" s="1"/>
      <c r="BB22" s="1"/>
      <c r="BC22" s="1"/>
      <c r="BD22" s="1"/>
      <c r="BE22" s="1"/>
      <c r="BF22" s="1"/>
      <c r="BG22" s="1"/>
      <c r="BH22" s="1"/>
      <c r="BI22" s="1"/>
      <c r="BJ22" s="1"/>
      <c r="BK22" s="1"/>
      <c r="BL22" s="1"/>
      <c r="BM22" s="1"/>
      <c r="BN22" s="1"/>
    </row>
    <row r="23" spans="1:66" ht="12.6" customHeight="1" x14ac:dyDescent="0.3">
      <c r="A23" s="1"/>
      <c r="B23" s="1"/>
      <c r="C23" s="1"/>
      <c r="D23" s="1"/>
      <c r="E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531"/>
      <c r="AO23" s="531"/>
      <c r="AP23" s="1"/>
      <c r="AQ23" s="1"/>
      <c r="AR23" s="525">
        <f>U22</f>
        <v>0.21589746395342169</v>
      </c>
      <c r="AS23" s="1"/>
      <c r="AT23" s="1"/>
      <c r="AU23" s="1"/>
      <c r="AV23" s="1"/>
      <c r="AW23" s="1"/>
      <c r="AX23" s="1"/>
      <c r="AY23" s="1"/>
      <c r="AZ23" s="1"/>
      <c r="BA23" s="1"/>
      <c r="BB23" s="1"/>
      <c r="BC23" s="1"/>
      <c r="BD23" s="1"/>
      <c r="BE23" s="1"/>
      <c r="BF23" s="1"/>
      <c r="BG23" s="1"/>
      <c r="BH23" s="1"/>
      <c r="BI23" s="1"/>
      <c r="BJ23" s="1"/>
      <c r="BK23" s="1"/>
      <c r="BL23" s="1"/>
      <c r="BM23" s="1"/>
      <c r="BN23" s="1"/>
    </row>
    <row r="24" spans="1:66" ht="13.95" customHeight="1" x14ac:dyDescent="0.3">
      <c r="A24" s="1"/>
      <c r="B24" s="1"/>
      <c r="C24" s="1"/>
      <c r="D24" s="1"/>
      <c r="E24" s="1"/>
      <c r="F24" s="1"/>
      <c r="G24" s="11" t="s">
        <v>151</v>
      </c>
      <c r="H24" s="212">
        <f>U22</f>
        <v>0.21589746395342169</v>
      </c>
      <c r="I24" s="1"/>
      <c r="J24" s="1"/>
      <c r="K24" s="11" t="s">
        <v>151</v>
      </c>
      <c r="L24" s="212"/>
      <c r="M24" s="1"/>
      <c r="O24" s="1"/>
      <c r="P24" s="1"/>
      <c r="Q24" s="1"/>
      <c r="R24" s="1"/>
      <c r="S24" s="1"/>
      <c r="T24" s="1"/>
      <c r="U24" s="1"/>
      <c r="V24" s="1"/>
      <c r="W24" s="1"/>
      <c r="X24" s="1"/>
      <c r="Y24" s="55"/>
      <c r="Z24" s="55"/>
      <c r="AA24" s="55"/>
      <c r="AB24" s="55"/>
      <c r="AC24" s="55"/>
      <c r="AD24" s="55"/>
      <c r="AE24" s="55"/>
      <c r="AF24" s="55"/>
      <c r="AG24" s="55"/>
      <c r="AH24" s="1"/>
      <c r="AI24" s="1"/>
      <c r="AJ24" s="1"/>
      <c r="AK24" s="1"/>
      <c r="AL24" s="1"/>
      <c r="AM24" s="1"/>
      <c r="AN24" s="531">
        <f ca="1">AN22/G22-1</f>
        <v>9.5485245008252839E-2</v>
      </c>
      <c r="AO24" s="531"/>
      <c r="AP24" s="1"/>
      <c r="AQ24" s="1"/>
      <c r="AR24" s="532" t="str">
        <f>IF(AR23-AR22&lt;0.0000000001,"ok","wrong")</f>
        <v>ok</v>
      </c>
      <c r="AS24" s="1"/>
      <c r="AT24" s="1"/>
      <c r="AU24" s="1"/>
      <c r="AV24" s="1"/>
      <c r="AW24" s="1"/>
      <c r="AX24" s="1"/>
      <c r="AY24" s="1"/>
      <c r="AZ24" s="1"/>
      <c r="BA24" s="1"/>
      <c r="BB24" s="1"/>
      <c r="BC24" s="1"/>
      <c r="BD24" s="1"/>
      <c r="BE24" s="1"/>
      <c r="BF24" s="1"/>
      <c r="BG24" s="1"/>
      <c r="BH24" s="1"/>
      <c r="BI24" s="1"/>
      <c r="BJ24" s="1"/>
      <c r="BK24" s="1"/>
      <c r="BL24" s="1"/>
      <c r="BM24" s="1"/>
      <c r="BN24" s="1"/>
    </row>
    <row r="25" spans="1:66" ht="13.95" customHeight="1" x14ac:dyDescent="0.3">
      <c r="A25" s="1"/>
      <c r="B25" s="1"/>
      <c r="C25" s="1"/>
      <c r="D25" s="1"/>
      <c r="E25" s="1"/>
      <c r="F25" s="1"/>
      <c r="G25" s="11" t="s">
        <v>152</v>
      </c>
      <c r="H25" s="213">
        <f>'[10]Sheet 1'!$N$17</f>
        <v>0.15802329951146188</v>
      </c>
      <c r="I25" s="1"/>
      <c r="J25" s="1"/>
      <c r="K25" s="11" t="s">
        <v>152</v>
      </c>
      <c r="L25" s="139"/>
      <c r="M25" s="1"/>
      <c r="N25" s="1"/>
      <c r="O25" s="1"/>
      <c r="P25" s="1"/>
      <c r="Q25" s="1"/>
      <c r="R25" s="1"/>
      <c r="S25" s="1"/>
      <c r="T25" s="1"/>
      <c r="U25" s="1"/>
      <c r="V25" s="1"/>
      <c r="W25" s="1"/>
      <c r="X25" s="1"/>
      <c r="Y25" s="55"/>
      <c r="Z25" s="55"/>
      <c r="AA25" s="55"/>
      <c r="AB25" s="55"/>
      <c r="AC25" s="55"/>
      <c r="AD25" s="55"/>
      <c r="AE25" s="55"/>
      <c r="AF25" s="55"/>
      <c r="AG25" s="55"/>
      <c r="AH25" s="1"/>
      <c r="AI25" s="1"/>
      <c r="AJ25" s="1"/>
      <c r="AK25" s="1"/>
      <c r="AL25" s="1"/>
      <c r="AM25" s="1"/>
      <c r="AN25" s="1"/>
      <c r="AO25" s="531"/>
      <c r="AP25" s="1"/>
      <c r="AQ25" s="1"/>
      <c r="AR25" s="532" t="str">
        <f>IF(AQ22-AR22&lt;0.0000000001,"ok","wrong")</f>
        <v>ok</v>
      </c>
      <c r="AS25" s="1"/>
      <c r="AT25" s="1"/>
      <c r="AU25" s="1"/>
      <c r="AV25" s="1"/>
      <c r="AW25" s="1"/>
      <c r="AX25" s="1"/>
      <c r="AY25" s="1"/>
      <c r="AZ25" s="1"/>
      <c r="BA25" s="1"/>
      <c r="BB25" s="1"/>
      <c r="BC25" s="1"/>
      <c r="BD25" s="1"/>
      <c r="BE25" s="1"/>
      <c r="BF25" s="1"/>
      <c r="BG25" s="1"/>
      <c r="BH25" s="1"/>
      <c r="BI25" s="1"/>
      <c r="BJ25" s="1"/>
      <c r="BK25" s="1"/>
      <c r="BL25" s="1"/>
      <c r="BM25" s="1"/>
      <c r="BN25" s="1"/>
    </row>
    <row r="26" spans="1:66" ht="13.95" customHeight="1" x14ac:dyDescent="0.3">
      <c r="A26" s="1"/>
      <c r="B26" s="1"/>
      <c r="C26" s="1"/>
      <c r="D26" s="1"/>
      <c r="E26" s="1"/>
      <c r="F26" s="1"/>
      <c r="G26" s="11" t="s">
        <v>153</v>
      </c>
      <c r="H26" s="213">
        <f>'[10]Sheet 1'!$O$17</f>
        <v>0.16980606847916868</v>
      </c>
      <c r="I26" s="1"/>
      <c r="J26" s="1"/>
      <c r="K26" s="11" t="s">
        <v>153</v>
      </c>
      <c r="L26" s="139"/>
      <c r="M26" s="1"/>
      <c r="N26" s="1"/>
      <c r="O26" s="1"/>
      <c r="P26" s="1"/>
      <c r="Q26" s="1"/>
      <c r="R26" s="1"/>
      <c r="S26" s="1"/>
      <c r="T26" s="1"/>
      <c r="U26" s="1"/>
      <c r="V26" s="1"/>
      <c r="W26" s="1"/>
      <c r="X26" s="1"/>
      <c r="Y26" s="55"/>
      <c r="Z26" s="55"/>
      <c r="AA26" s="55"/>
      <c r="AB26" s="55"/>
      <c r="AC26" s="55"/>
      <c r="AD26" s="55"/>
      <c r="AE26" s="55"/>
      <c r="AF26" s="55"/>
      <c r="AG26" s="55"/>
      <c r="AH26" s="1"/>
      <c r="AI26" s="1"/>
      <c r="AJ26" s="1"/>
      <c r="AK26" s="1"/>
      <c r="AL26" s="1"/>
      <c r="AM26" s="8" t="s">
        <v>571</v>
      </c>
      <c r="AN26" s="533"/>
      <c r="AO26" s="535">
        <f ca="1">AO22/$AN22-1</f>
        <v>2.17245589873305E-3</v>
      </c>
      <c r="AP26" s="536">
        <f ca="1">AP22/$AN22-1</f>
        <v>8.8942885038623132E-4</v>
      </c>
      <c r="AQ26" s="1"/>
      <c r="AR26" s="1"/>
      <c r="AS26" s="1"/>
      <c r="AT26" s="1"/>
      <c r="AU26" s="1"/>
      <c r="AV26" s="1"/>
      <c r="AW26" s="1"/>
      <c r="AX26" s="1"/>
      <c r="AY26" s="1"/>
      <c r="AZ26" s="1"/>
      <c r="BA26" s="1"/>
      <c r="BB26" s="1"/>
      <c r="BC26" s="1"/>
      <c r="BD26" s="1"/>
      <c r="BE26" s="1"/>
      <c r="BF26" s="1"/>
      <c r="BG26" s="1"/>
      <c r="BH26" s="1"/>
      <c r="BI26" s="1"/>
      <c r="BJ26" s="1"/>
      <c r="BK26" s="1"/>
      <c r="BL26" s="1"/>
      <c r="BM26" s="1"/>
      <c r="BN26" s="1"/>
    </row>
    <row r="27" spans="1:66" ht="9" customHeight="1" x14ac:dyDescent="0.3">
      <c r="A27" s="1"/>
      <c r="B27" s="1"/>
      <c r="C27" s="1"/>
      <c r="D27" s="1"/>
      <c r="E27" s="1"/>
      <c r="F27" s="1"/>
      <c r="G27" s="1"/>
      <c r="H27" s="1"/>
      <c r="I27" s="1"/>
      <c r="J27" s="1"/>
      <c r="K27" s="1"/>
      <c r="L27" s="1"/>
      <c r="M27" s="1"/>
      <c r="N27" s="1"/>
      <c r="O27" s="1"/>
      <c r="P27" s="1"/>
      <c r="Q27" s="1"/>
      <c r="R27" s="1"/>
      <c r="S27" s="1"/>
      <c r="T27" s="55"/>
      <c r="U27" s="55"/>
      <c r="V27" s="55"/>
      <c r="W27" s="55"/>
      <c r="X27" s="55"/>
      <c r="Y27" s="55"/>
      <c r="Z27" s="55"/>
      <c r="AA27" s="55"/>
      <c r="AB27" s="55"/>
      <c r="AC27" s="55"/>
      <c r="AD27" s="55"/>
      <c r="AE27" s="55"/>
      <c r="AF27" s="55"/>
      <c r="AG27" s="55"/>
      <c r="AH27" s="1"/>
      <c r="AI27" s="1"/>
      <c r="AJ27" s="1"/>
      <c r="AK27" s="1"/>
      <c r="AL27" s="1"/>
      <c r="AM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row>
    <row r="28" spans="1:66" ht="12" customHeight="1" thickBot="1" x14ac:dyDescent="0.35">
      <c r="A28" s="214"/>
      <c r="B28" s="214"/>
      <c r="C28" s="214"/>
      <c r="D28" s="214"/>
      <c r="E28" s="214"/>
      <c r="F28" s="214"/>
      <c r="G28" s="214"/>
      <c r="H28" s="214"/>
      <c r="I28" s="214"/>
      <c r="J28" s="214"/>
      <c r="K28" s="214"/>
      <c r="L28" s="214"/>
      <c r="M28" s="214"/>
      <c r="N28" s="214"/>
      <c r="O28" s="214"/>
      <c r="P28" s="214"/>
      <c r="Q28" s="214"/>
      <c r="R28" s="214"/>
      <c r="S28" s="214"/>
      <c r="T28" s="215"/>
      <c r="U28" s="215"/>
      <c r="V28" s="215"/>
      <c r="W28" s="215"/>
      <c r="X28" s="215"/>
      <c r="Y28" s="215"/>
      <c r="Z28" s="215"/>
      <c r="AA28" s="214"/>
      <c r="AB28" s="214"/>
      <c r="AC28" s="214"/>
      <c r="AD28" s="214"/>
      <c r="AE28" s="214"/>
      <c r="AF28" s="214"/>
      <c r="AG28" s="214"/>
      <c r="AH28" s="214"/>
      <c r="AI28" s="214"/>
      <c r="AJ28" s="1"/>
      <c r="AK28" s="1"/>
      <c r="AL28" s="1"/>
      <c r="AM28" s="8" t="s">
        <v>572</v>
      </c>
      <c r="AN28" s="8"/>
      <c r="AO28" s="535">
        <f ca="1">(AO22-$AN22)/($W$37*1000000)</f>
        <v>1.7492400898877186E-2</v>
      </c>
      <c r="AP28" s="536">
        <f ca="1">(AP22-$AN22)/($W$37*1000000)</f>
        <v>7.1615934901397196E-3</v>
      </c>
      <c r="AQ28" s="1"/>
      <c r="AR28" s="1"/>
      <c r="AS28" s="1"/>
      <c r="AT28" s="1"/>
      <c r="AU28" s="1"/>
      <c r="AV28" s="1"/>
      <c r="AW28" s="1"/>
      <c r="AX28" s="1"/>
      <c r="AY28" s="1"/>
      <c r="AZ28" s="1"/>
      <c r="BA28" s="1"/>
      <c r="BB28" s="1"/>
      <c r="BC28" s="1"/>
      <c r="BD28" s="1"/>
      <c r="BE28" s="1"/>
      <c r="BF28" s="1"/>
      <c r="BG28" s="1"/>
      <c r="BH28" s="1"/>
      <c r="BI28" s="1"/>
      <c r="BJ28" s="1"/>
      <c r="BK28" s="1"/>
      <c r="BL28" s="1"/>
      <c r="BM28" s="1"/>
      <c r="BN28" s="1"/>
    </row>
    <row r="29" spans="1:66" ht="12" customHeight="1" thickBot="1" x14ac:dyDescent="0.35">
      <c r="A29" s="214"/>
      <c r="B29" s="216" t="s">
        <v>154</v>
      </c>
      <c r="C29" s="217"/>
      <c r="D29" s="217"/>
      <c r="E29" s="217"/>
      <c r="F29" s="217"/>
      <c r="G29" s="217"/>
      <c r="H29" s="217"/>
      <c r="I29" s="217"/>
      <c r="J29" s="217"/>
      <c r="K29" s="217"/>
      <c r="L29" s="217"/>
      <c r="M29" s="217"/>
      <c r="N29" s="217"/>
      <c r="O29" s="217"/>
      <c r="P29" s="217"/>
      <c r="Q29" s="217"/>
      <c r="R29" s="217"/>
      <c r="S29" s="217"/>
      <c r="T29" s="218"/>
      <c r="U29" s="218"/>
      <c r="V29" s="219"/>
      <c r="W29" s="215"/>
      <c r="X29" s="215"/>
      <c r="Y29" s="215"/>
      <c r="Z29" s="215"/>
      <c r="AA29" s="214"/>
      <c r="AB29" s="214"/>
      <c r="AC29" s="214"/>
      <c r="AD29" s="214"/>
      <c r="AE29" s="214"/>
      <c r="AF29" s="214"/>
      <c r="AG29" s="214"/>
      <c r="AH29" s="214"/>
      <c r="AI29" s="214"/>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row>
    <row r="30" spans="1:66" ht="21.6" customHeight="1" thickBot="1" x14ac:dyDescent="0.35">
      <c r="A30" s="214"/>
      <c r="B30" s="220"/>
      <c r="C30" s="214"/>
      <c r="D30" s="214"/>
      <c r="E30" s="214"/>
      <c r="F30" s="214"/>
      <c r="G30" s="214"/>
      <c r="H30" s="214"/>
      <c r="I30" s="214"/>
      <c r="J30" s="214"/>
      <c r="K30" s="214"/>
      <c r="L30" s="214"/>
      <c r="M30" s="214"/>
      <c r="N30" s="214"/>
      <c r="O30" s="214"/>
      <c r="P30" s="214"/>
      <c r="Q30" s="214"/>
      <c r="R30" s="214"/>
      <c r="S30" s="214"/>
      <c r="T30" s="214"/>
      <c r="U30" s="214"/>
      <c r="V30" s="214"/>
      <c r="W30" s="214"/>
      <c r="X30" s="214"/>
      <c r="Y30" s="214"/>
      <c r="Z30" s="214"/>
      <c r="AA30" s="214"/>
      <c r="AB30" s="214"/>
      <c r="AC30" s="216" t="s">
        <v>158</v>
      </c>
      <c r="AD30" s="221"/>
      <c r="AE30" s="214"/>
      <c r="AF30" s="214"/>
      <c r="AG30" s="214"/>
      <c r="AH30" s="214"/>
      <c r="AI30" s="214"/>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row>
    <row r="31" spans="1:66" ht="21" customHeight="1" thickBot="1" x14ac:dyDescent="0.35">
      <c r="A31" s="214"/>
      <c r="B31" s="216" t="s">
        <v>159</v>
      </c>
      <c r="C31" s="221"/>
      <c r="D31" s="223"/>
      <c r="E31" s="222" t="s">
        <v>160</v>
      </c>
      <c r="F31" s="222" t="s">
        <v>160</v>
      </c>
      <c r="G31" s="223"/>
      <c r="H31" s="224" t="s">
        <v>161</v>
      </c>
      <c r="I31" s="222"/>
      <c r="J31" s="222"/>
      <c r="K31" s="222"/>
      <c r="L31" s="222"/>
      <c r="M31" s="223"/>
      <c r="N31" s="216" t="s">
        <v>162</v>
      </c>
      <c r="O31" s="221"/>
      <c r="P31" s="222" t="s">
        <v>163</v>
      </c>
      <c r="Q31" s="222"/>
      <c r="R31" s="222"/>
      <c r="S31" s="223"/>
      <c r="T31" s="224" t="s">
        <v>164</v>
      </c>
      <c r="U31" s="222"/>
      <c r="V31" s="222"/>
      <c r="W31" s="223"/>
      <c r="X31" s="225" t="s">
        <v>165</v>
      </c>
      <c r="Y31" s="222"/>
      <c r="Z31" s="222"/>
      <c r="AA31" s="223"/>
      <c r="AB31" s="214"/>
      <c r="AC31" s="347" t="s">
        <v>163</v>
      </c>
      <c r="AD31" s="348"/>
      <c r="AE31" s="223"/>
      <c r="AF31" s="224" t="s">
        <v>164</v>
      </c>
      <c r="AG31" s="222"/>
      <c r="AH31" s="223"/>
      <c r="AI31" s="214"/>
      <c r="AJ31" s="1"/>
      <c r="AK31" s="1"/>
      <c r="AL31" s="1"/>
      <c r="AM31" s="1"/>
      <c r="AN31" s="1"/>
      <c r="AO31" s="8" t="s">
        <v>567</v>
      </c>
      <c r="AP31" s="10">
        <v>0.05</v>
      </c>
      <c r="AQ31" s="1"/>
      <c r="AR31" s="1"/>
      <c r="AS31" s="1"/>
      <c r="AT31" s="1"/>
      <c r="AU31" s="1"/>
      <c r="AV31" s="1"/>
      <c r="AW31" s="1"/>
      <c r="AX31" s="1"/>
      <c r="AY31" s="1"/>
      <c r="AZ31" s="1"/>
      <c r="BA31" s="1"/>
      <c r="BB31" s="1"/>
      <c r="BC31" s="1"/>
      <c r="BD31" s="1"/>
      <c r="BE31" s="1"/>
      <c r="BF31" s="1"/>
      <c r="BG31" s="1"/>
      <c r="BH31" s="1"/>
      <c r="BI31" s="1"/>
      <c r="BJ31" s="1"/>
      <c r="BK31" s="1"/>
      <c r="BL31" s="1"/>
      <c r="BM31" s="1"/>
      <c r="BN31" s="1"/>
    </row>
    <row r="32" spans="1:66" ht="51" customHeight="1" x14ac:dyDescent="0.3">
      <c r="A32" s="214"/>
      <c r="B32" s="226"/>
      <c r="C32" s="227" t="s">
        <v>166</v>
      </c>
      <c r="D32" s="228" t="s">
        <v>167</v>
      </c>
      <c r="E32" s="228" t="s">
        <v>168</v>
      </c>
      <c r="F32" s="410" t="s">
        <v>169</v>
      </c>
      <c r="G32" s="228" t="s">
        <v>170</v>
      </c>
      <c r="H32" s="228" t="s">
        <v>171</v>
      </c>
      <c r="I32" s="229" t="s">
        <v>172</v>
      </c>
      <c r="J32" s="229" t="s">
        <v>173</v>
      </c>
      <c r="K32" s="230" t="s">
        <v>174</v>
      </c>
      <c r="L32" s="229" t="s">
        <v>175</v>
      </c>
      <c r="M32" s="411" t="s">
        <v>176</v>
      </c>
      <c r="N32" s="227"/>
      <c r="O32" s="227" t="s">
        <v>177</v>
      </c>
      <c r="P32" s="231" t="s">
        <v>178</v>
      </c>
      <c r="Q32" s="231" t="s">
        <v>179</v>
      </c>
      <c r="R32" s="231" t="s">
        <v>180</v>
      </c>
      <c r="S32" s="231" t="s">
        <v>181</v>
      </c>
      <c r="T32" s="231" t="s">
        <v>182</v>
      </c>
      <c r="U32" s="231" t="s">
        <v>183</v>
      </c>
      <c r="V32" s="231" t="s">
        <v>184</v>
      </c>
      <c r="W32" s="231" t="s">
        <v>185</v>
      </c>
      <c r="X32" s="231" t="s">
        <v>186</v>
      </c>
      <c r="Y32" s="231" t="s">
        <v>187</v>
      </c>
      <c r="Z32" s="231" t="s">
        <v>188</v>
      </c>
      <c r="AA32" s="231" t="s">
        <v>189</v>
      </c>
      <c r="AB32" s="214"/>
      <c r="AC32" s="231" t="s">
        <v>178</v>
      </c>
      <c r="AD32" s="231" t="s">
        <v>179</v>
      </c>
      <c r="AE32" s="231" t="s">
        <v>180</v>
      </c>
      <c r="AF32" s="231" t="s">
        <v>182</v>
      </c>
      <c r="AG32" s="231" t="s">
        <v>183</v>
      </c>
      <c r="AH32" s="231" t="s">
        <v>184</v>
      </c>
      <c r="AI32" s="214"/>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row>
    <row r="33" spans="1:66" ht="15.6" customHeight="1" x14ac:dyDescent="0.3">
      <c r="A33" s="214"/>
      <c r="B33" s="232">
        <v>2019</v>
      </c>
      <c r="C33" s="233">
        <f>C22</f>
        <v>56574474559.379906</v>
      </c>
      <c r="D33" s="146">
        <f t="array" ref="D33:D37">TRANSPOSE('[11]Sheet 1'!$I$14:$M$14)</f>
        <v>479444.9</v>
      </c>
      <c r="E33" s="405">
        <f>F33/D33*100/10^6</f>
        <v>11.233324204720919</v>
      </c>
      <c r="F33" s="406">
        <f>'[12]Sheet 1'!$M$47*10^6</f>
        <v>53857600000</v>
      </c>
      <c r="G33" s="234">
        <f>F33/C33</f>
        <v>0.95197702531857709</v>
      </c>
      <c r="H33" s="235">
        <f>C33*G33</f>
        <v>53857600000</v>
      </c>
      <c r="I33" s="235" t="s">
        <v>113</v>
      </c>
      <c r="J33" s="235" t="s">
        <v>113</v>
      </c>
      <c r="K33" s="235" t="s">
        <v>113</v>
      </c>
      <c r="L33" s="235" t="s">
        <v>113</v>
      </c>
      <c r="M33" s="214"/>
      <c r="N33" s="232">
        <v>2019</v>
      </c>
      <c r="O33" s="236">
        <f>G33</f>
        <v>0.95197702531857709</v>
      </c>
      <c r="P33" s="237"/>
      <c r="Q33" s="237"/>
      <c r="R33" s="237"/>
      <c r="S33" s="237"/>
      <c r="T33" s="237"/>
      <c r="U33" s="237"/>
      <c r="V33" s="238"/>
      <c r="W33" s="238"/>
      <c r="X33" s="238"/>
      <c r="Y33" s="238"/>
      <c r="Z33" s="238"/>
      <c r="AA33" s="238"/>
      <c r="AB33" s="214"/>
      <c r="AC33" s="237"/>
      <c r="AD33" s="237"/>
      <c r="AE33" s="237"/>
      <c r="AF33" s="237"/>
      <c r="AG33" s="237"/>
      <c r="AH33" s="238"/>
      <c r="AI33" s="214"/>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row>
    <row r="34" spans="1:66" s="51" customFormat="1" ht="15.6" customHeight="1" x14ac:dyDescent="0.3">
      <c r="A34" s="239"/>
      <c r="B34" s="240">
        <v>2020</v>
      </c>
      <c r="C34" s="241">
        <f>D22</f>
        <v>59708177410.230042</v>
      </c>
      <c r="D34" s="146">
        <v>463750.9</v>
      </c>
      <c r="E34" s="405">
        <f t="shared" ref="E34:E37" si="9">F34/D34*100/10^6</f>
        <v>11.644764462990798</v>
      </c>
      <c r="F34" s="406">
        <f>'[12]Sheet 1'!$O$47*10^6</f>
        <v>54002700000</v>
      </c>
      <c r="G34" s="234">
        <f>F34/C34</f>
        <v>0.9044439529441658</v>
      </c>
      <c r="H34" s="242">
        <f>C34*G34</f>
        <v>54002700000</v>
      </c>
      <c r="I34" s="243"/>
      <c r="J34" s="243"/>
      <c r="K34" s="243"/>
      <c r="L34" s="243"/>
      <c r="M34" s="214"/>
      <c r="N34" s="240">
        <v>2020</v>
      </c>
      <c r="O34" s="244"/>
      <c r="P34" s="245"/>
      <c r="Q34" s="245"/>
      <c r="R34" s="245"/>
      <c r="S34" s="245"/>
      <c r="T34" s="245"/>
      <c r="U34" s="245"/>
      <c r="V34" s="245"/>
      <c r="W34" s="245"/>
      <c r="X34" s="245"/>
      <c r="Y34" s="245"/>
      <c r="Z34" s="245"/>
      <c r="AA34" s="245"/>
      <c r="AB34" s="239"/>
      <c r="AC34" s="245"/>
      <c r="AD34" s="245"/>
      <c r="AE34" s="245"/>
      <c r="AF34" s="245"/>
      <c r="AG34" s="245"/>
      <c r="AH34" s="245"/>
      <c r="AI34" s="239"/>
      <c r="AJ34" s="1"/>
      <c r="AK34" s="47"/>
      <c r="AL34" s="47"/>
      <c r="AM34" s="47"/>
      <c r="AN34" s="47"/>
      <c r="AO34" s="47"/>
      <c r="AP34" s="47"/>
      <c r="AQ34" s="47"/>
      <c r="AR34" s="47"/>
      <c r="AS34" s="47"/>
      <c r="AT34" s="47"/>
      <c r="AU34" s="47"/>
      <c r="AV34" s="47"/>
      <c r="AW34" s="47"/>
      <c r="AX34" s="47"/>
      <c r="AY34" s="47"/>
      <c r="AZ34" s="47"/>
      <c r="BA34" s="47"/>
      <c r="BB34" s="47"/>
      <c r="BC34" s="47"/>
      <c r="BD34" s="47"/>
      <c r="BE34" s="47"/>
      <c r="BF34" s="47"/>
      <c r="BG34" s="47"/>
      <c r="BH34" s="47"/>
      <c r="BI34" s="47"/>
      <c r="BJ34" s="47"/>
      <c r="BK34" s="47"/>
      <c r="BL34" s="47"/>
      <c r="BM34" s="47"/>
      <c r="BN34" s="47"/>
    </row>
    <row r="35" spans="1:66" ht="15.6" customHeight="1" x14ac:dyDescent="0.3">
      <c r="A35" s="214"/>
      <c r="B35" s="232">
        <v>2021</v>
      </c>
      <c r="C35" s="241">
        <f>E22</f>
        <v>61364771129.596924</v>
      </c>
      <c r="D35" s="146">
        <v>506023.2</v>
      </c>
      <c r="E35" s="405">
        <f t="shared" si="9"/>
        <v>11.226046552806276</v>
      </c>
      <c r="F35" s="406">
        <f>'[12]Sheet 1'!$Q$47*10^6</f>
        <v>56806400000</v>
      </c>
      <c r="G35" s="234">
        <f>F35/C35</f>
        <v>0.92571680712423665</v>
      </c>
      <c r="H35" s="242">
        <f>C35*G35</f>
        <v>56806400000</v>
      </c>
      <c r="I35" s="243"/>
      <c r="J35" s="243"/>
      <c r="K35" s="243"/>
      <c r="L35" s="243"/>
      <c r="M35" s="214"/>
      <c r="N35" s="232">
        <v>2021</v>
      </c>
      <c r="O35" s="244"/>
      <c r="P35" s="246"/>
      <c r="Q35" s="246"/>
      <c r="R35" s="246"/>
      <c r="S35" s="246"/>
      <c r="T35" s="246"/>
      <c r="U35" s="246"/>
      <c r="V35" s="247"/>
      <c r="W35" s="247"/>
      <c r="X35" s="247"/>
      <c r="Y35" s="247"/>
      <c r="Z35" s="247"/>
      <c r="AA35" s="247"/>
      <c r="AB35" s="214"/>
      <c r="AC35" s="246"/>
      <c r="AD35" s="246"/>
      <c r="AE35" s="246"/>
      <c r="AF35" s="246"/>
      <c r="AG35" s="246"/>
      <c r="AH35" s="247"/>
      <c r="AI35" s="214"/>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row>
    <row r="36" spans="1:66" ht="15.6" customHeight="1" x14ac:dyDescent="0.3">
      <c r="A36" s="214"/>
      <c r="B36" s="240">
        <v>2022</v>
      </c>
      <c r="C36" s="248">
        <f>F22</f>
        <v>67305027121.266037</v>
      </c>
      <c r="D36" s="146">
        <v>563543.6</v>
      </c>
      <c r="E36" s="405">
        <f t="shared" si="9"/>
        <v>11.68899797637663</v>
      </c>
      <c r="F36" s="406">
        <f>'[12]Sheet 1'!$S$47*10^6</f>
        <v>65872600000.000008</v>
      </c>
      <c r="G36" s="234">
        <f>F36/C36</f>
        <v>0.97871738289793464</v>
      </c>
      <c r="H36" s="242">
        <f>C36*G36</f>
        <v>65872600000.000008</v>
      </c>
      <c r="I36" s="249"/>
      <c r="J36" s="249"/>
      <c r="K36" s="249"/>
      <c r="L36" s="249"/>
      <c r="M36" s="214"/>
      <c r="N36" s="240">
        <v>2022</v>
      </c>
      <c r="O36" s="250"/>
      <c r="P36" s="225"/>
      <c r="Q36" s="225"/>
      <c r="R36" s="225"/>
      <c r="S36" s="225"/>
      <c r="T36" s="225"/>
      <c r="U36" s="225"/>
      <c r="V36" s="225"/>
      <c r="W36" s="225"/>
      <c r="X36" s="225"/>
      <c r="Y36" s="225"/>
      <c r="Z36" s="225"/>
      <c r="AA36" s="225"/>
      <c r="AB36" s="214"/>
      <c r="AC36" s="225"/>
      <c r="AD36" s="225"/>
      <c r="AE36" s="225"/>
      <c r="AF36" s="225"/>
      <c r="AG36" s="225"/>
      <c r="AH36" s="225"/>
      <c r="AI36" s="214"/>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row>
    <row r="37" spans="1:66" ht="15.6" customHeight="1" x14ac:dyDescent="0.3">
      <c r="A37" s="214"/>
      <c r="B37" s="232">
        <v>2023</v>
      </c>
      <c r="C37" s="251">
        <f>G22</f>
        <v>73283586538.071289</v>
      </c>
      <c r="D37" s="146">
        <v>596320.6</v>
      </c>
      <c r="E37" s="407">
        <f t="shared" si="9"/>
        <v>11.625474618854355</v>
      </c>
      <c r="F37" s="406">
        <f>'[12]Sheet 1'!$U$47*10^6</f>
        <v>69325100000</v>
      </c>
      <c r="G37" s="234">
        <f>F37/C37</f>
        <v>0.94598399552927404</v>
      </c>
      <c r="H37" s="242">
        <f>C37*G37</f>
        <v>69325100000</v>
      </c>
      <c r="I37" s="235">
        <f>H22*$G37</f>
        <v>77010723758.060715</v>
      </c>
      <c r="J37" s="235">
        <f>I22*$G37</f>
        <v>65284192812.850029</v>
      </c>
      <c r="K37" s="235">
        <f>J22*$G37</f>
        <v>68223740878.8209</v>
      </c>
      <c r="L37" s="235">
        <f>K22*$G37</f>
        <v>67612885163.441307</v>
      </c>
      <c r="M37" s="412">
        <f>AK22*$G37</f>
        <v>77654073465.691086</v>
      </c>
      <c r="N37" s="240">
        <v>2023</v>
      </c>
      <c r="O37" s="252">
        <f>G37</f>
        <v>0.94598399552927404</v>
      </c>
      <c r="P37" s="253">
        <f>($H37-J37)/1000000</f>
        <v>4040.9071871499709</v>
      </c>
      <c r="Q37" s="253">
        <f>($H37-K37)/1000000</f>
        <v>1101.3591211790999</v>
      </c>
      <c r="R37" s="253">
        <f>($H37-L37)/1000000</f>
        <v>1712.2148365586929</v>
      </c>
      <c r="S37" s="253">
        <f>AVERAGE(P37:R37)</f>
        <v>2284.827048295921</v>
      </c>
      <c r="T37" s="253">
        <f t="shared" ref="T37:V37" si="10">($I37-J37)/1000000</f>
        <v>11726.530945210685</v>
      </c>
      <c r="U37" s="253">
        <f t="shared" si="10"/>
        <v>8786.9828792398148</v>
      </c>
      <c r="V37" s="253">
        <f t="shared" si="10"/>
        <v>9397.8385946194085</v>
      </c>
      <c r="W37" s="253">
        <f>AVERAGE(T37:V37)</f>
        <v>9970.4508063566373</v>
      </c>
      <c r="X37" s="254">
        <f>(T37-P37)/T37</f>
        <v>0.65540472233176972</v>
      </c>
      <c r="Y37" s="254">
        <f>(U37-Q37)/U37</f>
        <v>0.87466014941474635</v>
      </c>
      <c r="Z37" s="254">
        <f>(V37-R37)/V37</f>
        <v>0.81780759274382564</v>
      </c>
      <c r="AA37" s="254">
        <f>AVERAGE(X37:Z37)</f>
        <v>0.78262415483011394</v>
      </c>
      <c r="AB37" s="214"/>
      <c r="AC37" s="351">
        <f>P37/$D37</f>
        <v>6.7764004583272339E-3</v>
      </c>
      <c r="AD37" s="351">
        <f>Q37/$D37</f>
        <v>1.8469244919244782E-3</v>
      </c>
      <c r="AE37" s="351">
        <f>R37/$D37</f>
        <v>2.871299157799836E-3</v>
      </c>
      <c r="AF37" s="351">
        <f>T37/$D37</f>
        <v>1.9664809408245641E-2</v>
      </c>
      <c r="AG37" s="351">
        <f>U37/$D37</f>
        <v>1.4735333441842887E-2</v>
      </c>
      <c r="AH37" s="351">
        <f>V37/$D37</f>
        <v>1.5759708107718245E-2</v>
      </c>
      <c r="AI37" s="214"/>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row>
    <row r="38" spans="1:66" ht="15.6" customHeight="1" x14ac:dyDescent="0.3">
      <c r="A38" s="214"/>
      <c r="B38" s="240">
        <v>2024</v>
      </c>
      <c r="C38" s="255"/>
      <c r="D38" s="255"/>
      <c r="E38" s="255"/>
      <c r="F38" s="255"/>
      <c r="G38" s="257"/>
      <c r="H38" s="256"/>
      <c r="I38" s="249"/>
      <c r="J38" s="249"/>
      <c r="K38" s="249"/>
      <c r="L38" s="249"/>
      <c r="M38" s="214"/>
      <c r="N38" s="240">
        <v>2024</v>
      </c>
      <c r="O38" s="250"/>
      <c r="P38" s="225"/>
      <c r="Q38" s="225"/>
      <c r="R38" s="225"/>
      <c r="S38" s="225"/>
      <c r="T38" s="258"/>
      <c r="U38" s="258"/>
      <c r="V38" s="258"/>
      <c r="W38" s="258"/>
      <c r="X38" s="225"/>
      <c r="Y38" s="225"/>
      <c r="Z38" s="225"/>
      <c r="AA38" s="225"/>
      <c r="AB38" s="214"/>
      <c r="AC38" s="353"/>
      <c r="AD38" s="353"/>
      <c r="AE38" s="353"/>
      <c r="AF38" s="354"/>
      <c r="AG38" s="354"/>
      <c r="AH38" s="354"/>
      <c r="AI38" s="214"/>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row>
    <row r="39" spans="1:66" ht="15.6" customHeight="1" x14ac:dyDescent="0.3">
      <c r="A39" s="214"/>
      <c r="B39" s="232">
        <v>2025</v>
      </c>
      <c r="C39" s="255"/>
      <c r="D39" s="255"/>
      <c r="E39" s="255"/>
      <c r="F39" s="255"/>
      <c r="G39" s="257"/>
      <c r="H39" s="256"/>
      <c r="I39" s="249"/>
      <c r="J39" s="249"/>
      <c r="K39" s="249"/>
      <c r="L39" s="249"/>
      <c r="M39" s="214"/>
      <c r="N39" s="232">
        <v>2025</v>
      </c>
      <c r="O39" s="250"/>
      <c r="P39" s="225"/>
      <c r="Q39" s="225"/>
      <c r="R39" s="225"/>
      <c r="S39" s="225"/>
      <c r="T39" s="258"/>
      <c r="U39" s="258"/>
      <c r="V39" s="258"/>
      <c r="W39" s="258"/>
      <c r="X39" s="225"/>
      <c r="Y39" s="225"/>
      <c r="Z39" s="225"/>
      <c r="AA39" s="225"/>
      <c r="AB39" s="214"/>
      <c r="AC39" s="353"/>
      <c r="AD39" s="353"/>
      <c r="AE39" s="353"/>
      <c r="AF39" s="354"/>
      <c r="AG39" s="354"/>
      <c r="AH39" s="354"/>
      <c r="AI39" s="214"/>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row>
    <row r="40" spans="1:66" ht="15.6" customHeight="1" x14ac:dyDescent="0.3">
      <c r="A40" s="214"/>
      <c r="B40" s="240">
        <v>2026</v>
      </c>
      <c r="C40" s="251"/>
      <c r="D40" s="251"/>
      <c r="E40" s="251"/>
      <c r="F40" s="251"/>
      <c r="G40" s="259"/>
      <c r="H40" s="256"/>
      <c r="I40" s="235"/>
      <c r="J40" s="235"/>
      <c r="K40" s="235"/>
      <c r="L40" s="235"/>
      <c r="M40" s="214"/>
      <c r="N40" s="240">
        <v>2026</v>
      </c>
      <c r="O40" s="252"/>
      <c r="P40" s="225"/>
      <c r="Q40" s="225"/>
      <c r="R40" s="225"/>
      <c r="S40" s="225"/>
      <c r="T40" s="253"/>
      <c r="U40" s="253"/>
      <c r="V40" s="253"/>
      <c r="W40" s="253"/>
      <c r="X40" s="225"/>
      <c r="Y40" s="225"/>
      <c r="Z40" s="225"/>
      <c r="AA40" s="225"/>
      <c r="AB40" s="214"/>
      <c r="AC40" s="353"/>
      <c r="AD40" s="353"/>
      <c r="AE40" s="353"/>
      <c r="AF40" s="351"/>
      <c r="AG40" s="351"/>
      <c r="AH40" s="351"/>
      <c r="AI40" s="214"/>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row>
    <row r="41" spans="1:66" ht="12.6" customHeight="1" x14ac:dyDescent="0.3">
      <c r="A41" s="214"/>
      <c r="B41" s="214"/>
      <c r="C41" s="214"/>
      <c r="D41" s="214"/>
      <c r="E41" s="214"/>
      <c r="F41" s="214"/>
      <c r="G41" s="214"/>
      <c r="H41" s="214"/>
      <c r="I41" s="260"/>
      <c r="J41" s="214"/>
      <c r="K41" s="214"/>
      <c r="L41" s="214"/>
      <c r="M41" s="214"/>
      <c r="N41" s="214"/>
      <c r="O41" s="214"/>
      <c r="P41" s="214"/>
      <c r="Q41" s="214"/>
      <c r="R41" s="214"/>
      <c r="S41" s="214"/>
      <c r="T41" s="260"/>
      <c r="U41" s="214"/>
      <c r="V41" s="214"/>
      <c r="W41" s="214"/>
      <c r="X41" s="413" t="s">
        <v>190</v>
      </c>
      <c r="Y41" s="414"/>
      <c r="Z41" s="414"/>
      <c r="AA41" s="415"/>
      <c r="AB41" s="214"/>
      <c r="AC41" s="214"/>
      <c r="AD41" s="214"/>
      <c r="AE41" s="214"/>
      <c r="AF41" s="260"/>
      <c r="AG41" s="214"/>
      <c r="AH41" s="214"/>
      <c r="AI41" s="214"/>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row>
    <row r="42" spans="1:66" ht="12.6" customHeight="1" x14ac:dyDescent="0.3">
      <c r="A42" s="214"/>
      <c r="B42" s="214"/>
      <c r="C42" s="214"/>
      <c r="D42" s="214"/>
      <c r="E42" s="214"/>
      <c r="F42" s="214"/>
      <c r="G42" s="214"/>
      <c r="H42" s="214"/>
      <c r="I42" s="214"/>
      <c r="J42" s="214"/>
      <c r="K42" s="214"/>
      <c r="L42" s="214"/>
      <c r="M42" s="214"/>
      <c r="N42" s="214"/>
      <c r="O42" s="214"/>
      <c r="P42" s="214"/>
      <c r="Q42" s="214"/>
      <c r="R42" s="214"/>
      <c r="S42" s="214"/>
      <c r="T42" s="214"/>
      <c r="U42" s="214"/>
      <c r="V42" s="214"/>
      <c r="W42" s="416">
        <v>2023</v>
      </c>
      <c r="X42" s="417">
        <f>(($M37-$H37)/1000000)/T37</f>
        <v>0.71026746994538748</v>
      </c>
      <c r="Y42" s="417">
        <f t="shared" ref="Y42:Z42" si="11">(($M37-$H37)/1000000)/U37</f>
        <v>0.9478763735125938</v>
      </c>
      <c r="Z42" s="417">
        <f t="shared" si="11"/>
        <v>0.88626479182774165</v>
      </c>
      <c r="AA42" s="417">
        <f>AVERAGE(X42:Z42)</f>
        <v>0.84813621176190768</v>
      </c>
      <c r="AB42" s="214"/>
      <c r="AC42" s="214"/>
      <c r="AD42" s="214"/>
      <c r="AE42" s="214"/>
      <c r="AF42" s="214"/>
      <c r="AG42" s="214"/>
      <c r="AH42" s="214"/>
      <c r="AI42" s="214"/>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row>
    <row r="43" spans="1:66" ht="12.6" customHeight="1" thickBot="1" x14ac:dyDescent="0.35">
      <c r="A43" s="214"/>
      <c r="B43" s="214"/>
      <c r="C43" s="214"/>
      <c r="D43" s="214"/>
      <c r="E43" s="214"/>
      <c r="F43" s="214"/>
      <c r="G43" s="214"/>
      <c r="H43" s="214"/>
      <c r="I43" s="214"/>
      <c r="J43" s="214"/>
      <c r="K43" s="214"/>
      <c r="L43" s="214"/>
      <c r="M43" s="214"/>
      <c r="N43" s="214"/>
      <c r="O43" s="214"/>
      <c r="P43" s="214"/>
      <c r="Q43" s="214"/>
      <c r="R43" s="214"/>
      <c r="S43" s="214"/>
      <c r="T43" s="214"/>
      <c r="U43" s="214"/>
      <c r="V43" s="214"/>
      <c r="W43" s="214"/>
      <c r="X43" s="214"/>
      <c r="Y43" s="214"/>
      <c r="Z43" s="214"/>
      <c r="AA43" s="214"/>
      <c r="AB43" s="214"/>
      <c r="AC43" s="214"/>
      <c r="AD43" s="214"/>
      <c r="AE43" s="214"/>
      <c r="AF43" s="214"/>
      <c r="AG43" s="214"/>
      <c r="AH43" s="214"/>
      <c r="AI43" s="214"/>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row>
    <row r="44" spans="1:66" ht="18" customHeight="1" thickBot="1" x14ac:dyDescent="0.35">
      <c r="A44" s="214"/>
      <c r="B44" s="216" t="s">
        <v>191</v>
      </c>
      <c r="C44" s="221"/>
      <c r="D44" s="222" t="s">
        <v>160</v>
      </c>
      <c r="E44" s="223"/>
      <c r="F44" s="224" t="s">
        <v>161</v>
      </c>
      <c r="G44" s="222"/>
      <c r="H44" s="222"/>
      <c r="I44" s="222"/>
      <c r="J44" s="223"/>
      <c r="K44" s="214"/>
      <c r="L44" s="214"/>
      <c r="M44" s="214"/>
      <c r="N44" s="214"/>
      <c r="O44" s="214"/>
      <c r="P44" s="214"/>
      <c r="Q44" s="214"/>
      <c r="R44" s="214"/>
      <c r="S44" s="214"/>
      <c r="T44" s="214"/>
      <c r="U44" s="216" t="s">
        <v>192</v>
      </c>
      <c r="V44" s="221"/>
      <c r="W44" s="222" t="s">
        <v>160</v>
      </c>
      <c r="X44" s="223"/>
      <c r="Y44" s="224" t="s">
        <v>161</v>
      </c>
      <c r="Z44" s="222"/>
      <c r="AA44" s="222"/>
      <c r="AB44" s="222"/>
      <c r="AC44" s="223"/>
      <c r="AD44" s="214"/>
      <c r="AE44" s="214"/>
      <c r="AF44" s="214"/>
      <c r="AG44" s="214"/>
      <c r="AH44" s="214"/>
      <c r="AI44" s="214"/>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row>
    <row r="45" spans="1:66" ht="42" customHeight="1" x14ac:dyDescent="0.3">
      <c r="A45" s="214"/>
      <c r="B45" s="227"/>
      <c r="C45" s="231" t="s">
        <v>193</v>
      </c>
      <c r="D45" s="228" t="s">
        <v>194</v>
      </c>
      <c r="E45" s="228" t="s">
        <v>170</v>
      </c>
      <c r="F45" s="229" t="s">
        <v>195</v>
      </c>
      <c r="G45" s="229" t="s">
        <v>196</v>
      </c>
      <c r="H45" s="261" t="s">
        <v>197</v>
      </c>
      <c r="I45" s="261" t="s">
        <v>198</v>
      </c>
      <c r="J45" s="261" t="s">
        <v>199</v>
      </c>
      <c r="K45" s="411" t="s">
        <v>176</v>
      </c>
      <c r="L45" s="214"/>
      <c r="M45" s="214"/>
      <c r="N45" s="214"/>
      <c r="O45" s="214"/>
      <c r="P45" s="214"/>
      <c r="Q45" s="214"/>
      <c r="R45" s="214"/>
      <c r="S45" s="214"/>
      <c r="T45" s="214"/>
      <c r="U45" s="227"/>
      <c r="V45" s="231" t="s">
        <v>193</v>
      </c>
      <c r="W45" s="228" t="s">
        <v>194</v>
      </c>
      <c r="X45" s="228" t="s">
        <v>170</v>
      </c>
      <c r="Y45" s="229" t="s">
        <v>195</v>
      </c>
      <c r="Z45" s="229" t="s">
        <v>196</v>
      </c>
      <c r="AA45" s="261" t="s">
        <v>197</v>
      </c>
      <c r="AB45" s="261" t="s">
        <v>198</v>
      </c>
      <c r="AC45" s="261" t="s">
        <v>199</v>
      </c>
      <c r="AD45" s="214"/>
      <c r="AE45" s="214"/>
      <c r="AF45" s="214"/>
      <c r="AG45" s="214"/>
      <c r="AH45" s="214"/>
      <c r="AI45" s="214"/>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row>
    <row r="46" spans="1:66" ht="15" customHeight="1" x14ac:dyDescent="0.3">
      <c r="A46" s="214"/>
      <c r="B46" s="232">
        <v>2019</v>
      </c>
      <c r="C46" s="262">
        <f>C33/1000000</f>
        <v>56574.474559379909</v>
      </c>
      <c r="D46" s="263">
        <f>F33/1000000</f>
        <v>53857.599999999999</v>
      </c>
      <c r="E46" s="264"/>
      <c r="F46" s="262">
        <f>H33/1000000</f>
        <v>53857.599999999999</v>
      </c>
      <c r="G46" s="264"/>
      <c r="H46" s="264"/>
      <c r="I46" s="264"/>
      <c r="J46" s="264"/>
      <c r="K46" s="214"/>
      <c r="L46" s="214"/>
      <c r="M46" s="214"/>
      <c r="N46" s="214"/>
      <c r="O46" s="214"/>
      <c r="P46" s="214"/>
      <c r="Q46" s="214"/>
      <c r="R46" s="214"/>
      <c r="S46" s="214"/>
      <c r="T46" s="214"/>
      <c r="U46" s="232">
        <v>2019</v>
      </c>
      <c r="V46" s="355">
        <f>C33/1000000/D33</f>
        <v>0.11799995069168513</v>
      </c>
      <c r="W46" s="355">
        <f>F33/(D33*1000000)</f>
        <v>0.11233324204720918</v>
      </c>
      <c r="X46" s="264"/>
      <c r="Y46" s="355">
        <f>H33/($D33*1000000)</f>
        <v>0.11233324204720918</v>
      </c>
      <c r="Z46" s="355"/>
      <c r="AA46" s="355"/>
      <c r="AB46" s="355"/>
      <c r="AC46" s="355"/>
      <c r="AD46" s="214"/>
      <c r="AE46" s="214"/>
      <c r="AF46" s="214"/>
      <c r="AG46" s="214"/>
      <c r="AH46" s="214"/>
      <c r="AI46" s="214"/>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row>
    <row r="47" spans="1:66" ht="15" customHeight="1" x14ac:dyDescent="0.3">
      <c r="A47" s="214"/>
      <c r="B47" s="240">
        <v>2020</v>
      </c>
      <c r="C47" s="262">
        <f t="shared" ref="C47:C49" si="12">C34/1000000</f>
        <v>59708.177410230041</v>
      </c>
      <c r="D47" s="263">
        <f>F34/1000000</f>
        <v>54002.7</v>
      </c>
      <c r="E47" s="264"/>
      <c r="F47" s="264"/>
      <c r="G47" s="264"/>
      <c r="H47" s="264"/>
      <c r="I47" s="264"/>
      <c r="J47" s="264"/>
      <c r="K47" s="214"/>
      <c r="L47" s="214"/>
      <c r="M47" s="214"/>
      <c r="N47" s="214"/>
      <c r="O47" s="214"/>
      <c r="P47" s="214"/>
      <c r="Q47" s="214"/>
      <c r="R47" s="214"/>
      <c r="S47" s="214"/>
      <c r="T47" s="214"/>
      <c r="U47" s="240">
        <v>2020</v>
      </c>
      <c r="V47" s="355">
        <f t="shared" ref="V47:V50" si="13">C34/1000000/D34</f>
        <v>0.12875053700214931</v>
      </c>
      <c r="W47" s="355">
        <f t="shared" ref="W47:W50" si="14">F34/(D34*1000000)</f>
        <v>0.11644764462990799</v>
      </c>
      <c r="X47" s="264"/>
      <c r="Y47" s="355"/>
      <c r="Z47" s="355"/>
      <c r="AA47" s="355"/>
      <c r="AB47" s="355"/>
      <c r="AC47" s="355"/>
      <c r="AD47" s="214"/>
      <c r="AE47" s="214"/>
      <c r="AF47" s="214"/>
      <c r="AG47" s="214"/>
      <c r="AH47" s="214"/>
      <c r="AI47" s="214"/>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row>
    <row r="48" spans="1:66" ht="15" customHeight="1" x14ac:dyDescent="0.3">
      <c r="A48" s="214"/>
      <c r="B48" s="232">
        <v>2021</v>
      </c>
      <c r="C48" s="262">
        <f t="shared" si="12"/>
        <v>61364.77112959692</v>
      </c>
      <c r="D48" s="263">
        <f>F35/1000000</f>
        <v>56806.400000000001</v>
      </c>
      <c r="E48" s="264"/>
      <c r="F48" s="264"/>
      <c r="G48" s="264"/>
      <c r="H48" s="264"/>
      <c r="I48" s="264"/>
      <c r="J48" s="264"/>
      <c r="K48" s="214"/>
      <c r="L48" s="214"/>
      <c r="M48" s="214"/>
      <c r="N48" s="214"/>
      <c r="O48" s="214"/>
      <c r="P48" s="214"/>
      <c r="Q48" s="214"/>
      <c r="R48" s="214"/>
      <c r="S48" s="214"/>
      <c r="T48" s="214"/>
      <c r="U48" s="232">
        <v>2021</v>
      </c>
      <c r="V48" s="355">
        <f t="shared" si="13"/>
        <v>0.12126869109874196</v>
      </c>
      <c r="W48" s="355">
        <f t="shared" si="14"/>
        <v>0.11226046552806275</v>
      </c>
      <c r="X48" s="264"/>
      <c r="Y48" s="355"/>
      <c r="Z48" s="355"/>
      <c r="AA48" s="355"/>
      <c r="AB48" s="355"/>
      <c r="AC48" s="355"/>
      <c r="AD48" s="214"/>
      <c r="AE48" s="214"/>
      <c r="AF48" s="214"/>
      <c r="AG48" s="214"/>
      <c r="AH48" s="214"/>
      <c r="AI48" s="214"/>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row>
    <row r="49" spans="1:66" ht="15" customHeight="1" x14ac:dyDescent="0.3">
      <c r="A49" s="214"/>
      <c r="B49" s="240">
        <v>2022</v>
      </c>
      <c r="C49" s="262">
        <f t="shared" si="12"/>
        <v>67305.02712126603</v>
      </c>
      <c r="D49" s="263">
        <f>F36/1000000</f>
        <v>65872.600000000006</v>
      </c>
      <c r="E49" s="264"/>
      <c r="F49" s="264"/>
      <c r="G49" s="264"/>
      <c r="H49" s="264"/>
      <c r="I49" s="264"/>
      <c r="J49" s="434"/>
      <c r="K49" s="214"/>
      <c r="L49" s="214"/>
      <c r="M49" s="214"/>
      <c r="N49" s="214"/>
      <c r="O49" s="214"/>
      <c r="P49" s="214"/>
      <c r="Q49" s="214"/>
      <c r="R49" s="214"/>
      <c r="S49" s="214"/>
      <c r="T49" s="214"/>
      <c r="U49" s="240">
        <v>2022</v>
      </c>
      <c r="V49" s="355">
        <f t="shared" si="13"/>
        <v>0.11943180105543924</v>
      </c>
      <c r="W49" s="355">
        <f t="shared" si="14"/>
        <v>0.11688997976376629</v>
      </c>
      <c r="X49" s="264"/>
      <c r="Y49" s="355"/>
      <c r="Z49" s="355"/>
      <c r="AA49" s="355"/>
      <c r="AB49" s="355"/>
      <c r="AC49" s="355"/>
      <c r="AD49" s="214"/>
      <c r="AE49" s="214"/>
      <c r="AF49" s="214"/>
      <c r="AG49" s="214"/>
      <c r="AH49" s="214"/>
      <c r="AI49" s="214"/>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row>
    <row r="50" spans="1:66" ht="15" customHeight="1" x14ac:dyDescent="0.3">
      <c r="A50" s="214"/>
      <c r="B50" s="232">
        <v>2023</v>
      </c>
      <c r="C50" s="262">
        <f>C37/1000000</f>
        <v>73283.586538071293</v>
      </c>
      <c r="D50" s="263">
        <f>F37/1000000</f>
        <v>69325.100000000006</v>
      </c>
      <c r="E50" s="264"/>
      <c r="F50" s="262">
        <f t="shared" ref="F50:K50" si="15">H37/1000000</f>
        <v>69325.100000000006</v>
      </c>
      <c r="G50" s="262">
        <f t="shared" si="15"/>
        <v>77010.723758060718</v>
      </c>
      <c r="H50" s="262">
        <f t="shared" si="15"/>
        <v>65284.192812850029</v>
      </c>
      <c r="I50" s="262">
        <f t="shared" si="15"/>
        <v>68223.7408788209</v>
      </c>
      <c r="J50" s="262">
        <f t="shared" si="15"/>
        <v>67612.8851634413</v>
      </c>
      <c r="K50" s="418">
        <f t="shared" si="15"/>
        <v>77654.073465691079</v>
      </c>
      <c r="L50" s="418">
        <f>AJ37/1000000</f>
        <v>0</v>
      </c>
      <c r="M50" s="214"/>
      <c r="N50" s="214"/>
      <c r="O50" s="214"/>
      <c r="P50" s="214"/>
      <c r="Q50" s="214"/>
      <c r="R50" s="214"/>
      <c r="S50" s="214"/>
      <c r="T50" s="214"/>
      <c r="U50" s="232">
        <v>2023</v>
      </c>
      <c r="V50" s="355">
        <f t="shared" si="13"/>
        <v>0.12289293131592519</v>
      </c>
      <c r="W50" s="355">
        <f t="shared" si="14"/>
        <v>0.11625474618854355</v>
      </c>
      <c r="X50" s="264"/>
      <c r="Y50" s="355">
        <f>H37/($D37*1000000)</f>
        <v>0.11625474618854355</v>
      </c>
      <c r="Z50" s="355">
        <f t="shared" ref="Z50:AC50" si="16">I37/($D37*1000000)</f>
        <v>0.12914315513846195</v>
      </c>
      <c r="AA50" s="355">
        <f t="shared" si="16"/>
        <v>0.10947834573021631</v>
      </c>
      <c r="AB50" s="355">
        <f t="shared" si="16"/>
        <v>0.11440782169661906</v>
      </c>
      <c r="AC50" s="355">
        <f t="shared" si="16"/>
        <v>0.11338344703074371</v>
      </c>
      <c r="AD50" s="214"/>
      <c r="AE50" s="214"/>
      <c r="AF50" s="214"/>
      <c r="AG50" s="214"/>
      <c r="AH50" s="214"/>
      <c r="AI50" s="214"/>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row>
    <row r="51" spans="1:66" ht="15" customHeight="1" x14ac:dyDescent="0.3">
      <c r="A51" s="214"/>
      <c r="B51" s="240">
        <v>2024</v>
      </c>
      <c r="C51" s="264"/>
      <c r="D51" s="264"/>
      <c r="E51" s="264"/>
      <c r="F51" s="264"/>
      <c r="G51" s="264"/>
      <c r="H51" s="264"/>
      <c r="I51" s="264"/>
      <c r="J51" s="264"/>
      <c r="K51" s="214"/>
      <c r="L51" s="214"/>
      <c r="M51" s="214"/>
      <c r="N51" s="214"/>
      <c r="O51" s="214"/>
      <c r="P51" s="214"/>
      <c r="Q51" s="214"/>
      <c r="R51" s="214"/>
      <c r="S51" s="214"/>
      <c r="T51" s="214"/>
      <c r="U51" s="240">
        <v>2024</v>
      </c>
      <c r="V51" s="264"/>
      <c r="W51" s="264"/>
      <c r="X51" s="264"/>
      <c r="Y51" s="355"/>
      <c r="Z51" s="355"/>
      <c r="AA51" s="355"/>
      <c r="AB51" s="355"/>
      <c r="AC51" s="355"/>
      <c r="AD51" s="214"/>
      <c r="AE51" s="214"/>
      <c r="AF51" s="214"/>
      <c r="AG51" s="214"/>
      <c r="AH51" s="214"/>
      <c r="AI51" s="214"/>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row>
    <row r="52" spans="1:66" ht="15" customHeight="1" x14ac:dyDescent="0.3">
      <c r="A52" s="214"/>
      <c r="B52" s="232">
        <v>2025</v>
      </c>
      <c r="C52" s="264"/>
      <c r="D52" s="264"/>
      <c r="E52" s="264"/>
      <c r="F52" s="264"/>
      <c r="G52" s="264"/>
      <c r="H52" s="264"/>
      <c r="I52" s="264"/>
      <c r="J52" s="264"/>
      <c r="K52" s="214"/>
      <c r="L52" s="214"/>
      <c r="M52" s="214"/>
      <c r="N52" s="214"/>
      <c r="O52" s="214"/>
      <c r="P52" s="214"/>
      <c r="Q52" s="214"/>
      <c r="R52" s="214"/>
      <c r="S52" s="214"/>
      <c r="T52" s="214"/>
      <c r="U52" s="232">
        <v>2025</v>
      </c>
      <c r="V52" s="264"/>
      <c r="W52" s="264"/>
      <c r="X52" s="264"/>
      <c r="Y52" s="355"/>
      <c r="Z52" s="355"/>
      <c r="AA52" s="355"/>
      <c r="AB52" s="355"/>
      <c r="AC52" s="355"/>
      <c r="AD52" s="214"/>
      <c r="AE52" s="214"/>
      <c r="AF52" s="214"/>
      <c r="AG52" s="214"/>
      <c r="AH52" s="214"/>
      <c r="AI52" s="214"/>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row>
    <row r="53" spans="1:66" ht="15" customHeight="1" x14ac:dyDescent="0.3">
      <c r="A53" s="214"/>
      <c r="B53" s="240">
        <v>2026</v>
      </c>
      <c r="C53" s="262"/>
      <c r="D53" s="264"/>
      <c r="E53" s="264"/>
      <c r="F53" s="264"/>
      <c r="G53" s="262"/>
      <c r="H53" s="262"/>
      <c r="I53" s="262"/>
      <c r="J53" s="262"/>
      <c r="K53" s="214"/>
      <c r="L53" s="214"/>
      <c r="M53" s="214"/>
      <c r="N53" s="214"/>
      <c r="O53" s="214"/>
      <c r="P53" s="214"/>
      <c r="Q53" s="214"/>
      <c r="R53" s="214"/>
      <c r="S53" s="214"/>
      <c r="T53" s="214"/>
      <c r="U53" s="240">
        <v>2026</v>
      </c>
      <c r="V53" s="262"/>
      <c r="W53" s="264"/>
      <c r="X53" s="264"/>
      <c r="Y53" s="355"/>
      <c r="Z53" s="355"/>
      <c r="AA53" s="355"/>
      <c r="AB53" s="355"/>
      <c r="AC53" s="355"/>
      <c r="AD53" s="214"/>
      <c r="AE53" s="214"/>
      <c r="AF53" s="214"/>
      <c r="AG53" s="214"/>
      <c r="AH53" s="214"/>
      <c r="AI53" s="214"/>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row>
    <row r="54" spans="1:66" ht="12.6" customHeight="1" x14ac:dyDescent="0.3">
      <c r="A54" s="214"/>
      <c r="B54" s="214"/>
      <c r="C54" s="214"/>
      <c r="D54" s="214"/>
      <c r="E54" s="214"/>
      <c r="F54" s="214"/>
      <c r="G54" s="215"/>
      <c r="H54" s="215"/>
      <c r="I54" s="215"/>
      <c r="J54" s="215"/>
      <c r="K54" s="215"/>
      <c r="L54" s="215"/>
      <c r="M54" s="214"/>
      <c r="N54" s="214"/>
      <c r="O54" s="214"/>
      <c r="P54" s="214"/>
      <c r="Q54" s="214"/>
      <c r="R54" s="214"/>
      <c r="S54" s="214"/>
      <c r="T54" s="214"/>
      <c r="U54" s="214"/>
      <c r="V54" s="214"/>
      <c r="W54" s="214"/>
      <c r="X54" s="214"/>
      <c r="Y54" s="214"/>
      <c r="Z54" s="214"/>
      <c r="AA54" s="214"/>
      <c r="AB54" s="214"/>
      <c r="AC54" s="214"/>
      <c r="AD54" s="214"/>
      <c r="AE54" s="214"/>
      <c r="AF54" s="214"/>
      <c r="AG54" s="214"/>
      <c r="AH54" s="214"/>
      <c r="AI54" s="214"/>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row>
    <row r="55" spans="1:66" ht="12.6" customHeight="1" x14ac:dyDescent="0.3">
      <c r="A55" s="214"/>
      <c r="B55" s="214"/>
      <c r="C55" s="214"/>
      <c r="D55" s="214"/>
      <c r="E55" s="214"/>
      <c r="F55" s="214"/>
      <c r="G55" s="214"/>
      <c r="H55" s="214"/>
      <c r="I55" s="214"/>
      <c r="J55" s="214"/>
      <c r="K55" s="214"/>
      <c r="L55" s="214"/>
      <c r="M55" s="214"/>
      <c r="N55" s="214"/>
      <c r="O55" s="214"/>
      <c r="P55" s="214"/>
      <c r="Q55" s="214"/>
      <c r="R55" s="214"/>
      <c r="S55" s="214"/>
      <c r="T55" s="214"/>
      <c r="U55" s="214"/>
      <c r="V55" s="214"/>
      <c r="W55" s="214"/>
      <c r="X55" s="214"/>
      <c r="Y55" s="214"/>
      <c r="Z55" s="214"/>
      <c r="AA55" s="214"/>
      <c r="AB55" s="214"/>
      <c r="AC55" s="214"/>
      <c r="AD55" s="214"/>
      <c r="AE55" s="214"/>
      <c r="AF55" s="214"/>
      <c r="AG55" s="214"/>
      <c r="AH55" s="214"/>
      <c r="AI55" s="214"/>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row>
    <row r="56" spans="1:66" ht="12.6" customHeight="1" x14ac:dyDescent="0.3">
      <c r="A56" s="214"/>
      <c r="B56" s="214"/>
      <c r="C56" s="214"/>
      <c r="D56" s="214"/>
      <c r="E56" s="214"/>
      <c r="F56" s="214"/>
      <c r="G56" s="214"/>
      <c r="H56" s="214"/>
      <c r="I56" s="214"/>
      <c r="J56" s="214"/>
      <c r="K56" s="214"/>
      <c r="L56" s="214"/>
      <c r="M56" s="214"/>
      <c r="N56" s="214"/>
      <c r="O56" s="214"/>
      <c r="P56" s="214"/>
      <c r="Q56" s="214"/>
      <c r="R56" s="214"/>
      <c r="S56" s="214"/>
      <c r="T56" s="214"/>
      <c r="U56" s="214"/>
      <c r="V56" s="214"/>
      <c r="W56" s="214"/>
      <c r="X56" s="214"/>
      <c r="Y56" s="214"/>
      <c r="Z56" s="214"/>
      <c r="AA56" s="214"/>
      <c r="AB56" s="214"/>
      <c r="AC56" s="214"/>
      <c r="AD56" s="214"/>
      <c r="AE56" s="214"/>
      <c r="AF56" s="214"/>
      <c r="AG56" s="214"/>
      <c r="AH56" s="214"/>
      <c r="AI56" s="214"/>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row>
    <row r="57" spans="1:66" ht="12.6" customHeight="1" x14ac:dyDescent="0.3">
      <c r="A57" s="214"/>
      <c r="B57" s="214"/>
      <c r="C57" s="214"/>
      <c r="D57" s="214"/>
      <c r="E57" s="214"/>
      <c r="F57" s="214"/>
      <c r="G57" s="214"/>
      <c r="H57" s="214"/>
      <c r="I57" s="214"/>
      <c r="J57" s="214"/>
      <c r="K57" s="214"/>
      <c r="L57" s="214"/>
      <c r="M57" s="214"/>
      <c r="N57" s="214"/>
      <c r="O57" s="214"/>
      <c r="P57" s="214"/>
      <c r="Q57" s="214"/>
      <c r="R57" s="214"/>
      <c r="S57" s="214"/>
      <c r="T57" s="214"/>
      <c r="U57" s="214"/>
      <c r="V57" s="214"/>
      <c r="W57" s="214"/>
      <c r="X57" s="214"/>
      <c r="Y57" s="214"/>
      <c r="Z57" s="214"/>
      <c r="AA57" s="214"/>
      <c r="AB57" s="214"/>
      <c r="AC57" s="214"/>
      <c r="AD57" s="214"/>
      <c r="AE57" s="214"/>
      <c r="AF57" s="214"/>
      <c r="AG57" s="214"/>
      <c r="AH57" s="214"/>
      <c r="AI57" s="214"/>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row>
    <row r="58" spans="1:66" ht="12.6" customHeight="1" x14ac:dyDescent="0.3">
      <c r="A58" s="214"/>
      <c r="B58" s="214"/>
      <c r="C58" s="214"/>
      <c r="D58" s="214"/>
      <c r="E58" s="214"/>
      <c r="F58" s="214"/>
      <c r="G58" s="214"/>
      <c r="H58" s="214"/>
      <c r="I58" s="214"/>
      <c r="J58" s="214"/>
      <c r="K58" s="214"/>
      <c r="L58" s="214"/>
      <c r="M58" s="214"/>
      <c r="N58" s="214"/>
      <c r="O58" s="214"/>
      <c r="P58" s="214"/>
      <c r="Q58" s="214"/>
      <c r="R58" s="214"/>
      <c r="S58" s="214"/>
      <c r="T58" s="214"/>
      <c r="U58" s="214"/>
      <c r="V58" s="214"/>
      <c r="W58" s="214"/>
      <c r="X58" s="214"/>
      <c r="Y58" s="214"/>
      <c r="Z58" s="214"/>
      <c r="AA58" s="214"/>
      <c r="AB58" s="214"/>
      <c r="AC58" s="214"/>
      <c r="AD58" s="214"/>
      <c r="AE58" s="214"/>
      <c r="AF58" s="214"/>
      <c r="AG58" s="214"/>
      <c r="AH58" s="214"/>
      <c r="AI58" s="214"/>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row>
    <row r="59" spans="1:66" ht="12.6"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row>
    <row r="60" spans="1:66" ht="12" customHeight="1" thickBot="1" x14ac:dyDescent="0.35">
      <c r="A60" s="98"/>
      <c r="B60" s="98"/>
      <c r="C60" s="98"/>
      <c r="D60" s="98"/>
      <c r="E60" s="98"/>
      <c r="F60" s="98"/>
      <c r="G60" s="98"/>
      <c r="H60" s="98"/>
      <c r="I60" s="98"/>
      <c r="J60" s="98"/>
      <c r="K60" s="98"/>
      <c r="L60" s="98"/>
      <c r="M60" s="98"/>
      <c r="N60" s="98"/>
      <c r="O60" s="98"/>
      <c r="P60" s="98"/>
      <c r="Q60" s="98"/>
      <c r="R60" s="98"/>
      <c r="S60" s="98"/>
      <c r="T60" s="265"/>
      <c r="U60" s="265"/>
      <c r="V60" s="265"/>
      <c r="W60" s="265"/>
      <c r="X60" s="55"/>
      <c r="Y60" s="55"/>
      <c r="Z60" s="55"/>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row>
    <row r="61" spans="1:66" ht="12" customHeight="1" thickBot="1" x14ac:dyDescent="0.35">
      <c r="A61" s="98"/>
      <c r="B61" s="266" t="s">
        <v>200</v>
      </c>
      <c r="C61" s="267"/>
      <c r="D61" s="267"/>
      <c r="E61" s="267"/>
      <c r="F61" s="267"/>
      <c r="G61" s="267"/>
      <c r="H61" s="267"/>
      <c r="I61" s="267"/>
      <c r="J61" s="267"/>
      <c r="K61" s="267"/>
      <c r="L61" s="267"/>
      <c r="M61" s="267"/>
      <c r="N61" s="267"/>
      <c r="O61" s="267"/>
      <c r="P61" s="267"/>
      <c r="Q61" s="267"/>
      <c r="R61" s="267"/>
      <c r="S61" s="267"/>
      <c r="T61" s="268"/>
      <c r="U61" s="268"/>
      <c r="V61" s="269"/>
      <c r="W61" s="265"/>
      <c r="X61" s="55"/>
      <c r="Y61" s="55"/>
      <c r="Z61" s="55"/>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row>
    <row r="62" spans="1:66" ht="21.6" customHeight="1" x14ac:dyDescent="0.3">
      <c r="A62" s="98"/>
      <c r="B62" s="270"/>
      <c r="C62" s="98"/>
      <c r="D62" s="98"/>
      <c r="E62" s="98"/>
      <c r="F62" s="98"/>
      <c r="G62" s="98"/>
      <c r="H62" s="98"/>
      <c r="I62" s="98"/>
      <c r="J62" s="98"/>
      <c r="K62" s="98"/>
      <c r="L62" s="98"/>
      <c r="M62" s="98"/>
      <c r="N62" s="98"/>
      <c r="O62" s="98"/>
      <c r="P62" s="98"/>
      <c r="Q62" s="98"/>
      <c r="R62" s="98"/>
      <c r="S62" s="98"/>
      <c r="T62" s="98"/>
      <c r="U62" s="98"/>
      <c r="V62" s="98"/>
      <c r="W62" s="98"/>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row>
    <row r="63" spans="1:66" ht="21" customHeight="1" x14ac:dyDescent="0.3">
      <c r="A63" s="98"/>
      <c r="B63" s="98"/>
      <c r="C63" s="98"/>
      <c r="D63" s="98"/>
      <c r="E63" s="98"/>
      <c r="F63" s="98"/>
      <c r="G63" s="98"/>
      <c r="H63" s="98"/>
      <c r="I63" s="98"/>
      <c r="J63" s="98"/>
      <c r="K63" s="98"/>
      <c r="L63" s="98"/>
      <c r="M63" s="98"/>
      <c r="N63" s="98"/>
      <c r="O63" s="98"/>
      <c r="P63" s="98"/>
      <c r="Q63" s="98"/>
      <c r="R63" s="98"/>
      <c r="S63" s="98"/>
      <c r="T63" s="98"/>
      <c r="U63" s="98"/>
      <c r="V63" s="98"/>
      <c r="W63" s="98"/>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row>
    <row r="64" spans="1:66" ht="42.6" customHeight="1" x14ac:dyDescent="0.3">
      <c r="A64" s="98"/>
      <c r="B64" s="356" t="s">
        <v>201</v>
      </c>
      <c r="C64" s="271" t="s">
        <v>202</v>
      </c>
      <c r="D64" s="272" t="s">
        <v>172</v>
      </c>
      <c r="E64" s="272" t="s">
        <v>173</v>
      </c>
      <c r="F64" s="273" t="s">
        <v>174</v>
      </c>
      <c r="G64" s="272" t="s">
        <v>175</v>
      </c>
      <c r="H64" s="274"/>
      <c r="I64" s="274"/>
      <c r="J64" s="274"/>
      <c r="K64" s="274"/>
      <c r="L64" s="274"/>
      <c r="M64" s="274"/>
      <c r="N64" s="274"/>
      <c r="O64" s="274"/>
      <c r="P64" s="274"/>
      <c r="Q64" s="274"/>
      <c r="R64" s="274"/>
      <c r="S64" s="274"/>
      <c r="T64" s="274"/>
      <c r="U64" s="274"/>
      <c r="V64" s="274"/>
      <c r="W64" s="98"/>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row>
    <row r="65" spans="1:66" ht="15.6" customHeight="1" x14ac:dyDescent="0.3">
      <c r="A65" s="98"/>
      <c r="B65" s="275">
        <v>2019</v>
      </c>
      <c r="C65" s="357">
        <f>C22/P22*100</f>
        <v>20.245576485173249</v>
      </c>
      <c r="D65" s="276"/>
      <c r="E65" s="276"/>
      <c r="F65" s="276"/>
      <c r="G65" s="276"/>
      <c r="H65" s="277"/>
      <c r="I65" s="277"/>
      <c r="J65" s="277"/>
      <c r="K65" s="277"/>
      <c r="L65" s="277"/>
      <c r="M65" s="277"/>
      <c r="N65" s="277"/>
      <c r="O65" s="277"/>
      <c r="P65" s="277"/>
      <c r="Q65" s="277"/>
      <c r="R65" s="277"/>
      <c r="S65" s="277"/>
      <c r="T65" s="277"/>
      <c r="U65" s="277"/>
      <c r="V65" s="277"/>
      <c r="W65" s="278"/>
      <c r="X65" s="44"/>
      <c r="Y65" s="44"/>
      <c r="Z65" s="44"/>
      <c r="AA65" s="46"/>
      <c r="AB65" s="46"/>
      <c r="AC65" s="46"/>
      <c r="AD65" s="46"/>
      <c r="AE65" s="46"/>
      <c r="AF65" s="46"/>
      <c r="AG65" s="44"/>
      <c r="AH65" s="44"/>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row>
    <row r="66" spans="1:66" s="51" customFormat="1" ht="15.6" customHeight="1" x14ac:dyDescent="0.3">
      <c r="A66" s="279"/>
      <c r="B66" s="280">
        <v>2020</v>
      </c>
      <c r="C66" s="357">
        <f>D22/Q22*100</f>
        <v>20.661170192122281</v>
      </c>
      <c r="D66" s="276"/>
      <c r="E66" s="276"/>
      <c r="F66" s="276"/>
      <c r="G66" s="276"/>
      <c r="H66" s="281"/>
      <c r="I66" s="281"/>
      <c r="J66" s="281"/>
      <c r="K66" s="281"/>
      <c r="L66" s="281"/>
      <c r="M66" s="281"/>
      <c r="N66" s="281"/>
      <c r="O66" s="281"/>
      <c r="P66" s="281"/>
      <c r="Q66" s="281"/>
      <c r="R66" s="281"/>
      <c r="S66" s="281"/>
      <c r="T66" s="281"/>
      <c r="U66" s="281"/>
      <c r="V66" s="281"/>
      <c r="W66" s="282"/>
      <c r="X66" s="48"/>
      <c r="Y66" s="48"/>
      <c r="Z66" s="48"/>
      <c r="AA66" s="48"/>
      <c r="AB66" s="48"/>
      <c r="AC66" s="48"/>
      <c r="AD66" s="48"/>
      <c r="AE66" s="48"/>
      <c r="AF66" s="48"/>
      <c r="AG66" s="48"/>
      <c r="AH66" s="48"/>
      <c r="AI66" s="47"/>
      <c r="AJ66" s="47"/>
      <c r="AK66" s="47"/>
      <c r="AL66" s="47"/>
      <c r="AM66" s="47"/>
      <c r="AN66" s="47"/>
      <c r="AO66" s="47"/>
      <c r="AP66" s="47"/>
      <c r="AQ66" s="47"/>
      <c r="AR66" s="47"/>
      <c r="AS66" s="47"/>
      <c r="AT66" s="47"/>
      <c r="AU66" s="47"/>
      <c r="AV66" s="47"/>
      <c r="AW66" s="47"/>
      <c r="AX66" s="47"/>
      <c r="AY66" s="47"/>
      <c r="AZ66" s="47"/>
      <c r="BA66" s="47"/>
      <c r="BB66" s="47"/>
      <c r="BC66" s="47"/>
      <c r="BD66" s="47"/>
      <c r="BE66" s="47"/>
      <c r="BF66" s="47"/>
      <c r="BG66" s="47"/>
      <c r="BH66" s="47"/>
      <c r="BI66" s="47"/>
      <c r="BJ66" s="47"/>
      <c r="BK66" s="47"/>
      <c r="BL66" s="47"/>
      <c r="BM66" s="47"/>
      <c r="BN66" s="47"/>
    </row>
    <row r="67" spans="1:66" ht="15.6" customHeight="1" x14ac:dyDescent="0.3">
      <c r="A67" s="98"/>
      <c r="B67" s="275">
        <v>2021</v>
      </c>
      <c r="C67" s="357">
        <f>E22/R22*100</f>
        <v>20.864809193695546</v>
      </c>
      <c r="D67" s="276"/>
      <c r="E67" s="276"/>
      <c r="F67" s="276"/>
      <c r="G67" s="276"/>
      <c r="H67" s="281"/>
      <c r="I67" s="281"/>
      <c r="J67" s="281"/>
      <c r="K67" s="281"/>
      <c r="L67" s="281"/>
      <c r="M67" s="281"/>
      <c r="N67" s="281"/>
      <c r="O67" s="281"/>
      <c r="P67" s="281"/>
      <c r="Q67" s="281"/>
      <c r="R67" s="281"/>
      <c r="S67" s="281"/>
      <c r="T67" s="281"/>
      <c r="U67" s="281"/>
      <c r="V67" s="281"/>
      <c r="W67" s="283"/>
      <c r="X67" s="52"/>
      <c r="Y67" s="52"/>
      <c r="Z67" s="52"/>
      <c r="AA67" s="43"/>
      <c r="AB67" s="43"/>
      <c r="AC67" s="43"/>
      <c r="AD67" s="43"/>
      <c r="AE67" s="43"/>
      <c r="AF67" s="43"/>
      <c r="AG67" s="43"/>
      <c r="AH67" s="43"/>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row>
    <row r="68" spans="1:66" ht="15.6" customHeight="1" x14ac:dyDescent="0.3">
      <c r="A68" s="98"/>
      <c r="B68" s="280">
        <v>2022</v>
      </c>
      <c r="C68" s="357">
        <f>F22/S22*100</f>
        <v>21.584047630227488</v>
      </c>
      <c r="D68" s="276"/>
      <c r="E68" s="276"/>
      <c r="F68" s="276"/>
      <c r="G68" s="276"/>
      <c r="H68" s="284"/>
      <c r="I68" s="284"/>
      <c r="J68" s="284"/>
      <c r="K68" s="284"/>
      <c r="L68" s="284"/>
      <c r="M68" s="284"/>
      <c r="N68" s="284"/>
      <c r="O68" s="284"/>
      <c r="P68" s="284"/>
      <c r="Q68" s="284"/>
      <c r="R68" s="284"/>
      <c r="S68" s="284"/>
      <c r="T68" s="284"/>
      <c r="U68" s="284"/>
      <c r="V68" s="284"/>
      <c r="W68" s="98"/>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row>
    <row r="69" spans="1:66" ht="15.6" customHeight="1" x14ac:dyDescent="0.3">
      <c r="A69" s="98"/>
      <c r="B69" s="275">
        <v>2023</v>
      </c>
      <c r="C69" s="357">
        <f>G22/$T22*100</f>
        <v>21.568472135823413</v>
      </c>
      <c r="D69" s="357">
        <f>H22/$T22*100</f>
        <v>23.959628612657273</v>
      </c>
      <c r="E69" s="357">
        <f>I22/$T22*100</f>
        <v>20.311262350774527</v>
      </c>
      <c r="F69" s="357">
        <f>J22/$T22*100</f>
        <v>21.22581653898062</v>
      </c>
      <c r="G69" s="357">
        <f>K22/$T22*100</f>
        <v>21.035766694462932</v>
      </c>
      <c r="H69" s="357">
        <f>AL22/$T22*100</f>
        <v>21.399057534724314</v>
      </c>
      <c r="I69" s="277"/>
      <c r="J69" s="277"/>
      <c r="K69" s="277"/>
      <c r="L69" s="277"/>
      <c r="M69" s="277"/>
      <c r="N69" s="277"/>
      <c r="O69" s="277"/>
      <c r="P69" s="277"/>
      <c r="Q69" s="277"/>
      <c r="R69" s="277"/>
      <c r="S69" s="277"/>
      <c r="T69" s="277"/>
      <c r="U69" s="277"/>
      <c r="V69" s="277"/>
      <c r="W69" s="98"/>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row>
    <row r="70" spans="1:66" ht="15.6" customHeight="1" x14ac:dyDescent="0.3">
      <c r="A70" s="98"/>
      <c r="B70" s="280">
        <v>2024</v>
      </c>
      <c r="C70" s="276"/>
      <c r="D70" s="358"/>
      <c r="E70" s="357"/>
      <c r="F70" s="357"/>
      <c r="G70" s="357"/>
      <c r="H70" s="284"/>
      <c r="I70" s="284"/>
      <c r="J70" s="284"/>
      <c r="K70" s="284"/>
      <c r="L70" s="284"/>
      <c r="M70" s="284"/>
      <c r="N70" s="284"/>
      <c r="O70" s="284"/>
      <c r="P70" s="284"/>
      <c r="Q70" s="284"/>
      <c r="R70" s="284"/>
      <c r="S70" s="284"/>
      <c r="T70" s="284"/>
      <c r="U70" s="284"/>
      <c r="V70" s="284"/>
      <c r="W70" s="98"/>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row>
    <row r="71" spans="1:66" ht="15.6" customHeight="1" x14ac:dyDescent="0.3">
      <c r="A71" s="98"/>
      <c r="B71" s="275">
        <v>2025</v>
      </c>
      <c r="C71" s="276"/>
      <c r="D71" s="358"/>
      <c r="E71" s="357"/>
      <c r="F71" s="357"/>
      <c r="G71" s="357"/>
      <c r="H71" s="284"/>
      <c r="I71" s="284"/>
      <c r="J71" s="284"/>
      <c r="K71" s="284"/>
      <c r="L71" s="284"/>
      <c r="M71" s="284"/>
      <c r="N71" s="284"/>
      <c r="O71" s="284"/>
      <c r="P71" s="284"/>
      <c r="Q71" s="284"/>
      <c r="R71" s="284"/>
      <c r="S71" s="284"/>
      <c r="T71" s="284"/>
      <c r="U71" s="284"/>
      <c r="V71" s="284"/>
      <c r="W71" s="98"/>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row>
    <row r="72" spans="1:66" ht="15.6" customHeight="1" x14ac:dyDescent="0.3">
      <c r="A72" s="98"/>
      <c r="B72" s="280">
        <v>2026</v>
      </c>
      <c r="C72" s="276"/>
      <c r="D72" s="357"/>
      <c r="E72" s="357"/>
      <c r="F72" s="357"/>
      <c r="G72" s="357"/>
      <c r="H72" s="277"/>
      <c r="I72" s="277"/>
      <c r="J72" s="277"/>
      <c r="K72" s="277"/>
      <c r="L72" s="277"/>
      <c r="M72" s="277"/>
      <c r="N72" s="277"/>
      <c r="O72" s="277"/>
      <c r="P72" s="277"/>
      <c r="Q72" s="277"/>
      <c r="R72" s="277"/>
      <c r="S72" s="277"/>
      <c r="T72" s="277"/>
      <c r="U72" s="277"/>
      <c r="V72" s="277"/>
      <c r="W72" s="98"/>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row>
    <row r="73" spans="1:66" ht="12.6" customHeight="1" x14ac:dyDescent="0.3">
      <c r="A73" s="98"/>
      <c r="B73" s="98"/>
      <c r="C73" s="98"/>
      <c r="D73" s="98"/>
      <c r="E73" s="98"/>
      <c r="F73" s="98"/>
      <c r="G73" s="98"/>
      <c r="H73" s="98"/>
      <c r="I73" s="98"/>
      <c r="J73" s="98"/>
      <c r="K73" s="98"/>
      <c r="L73" s="98"/>
      <c r="M73" s="98"/>
      <c r="N73" s="98"/>
      <c r="O73" s="98"/>
      <c r="P73" s="98"/>
      <c r="Q73" s="98"/>
      <c r="R73" s="98"/>
      <c r="S73" s="98"/>
      <c r="T73" s="98"/>
      <c r="U73" s="98"/>
      <c r="V73" s="98"/>
      <c r="W73" s="98"/>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row>
    <row r="74" spans="1:66" ht="12.6" customHeight="1" x14ac:dyDescent="0.3">
      <c r="A74" s="98"/>
      <c r="B74" s="98"/>
      <c r="C74" s="285"/>
      <c r="D74" s="98"/>
      <c r="E74" s="98"/>
      <c r="F74" s="98"/>
      <c r="G74" s="98"/>
      <c r="H74" s="98"/>
      <c r="I74" s="98"/>
      <c r="J74" s="98"/>
      <c r="K74" s="98"/>
      <c r="L74" s="98"/>
      <c r="M74" s="98"/>
      <c r="N74" s="98"/>
      <c r="O74" s="98"/>
      <c r="P74" s="98"/>
      <c r="Q74" s="98"/>
      <c r="R74" s="98"/>
      <c r="S74" s="98"/>
      <c r="T74" s="98"/>
      <c r="U74" s="98"/>
      <c r="V74" s="98"/>
      <c r="W74" s="98"/>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row>
    <row r="75" spans="1:66" ht="12.6" customHeight="1" x14ac:dyDescent="0.3">
      <c r="A75" s="98"/>
      <c r="B75" s="98"/>
      <c r="C75" s="98"/>
      <c r="D75" s="98"/>
      <c r="E75" s="98"/>
      <c r="F75" s="98"/>
      <c r="G75" s="98"/>
      <c r="H75" s="98"/>
      <c r="I75" s="98"/>
      <c r="J75" s="98"/>
      <c r="K75" s="98"/>
      <c r="L75" s="98"/>
      <c r="M75" s="98"/>
      <c r="N75" s="98"/>
      <c r="O75" s="98"/>
      <c r="P75" s="98"/>
      <c r="Q75" s="98"/>
      <c r="R75" s="98"/>
      <c r="S75" s="98"/>
      <c r="T75" s="98"/>
      <c r="U75" s="98"/>
      <c r="V75" s="98"/>
      <c r="W75" s="98"/>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row>
    <row r="76" spans="1:66" ht="18" customHeight="1" x14ac:dyDescent="0.3">
      <c r="A76" s="98"/>
      <c r="B76" s="98"/>
      <c r="C76" s="98"/>
      <c r="D76" s="98"/>
      <c r="E76" s="98"/>
      <c r="F76" s="98"/>
      <c r="G76" s="98"/>
      <c r="H76" s="98"/>
      <c r="I76" s="98"/>
      <c r="J76" s="98"/>
      <c r="K76" s="98"/>
      <c r="L76" s="98"/>
      <c r="M76" s="98"/>
      <c r="N76" s="98"/>
      <c r="O76" s="98"/>
      <c r="P76" s="98"/>
      <c r="Q76" s="98"/>
      <c r="R76" s="98"/>
      <c r="S76" s="98"/>
      <c r="T76" s="98"/>
      <c r="U76" s="98"/>
      <c r="V76" s="98"/>
      <c r="W76" s="98"/>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row>
    <row r="77" spans="1:66" ht="42" customHeight="1" x14ac:dyDescent="0.3">
      <c r="A77" s="98"/>
      <c r="B77" s="356" t="s">
        <v>203</v>
      </c>
      <c r="C77" s="271" t="s">
        <v>202</v>
      </c>
      <c r="D77" s="272" t="s">
        <v>172</v>
      </c>
      <c r="E77" s="272" t="s">
        <v>173</v>
      </c>
      <c r="F77" s="273" t="s">
        <v>174</v>
      </c>
      <c r="G77" s="272" t="s">
        <v>175</v>
      </c>
      <c r="H77" s="98"/>
      <c r="I77" s="98"/>
      <c r="J77" s="98"/>
      <c r="K77" s="98"/>
      <c r="L77" s="98"/>
      <c r="M77" s="98"/>
      <c r="N77" s="98"/>
      <c r="O77" s="98"/>
      <c r="P77" s="98"/>
      <c r="Q77" s="98"/>
      <c r="R77" s="98"/>
      <c r="S77" s="98"/>
      <c r="T77" s="98"/>
      <c r="U77" s="98"/>
      <c r="V77" s="98"/>
      <c r="W77" s="98"/>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row>
    <row r="78" spans="1:66" ht="15.6" customHeight="1" x14ac:dyDescent="0.3">
      <c r="A78" s="98"/>
      <c r="B78" s="275">
        <v>2019</v>
      </c>
      <c r="C78" s="357">
        <f>C65</f>
        <v>20.245576485173249</v>
      </c>
      <c r="D78" s="276"/>
      <c r="E78" s="276"/>
      <c r="F78" s="276"/>
      <c r="G78" s="276"/>
      <c r="H78" s="98"/>
      <c r="I78" s="98"/>
      <c r="J78" s="98"/>
      <c r="K78" s="98"/>
      <c r="L78" s="98"/>
      <c r="M78" s="98"/>
      <c r="N78" s="98"/>
      <c r="O78" s="98"/>
      <c r="P78" s="98"/>
      <c r="Q78" s="98"/>
      <c r="R78" s="98"/>
      <c r="S78" s="98"/>
      <c r="T78" s="98"/>
      <c r="U78" s="98"/>
      <c r="V78" s="98"/>
      <c r="W78" s="98"/>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row>
    <row r="79" spans="1:66" s="1" customFormat="1" ht="15" customHeight="1" x14ac:dyDescent="0.3">
      <c r="A79" s="98"/>
      <c r="B79" s="280">
        <v>2020</v>
      </c>
      <c r="C79" s="357">
        <f>C66</f>
        <v>20.661170192122281</v>
      </c>
      <c r="D79" s="276"/>
      <c r="E79" s="276"/>
      <c r="F79" s="276"/>
      <c r="G79" s="276"/>
      <c r="H79" s="98"/>
      <c r="I79" s="98"/>
      <c r="J79" s="98"/>
      <c r="K79" s="98"/>
      <c r="L79" s="98"/>
      <c r="M79" s="98"/>
      <c r="N79" s="98"/>
      <c r="O79" s="98"/>
      <c r="P79" s="98"/>
      <c r="Q79" s="98"/>
      <c r="R79" s="98"/>
      <c r="S79" s="98"/>
      <c r="T79" s="98"/>
      <c r="U79" s="98"/>
      <c r="V79" s="98"/>
      <c r="W79" s="98"/>
    </row>
    <row r="80" spans="1:66" s="1" customFormat="1" ht="15" customHeight="1" x14ac:dyDescent="0.3">
      <c r="A80" s="98"/>
      <c r="B80" s="275">
        <v>2021</v>
      </c>
      <c r="C80" s="357">
        <f>C67</f>
        <v>20.864809193695546</v>
      </c>
      <c r="D80" s="276"/>
      <c r="E80" s="276"/>
      <c r="F80" s="276"/>
      <c r="G80" s="276"/>
      <c r="H80" s="98"/>
      <c r="I80" s="98"/>
      <c r="J80" s="98"/>
      <c r="K80" s="98"/>
      <c r="L80" s="98"/>
      <c r="M80" s="98"/>
      <c r="N80" s="98"/>
      <c r="O80" s="98"/>
      <c r="P80" s="98"/>
      <c r="Q80" s="98"/>
      <c r="R80" s="98"/>
      <c r="S80" s="98"/>
      <c r="T80" s="98"/>
      <c r="U80" s="98"/>
      <c r="V80" s="98"/>
      <c r="W80" s="98"/>
    </row>
    <row r="81" spans="1:23" s="1" customFormat="1" ht="15" customHeight="1" x14ac:dyDescent="0.3">
      <c r="A81" s="98"/>
      <c r="B81" s="280">
        <v>2022</v>
      </c>
      <c r="C81" s="357">
        <f>C68</f>
        <v>21.584047630227488</v>
      </c>
      <c r="D81" s="276"/>
      <c r="E81" s="276"/>
      <c r="F81" s="276"/>
      <c r="G81" s="276"/>
      <c r="H81" s="98"/>
      <c r="I81" s="98"/>
      <c r="J81" s="98"/>
      <c r="K81" s="98"/>
      <c r="L81" s="98"/>
      <c r="M81" s="98"/>
      <c r="N81" s="98"/>
      <c r="O81" s="98"/>
      <c r="P81" s="98"/>
      <c r="Q81" s="98"/>
      <c r="R81" s="98"/>
      <c r="S81" s="98"/>
      <c r="T81" s="98"/>
      <c r="U81" s="98"/>
      <c r="V81" s="98"/>
      <c r="W81" s="98"/>
    </row>
    <row r="82" spans="1:23" s="1" customFormat="1" ht="15" customHeight="1" x14ac:dyDescent="0.3">
      <c r="A82" s="98"/>
      <c r="B82" s="275">
        <v>2023</v>
      </c>
      <c r="C82" s="357">
        <f>C69</f>
        <v>21.568472135823413</v>
      </c>
      <c r="D82" s="357">
        <f>D69</f>
        <v>23.959628612657273</v>
      </c>
      <c r="E82" s="357">
        <f>E69</f>
        <v>20.311262350774527</v>
      </c>
      <c r="F82" s="357">
        <f>F69</f>
        <v>21.22581653898062</v>
      </c>
      <c r="G82" s="357">
        <f>G69</f>
        <v>21.035766694462932</v>
      </c>
      <c r="H82" s="98"/>
      <c r="I82" s="98"/>
      <c r="J82" s="98"/>
      <c r="K82" s="98"/>
      <c r="L82" s="98"/>
      <c r="M82" s="98"/>
      <c r="N82" s="98"/>
      <c r="O82" s="98"/>
      <c r="P82" s="98"/>
      <c r="Q82" s="98"/>
      <c r="R82" s="98"/>
      <c r="S82" s="98"/>
      <c r="T82" s="98"/>
      <c r="U82" s="98"/>
      <c r="V82" s="98"/>
      <c r="W82" s="98"/>
    </row>
    <row r="83" spans="1:23" s="1" customFormat="1" ht="15" customHeight="1" x14ac:dyDescent="0.3">
      <c r="A83" s="98"/>
      <c r="B83" s="280">
        <v>2024</v>
      </c>
      <c r="C83" s="357"/>
      <c r="D83" s="358"/>
      <c r="E83" s="358"/>
      <c r="F83" s="358"/>
      <c r="G83" s="358"/>
      <c r="H83" s="98"/>
      <c r="I83" s="98"/>
      <c r="J83" s="98"/>
      <c r="K83" s="98"/>
      <c r="L83" s="98"/>
      <c r="M83" s="98"/>
      <c r="N83" s="98"/>
      <c r="O83" s="98"/>
      <c r="P83" s="98"/>
      <c r="Q83" s="98"/>
      <c r="R83" s="98"/>
      <c r="S83" s="98"/>
      <c r="T83" s="98"/>
      <c r="U83" s="98"/>
      <c r="V83" s="98"/>
      <c r="W83" s="98"/>
    </row>
    <row r="84" spans="1:23" s="1" customFormat="1" ht="15" customHeight="1" x14ac:dyDescent="0.3">
      <c r="A84" s="98"/>
      <c r="B84" s="275">
        <v>2025</v>
      </c>
      <c r="C84" s="357"/>
      <c r="D84" s="358"/>
      <c r="E84" s="358"/>
      <c r="F84" s="358"/>
      <c r="G84" s="358"/>
      <c r="H84" s="98"/>
      <c r="I84" s="98"/>
      <c r="J84" s="98"/>
      <c r="K84" s="98"/>
      <c r="L84" s="98"/>
      <c r="M84" s="98"/>
      <c r="N84" s="98"/>
      <c r="O84" s="98"/>
      <c r="P84" s="98"/>
      <c r="Q84" s="98"/>
      <c r="R84" s="98"/>
      <c r="S84" s="98"/>
      <c r="T84" s="98"/>
      <c r="U84" s="98"/>
      <c r="V84" s="98"/>
      <c r="W84" s="98"/>
    </row>
    <row r="85" spans="1:23" s="1" customFormat="1" ht="15" customHeight="1" x14ac:dyDescent="0.3">
      <c r="A85" s="98"/>
      <c r="B85" s="280">
        <v>2026</v>
      </c>
      <c r="C85" s="357"/>
      <c r="D85" s="357"/>
      <c r="E85" s="357"/>
      <c r="F85" s="357"/>
      <c r="G85" s="357"/>
      <c r="H85" s="98"/>
      <c r="I85" s="98"/>
      <c r="J85" s="98"/>
      <c r="K85" s="98"/>
      <c r="L85" s="98"/>
      <c r="M85" s="98"/>
      <c r="N85" s="98"/>
      <c r="O85" s="98"/>
      <c r="P85" s="98"/>
      <c r="Q85" s="98"/>
      <c r="R85" s="98"/>
      <c r="S85" s="98"/>
      <c r="T85" s="98"/>
      <c r="U85" s="98"/>
      <c r="V85" s="98"/>
      <c r="W85" s="98"/>
    </row>
    <row r="86" spans="1:23" s="1" customFormat="1" ht="12.6" customHeight="1" x14ac:dyDescent="0.3">
      <c r="A86" s="98"/>
      <c r="B86" s="98"/>
      <c r="C86" s="98"/>
      <c r="D86" s="285"/>
      <c r="E86" s="98"/>
      <c r="F86" s="98"/>
      <c r="G86" s="98"/>
      <c r="H86" s="98"/>
      <c r="I86" s="98"/>
      <c r="J86" s="98"/>
      <c r="K86" s="98"/>
      <c r="L86" s="98"/>
      <c r="M86" s="98"/>
      <c r="N86" s="98"/>
      <c r="O86" s="98"/>
      <c r="P86" s="98"/>
      <c r="Q86" s="98"/>
      <c r="R86" s="98"/>
      <c r="S86" s="98"/>
      <c r="T86" s="98"/>
      <c r="U86" s="98"/>
      <c r="V86" s="98"/>
      <c r="W86" s="98"/>
    </row>
    <row r="87" spans="1:23" s="1" customFormat="1" ht="12.6" customHeight="1" x14ac:dyDescent="0.3">
      <c r="A87" s="98"/>
      <c r="B87" s="98"/>
      <c r="C87" s="98"/>
      <c r="D87" s="98"/>
      <c r="E87" s="98"/>
      <c r="F87" s="98"/>
      <c r="G87" s="98"/>
      <c r="H87" s="98"/>
      <c r="I87" s="98"/>
      <c r="J87" s="98"/>
      <c r="K87" s="98"/>
      <c r="L87" s="98"/>
      <c r="M87" s="98"/>
      <c r="N87" s="98"/>
      <c r="O87" s="98"/>
      <c r="P87" s="98"/>
      <c r="Q87" s="98"/>
      <c r="R87" s="98"/>
      <c r="S87" s="98"/>
      <c r="T87" s="98"/>
      <c r="U87" s="98"/>
      <c r="V87" s="98"/>
      <c r="W87" s="98"/>
    </row>
    <row r="88" spans="1:23" s="1" customFormat="1" ht="12.6" customHeight="1" x14ac:dyDescent="0.3">
      <c r="A88" s="98"/>
      <c r="B88" s="98"/>
      <c r="C88" s="98"/>
      <c r="D88" s="98"/>
      <c r="E88" s="98"/>
      <c r="F88" s="98"/>
      <c r="G88" s="98"/>
      <c r="H88" s="98"/>
      <c r="I88" s="98"/>
      <c r="J88" s="98"/>
      <c r="K88" s="98"/>
      <c r="L88" s="98"/>
      <c r="M88" s="98"/>
      <c r="N88" s="98"/>
      <c r="O88" s="98"/>
      <c r="P88" s="98"/>
      <c r="Q88" s="98"/>
      <c r="R88" s="98"/>
      <c r="S88" s="98"/>
      <c r="T88" s="98"/>
      <c r="U88" s="98"/>
      <c r="V88" s="98"/>
      <c r="W88" s="98"/>
    </row>
    <row r="89" spans="1:23" s="1" customFormat="1" ht="12.6" customHeight="1" x14ac:dyDescent="0.3"/>
    <row r="90" spans="1:23" s="1" customFormat="1" ht="12.6" customHeight="1" x14ac:dyDescent="0.3"/>
    <row r="91" spans="1:23" s="1" customFormat="1" x14ac:dyDescent="0.3"/>
    <row r="92" spans="1:23" s="1" customFormat="1" x14ac:dyDescent="0.3"/>
    <row r="93" spans="1:23" s="1" customFormat="1" x14ac:dyDescent="0.3"/>
    <row r="94" spans="1:23" s="1" customFormat="1" x14ac:dyDescent="0.3"/>
    <row r="95" spans="1:23" s="1" customFormat="1" x14ac:dyDescent="0.3"/>
    <row r="96" spans="1:23" s="1" customFormat="1" x14ac:dyDescent="0.3"/>
    <row r="97" s="1" customFormat="1" x14ac:dyDescent="0.3"/>
    <row r="98" s="1" customFormat="1" x14ac:dyDescent="0.3"/>
    <row r="99" s="1" customFormat="1" x14ac:dyDescent="0.3"/>
    <row r="100" s="1" customFormat="1" x14ac:dyDescent="0.3"/>
    <row r="101" s="1" customFormat="1" x14ac:dyDescent="0.3"/>
    <row r="102" s="1" customFormat="1" x14ac:dyDescent="0.3"/>
    <row r="103" s="1" customFormat="1" x14ac:dyDescent="0.3"/>
    <row r="104" s="1" customFormat="1" x14ac:dyDescent="0.3"/>
    <row r="105" s="1" customFormat="1" x14ac:dyDescent="0.3"/>
    <row r="106" s="1" customFormat="1" x14ac:dyDescent="0.3"/>
    <row r="107" s="1" customFormat="1" x14ac:dyDescent="0.3"/>
    <row r="108" s="1" customFormat="1" x14ac:dyDescent="0.3"/>
    <row r="109" s="1" customFormat="1" x14ac:dyDescent="0.3"/>
    <row r="110" s="1" customFormat="1" x14ac:dyDescent="0.3"/>
    <row r="111" s="1" customFormat="1" x14ac:dyDescent="0.3"/>
    <row r="112" s="1" customFormat="1" x14ac:dyDescent="0.3"/>
    <row r="113" s="1" customFormat="1" x14ac:dyDescent="0.3"/>
    <row r="114" s="1" customFormat="1" x14ac:dyDescent="0.3"/>
    <row r="115" s="1" customFormat="1" x14ac:dyDescent="0.3"/>
    <row r="116" s="1" customFormat="1" x14ac:dyDescent="0.3"/>
    <row r="117" s="1" customFormat="1" x14ac:dyDescent="0.3"/>
    <row r="118" s="1" customFormat="1" x14ac:dyDescent="0.3"/>
    <row r="119" s="1" customFormat="1" x14ac:dyDescent="0.3"/>
    <row r="120" s="1" customFormat="1" x14ac:dyDescent="0.3"/>
    <row r="121" s="1" customFormat="1" x14ac:dyDescent="0.3"/>
  </sheetData>
  <pageMargins left="0.7" right="0.7" top="0.75" bottom="0.75" header="0.3" footer="0.3"/>
  <pageSetup paperSize="9" orientation="portrait"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3CDEA5-E933-476A-9F47-50B9E126E547}">
  <dimension ref="A1:FQ27"/>
  <sheetViews>
    <sheetView zoomScale="85" zoomScaleNormal="85" workbookViewId="0">
      <selection activeCell="E6" sqref="E6"/>
    </sheetView>
  </sheetViews>
  <sheetFormatPr baseColWidth="10" defaultColWidth="8.6640625" defaultRowHeight="14.4" x14ac:dyDescent="0.3"/>
  <cols>
    <col min="1" max="1" width="4.33203125" customWidth="1"/>
    <col min="3" max="3" width="15.6640625" customWidth="1"/>
    <col min="4" max="7" width="14.5546875" customWidth="1"/>
    <col min="8" max="8" width="18" customWidth="1"/>
    <col min="9" max="10" width="18" hidden="1" customWidth="1"/>
    <col min="11" max="15" width="18" customWidth="1"/>
    <col min="16" max="17" width="18.6640625" customWidth="1"/>
    <col min="18" max="18" width="15.33203125" customWidth="1"/>
    <col min="19" max="22" width="18" customWidth="1"/>
    <col min="23" max="31" width="14.6640625" customWidth="1"/>
    <col min="32" max="32" width="15.33203125" customWidth="1"/>
    <col min="33" max="33" width="14.6640625" customWidth="1"/>
    <col min="34" max="41" width="13.5546875" customWidth="1"/>
    <col min="42" max="42" width="15.5546875" customWidth="1"/>
    <col min="43" max="43" width="13" customWidth="1"/>
    <col min="44" max="44" width="11.33203125" customWidth="1"/>
    <col min="45" max="45" width="12.33203125" customWidth="1"/>
    <col min="46" max="50" width="11.33203125" customWidth="1"/>
    <col min="51" max="51" width="13.44140625" customWidth="1"/>
    <col min="56" max="56" width="9.6640625" customWidth="1"/>
    <col min="60" max="60" width="16.44140625" customWidth="1"/>
    <col min="61" max="61" width="16.33203125" customWidth="1"/>
    <col min="62" max="63" width="15.33203125" customWidth="1"/>
    <col min="68" max="68" width="11.44140625" bestFit="1" customWidth="1"/>
    <col min="69" max="69" width="13.5546875" customWidth="1"/>
    <col min="70" max="70" width="13.6640625" customWidth="1"/>
    <col min="71" max="71" width="12.44140625" customWidth="1"/>
    <col min="72" max="77" width="12.6640625" customWidth="1"/>
    <col min="78" max="80" width="11.33203125" customWidth="1"/>
    <col min="81" max="85" width="11.6640625" hidden="1" customWidth="1"/>
    <col min="86" max="86" width="13.33203125" hidden="1" customWidth="1"/>
    <col min="87" max="88" width="11.6640625" hidden="1" customWidth="1"/>
    <col min="89" max="94" width="12.6640625" customWidth="1"/>
    <col min="95" max="96" width="11.33203125" customWidth="1"/>
    <col min="97" max="104" width="11.6640625" customWidth="1"/>
    <col min="105" max="108" width="13.44140625" customWidth="1"/>
    <col min="110" max="130" width="0.5546875" customWidth="1"/>
    <col min="131" max="132" width="15.5546875" customWidth="1"/>
    <col min="133" max="133" width="15.33203125" customWidth="1"/>
    <col min="134" max="134" width="14.5546875" customWidth="1"/>
    <col min="135" max="135" width="16.5546875" customWidth="1"/>
    <col min="136" max="138" width="18" customWidth="1"/>
    <col min="139" max="142" width="15.33203125" customWidth="1"/>
    <col min="143" max="143" width="11" customWidth="1"/>
    <col min="144" max="145" width="16" customWidth="1"/>
    <col min="146" max="146" width="9.33203125" customWidth="1"/>
    <col min="147" max="150" width="17" customWidth="1"/>
    <col min="153" max="153" width="10.6640625" customWidth="1"/>
    <col min="156" max="157" width="11.33203125" customWidth="1"/>
    <col min="158" max="161" width="9.6640625" customWidth="1"/>
    <col min="162" max="165" width="11.5546875" customWidth="1"/>
  </cols>
  <sheetData>
    <row r="1" spans="1:173" ht="15" thickBot="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ht="18" customHeight="1" thickBot="1" x14ac:dyDescent="0.35">
      <c r="A2" s="1"/>
      <c r="B2" s="2" t="s">
        <v>579</v>
      </c>
      <c r="C2" s="3"/>
      <c r="D2" s="3"/>
      <c r="E2" s="3"/>
      <c r="F2" s="3"/>
      <c r="G2" s="3"/>
      <c r="H2" s="4"/>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18" customHeight="1" x14ac:dyDescent="0.3">
      <c r="A3" s="1"/>
      <c r="B3" s="5" t="s">
        <v>0</v>
      </c>
      <c r="C3" s="6"/>
      <c r="D3" s="6"/>
      <c r="E3" s="6"/>
      <c r="F3" s="6"/>
      <c r="G3" s="6"/>
      <c r="H3" s="7"/>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18" customHeight="1" x14ac:dyDescent="0.3">
      <c r="A4" s="1"/>
      <c r="B4" s="8" t="s">
        <v>1</v>
      </c>
      <c r="C4" s="9"/>
      <c r="D4" s="9"/>
      <c r="E4" s="9"/>
      <c r="F4" s="9"/>
      <c r="G4" s="9"/>
      <c r="H4" s="10"/>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12.6" customHeight="1" x14ac:dyDescent="0.3">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row>
    <row r="6" spans="1:173" ht="12.6" customHeight="1" x14ac:dyDescent="0.3">
      <c r="A6" s="1"/>
      <c r="B6" s="1"/>
      <c r="C6" s="1">
        <v>171581.10359999997</v>
      </c>
      <c r="D6" s="1">
        <v>189038.80079999997</v>
      </c>
      <c r="E6" s="1">
        <v>173291.7708</v>
      </c>
      <c r="F6" s="1">
        <v>173291.7708</v>
      </c>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row>
    <row r="7" spans="1:173" ht="12.6" customHeight="1" x14ac:dyDescent="0.3">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c r="EU7" s="1"/>
      <c r="EV7" s="1"/>
      <c r="EW7" s="1"/>
      <c r="EX7" s="1"/>
      <c r="EY7" s="1"/>
      <c r="EZ7" s="1"/>
      <c r="FA7" s="1"/>
      <c r="FB7" s="1"/>
      <c r="FC7" s="1"/>
      <c r="FD7" s="1"/>
      <c r="FE7" s="1"/>
      <c r="FF7" s="1"/>
      <c r="FG7" s="1"/>
      <c r="FH7" s="1"/>
      <c r="FI7" s="1"/>
      <c r="FJ7" s="1"/>
      <c r="FK7" s="1"/>
      <c r="FL7" s="1"/>
      <c r="FM7" s="1"/>
      <c r="FN7" s="1"/>
      <c r="FO7" s="1"/>
      <c r="FP7" s="1"/>
      <c r="FQ7" s="1"/>
    </row>
    <row r="8" spans="1:173" ht="17.7" customHeight="1" x14ac:dyDescent="0.3">
      <c r="A8" s="1"/>
      <c r="B8" s="11" t="s">
        <v>2</v>
      </c>
      <c r="C8" s="12" t="s">
        <v>208</v>
      </c>
      <c r="D8" s="12" t="s">
        <v>656</v>
      </c>
      <c r="E8" s="124" t="s">
        <v>209</v>
      </c>
      <c r="F8" s="125"/>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56"/>
      <c r="CD8" s="56"/>
      <c r="CE8" s="56"/>
      <c r="CF8" s="56"/>
      <c r="CG8" s="56"/>
      <c r="CH8" s="56"/>
      <c r="CI8" s="56"/>
      <c r="CJ8" s="56"/>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row>
    <row r="9" spans="1:173" ht="10.35" customHeight="1" x14ac:dyDescent="0.3">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56"/>
      <c r="CD9" s="56"/>
      <c r="CE9" s="56"/>
      <c r="CF9" s="56"/>
      <c r="CG9" s="56"/>
      <c r="CH9" s="56"/>
      <c r="CI9" s="56"/>
      <c r="CJ9" s="56"/>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row>
    <row r="10" spans="1:173" x14ac:dyDescent="0.3">
      <c r="A10" s="1"/>
      <c r="B10" s="1"/>
      <c r="C10" s="13" t="s">
        <v>6</v>
      </c>
      <c r="D10" s="14"/>
      <c r="E10" s="14"/>
      <c r="F10" s="14"/>
      <c r="G10" s="14"/>
      <c r="H10" s="14"/>
      <c r="I10" s="14"/>
      <c r="J10" s="14"/>
      <c r="K10" s="14"/>
      <c r="L10" s="14"/>
      <c r="M10" s="14"/>
      <c r="N10" s="14"/>
      <c r="O10" s="14"/>
      <c r="P10" s="15" t="s">
        <v>580</v>
      </c>
      <c r="Q10" s="16"/>
      <c r="R10" s="16"/>
      <c r="S10" s="16"/>
      <c r="T10" s="16"/>
      <c r="U10" s="16"/>
      <c r="V10" s="16"/>
      <c r="W10" s="13" t="s">
        <v>628</v>
      </c>
      <c r="X10" s="17"/>
      <c r="Y10" s="17"/>
      <c r="Z10" s="17"/>
      <c r="AA10" s="17"/>
      <c r="AB10" s="17"/>
      <c r="AC10" s="17"/>
      <c r="AD10" s="13" t="s">
        <v>629</v>
      </c>
      <c r="AE10" s="17"/>
      <c r="AF10" s="17"/>
      <c r="AG10" s="18"/>
      <c r="AH10" s="19" t="s">
        <v>630</v>
      </c>
      <c r="AI10" s="20"/>
      <c r="AJ10" s="16"/>
      <c r="AK10" s="16"/>
      <c r="AL10" s="16"/>
      <c r="AM10" s="16"/>
      <c r="AN10" s="16"/>
      <c r="AO10" s="16"/>
      <c r="AP10" s="21"/>
      <c r="AQ10" s="19" t="s">
        <v>9</v>
      </c>
      <c r="AR10" s="16"/>
      <c r="AS10" s="16"/>
      <c r="AT10" s="16"/>
      <c r="AU10" s="16"/>
      <c r="AV10" s="16"/>
      <c r="AW10" s="16"/>
      <c r="AX10" s="16"/>
      <c r="AY10" s="21"/>
      <c r="AZ10" s="22" t="s">
        <v>10</v>
      </c>
      <c r="BA10" s="23"/>
      <c r="BB10" s="23"/>
      <c r="BC10" s="23"/>
      <c r="BD10" s="23"/>
      <c r="BE10" s="23"/>
      <c r="BF10" s="23"/>
      <c r="BG10" s="23"/>
      <c r="BH10" s="23"/>
      <c r="BI10" s="23"/>
      <c r="BJ10" s="23"/>
      <c r="BK10" s="23"/>
      <c r="BL10" s="23"/>
      <c r="BM10" s="23"/>
      <c r="BN10" s="23"/>
      <c r="BO10" s="23"/>
      <c r="BP10" s="23"/>
      <c r="BQ10" s="23"/>
      <c r="BR10" s="24"/>
      <c r="BS10" s="11"/>
      <c r="BT10" s="19"/>
      <c r="BU10" s="16"/>
      <c r="BV10" s="16"/>
      <c r="BW10" s="16"/>
      <c r="BX10" s="16"/>
      <c r="BY10" s="16"/>
      <c r="BZ10" s="16"/>
      <c r="CA10" s="16"/>
      <c r="CB10" s="16"/>
      <c r="CC10" s="58" t="s">
        <v>12</v>
      </c>
      <c r="CD10" s="59"/>
      <c r="CE10" s="59"/>
      <c r="CF10" s="59"/>
      <c r="CG10" s="59"/>
      <c r="CH10" s="59"/>
      <c r="CI10" s="59"/>
      <c r="CJ10" s="59"/>
      <c r="CK10" s="19" t="s">
        <v>581</v>
      </c>
      <c r="CL10" s="16"/>
      <c r="CM10" s="16"/>
      <c r="CN10" s="16"/>
      <c r="CO10" s="16"/>
      <c r="CP10" s="16"/>
      <c r="CQ10" s="16"/>
      <c r="CR10" s="16"/>
      <c r="CS10" s="19" t="s">
        <v>582</v>
      </c>
      <c r="CT10" s="127"/>
      <c r="CU10" s="59"/>
      <c r="CV10" s="59"/>
      <c r="CW10" s="59"/>
      <c r="CX10" s="59"/>
      <c r="CY10" s="59"/>
      <c r="CZ10" s="59"/>
      <c r="DA10" s="15" t="s">
        <v>15</v>
      </c>
      <c r="DB10" s="60"/>
      <c r="DC10" s="60"/>
      <c r="DD10" s="8" t="s">
        <v>16</v>
      </c>
      <c r="DE10" s="10"/>
      <c r="DF10" s="1"/>
      <c r="DG10" s="1"/>
      <c r="DH10" s="1"/>
      <c r="DI10" s="1"/>
      <c r="DJ10" s="1"/>
      <c r="DK10" s="1"/>
      <c r="DL10" s="1"/>
      <c r="DM10" s="1"/>
      <c r="DN10" s="1"/>
      <c r="DO10" s="1"/>
      <c r="DP10" s="1"/>
      <c r="DQ10" s="1"/>
      <c r="DR10" s="1"/>
      <c r="DS10" s="1"/>
      <c r="DT10" s="1"/>
      <c r="DU10" s="1"/>
      <c r="DV10" s="1"/>
      <c r="DW10" s="1"/>
      <c r="DX10" s="1"/>
      <c r="DY10" s="1"/>
      <c r="DZ10" s="1"/>
      <c r="EA10" s="13" t="s">
        <v>17</v>
      </c>
      <c r="EB10" s="14"/>
      <c r="EC10" s="14"/>
      <c r="ED10" s="14"/>
      <c r="EE10" s="14"/>
      <c r="EF10" s="14"/>
      <c r="EG10" s="14"/>
      <c r="EH10" s="14"/>
      <c r="EI10" s="14"/>
      <c r="EJ10" s="14"/>
      <c r="EK10" s="14"/>
      <c r="EL10" s="14"/>
      <c r="EM10" s="14"/>
      <c r="EN10" s="15" t="s">
        <v>583</v>
      </c>
      <c r="EO10" s="16"/>
      <c r="EP10" s="16"/>
      <c r="EQ10" s="16"/>
      <c r="ER10" s="16"/>
      <c r="ES10" s="16"/>
      <c r="ET10" s="16"/>
      <c r="EU10" s="16"/>
      <c r="EV10" s="13" t="s">
        <v>631</v>
      </c>
      <c r="EW10" s="14"/>
      <c r="EX10" s="14"/>
      <c r="EY10" s="61"/>
      <c r="EZ10" s="62" t="s">
        <v>19</v>
      </c>
      <c r="FA10" s="10"/>
      <c r="FB10" s="14" t="s">
        <v>632</v>
      </c>
      <c r="FC10" s="17"/>
      <c r="FD10" s="17"/>
      <c r="FE10" s="17"/>
      <c r="FF10" s="17"/>
      <c r="FG10" s="17"/>
      <c r="FH10" s="17"/>
      <c r="FI10" s="18"/>
      <c r="FJ10" s="1"/>
      <c r="FK10" s="1"/>
      <c r="FL10" s="1"/>
      <c r="FM10" s="1"/>
      <c r="FN10" s="1"/>
      <c r="FO10" s="1"/>
      <c r="FP10" s="1"/>
      <c r="FQ10" s="1"/>
    </row>
    <row r="11" spans="1:173" ht="78.75" customHeight="1" x14ac:dyDescent="0.3">
      <c r="A11" s="1"/>
      <c r="B11" s="25" t="s">
        <v>20</v>
      </c>
      <c r="C11" s="26" t="s">
        <v>21</v>
      </c>
      <c r="D11" s="27" t="s">
        <v>22</v>
      </c>
      <c r="E11" s="27" t="s">
        <v>23</v>
      </c>
      <c r="F11" s="27" t="s">
        <v>24</v>
      </c>
      <c r="G11" s="27" t="s">
        <v>25</v>
      </c>
      <c r="H11" s="27" t="s">
        <v>26</v>
      </c>
      <c r="I11" s="27" t="s">
        <v>27</v>
      </c>
      <c r="J11" s="121"/>
      <c r="K11" s="27" t="s">
        <v>29</v>
      </c>
      <c r="L11" s="27" t="s">
        <v>30</v>
      </c>
      <c r="M11" s="27" t="s">
        <v>31</v>
      </c>
      <c r="N11" s="27" t="s">
        <v>32</v>
      </c>
      <c r="O11" s="27" t="s">
        <v>33</v>
      </c>
      <c r="P11" s="26" t="s">
        <v>21</v>
      </c>
      <c r="Q11" s="27" t="s">
        <v>22</v>
      </c>
      <c r="R11" s="27" t="s">
        <v>34</v>
      </c>
      <c r="S11" s="27" t="s">
        <v>29</v>
      </c>
      <c r="T11" s="27" t="s">
        <v>30</v>
      </c>
      <c r="U11" s="27" t="s">
        <v>31</v>
      </c>
      <c r="V11" s="27" t="s">
        <v>32</v>
      </c>
      <c r="W11" s="27" t="s">
        <v>22</v>
      </c>
      <c r="X11" s="27" t="s">
        <v>23</v>
      </c>
      <c r="Y11" s="27" t="s">
        <v>35</v>
      </c>
      <c r="Z11" s="27" t="s">
        <v>36</v>
      </c>
      <c r="AA11" s="27" t="s">
        <v>26</v>
      </c>
      <c r="AB11" s="27" t="s">
        <v>27</v>
      </c>
      <c r="AC11" s="27" t="s">
        <v>28</v>
      </c>
      <c r="AD11" s="27" t="s">
        <v>29</v>
      </c>
      <c r="AE11" s="27" t="s">
        <v>30</v>
      </c>
      <c r="AF11" s="27" t="s">
        <v>31</v>
      </c>
      <c r="AG11" s="27" t="s">
        <v>32</v>
      </c>
      <c r="AH11" s="27" t="s">
        <v>37</v>
      </c>
      <c r="AI11" s="27" t="s">
        <v>38</v>
      </c>
      <c r="AJ11" s="27" t="s">
        <v>39</v>
      </c>
      <c r="AK11" s="27" t="s">
        <v>40</v>
      </c>
      <c r="AL11" s="27" t="s">
        <v>41</v>
      </c>
      <c r="AM11" s="27" t="s">
        <v>42</v>
      </c>
      <c r="AN11" s="121" t="s">
        <v>43</v>
      </c>
      <c r="AO11" s="27" t="s">
        <v>44</v>
      </c>
      <c r="AP11" s="27" t="s">
        <v>45</v>
      </c>
      <c r="AQ11" s="27" t="s">
        <v>37</v>
      </c>
      <c r="AR11" s="27" t="s">
        <v>38</v>
      </c>
      <c r="AS11" s="27" t="s">
        <v>39</v>
      </c>
      <c r="AT11" s="27" t="s">
        <v>40</v>
      </c>
      <c r="AU11" s="27" t="s">
        <v>41</v>
      </c>
      <c r="AV11" s="27" t="s">
        <v>42</v>
      </c>
      <c r="AW11" s="121"/>
      <c r="AX11" s="27" t="s">
        <v>44</v>
      </c>
      <c r="AY11" s="27" t="s">
        <v>45</v>
      </c>
      <c r="AZ11" s="27" t="s">
        <v>633</v>
      </c>
      <c r="BA11" s="27" t="s">
        <v>634</v>
      </c>
      <c r="BB11" s="27" t="s">
        <v>635</v>
      </c>
      <c r="BC11" s="27" t="s">
        <v>636</v>
      </c>
      <c r="BD11" s="27" t="s">
        <v>46</v>
      </c>
      <c r="BE11" s="27" t="s">
        <v>47</v>
      </c>
      <c r="BF11" s="27" t="s">
        <v>48</v>
      </c>
      <c r="BG11" s="27" t="s">
        <v>49</v>
      </c>
      <c r="BH11" s="27" t="s">
        <v>50</v>
      </c>
      <c r="BI11" s="27" t="s">
        <v>51</v>
      </c>
      <c r="BJ11" s="27" t="s">
        <v>52</v>
      </c>
      <c r="BK11" s="27" t="s">
        <v>53</v>
      </c>
      <c r="BL11" s="27" t="s">
        <v>54</v>
      </c>
      <c r="BM11" s="27" t="s">
        <v>55</v>
      </c>
      <c r="BN11" s="27" t="s">
        <v>56</v>
      </c>
      <c r="BO11" s="27" t="s">
        <v>57</v>
      </c>
      <c r="BP11" s="27" t="s">
        <v>637</v>
      </c>
      <c r="BQ11" s="27" t="s">
        <v>638</v>
      </c>
      <c r="BR11" s="27" t="s">
        <v>273</v>
      </c>
      <c r="BS11" s="27" t="s">
        <v>584</v>
      </c>
      <c r="BT11" s="27"/>
      <c r="BU11" s="27"/>
      <c r="BV11" s="27"/>
      <c r="BW11" s="27"/>
      <c r="BX11" s="27"/>
      <c r="BY11" s="27"/>
      <c r="BZ11" s="27"/>
      <c r="CA11" s="27"/>
      <c r="CB11" s="27"/>
      <c r="CC11" s="63" t="s">
        <v>68</v>
      </c>
      <c r="CD11" s="63" t="s">
        <v>69</v>
      </c>
      <c r="CE11" s="63" t="s">
        <v>70</v>
      </c>
      <c r="CF11" s="63" t="s">
        <v>71</v>
      </c>
      <c r="CG11" s="63" t="s">
        <v>72</v>
      </c>
      <c r="CH11" s="63" t="s">
        <v>73</v>
      </c>
      <c r="CI11" s="63" t="s">
        <v>74</v>
      </c>
      <c r="CJ11" s="63" t="s">
        <v>75</v>
      </c>
      <c r="CK11" s="27" t="s">
        <v>585</v>
      </c>
      <c r="CL11" s="27" t="s">
        <v>586</v>
      </c>
      <c r="CM11" s="27" t="s">
        <v>587</v>
      </c>
      <c r="CN11" s="27" t="s">
        <v>588</v>
      </c>
      <c r="CO11" s="27" t="s">
        <v>80</v>
      </c>
      <c r="CP11" s="27" t="s">
        <v>81</v>
      </c>
      <c r="CQ11" s="27" t="s">
        <v>82</v>
      </c>
      <c r="CR11" s="27" t="s">
        <v>589</v>
      </c>
      <c r="CS11" s="128" t="s">
        <v>590</v>
      </c>
      <c r="CT11" s="128" t="s">
        <v>591</v>
      </c>
      <c r="CU11" s="128" t="s">
        <v>592</v>
      </c>
      <c r="CV11" s="128" t="s">
        <v>593</v>
      </c>
      <c r="CW11" s="128" t="s">
        <v>88</v>
      </c>
      <c r="CX11" s="128" t="s">
        <v>89</v>
      </c>
      <c r="CY11" s="128" t="s">
        <v>90</v>
      </c>
      <c r="CZ11" s="128" t="s">
        <v>91</v>
      </c>
      <c r="DA11" s="64" t="s">
        <v>92</v>
      </c>
      <c r="DB11" s="64" t="s">
        <v>93</v>
      </c>
      <c r="DC11" s="64" t="s">
        <v>94</v>
      </c>
      <c r="DD11" s="64" t="s">
        <v>95</v>
      </c>
      <c r="DE11" s="64" t="s">
        <v>96</v>
      </c>
      <c r="DF11" s="1"/>
      <c r="DG11" s="1"/>
      <c r="DH11" s="1"/>
      <c r="DI11" s="1"/>
      <c r="DJ11" s="1"/>
      <c r="DK11" s="1"/>
      <c r="DL11" s="1"/>
      <c r="DM11" s="1"/>
      <c r="DN11" s="1"/>
      <c r="DO11" s="1"/>
      <c r="DP11" s="1"/>
      <c r="DQ11" s="1"/>
      <c r="DR11" s="1"/>
      <c r="DS11" s="1"/>
      <c r="DT11" s="1"/>
      <c r="DU11" s="1"/>
      <c r="DV11" s="1"/>
      <c r="DW11" s="1"/>
      <c r="DX11" s="1"/>
      <c r="DY11" s="1"/>
      <c r="DZ11" s="1"/>
      <c r="EA11" s="26" t="s">
        <v>97</v>
      </c>
      <c r="EB11" s="27" t="s">
        <v>98</v>
      </c>
      <c r="EC11" s="27" t="s">
        <v>99</v>
      </c>
      <c r="ED11" s="27" t="s">
        <v>100</v>
      </c>
      <c r="EE11" s="27" t="s">
        <v>101</v>
      </c>
      <c r="EF11" s="27" t="s">
        <v>102</v>
      </c>
      <c r="EG11" s="27" t="s">
        <v>103</v>
      </c>
      <c r="EH11" s="121"/>
      <c r="EI11" s="27" t="s">
        <v>104</v>
      </c>
      <c r="EJ11" s="27" t="s">
        <v>105</v>
      </c>
      <c r="EK11" s="27" t="s">
        <v>106</v>
      </c>
      <c r="EL11" s="27" t="s">
        <v>107</v>
      </c>
      <c r="EM11" s="27" t="s">
        <v>33</v>
      </c>
      <c r="EN11" s="27" t="s">
        <v>97</v>
      </c>
      <c r="EO11" s="27" t="s">
        <v>98</v>
      </c>
      <c r="EP11" s="27" t="s">
        <v>108</v>
      </c>
      <c r="EQ11" s="27" t="s">
        <v>104</v>
      </c>
      <c r="ER11" s="27" t="s">
        <v>105</v>
      </c>
      <c r="ES11" s="27" t="s">
        <v>106</v>
      </c>
      <c r="ET11" s="27" t="s">
        <v>107</v>
      </c>
      <c r="EU11" s="27" t="s">
        <v>594</v>
      </c>
      <c r="EV11" s="64" t="s">
        <v>639</v>
      </c>
      <c r="EW11" s="27" t="s">
        <v>99</v>
      </c>
      <c r="EX11" s="64" t="s">
        <v>110</v>
      </c>
      <c r="EY11" s="64" t="s">
        <v>640</v>
      </c>
      <c r="EZ11" s="64" t="s">
        <v>111</v>
      </c>
      <c r="FA11" s="64" t="s">
        <v>112</v>
      </c>
      <c r="FB11" s="27" t="s">
        <v>641</v>
      </c>
      <c r="FC11" s="27" t="s">
        <v>642</v>
      </c>
      <c r="FD11" s="27" t="s">
        <v>643</v>
      </c>
      <c r="FE11" s="27" t="s">
        <v>644</v>
      </c>
      <c r="FF11" s="27" t="s">
        <v>645</v>
      </c>
      <c r="FG11" s="27" t="s">
        <v>646</v>
      </c>
      <c r="FH11" s="27" t="s">
        <v>647</v>
      </c>
      <c r="FI11" s="27" t="s">
        <v>648</v>
      </c>
      <c r="FJ11" s="1"/>
      <c r="FK11" s="1"/>
      <c r="FL11" s="1"/>
      <c r="FM11" s="1"/>
      <c r="FN11" s="1"/>
      <c r="FO11" s="1"/>
      <c r="FP11" s="1"/>
      <c r="FQ11" s="1"/>
    </row>
    <row r="12" spans="1:173" x14ac:dyDescent="0.3">
      <c r="A12" s="1"/>
      <c r="B12" s="28">
        <v>1</v>
      </c>
      <c r="C12" s="129">
        <f>'[13]2. Distributional by deciles o'!B64</f>
        <v>0</v>
      </c>
      <c r="D12" s="129">
        <f>'[13]2. Distributional by deciles o'!C64</f>
        <v>0</v>
      </c>
      <c r="E12" s="129">
        <f>'[13]2. Distributional by deciles o'!D64</f>
        <v>0</v>
      </c>
      <c r="F12" s="129">
        <f>'[13]2. Distributional by deciles o'!E64</f>
        <v>0</v>
      </c>
      <c r="G12" s="129">
        <f>'[13]2. Distributional by deciles o'!F64</f>
        <v>0</v>
      </c>
      <c r="H12" s="129">
        <f>G12</f>
        <v>0</v>
      </c>
      <c r="I12" s="129"/>
      <c r="J12" s="122"/>
      <c r="K12" s="130" t="s">
        <v>113</v>
      </c>
      <c r="L12" s="130" t="s">
        <v>113</v>
      </c>
      <c r="M12" s="130" t="s">
        <v>113</v>
      </c>
      <c r="N12" s="130" t="s">
        <v>113</v>
      </c>
      <c r="O12" s="131">
        <f t="shared" ref="O12:O21" si="0">C12/C$22*100</f>
        <v>0</v>
      </c>
      <c r="P12" s="129">
        <f>'[13]2. Distributional by deciles o'!B82</f>
        <v>158834700.31079999</v>
      </c>
      <c r="Q12" s="129">
        <f>'[13]2. Distributional by deciles o'!C82</f>
        <v>160423059.43680018</v>
      </c>
      <c r="R12" s="131">
        <f t="shared" ref="R12:R21" si="1">(Q12/P12-1)*100</f>
        <v>1.0000076323952944</v>
      </c>
      <c r="S12" s="130" t="s">
        <v>113</v>
      </c>
      <c r="T12" s="130" t="s">
        <v>113</v>
      </c>
      <c r="U12" s="130" t="s">
        <v>113</v>
      </c>
      <c r="V12" s="130" t="s">
        <v>113</v>
      </c>
      <c r="W12" s="132">
        <f>IF(D12&lt;&gt;0,((D12-$C12)/ABS($C12)) / ($Q12/$P12-1),0)</f>
        <v>0</v>
      </c>
      <c r="X12" s="132">
        <f>IF(E12&lt;&gt;0,((E12-$C12)/ABS($C12)) / ($Q12/$P12-1),0)</f>
        <v>0</v>
      </c>
      <c r="Y12" s="132">
        <f t="shared" ref="Y12:AA22" si="2">IF(F12&lt;&gt;0,MAX(((F12-$C12)/ABS($C12)) / ($Q12/$P12-1),0),0)</f>
        <v>0</v>
      </c>
      <c r="Z12" s="132">
        <f t="shared" si="2"/>
        <v>0</v>
      </c>
      <c r="AA12" s="132">
        <f t="shared" si="2"/>
        <v>0</v>
      </c>
      <c r="AB12" s="132">
        <f>IF(I12&lt;&gt;0,MAX(((I12-$C12)/ABS($C12)) / ($Q12/$P12-1),0),AA12)</f>
        <v>0</v>
      </c>
      <c r="AC12" s="132">
        <f>IF(J12&lt;&gt;0,MAX(((J12-$C12)/ABS($C12)) / ($Q12/$P12-1),0),AB12)</f>
        <v>0</v>
      </c>
      <c r="AD12" s="130" t="s">
        <v>113</v>
      </c>
      <c r="AE12" s="130" t="s">
        <v>113</v>
      </c>
      <c r="AF12" s="130" t="s">
        <v>113</v>
      </c>
      <c r="AG12" s="130" t="s">
        <v>113</v>
      </c>
      <c r="AH12" s="133">
        <f t="shared" ref="AH12:AH22" si="3">MIN(W12,1)</f>
        <v>0</v>
      </c>
      <c r="AI12" s="134">
        <f>IF(W12&gt;1,MAX(W12-SUM(AH12,AJ12:AO12),0),0)</f>
        <v>0</v>
      </c>
      <c r="AJ12" s="134">
        <f t="shared" ref="AJ12:AJ22" si="4">IF(W12&gt;1,MIN($W12-Y12,W12-AH12),0)</f>
        <v>0</v>
      </c>
      <c r="AK12" s="134">
        <f t="shared" ref="AK12:AK20" si="5">IF(W12&gt;1,MAX(MIN(Y12-Z12,W12-AH12-AJ12),0),0)</f>
        <v>0</v>
      </c>
      <c r="AL12" s="134">
        <f>IF(W12&gt;1,MAX(MIN(Z12-AA12,W12-AH12-AJ12-AK12),0),0)</f>
        <v>0</v>
      </c>
      <c r="AM12" s="134">
        <f>IF(I12&lt;&gt;0,IF(W12&gt;1,MAX(MIN(AA12-AB12,W12-AH12-AJ12-AK12-AL12),0),0),0)</f>
        <v>0</v>
      </c>
      <c r="AN12" s="135">
        <f t="shared" ref="AN12:AN13" si="6">IF(J12&lt;&gt;0,IF(W12&gt;1,MAX(MIN(AB12-AC12,W12-AH12-AJ12-AK12-AL12-AM12),0),0),0)</f>
        <v>0</v>
      </c>
      <c r="AO12" s="134">
        <f>IF(W12&gt;1,MAX(0,MIN(W12-AH12-AJ12-AK12-AL12-AM12,W12-AH12-AJ12-AK12-AL12-AM12-X12+1)),0)</f>
        <v>0</v>
      </c>
      <c r="AP12" s="134">
        <f t="shared" ref="AP12:AP22" si="7">AI12+AO12</f>
        <v>0</v>
      </c>
      <c r="AQ12" s="136" t="s">
        <v>113</v>
      </c>
      <c r="AR12" s="137">
        <f t="shared" ref="AR12:AY22" si="8">AI12/($W12-1)*100</f>
        <v>0</v>
      </c>
      <c r="AS12" s="137">
        <f t="shared" si="8"/>
        <v>0</v>
      </c>
      <c r="AT12" s="137">
        <f t="shared" si="8"/>
        <v>0</v>
      </c>
      <c r="AU12" s="137">
        <f t="shared" si="8"/>
        <v>0</v>
      </c>
      <c r="AV12" s="137">
        <f t="shared" si="8"/>
        <v>0</v>
      </c>
      <c r="AW12" s="138">
        <f t="shared" si="8"/>
        <v>0</v>
      </c>
      <c r="AX12" s="137">
        <f t="shared" si="8"/>
        <v>0</v>
      </c>
      <c r="AY12" s="137">
        <f t="shared" si="8"/>
        <v>0</v>
      </c>
      <c r="AZ12" s="139" t="s">
        <v>113</v>
      </c>
      <c r="BA12" s="139" t="s">
        <v>113</v>
      </c>
      <c r="BB12" s="139" t="s">
        <v>113</v>
      </c>
      <c r="BC12" s="139" t="s">
        <v>113</v>
      </c>
      <c r="BD12" s="139" t="s">
        <v>113</v>
      </c>
      <c r="BE12" s="139" t="s">
        <v>113</v>
      </c>
      <c r="BF12" s="139" t="s">
        <v>113</v>
      </c>
      <c r="BG12" s="139" t="s">
        <v>113</v>
      </c>
      <c r="BH12" s="140">
        <f>'[13]2. Distributional by deciles o'!B100</f>
        <v>92026406.803200006</v>
      </c>
      <c r="BI12" s="140">
        <f>'[13]2. Distributional by deciles o'!B118</f>
        <v>51722071.288799956</v>
      </c>
      <c r="BJ12" s="140">
        <f>'[13]2. Distributional by deciles o'!B136</f>
        <v>12856170.0264</v>
      </c>
      <c r="BK12" s="140">
        <f>'[13]2. Distributional by deciles o'!B154</f>
        <v>2230166.7611999996</v>
      </c>
      <c r="BL12" s="141">
        <f>BH12/SUM($BH12:$BK12)</f>
        <v>0.57938435520548759</v>
      </c>
      <c r="BM12" s="141">
        <f t="shared" ref="BM12:BO12" si="9">BI12/SUM($BH12:$BK12)</f>
        <v>0.32563434740680969</v>
      </c>
      <c r="BN12" s="141">
        <f t="shared" si="9"/>
        <v>8.0940504360742571E-2</v>
      </c>
      <c r="BO12" s="141">
        <f t="shared" si="9"/>
        <v>1.4040793026960189E-2</v>
      </c>
      <c r="BP12" s="139" t="s">
        <v>113</v>
      </c>
      <c r="BQ12" s="139" t="s">
        <v>113</v>
      </c>
      <c r="BR12" s="139" t="s">
        <v>113</v>
      </c>
      <c r="BS12" s="131">
        <f>P12/P$22*100</f>
        <v>1.3401224910582872</v>
      </c>
      <c r="BT12" s="139"/>
      <c r="BU12" s="139"/>
      <c r="BV12" s="139"/>
      <c r="BW12" s="139"/>
      <c r="BX12" s="139"/>
      <c r="BY12" s="139"/>
      <c r="BZ12" s="139"/>
      <c r="CA12" s="139"/>
      <c r="CB12" s="139"/>
      <c r="CC12" s="142" t="s">
        <v>113</v>
      </c>
      <c r="CD12" s="142" t="s">
        <v>113</v>
      </c>
      <c r="CE12" s="142" t="s">
        <v>113</v>
      </c>
      <c r="CF12" s="142" t="s">
        <v>113</v>
      </c>
      <c r="CG12" s="142" t="s">
        <v>113</v>
      </c>
      <c r="CH12" s="142" t="s">
        <v>113</v>
      </c>
      <c r="CI12" s="142" t="s">
        <v>113</v>
      </c>
      <c r="CJ12" s="142"/>
      <c r="CK12" s="139" t="s">
        <v>113</v>
      </c>
      <c r="CL12" s="139" t="s">
        <v>113</v>
      </c>
      <c r="CM12" s="139" t="s">
        <v>113</v>
      </c>
      <c r="CN12" s="139" t="s">
        <v>113</v>
      </c>
      <c r="CO12" s="139" t="s">
        <v>113</v>
      </c>
      <c r="CP12" s="139" t="s">
        <v>113</v>
      </c>
      <c r="CQ12" s="139" t="s">
        <v>113</v>
      </c>
      <c r="CR12" s="139"/>
      <c r="CS12" s="143" t="s">
        <v>113</v>
      </c>
      <c r="CT12" s="143" t="s">
        <v>113</v>
      </c>
      <c r="CU12" s="143" t="s">
        <v>113</v>
      </c>
      <c r="CV12" s="143" t="s">
        <v>113</v>
      </c>
      <c r="CW12" s="143" t="s">
        <v>113</v>
      </c>
      <c r="CX12" s="143" t="s">
        <v>113</v>
      </c>
      <c r="CY12" s="143" t="s">
        <v>113</v>
      </c>
      <c r="CZ12" s="143"/>
      <c r="DA12" s="139" t="s">
        <v>113</v>
      </c>
      <c r="DB12" s="139" t="s">
        <v>113</v>
      </c>
      <c r="DC12" s="139" t="s">
        <v>113</v>
      </c>
      <c r="DD12" s="144">
        <f>(1-DE12)*100</f>
        <v>100</v>
      </c>
      <c r="DE12" s="145">
        <f>'[13]2. Distributional by deciles o'!H28</f>
        <v>0</v>
      </c>
      <c r="DF12" s="1"/>
      <c r="DG12" s="1"/>
      <c r="DH12" s="1"/>
      <c r="DI12" s="1"/>
      <c r="DJ12" s="1"/>
      <c r="DK12" s="1"/>
      <c r="DL12" s="1"/>
      <c r="DM12" s="1"/>
      <c r="DN12" s="1"/>
      <c r="DO12" s="1"/>
      <c r="DP12" s="1"/>
      <c r="DQ12" s="1"/>
      <c r="DR12" s="1"/>
      <c r="DS12" s="1"/>
      <c r="DT12" s="1"/>
      <c r="DU12" s="1"/>
      <c r="DV12" s="1"/>
      <c r="DW12" s="1"/>
      <c r="DX12" s="1"/>
      <c r="DY12" s="1"/>
      <c r="DZ12" s="1"/>
      <c r="EA12" s="146">
        <f>'[14]2. Distributional by deciles o'!B64</f>
        <v>0</v>
      </c>
      <c r="EB12" s="146">
        <f>'[14]2. Distributional by deciles o'!C64</f>
        <v>0</v>
      </c>
      <c r="EC12" s="146">
        <f>'[14]2. Distributional by deciles o'!D64</f>
        <v>0</v>
      </c>
      <c r="ED12" s="146">
        <f>'[14]2. Distributional by deciles o'!E64</f>
        <v>0</v>
      </c>
      <c r="EE12" s="146">
        <f>'[14]2. Distributional by deciles o'!F64</f>
        <v>0</v>
      </c>
      <c r="EF12" s="146">
        <f>EE12</f>
        <v>0</v>
      </c>
      <c r="EG12" s="129"/>
      <c r="EH12" s="122"/>
      <c r="EI12" s="130" t="s">
        <v>113</v>
      </c>
      <c r="EJ12" s="130" t="s">
        <v>113</v>
      </c>
      <c r="EK12" s="130" t="s">
        <v>113</v>
      </c>
      <c r="EL12" s="130" t="s">
        <v>113</v>
      </c>
      <c r="EM12" s="131">
        <f t="shared" ref="EM12:EM21" si="10">EA12/EA$22*100</f>
        <v>0</v>
      </c>
      <c r="EN12" s="146">
        <f>'[14]2. Distributional by deciles o'!B82</f>
        <v>179209423.88160008</v>
      </c>
      <c r="EO12" s="146">
        <f>'[14]2. Distributional by deciles o'!C82</f>
        <v>181001868.57120013</v>
      </c>
      <c r="EP12" s="131">
        <f t="shared" ref="EP12:EP21" si="11">(EO12/EN12-1)*100</f>
        <v>1.0001955537696894</v>
      </c>
      <c r="EQ12" s="130" t="s">
        <v>113</v>
      </c>
      <c r="ER12" s="130" t="s">
        <v>113</v>
      </c>
      <c r="ES12" s="130" t="s">
        <v>113</v>
      </c>
      <c r="ET12" s="130" t="s">
        <v>113</v>
      </c>
      <c r="EU12" s="131">
        <f>EN12/EN$22*100</f>
        <v>1.3337212699997392</v>
      </c>
      <c r="EV12" s="132" t="e">
        <f>((EB12-$EA12)/ABS($EA12)) / ($EO12/$EN12-1)</f>
        <v>#DIV/0!</v>
      </c>
      <c r="EW12" s="132">
        <f>IF(EC12&lt;&gt;0,((EC12-$EA12)/ABS($EA12)) / ($EO12/$EN12-1),0)</f>
        <v>0</v>
      </c>
      <c r="EX12" s="132"/>
      <c r="EY12" s="148" t="e">
        <f t="shared" ref="EY12:EY22" si="12">EV12-W12</f>
        <v>#DIV/0!</v>
      </c>
      <c r="EZ12" s="144">
        <f>(1-FA12)*100</f>
        <v>100</v>
      </c>
      <c r="FA12" s="145">
        <f>'[14]2. Distributional by deciles o'!H28</f>
        <v>0</v>
      </c>
      <c r="FB12" s="130" t="s">
        <v>113</v>
      </c>
      <c r="FC12" s="130" t="s">
        <v>113</v>
      </c>
      <c r="FD12" s="130" t="s">
        <v>113</v>
      </c>
      <c r="FE12" s="130" t="s">
        <v>113</v>
      </c>
      <c r="FF12" s="130" t="s">
        <v>113</v>
      </c>
      <c r="FG12" s="130" t="s">
        <v>113</v>
      </c>
      <c r="FH12" s="130" t="s">
        <v>113</v>
      </c>
      <c r="FI12" s="130" t="s">
        <v>113</v>
      </c>
      <c r="FJ12" s="1"/>
      <c r="FK12" s="1"/>
      <c r="FL12" s="1"/>
      <c r="FM12" s="1"/>
      <c r="FN12" s="1"/>
      <c r="FO12" s="1"/>
      <c r="FP12" s="1"/>
      <c r="FQ12" s="1"/>
    </row>
    <row r="13" spans="1:173" x14ac:dyDescent="0.3">
      <c r="A13" s="1"/>
      <c r="B13" s="28">
        <v>2</v>
      </c>
      <c r="C13" s="129">
        <f>'[13]2. Distributional by deciles o'!B65</f>
        <v>171581.10359999997</v>
      </c>
      <c r="D13" s="129">
        <f>'[13]2. Distributional by deciles o'!C65</f>
        <v>189038.80079999997</v>
      </c>
      <c r="E13" s="129">
        <f>'[13]2. Distributional by deciles o'!D65</f>
        <v>173291.7708</v>
      </c>
      <c r="F13" s="129">
        <f>'[13]2. Distributional by deciles o'!E65</f>
        <v>173291.7708</v>
      </c>
      <c r="G13" s="129">
        <f>'[13]2. Distributional by deciles o'!F65</f>
        <v>173291.7708</v>
      </c>
      <c r="H13" s="129">
        <f t="shared" ref="H13:H22" si="13">G13</f>
        <v>173291.7708</v>
      </c>
      <c r="I13" s="129"/>
      <c r="J13" s="122"/>
      <c r="K13" s="130" t="s">
        <v>113</v>
      </c>
      <c r="L13" s="130" t="s">
        <v>113</v>
      </c>
      <c r="M13" s="130" t="s">
        <v>113</v>
      </c>
      <c r="N13" s="130" t="s">
        <v>113</v>
      </c>
      <c r="O13" s="131">
        <f t="shared" si="0"/>
        <v>2.0899647472152429E-2</v>
      </c>
      <c r="P13" s="129">
        <f>'[13]2. Distributional by deciles o'!B83</f>
        <v>449025937.7856003</v>
      </c>
      <c r="Q13" s="129">
        <f>'[13]2. Distributional by deciles o'!C83</f>
        <v>453516514.30559981</v>
      </c>
      <c r="R13" s="131">
        <f t="shared" si="1"/>
        <v>1.0000706289140071</v>
      </c>
      <c r="S13" s="130" t="s">
        <v>113</v>
      </c>
      <c r="T13" s="130" t="s">
        <v>113</v>
      </c>
      <c r="U13" s="130" t="s">
        <v>113</v>
      </c>
      <c r="V13" s="130" t="s">
        <v>113</v>
      </c>
      <c r="W13" s="132">
        <f t="shared" ref="W13:X22" si="14">IF(D13&lt;&gt;0,((D13-$C13)/ABS($C13)) / ($Q13/$P13-1),0)</f>
        <v>10.173885062297899</v>
      </c>
      <c r="X13" s="132">
        <f t="shared" si="14"/>
        <v>0.99693168424545908</v>
      </c>
      <c r="Y13" s="132">
        <f t="shared" si="2"/>
        <v>0.99693168424545908</v>
      </c>
      <c r="Z13" s="132">
        <f t="shared" si="2"/>
        <v>0.99693168424545908</v>
      </c>
      <c r="AA13" s="132">
        <f t="shared" si="2"/>
        <v>0.99693168424545908</v>
      </c>
      <c r="AB13" s="132">
        <f t="shared" ref="AB13:AC22" si="15">IF(I13&lt;&gt;0,MAX(((I13-$C13)/ABS($C13)) / ($Q13/$P13-1),0),AA13)</f>
        <v>0.99693168424545908</v>
      </c>
      <c r="AC13" s="132">
        <f t="shared" si="15"/>
        <v>0.99693168424545908</v>
      </c>
      <c r="AD13" s="130" t="s">
        <v>113</v>
      </c>
      <c r="AE13" s="130" t="s">
        <v>113</v>
      </c>
      <c r="AF13" s="130" t="s">
        <v>113</v>
      </c>
      <c r="AG13" s="130" t="s">
        <v>113</v>
      </c>
      <c r="AH13" s="133">
        <f t="shared" si="3"/>
        <v>1</v>
      </c>
      <c r="AI13" s="134">
        <f t="shared" ref="AI13:AI22" si="16">IF(W13&gt;1,MAX(W13-SUM(AH13,AJ13:AO13),0),0)</f>
        <v>0</v>
      </c>
      <c r="AJ13" s="134">
        <f t="shared" si="4"/>
        <v>9.1738850622978987</v>
      </c>
      <c r="AK13" s="134">
        <f t="shared" si="5"/>
        <v>0</v>
      </c>
      <c r="AL13" s="134">
        <f t="shared" ref="AL13:AL22" si="17">IF(W13&gt;1,MAX(MIN(Z13-AA13,W13-AH13-AJ13-AK13),0),0)</f>
        <v>0</v>
      </c>
      <c r="AM13" s="134">
        <f t="shared" ref="AM13:AM22" si="18">IF(I13&lt;&gt;0,IF(W13&gt;1,MAX(MIN(AA13-AB13,W13-AH13-AJ13-AK13-AL13),0),0),0)</f>
        <v>0</v>
      </c>
      <c r="AN13" s="135">
        <f t="shared" si="6"/>
        <v>0</v>
      </c>
      <c r="AO13" s="134">
        <f t="shared" ref="AO13:AO22" si="19">IF(W13&gt;1,MAX(0,MIN(W13-AH13-AJ13-AK13-AL13-AM13,W13-AH13-AJ13-AK13-AL13-AM13-X13+1)),0)</f>
        <v>0</v>
      </c>
      <c r="AP13" s="134">
        <f t="shared" si="7"/>
        <v>0</v>
      </c>
      <c r="AQ13" s="136" t="s">
        <v>113</v>
      </c>
      <c r="AR13" s="137">
        <f t="shared" si="8"/>
        <v>0</v>
      </c>
      <c r="AS13" s="137">
        <f t="shared" si="8"/>
        <v>100</v>
      </c>
      <c r="AT13" s="137">
        <f t="shared" si="8"/>
        <v>0</v>
      </c>
      <c r="AU13" s="137">
        <f t="shared" si="8"/>
        <v>0</v>
      </c>
      <c r="AV13" s="137">
        <f t="shared" si="8"/>
        <v>0</v>
      </c>
      <c r="AW13" s="138">
        <f t="shared" si="8"/>
        <v>0</v>
      </c>
      <c r="AX13" s="137">
        <f t="shared" si="8"/>
        <v>0</v>
      </c>
      <c r="AY13" s="137">
        <f t="shared" si="8"/>
        <v>0</v>
      </c>
      <c r="AZ13" s="139" t="s">
        <v>113</v>
      </c>
      <c r="BA13" s="139" t="s">
        <v>113</v>
      </c>
      <c r="BB13" s="139" t="s">
        <v>113</v>
      </c>
      <c r="BC13" s="139" t="s">
        <v>113</v>
      </c>
      <c r="BD13" s="139" t="s">
        <v>113</v>
      </c>
      <c r="BE13" s="139" t="s">
        <v>113</v>
      </c>
      <c r="BF13" s="139" t="s">
        <v>113</v>
      </c>
      <c r="BG13" s="139" t="s">
        <v>113</v>
      </c>
      <c r="BH13" s="140">
        <f>'[13]2. Distributional by deciles o'!B101</f>
        <v>217520444.21039999</v>
      </c>
      <c r="BI13" s="140">
        <f>'[13]2. Distributional by deciles o'!B119</f>
        <v>182596130.28120002</v>
      </c>
      <c r="BJ13" s="140">
        <f>'[13]2. Distributional by deciles o'!B137</f>
        <v>46237922.047200017</v>
      </c>
      <c r="BK13" s="140">
        <f>'[13]2. Distributional by deciles o'!B155</f>
        <v>2671511.6483999998</v>
      </c>
      <c r="BL13" s="141">
        <f t="shared" ref="BL13:BL22" si="20">BH13/SUM($BH13:$BK13)</f>
        <v>0.48442727201609037</v>
      </c>
      <c r="BM13" s="141">
        <f t="shared" ref="BM13:BM22" si="21">BI13/SUM($BH13:$BK13)</f>
        <v>0.40664934091095062</v>
      </c>
      <c r="BN13" s="141">
        <f t="shared" ref="BN13:BO22" si="22">BJ13/SUM($BH13:$BK13)</f>
        <v>0.10297381711556296</v>
      </c>
      <c r="BO13" s="141">
        <f t="shared" si="22"/>
        <v>5.9495699573959646E-3</v>
      </c>
      <c r="BP13" s="139" t="s">
        <v>113</v>
      </c>
      <c r="BQ13" s="139" t="s">
        <v>113</v>
      </c>
      <c r="BR13" s="139" t="s">
        <v>113</v>
      </c>
      <c r="BS13" s="131">
        <f t="shared" ref="BS13:BS21" si="23">P13/P$22*100</f>
        <v>3.7885283072121378</v>
      </c>
      <c r="BT13" s="139"/>
      <c r="BU13" s="139"/>
      <c r="BV13" s="139"/>
      <c r="BW13" s="139"/>
      <c r="BX13" s="139"/>
      <c r="BY13" s="139"/>
      <c r="BZ13" s="139"/>
      <c r="CA13" s="139"/>
      <c r="CB13" s="139"/>
      <c r="CC13" s="142" t="s">
        <v>113</v>
      </c>
      <c r="CD13" s="142" t="s">
        <v>113</v>
      </c>
      <c r="CE13" s="142" t="s">
        <v>113</v>
      </c>
      <c r="CF13" s="142" t="s">
        <v>113</v>
      </c>
      <c r="CG13" s="142" t="s">
        <v>113</v>
      </c>
      <c r="CH13" s="142" t="s">
        <v>113</v>
      </c>
      <c r="CI13" s="142" t="s">
        <v>113</v>
      </c>
      <c r="CJ13" s="142"/>
      <c r="CK13" s="139" t="s">
        <v>113</v>
      </c>
      <c r="CL13" s="139" t="s">
        <v>113</v>
      </c>
      <c r="CM13" s="139" t="s">
        <v>113</v>
      </c>
      <c r="CN13" s="139" t="s">
        <v>113</v>
      </c>
      <c r="CO13" s="139" t="s">
        <v>113</v>
      </c>
      <c r="CP13" s="139" t="s">
        <v>113</v>
      </c>
      <c r="CQ13" s="139" t="s">
        <v>113</v>
      </c>
      <c r="CR13" s="139"/>
      <c r="CS13" s="143" t="s">
        <v>113</v>
      </c>
      <c r="CT13" s="143" t="s">
        <v>113</v>
      </c>
      <c r="CU13" s="143" t="s">
        <v>113</v>
      </c>
      <c r="CV13" s="143" t="s">
        <v>113</v>
      </c>
      <c r="CW13" s="143" t="s">
        <v>113</v>
      </c>
      <c r="CX13" s="143" t="s">
        <v>113</v>
      </c>
      <c r="CY13" s="143" t="s">
        <v>113</v>
      </c>
      <c r="CZ13" s="143"/>
      <c r="DA13" s="139" t="s">
        <v>113</v>
      </c>
      <c r="DB13" s="139" t="s">
        <v>113</v>
      </c>
      <c r="DC13" s="139" t="s">
        <v>113</v>
      </c>
      <c r="DD13" s="144">
        <f t="shared" ref="DD13:DD22" si="24">(1-DE13)*100</f>
        <v>98.877348588587751</v>
      </c>
      <c r="DE13" s="145">
        <f>'[13]2. Distributional by deciles o'!H29</f>
        <v>1.1226514114122465E-2</v>
      </c>
      <c r="DF13" s="1"/>
      <c r="DG13" s="1"/>
      <c r="DH13" s="1"/>
      <c r="DI13" s="1"/>
      <c r="DJ13" s="1"/>
      <c r="DK13" s="1"/>
      <c r="DL13" s="1"/>
      <c r="DM13" s="1"/>
      <c r="DN13" s="1"/>
      <c r="DO13" s="1"/>
      <c r="DP13" s="1"/>
      <c r="DQ13" s="1"/>
      <c r="DR13" s="1"/>
      <c r="DS13" s="1"/>
      <c r="DT13" s="1"/>
      <c r="DU13" s="1"/>
      <c r="DV13" s="1"/>
      <c r="DW13" s="1"/>
      <c r="DX13" s="1"/>
      <c r="DY13" s="1"/>
      <c r="DZ13" s="1"/>
      <c r="EA13" s="146">
        <f>'[14]2. Distributional by deciles o'!B65</f>
        <v>456150.25080000004</v>
      </c>
      <c r="EB13" s="146">
        <f>'[14]2. Distributional by deciles o'!C65</f>
        <v>508094.36640000006</v>
      </c>
      <c r="EC13" s="146">
        <f>'[14]2. Distributional by deciles o'!D65</f>
        <v>460719.89640000009</v>
      </c>
      <c r="ED13" s="146">
        <f>'[14]2. Distributional by deciles o'!E65</f>
        <v>51944.115600000019</v>
      </c>
      <c r="EE13" s="146">
        <f>'[14]2. Distributional by deciles o'!F65</f>
        <v>4569.6456000000471</v>
      </c>
      <c r="EF13" s="146">
        <f t="shared" ref="EF13:EF22" si="25">EE13</f>
        <v>4569.6456000000471</v>
      </c>
      <c r="EG13" s="129"/>
      <c r="EH13" s="122"/>
      <c r="EI13" s="130" t="s">
        <v>113</v>
      </c>
      <c r="EJ13" s="130" t="s">
        <v>113</v>
      </c>
      <c r="EK13" s="130" t="s">
        <v>113</v>
      </c>
      <c r="EL13" s="130" t="s">
        <v>113</v>
      </c>
      <c r="EM13" s="131">
        <f t="shared" si="10"/>
        <v>4.2957470062645865E-2</v>
      </c>
      <c r="EN13" s="146">
        <f>'[14]2. Distributional by deciles o'!B83</f>
        <v>503928892.30199987</v>
      </c>
      <c r="EO13" s="146">
        <f>'[14]2. Distributional by deciles o'!C83</f>
        <v>508968520.96080011</v>
      </c>
      <c r="EP13" s="131">
        <f t="shared" si="11"/>
        <v>1.0000674174046154</v>
      </c>
      <c r="EQ13" s="130" t="s">
        <v>113</v>
      </c>
      <c r="ER13" s="130" t="s">
        <v>113</v>
      </c>
      <c r="ES13" s="130" t="s">
        <v>113</v>
      </c>
      <c r="ET13" s="130" t="s">
        <v>113</v>
      </c>
      <c r="EU13" s="131">
        <f t="shared" ref="EU13:EU21" si="26">EN13/EN$22*100</f>
        <v>3.7503646162861828</v>
      </c>
      <c r="EV13" s="132">
        <f t="shared" ref="EV13:EV22" si="27">((EB13-$EA13)/ABS($EA13)) / ($EO13/$EN13-1)</f>
        <v>11.386733605324775</v>
      </c>
      <c r="EW13" s="132">
        <f t="shared" ref="EW13:EW22" si="28">IF(EC13&lt;&gt;0,((EC13-$EA13)/ABS($EA13)) / ($EO13/$EN13-1),0)</f>
        <v>1.0017176443744287</v>
      </c>
      <c r="EX13" s="132"/>
      <c r="EY13" s="148">
        <f t="shared" si="12"/>
        <v>1.2128485430268761</v>
      </c>
      <c r="EZ13" s="144">
        <f t="shared" ref="EZ13:EZ22" si="29">(1-FA13)*100</f>
        <v>100</v>
      </c>
      <c r="FA13" s="145">
        <f>'[14]2. Distributional by deciles o'!H29</f>
        <v>0</v>
      </c>
      <c r="FB13" s="130" t="s">
        <v>113</v>
      </c>
      <c r="FC13" s="130" t="s">
        <v>113</v>
      </c>
      <c r="FD13" s="130" t="s">
        <v>113</v>
      </c>
      <c r="FE13" s="130" t="s">
        <v>113</v>
      </c>
      <c r="FF13" s="130" t="s">
        <v>113</v>
      </c>
      <c r="FG13" s="130" t="s">
        <v>113</v>
      </c>
      <c r="FH13" s="130" t="s">
        <v>113</v>
      </c>
      <c r="FI13" s="130" t="s">
        <v>113</v>
      </c>
      <c r="FJ13" s="1"/>
      <c r="FK13" s="1"/>
      <c r="FL13" s="1"/>
      <c r="FM13" s="1"/>
      <c r="FN13" s="1"/>
      <c r="FO13" s="1"/>
      <c r="FP13" s="1"/>
      <c r="FQ13" s="1"/>
    </row>
    <row r="14" spans="1:173" x14ac:dyDescent="0.3">
      <c r="A14" s="1"/>
      <c r="B14" s="28">
        <v>3</v>
      </c>
      <c r="C14" s="129">
        <f>'[13]2. Distributional by deciles o'!B66</f>
        <v>1444605.2795999995</v>
      </c>
      <c r="D14" s="129">
        <f>'[13]2. Distributional by deciles o'!C66</f>
        <v>1598354.7683999999</v>
      </c>
      <c r="E14" s="129">
        <f>'[13]2. Distributional by deciles o'!D66</f>
        <v>1459086.5772000002</v>
      </c>
      <c r="F14" s="129">
        <f>'[13]2. Distributional by deciles o'!E66</f>
        <v>1459086.5772000002</v>
      </c>
      <c r="G14" s="129">
        <f>'[13]2. Distributional by deciles o'!F66</f>
        <v>1459086.5772000002</v>
      </c>
      <c r="H14" s="129">
        <f t="shared" si="13"/>
        <v>1459086.5772000002</v>
      </c>
      <c r="I14" s="129"/>
      <c r="J14" s="122"/>
      <c r="K14" s="130" t="s">
        <v>113</v>
      </c>
      <c r="L14" s="130" t="s">
        <v>113</v>
      </c>
      <c r="M14" s="130" t="s">
        <v>113</v>
      </c>
      <c r="N14" s="130" t="s">
        <v>113</v>
      </c>
      <c r="O14" s="131">
        <f t="shared" si="0"/>
        <v>0.1759619238167098</v>
      </c>
      <c r="P14" s="129">
        <f>'[13]2. Distributional by deciles o'!B84</f>
        <v>583105106.69279981</v>
      </c>
      <c r="Q14" s="129">
        <f>'[13]2. Distributional by deciles o'!C84</f>
        <v>588936526.73160028</v>
      </c>
      <c r="R14" s="131">
        <f t="shared" si="1"/>
        <v>1.0000632770778894</v>
      </c>
      <c r="S14" s="130" t="s">
        <v>113</v>
      </c>
      <c r="T14" s="130" t="s">
        <v>113</v>
      </c>
      <c r="U14" s="130" t="s">
        <v>113</v>
      </c>
      <c r="V14" s="130" t="s">
        <v>113</v>
      </c>
      <c r="W14" s="132">
        <f t="shared" si="14"/>
        <v>10.642336890791634</v>
      </c>
      <c r="X14" s="132">
        <f t="shared" si="14"/>
        <v>1.0023763257872937</v>
      </c>
      <c r="Y14" s="132">
        <f t="shared" si="2"/>
        <v>1.0023763257872937</v>
      </c>
      <c r="Z14" s="132">
        <f t="shared" si="2"/>
        <v>1.0023763257872937</v>
      </c>
      <c r="AA14" s="132">
        <f t="shared" si="2"/>
        <v>1.0023763257872937</v>
      </c>
      <c r="AB14" s="132">
        <f t="shared" si="15"/>
        <v>1.0023763257872937</v>
      </c>
      <c r="AC14" s="132">
        <f t="shared" si="15"/>
        <v>1.0023763257872937</v>
      </c>
      <c r="AD14" s="130" t="s">
        <v>113</v>
      </c>
      <c r="AE14" s="130" t="s">
        <v>113</v>
      </c>
      <c r="AF14" s="130" t="s">
        <v>113</v>
      </c>
      <c r="AG14" s="130" t="s">
        <v>113</v>
      </c>
      <c r="AH14" s="133">
        <f t="shared" si="3"/>
        <v>1</v>
      </c>
      <c r="AI14" s="134">
        <f t="shared" si="16"/>
        <v>2.3763257872939647E-3</v>
      </c>
      <c r="AJ14" s="134">
        <f t="shared" si="4"/>
        <v>9.6399605650043405</v>
      </c>
      <c r="AK14" s="134">
        <f t="shared" si="5"/>
        <v>0</v>
      </c>
      <c r="AL14" s="134">
        <f t="shared" si="17"/>
        <v>0</v>
      </c>
      <c r="AM14" s="134">
        <f t="shared" si="18"/>
        <v>0</v>
      </c>
      <c r="AN14" s="135">
        <f>IF(J14&lt;&gt;0,IF(W14&gt;1,MAX(MIN(AB14-AC14,W14-AH14-AJ14-AK14-AL14-AM14),0),0),0)</f>
        <v>0</v>
      </c>
      <c r="AO14" s="134">
        <f t="shared" si="19"/>
        <v>2.2204460492503131E-16</v>
      </c>
      <c r="AP14" s="134">
        <f t="shared" si="7"/>
        <v>2.3763257872941868E-3</v>
      </c>
      <c r="AQ14" s="136" t="s">
        <v>113</v>
      </c>
      <c r="AR14" s="137">
        <f t="shared" si="8"/>
        <v>2.4644708167823298E-2</v>
      </c>
      <c r="AS14" s="137">
        <f t="shared" si="8"/>
        <v>99.975355291832173</v>
      </c>
      <c r="AT14" s="137">
        <f t="shared" si="8"/>
        <v>0</v>
      </c>
      <c r="AU14" s="137">
        <f t="shared" si="8"/>
        <v>0</v>
      </c>
      <c r="AV14" s="137">
        <f t="shared" si="8"/>
        <v>0</v>
      </c>
      <c r="AW14" s="138">
        <f t="shared" si="8"/>
        <v>0</v>
      </c>
      <c r="AX14" s="137">
        <f t="shared" si="8"/>
        <v>2.3028090331202011E-15</v>
      </c>
      <c r="AY14" s="137">
        <f t="shared" si="8"/>
        <v>2.4644708167825595E-2</v>
      </c>
      <c r="AZ14" s="139" t="s">
        <v>113</v>
      </c>
      <c r="BA14" s="139" t="s">
        <v>113</v>
      </c>
      <c r="BB14" s="139" t="s">
        <v>113</v>
      </c>
      <c r="BC14" s="139" t="s">
        <v>113</v>
      </c>
      <c r="BD14" s="139" t="s">
        <v>113</v>
      </c>
      <c r="BE14" s="139" t="s">
        <v>113</v>
      </c>
      <c r="BF14" s="139" t="s">
        <v>113</v>
      </c>
      <c r="BG14" s="139" t="s">
        <v>113</v>
      </c>
      <c r="BH14" s="140">
        <f>'[13]2. Distributional by deciles o'!B102</f>
        <v>364990566.49080008</v>
      </c>
      <c r="BI14" s="140">
        <f>'[13]2. Distributional by deciles o'!B120</f>
        <v>144287719.17719999</v>
      </c>
      <c r="BJ14" s="140">
        <f>'[13]2. Distributional by deciles o'!B138</f>
        <v>69701247.161999941</v>
      </c>
      <c r="BK14" s="140">
        <f>'[13]2. Distributional by deciles o'!B156</f>
        <v>4125579.3840000001</v>
      </c>
      <c r="BL14" s="141">
        <f t="shared" si="20"/>
        <v>0.62594300554999815</v>
      </c>
      <c r="BM14" s="141">
        <f t="shared" si="21"/>
        <v>0.24744718603023719</v>
      </c>
      <c r="BN14" s="141">
        <f t="shared" si="22"/>
        <v>0.11953461854818988</v>
      </c>
      <c r="BO14" s="141">
        <f t="shared" si="22"/>
        <v>7.0751898715748348E-3</v>
      </c>
      <c r="BP14" s="139" t="s">
        <v>113</v>
      </c>
      <c r="BQ14" s="139" t="s">
        <v>113</v>
      </c>
      <c r="BR14" s="139" t="s">
        <v>113</v>
      </c>
      <c r="BS14" s="131">
        <f t="shared" si="23"/>
        <v>4.9197830612636588</v>
      </c>
      <c r="BT14" s="139"/>
      <c r="BU14" s="139"/>
      <c r="BV14" s="139"/>
      <c r="BW14" s="139"/>
      <c r="BX14" s="139"/>
      <c r="BY14" s="139"/>
      <c r="BZ14" s="139"/>
      <c r="CA14" s="139"/>
      <c r="CB14" s="139"/>
      <c r="CC14" s="142" t="s">
        <v>113</v>
      </c>
      <c r="CD14" s="142" t="s">
        <v>113</v>
      </c>
      <c r="CE14" s="142" t="s">
        <v>113</v>
      </c>
      <c r="CF14" s="142" t="s">
        <v>113</v>
      </c>
      <c r="CG14" s="142" t="s">
        <v>113</v>
      </c>
      <c r="CH14" s="142" t="s">
        <v>113</v>
      </c>
      <c r="CI14" s="142" t="s">
        <v>113</v>
      </c>
      <c r="CJ14" s="142"/>
      <c r="CK14" s="139" t="s">
        <v>113</v>
      </c>
      <c r="CL14" s="139" t="s">
        <v>113</v>
      </c>
      <c r="CM14" s="139" t="s">
        <v>113</v>
      </c>
      <c r="CN14" s="139" t="s">
        <v>113</v>
      </c>
      <c r="CO14" s="139" t="s">
        <v>113</v>
      </c>
      <c r="CP14" s="139" t="s">
        <v>113</v>
      </c>
      <c r="CQ14" s="139" t="s">
        <v>113</v>
      </c>
      <c r="CR14" s="139"/>
      <c r="CS14" s="143" t="s">
        <v>113</v>
      </c>
      <c r="CT14" s="143" t="s">
        <v>113</v>
      </c>
      <c r="CU14" s="143" t="s">
        <v>113</v>
      </c>
      <c r="CV14" s="143" t="s">
        <v>113</v>
      </c>
      <c r="CW14" s="143" t="s">
        <v>113</v>
      </c>
      <c r="CX14" s="143" t="s">
        <v>113</v>
      </c>
      <c r="CY14" s="143" t="s">
        <v>113</v>
      </c>
      <c r="CZ14" s="143"/>
      <c r="DA14" s="139" t="s">
        <v>113</v>
      </c>
      <c r="DB14" s="139" t="s">
        <v>113</v>
      </c>
      <c r="DC14" s="139" t="s">
        <v>113</v>
      </c>
      <c r="DD14" s="144">
        <f t="shared" si="24"/>
        <v>88.585854380312455</v>
      </c>
      <c r="DE14" s="145">
        <f>'[13]2. Distributional by deciles o'!H30</f>
        <v>0.11414145619687545</v>
      </c>
      <c r="DF14" s="1"/>
      <c r="DG14" s="1"/>
      <c r="DH14" s="1"/>
      <c r="DI14" s="1"/>
      <c r="DJ14" s="1"/>
      <c r="DK14" s="1"/>
      <c r="DL14" s="1"/>
      <c r="DM14" s="1"/>
      <c r="DN14" s="1"/>
      <c r="DO14" s="1"/>
      <c r="DP14" s="1"/>
      <c r="DQ14" s="1"/>
      <c r="DR14" s="1"/>
      <c r="DS14" s="1"/>
      <c r="DT14" s="1"/>
      <c r="DU14" s="1"/>
      <c r="DV14" s="1"/>
      <c r="DW14" s="1"/>
      <c r="DX14" s="1"/>
      <c r="DY14" s="1"/>
      <c r="DZ14" s="1"/>
      <c r="EA14" s="146">
        <f>'[14]2. Distributional by deciles o'!B66</f>
        <v>3721783.0019999994</v>
      </c>
      <c r="EB14" s="146">
        <f>'[14]2. Distributional by deciles o'!C66</f>
        <v>3947898.1620000014</v>
      </c>
      <c r="EC14" s="146">
        <f>'[14]2. Distributional by deciles o'!D66</f>
        <v>3759049.3476</v>
      </c>
      <c r="ED14" s="146">
        <f>'[14]2. Distributional by deciles o'!E66</f>
        <v>226115.16000000015</v>
      </c>
      <c r="EE14" s="146">
        <f>'[14]2. Distributional by deciles o'!F66</f>
        <v>37266.345600000117</v>
      </c>
      <c r="EF14" s="146">
        <f t="shared" si="25"/>
        <v>37266.345600000117</v>
      </c>
      <c r="EG14" s="129"/>
      <c r="EH14" s="122"/>
      <c r="EI14" s="130" t="s">
        <v>113</v>
      </c>
      <c r="EJ14" s="130" t="s">
        <v>113</v>
      </c>
      <c r="EK14" s="130" t="s">
        <v>113</v>
      </c>
      <c r="EL14" s="130" t="s">
        <v>113</v>
      </c>
      <c r="EM14" s="131">
        <f t="shared" si="10"/>
        <v>0.35049499941671242</v>
      </c>
      <c r="EN14" s="146">
        <f>'[14]2. Distributional by deciles o'!B84</f>
        <v>661911610.21679974</v>
      </c>
      <c r="EO14" s="146">
        <f>'[14]2. Distributional by deciles o'!C84</f>
        <v>668530564.33080006</v>
      </c>
      <c r="EP14" s="131">
        <f t="shared" si="11"/>
        <v>0.99997552722068672</v>
      </c>
      <c r="EQ14" s="130" t="s">
        <v>113</v>
      </c>
      <c r="ER14" s="130" t="s">
        <v>113</v>
      </c>
      <c r="ES14" s="130" t="s">
        <v>113</v>
      </c>
      <c r="ET14" s="130" t="s">
        <v>113</v>
      </c>
      <c r="EU14" s="131">
        <f t="shared" si="26"/>
        <v>4.9261114414896712</v>
      </c>
      <c r="EV14" s="132">
        <f t="shared" si="27"/>
        <v>6.0756012287746923</v>
      </c>
      <c r="EW14" s="132">
        <f t="shared" si="28"/>
        <v>1.0013280627415864</v>
      </c>
      <c r="EX14" s="132"/>
      <c r="EY14" s="148">
        <f t="shared" si="12"/>
        <v>-4.5667356620169421</v>
      </c>
      <c r="EZ14" s="144">
        <f t="shared" si="29"/>
        <v>-44964.000000000029</v>
      </c>
      <c r="FA14" s="145">
        <f>'[14]2. Distributional by deciles o'!H30</f>
        <v>450.64000000000033</v>
      </c>
      <c r="FB14" s="130" t="s">
        <v>113</v>
      </c>
      <c r="FC14" s="130" t="s">
        <v>113</v>
      </c>
      <c r="FD14" s="130" t="s">
        <v>113</v>
      </c>
      <c r="FE14" s="130" t="s">
        <v>113</v>
      </c>
      <c r="FF14" s="130" t="s">
        <v>113</v>
      </c>
      <c r="FG14" s="130" t="s">
        <v>113</v>
      </c>
      <c r="FH14" s="130" t="s">
        <v>113</v>
      </c>
      <c r="FI14" s="130" t="s">
        <v>113</v>
      </c>
      <c r="FJ14" s="1"/>
      <c r="FK14" s="1"/>
      <c r="FL14" s="1"/>
      <c r="FM14" s="1"/>
      <c r="FN14" s="1"/>
      <c r="FO14" s="1"/>
      <c r="FP14" s="1"/>
      <c r="FQ14" s="1"/>
    </row>
    <row r="15" spans="1:173" x14ac:dyDescent="0.3">
      <c r="A15" s="1"/>
      <c r="B15" s="28">
        <v>4</v>
      </c>
      <c r="C15" s="129">
        <f>'[13]2. Distributional by deciles o'!B67</f>
        <v>4897896.5928000007</v>
      </c>
      <c r="D15" s="129">
        <f>'[13]2. Distributional by deciles o'!C67</f>
        <v>5186680.6283999979</v>
      </c>
      <c r="E15" s="129">
        <f>'[13]2. Distributional by deciles o'!D67</f>
        <v>4946873.9603999993</v>
      </c>
      <c r="F15" s="129">
        <f>'[13]2. Distributional by deciles o'!E67</f>
        <v>4946873.9603999993</v>
      </c>
      <c r="G15" s="129">
        <f>'[13]2. Distributional by deciles o'!F67</f>
        <v>4946873.9603999993</v>
      </c>
      <c r="H15" s="129">
        <f t="shared" si="13"/>
        <v>4946873.9603999993</v>
      </c>
      <c r="I15" s="129"/>
      <c r="J15" s="122"/>
      <c r="K15" s="130" t="s">
        <v>113</v>
      </c>
      <c r="L15" s="130" t="s">
        <v>113</v>
      </c>
      <c r="M15" s="130" t="s">
        <v>113</v>
      </c>
      <c r="N15" s="130" t="s">
        <v>113</v>
      </c>
      <c r="O15" s="131">
        <f t="shared" si="0"/>
        <v>0.59659432185034944</v>
      </c>
      <c r="P15" s="129">
        <f>'[13]2. Distributional by deciles o'!B85</f>
        <v>751519171.31400013</v>
      </c>
      <c r="Q15" s="129">
        <f>'[13]2. Distributional by deciles o'!C85</f>
        <v>759034697.26560009</v>
      </c>
      <c r="R15" s="131">
        <f t="shared" si="1"/>
        <v>1.0000444750410509</v>
      </c>
      <c r="S15" s="130" t="s">
        <v>113</v>
      </c>
      <c r="T15" s="130" t="s">
        <v>113</v>
      </c>
      <c r="U15" s="130" t="s">
        <v>113</v>
      </c>
      <c r="V15" s="130" t="s">
        <v>113</v>
      </c>
      <c r="W15" s="132">
        <f t="shared" si="14"/>
        <v>5.8958205225046205</v>
      </c>
      <c r="X15" s="132">
        <f t="shared" si="14"/>
        <v>0.99992289544113333</v>
      </c>
      <c r="Y15" s="132">
        <f t="shared" si="2"/>
        <v>0.99992289544113333</v>
      </c>
      <c r="Z15" s="132">
        <f t="shared" si="2"/>
        <v>0.99992289544113333</v>
      </c>
      <c r="AA15" s="132">
        <f t="shared" si="2"/>
        <v>0.99992289544113333</v>
      </c>
      <c r="AB15" s="132">
        <f t="shared" si="15"/>
        <v>0.99992289544113333</v>
      </c>
      <c r="AC15" s="132">
        <f t="shared" si="15"/>
        <v>0.99992289544113333</v>
      </c>
      <c r="AD15" s="130" t="s">
        <v>113</v>
      </c>
      <c r="AE15" s="130" t="s">
        <v>113</v>
      </c>
      <c r="AF15" s="130" t="s">
        <v>113</v>
      </c>
      <c r="AG15" s="130" t="s">
        <v>113</v>
      </c>
      <c r="AH15" s="133">
        <f t="shared" si="3"/>
        <v>1</v>
      </c>
      <c r="AI15" s="134">
        <f t="shared" si="16"/>
        <v>0</v>
      </c>
      <c r="AJ15" s="134">
        <f t="shared" si="4"/>
        <v>4.8958205225046205</v>
      </c>
      <c r="AK15" s="134">
        <f t="shared" si="5"/>
        <v>0</v>
      </c>
      <c r="AL15" s="134">
        <f t="shared" si="17"/>
        <v>0</v>
      </c>
      <c r="AM15" s="134">
        <f t="shared" si="18"/>
        <v>0</v>
      </c>
      <c r="AN15" s="135">
        <f t="shared" ref="AN15:AN22" si="30">IF(J15&lt;&gt;0,IF(W15&gt;1,MAX(MIN(AB15-AC15,W15-AH15-AJ15-AK15-AL15-AM15),0),0),0)</f>
        <v>0</v>
      </c>
      <c r="AO15" s="134">
        <f t="shared" si="19"/>
        <v>0</v>
      </c>
      <c r="AP15" s="134">
        <f t="shared" si="7"/>
        <v>0</v>
      </c>
      <c r="AQ15" s="136" t="s">
        <v>113</v>
      </c>
      <c r="AR15" s="137">
        <f t="shared" si="8"/>
        <v>0</v>
      </c>
      <c r="AS15" s="137">
        <f t="shared" si="8"/>
        <v>100</v>
      </c>
      <c r="AT15" s="137">
        <f t="shared" si="8"/>
        <v>0</v>
      </c>
      <c r="AU15" s="137">
        <f t="shared" si="8"/>
        <v>0</v>
      </c>
      <c r="AV15" s="137">
        <f t="shared" si="8"/>
        <v>0</v>
      </c>
      <c r="AW15" s="138">
        <f t="shared" si="8"/>
        <v>0</v>
      </c>
      <c r="AX15" s="137">
        <f t="shared" si="8"/>
        <v>0</v>
      </c>
      <c r="AY15" s="137">
        <f t="shared" si="8"/>
        <v>0</v>
      </c>
      <c r="AZ15" s="139" t="s">
        <v>113</v>
      </c>
      <c r="BA15" s="139" t="s">
        <v>113</v>
      </c>
      <c r="BB15" s="139" t="s">
        <v>113</v>
      </c>
      <c r="BC15" s="139" t="s">
        <v>113</v>
      </c>
      <c r="BD15" s="139" t="s">
        <v>113</v>
      </c>
      <c r="BE15" s="139" t="s">
        <v>113</v>
      </c>
      <c r="BF15" s="139" t="s">
        <v>113</v>
      </c>
      <c r="BG15" s="139" t="s">
        <v>113</v>
      </c>
      <c r="BH15" s="140">
        <f>'[13]2. Distributional by deciles o'!B103</f>
        <v>524059130.5644002</v>
      </c>
      <c r="BI15" s="140">
        <f>'[13]2. Distributional by deciles o'!B121</f>
        <v>127276172.70479998</v>
      </c>
      <c r="BJ15" s="140">
        <f>'[13]2. Distributional by deciles o'!B139</f>
        <v>87035978.476800025</v>
      </c>
      <c r="BK15" s="140">
        <f>'[13]2. Distributional by deciles o'!B157</f>
        <v>13147837.7436</v>
      </c>
      <c r="BL15" s="141">
        <f t="shared" si="20"/>
        <v>0.69733306442066145</v>
      </c>
      <c r="BM15" s="141">
        <f t="shared" si="21"/>
        <v>0.16935852914991772</v>
      </c>
      <c r="BN15" s="141">
        <f t="shared" si="22"/>
        <v>0.11581339212754979</v>
      </c>
      <c r="BO15" s="141">
        <f t="shared" si="22"/>
        <v>1.7495014301870924E-2</v>
      </c>
      <c r="BP15" s="139" t="s">
        <v>113</v>
      </c>
      <c r="BQ15" s="139" t="s">
        <v>113</v>
      </c>
      <c r="BR15" s="139" t="s">
        <v>113</v>
      </c>
      <c r="BS15" s="131">
        <f t="shared" si="23"/>
        <v>6.3407287070689167</v>
      </c>
      <c r="BT15" s="139"/>
      <c r="BU15" s="139"/>
      <c r="BV15" s="139"/>
      <c r="BW15" s="139"/>
      <c r="BX15" s="139"/>
      <c r="BY15" s="139"/>
      <c r="BZ15" s="139"/>
      <c r="CA15" s="139"/>
      <c r="CB15" s="139"/>
      <c r="CC15" s="142" t="s">
        <v>113</v>
      </c>
      <c r="CD15" s="142" t="s">
        <v>113</v>
      </c>
      <c r="CE15" s="142" t="s">
        <v>113</v>
      </c>
      <c r="CF15" s="142" t="s">
        <v>113</v>
      </c>
      <c r="CG15" s="142" t="s">
        <v>113</v>
      </c>
      <c r="CH15" s="142" t="s">
        <v>113</v>
      </c>
      <c r="CI15" s="142" t="s">
        <v>113</v>
      </c>
      <c r="CJ15" s="142"/>
      <c r="CK15" s="139" t="s">
        <v>113</v>
      </c>
      <c r="CL15" s="139" t="s">
        <v>113</v>
      </c>
      <c r="CM15" s="139" t="s">
        <v>113</v>
      </c>
      <c r="CN15" s="139" t="s">
        <v>113</v>
      </c>
      <c r="CO15" s="139" t="s">
        <v>113</v>
      </c>
      <c r="CP15" s="139" t="s">
        <v>113</v>
      </c>
      <c r="CQ15" s="139" t="s">
        <v>113</v>
      </c>
      <c r="CR15" s="139"/>
      <c r="CS15" s="143" t="s">
        <v>113</v>
      </c>
      <c r="CT15" s="143" t="s">
        <v>113</v>
      </c>
      <c r="CU15" s="143" t="s">
        <v>113</v>
      </c>
      <c r="CV15" s="143" t="s">
        <v>113</v>
      </c>
      <c r="CW15" s="143" t="s">
        <v>113</v>
      </c>
      <c r="CX15" s="143" t="s">
        <v>113</v>
      </c>
      <c r="CY15" s="143" t="s">
        <v>113</v>
      </c>
      <c r="CZ15" s="143"/>
      <c r="DA15" s="139" t="s">
        <v>113</v>
      </c>
      <c r="DB15" s="139" t="s">
        <v>113</v>
      </c>
      <c r="DC15" s="139" t="s">
        <v>113</v>
      </c>
      <c r="DD15" s="144">
        <f t="shared" si="24"/>
        <v>81.084071773758936</v>
      </c>
      <c r="DE15" s="145">
        <f>'[13]2. Distributional by deciles o'!H31</f>
        <v>0.18915928226241066</v>
      </c>
      <c r="DF15" s="1"/>
      <c r="DG15" s="1"/>
      <c r="DH15" s="1"/>
      <c r="DI15" s="1"/>
      <c r="DJ15" s="1"/>
      <c r="DK15" s="1"/>
      <c r="DL15" s="1"/>
      <c r="DM15" s="1"/>
      <c r="DN15" s="1"/>
      <c r="DO15" s="1"/>
      <c r="DP15" s="1"/>
      <c r="DQ15" s="1"/>
      <c r="DR15" s="1"/>
      <c r="DS15" s="1"/>
      <c r="DT15" s="1"/>
      <c r="DU15" s="1"/>
      <c r="DV15" s="1"/>
      <c r="DW15" s="1"/>
      <c r="DX15" s="1"/>
      <c r="DY15" s="1"/>
      <c r="DZ15" s="1"/>
      <c r="EA15" s="146">
        <f>'[14]2. Distributional by deciles o'!B67</f>
        <v>9260869.3727999981</v>
      </c>
      <c r="EB15" s="146">
        <f>'[14]2. Distributional by deciles o'!C67</f>
        <v>9720096.7776000015</v>
      </c>
      <c r="EC15" s="146">
        <f>'[14]2. Distributional by deciles o'!D67</f>
        <v>9353558.4768000022</v>
      </c>
      <c r="ED15" s="146">
        <f>'[14]2. Distributional by deciles o'!E67</f>
        <v>459227.40479999967</v>
      </c>
      <c r="EE15" s="146">
        <f>'[14]2. Distributional by deciles o'!F67</f>
        <v>92689.104000000283</v>
      </c>
      <c r="EF15" s="146">
        <f t="shared" si="25"/>
        <v>92689.104000000283</v>
      </c>
      <c r="EG15" s="129"/>
      <c r="EH15" s="122"/>
      <c r="EI15" s="130" t="s">
        <v>113</v>
      </c>
      <c r="EJ15" s="130" t="s">
        <v>113</v>
      </c>
      <c r="EK15" s="130" t="s">
        <v>113</v>
      </c>
      <c r="EL15" s="130" t="s">
        <v>113</v>
      </c>
      <c r="EM15" s="131">
        <f t="shared" si="10"/>
        <v>0.87213263204048186</v>
      </c>
      <c r="EN15" s="146">
        <f>'[14]2. Distributional by deciles o'!B85</f>
        <v>846837666.04079962</v>
      </c>
      <c r="EO15" s="146">
        <f>'[14]2. Distributional by deciles o'!C85</f>
        <v>855306135.85200071</v>
      </c>
      <c r="EP15" s="131">
        <f t="shared" si="11"/>
        <v>1.0000109998405726</v>
      </c>
      <c r="EQ15" s="130" t="s">
        <v>113</v>
      </c>
      <c r="ER15" s="130" t="s">
        <v>113</v>
      </c>
      <c r="ES15" s="130" t="s">
        <v>113</v>
      </c>
      <c r="ET15" s="130" t="s">
        <v>113</v>
      </c>
      <c r="EU15" s="131">
        <f t="shared" si="26"/>
        <v>6.3023773134930181</v>
      </c>
      <c r="EV15" s="132">
        <f t="shared" si="27"/>
        <v>4.9587391306490662</v>
      </c>
      <c r="EW15" s="132">
        <f t="shared" si="28"/>
        <v>1.0008572706800651</v>
      </c>
      <c r="EX15" s="132"/>
      <c r="EY15" s="148">
        <f t="shared" si="12"/>
        <v>-0.93708139185555428</v>
      </c>
      <c r="EZ15" s="144">
        <f t="shared" si="29"/>
        <v>-28893.000000000029</v>
      </c>
      <c r="FA15" s="145">
        <f>'[14]2. Distributional by deciles o'!H31</f>
        <v>289.93000000000029</v>
      </c>
      <c r="FB15" s="130" t="s">
        <v>113</v>
      </c>
      <c r="FC15" s="130" t="s">
        <v>113</v>
      </c>
      <c r="FD15" s="130" t="s">
        <v>113</v>
      </c>
      <c r="FE15" s="130" t="s">
        <v>113</v>
      </c>
      <c r="FF15" s="130" t="s">
        <v>113</v>
      </c>
      <c r="FG15" s="130" t="s">
        <v>113</v>
      </c>
      <c r="FH15" s="130" t="s">
        <v>113</v>
      </c>
      <c r="FI15" s="130" t="s">
        <v>113</v>
      </c>
      <c r="FJ15" s="1"/>
      <c r="FK15" s="1"/>
      <c r="FL15" s="1"/>
      <c r="FM15" s="1"/>
      <c r="FN15" s="1"/>
      <c r="FO15" s="1"/>
      <c r="FP15" s="1"/>
      <c r="FQ15" s="1"/>
    </row>
    <row r="16" spans="1:173" x14ac:dyDescent="0.3">
      <c r="A16" s="1"/>
      <c r="B16" s="28">
        <v>5</v>
      </c>
      <c r="C16" s="129">
        <f>'[13]2. Distributional by deciles o'!B68</f>
        <v>7657774.2671999969</v>
      </c>
      <c r="D16" s="129">
        <f>'[13]2. Distributional by deciles o'!C68</f>
        <v>8065245.344399998</v>
      </c>
      <c r="E16" s="129">
        <f>'[13]2. Distributional by deciles o'!D68</f>
        <v>7734398.7948000003</v>
      </c>
      <c r="F16" s="129">
        <f>'[13]2. Distributional by deciles o'!E68</f>
        <v>7734514.5923999995</v>
      </c>
      <c r="G16" s="129">
        <f>'[13]2. Distributional by deciles o'!F68</f>
        <v>7734398.7948000003</v>
      </c>
      <c r="H16" s="129">
        <f t="shared" si="13"/>
        <v>7734398.7948000003</v>
      </c>
      <c r="I16" s="129"/>
      <c r="J16" s="122"/>
      <c r="K16" s="130" t="s">
        <v>113</v>
      </c>
      <c r="L16" s="130" t="s">
        <v>113</v>
      </c>
      <c r="M16" s="130" t="s">
        <v>113</v>
      </c>
      <c r="N16" s="130" t="s">
        <v>113</v>
      </c>
      <c r="O16" s="131">
        <f t="shared" si="0"/>
        <v>0.9327646182933188</v>
      </c>
      <c r="P16" s="129">
        <f>'[13]2. Distributional by deciles o'!B86</f>
        <v>901035152.07240009</v>
      </c>
      <c r="Q16" s="129">
        <f>'[13]2. Distributional by deciles o'!C86</f>
        <v>910045828.04759955</v>
      </c>
      <c r="R16" s="131">
        <f t="shared" si="1"/>
        <v>1.0000360090807403</v>
      </c>
      <c r="S16" s="130" t="s">
        <v>113</v>
      </c>
      <c r="T16" s="130" t="s">
        <v>113</v>
      </c>
      <c r="U16" s="130" t="s">
        <v>113</v>
      </c>
      <c r="V16" s="130" t="s">
        <v>113</v>
      </c>
      <c r="W16" s="132">
        <f t="shared" si="14"/>
        <v>5.3208202651603616</v>
      </c>
      <c r="X16" s="132">
        <f t="shared" si="14"/>
        <v>1.000574917032262</v>
      </c>
      <c r="Y16" s="132">
        <f t="shared" si="2"/>
        <v>1.002087019979462</v>
      </c>
      <c r="Z16" s="132">
        <f t="shared" si="2"/>
        <v>1.000574917032262</v>
      </c>
      <c r="AA16" s="132">
        <f t="shared" si="2"/>
        <v>1.000574917032262</v>
      </c>
      <c r="AB16" s="132">
        <f t="shared" si="15"/>
        <v>1.000574917032262</v>
      </c>
      <c r="AC16" s="132">
        <f t="shared" si="15"/>
        <v>1.000574917032262</v>
      </c>
      <c r="AD16" s="130" t="s">
        <v>113</v>
      </c>
      <c r="AE16" s="130" t="s">
        <v>113</v>
      </c>
      <c r="AF16" s="130" t="s">
        <v>113</v>
      </c>
      <c r="AG16" s="130" t="s">
        <v>113</v>
      </c>
      <c r="AH16" s="133">
        <f t="shared" si="3"/>
        <v>1</v>
      </c>
      <c r="AI16" s="134">
        <f t="shared" si="16"/>
        <v>5.7491703226197899E-4</v>
      </c>
      <c r="AJ16" s="134">
        <f t="shared" si="4"/>
        <v>4.3187332451808995</v>
      </c>
      <c r="AK16" s="134">
        <f t="shared" si="5"/>
        <v>1.5121029472000558E-3</v>
      </c>
      <c r="AL16" s="134">
        <f t="shared" si="17"/>
        <v>0</v>
      </c>
      <c r="AM16" s="134">
        <f t="shared" si="18"/>
        <v>0</v>
      </c>
      <c r="AN16" s="135">
        <f t="shared" si="30"/>
        <v>0</v>
      </c>
      <c r="AO16" s="134">
        <f t="shared" si="19"/>
        <v>0</v>
      </c>
      <c r="AP16" s="134">
        <f t="shared" si="7"/>
        <v>5.7491703226197899E-4</v>
      </c>
      <c r="AQ16" s="136" t="s">
        <v>113</v>
      </c>
      <c r="AR16" s="137">
        <f t="shared" si="8"/>
        <v>1.3305738192760531E-2</v>
      </c>
      <c r="AS16" s="137">
        <f t="shared" si="8"/>
        <v>99.951698523627797</v>
      </c>
      <c r="AT16" s="137">
        <f t="shared" si="8"/>
        <v>3.4995738179448108E-2</v>
      </c>
      <c r="AU16" s="137">
        <f t="shared" si="8"/>
        <v>0</v>
      </c>
      <c r="AV16" s="137">
        <f t="shared" si="8"/>
        <v>0</v>
      </c>
      <c r="AW16" s="138">
        <f t="shared" si="8"/>
        <v>0</v>
      </c>
      <c r="AX16" s="137">
        <f t="shared" si="8"/>
        <v>0</v>
      </c>
      <c r="AY16" s="137">
        <f t="shared" si="8"/>
        <v>1.3305738192760531E-2</v>
      </c>
      <c r="AZ16" s="139" t="s">
        <v>113</v>
      </c>
      <c r="BA16" s="139" t="s">
        <v>113</v>
      </c>
      <c r="BB16" s="139" t="s">
        <v>113</v>
      </c>
      <c r="BC16" s="139" t="s">
        <v>113</v>
      </c>
      <c r="BD16" s="139" t="s">
        <v>113</v>
      </c>
      <c r="BE16" s="139" t="s">
        <v>113</v>
      </c>
      <c r="BF16" s="139" t="s">
        <v>113</v>
      </c>
      <c r="BG16" s="139" t="s">
        <v>113</v>
      </c>
      <c r="BH16" s="140">
        <f>'[13]2. Distributional by deciles o'!B104</f>
        <v>666312841.1796</v>
      </c>
      <c r="BI16" s="140">
        <f>'[13]2. Distributional by deciles o'!B122</f>
        <v>104344760.77320001</v>
      </c>
      <c r="BJ16" s="140">
        <f>'[13]2. Distributional by deciles o'!B140</f>
        <v>113201989.5684</v>
      </c>
      <c r="BK16" s="140">
        <f>'[13]2. Distributional by deciles o'!B158</f>
        <v>17175650.520000003</v>
      </c>
      <c r="BL16" s="141">
        <f t="shared" si="20"/>
        <v>0.73949698090625038</v>
      </c>
      <c r="BM16" s="141">
        <f t="shared" si="21"/>
        <v>0.11580541570917691</v>
      </c>
      <c r="BN16" s="141">
        <f t="shared" si="22"/>
        <v>0.12563547382669835</v>
      </c>
      <c r="BO16" s="141">
        <f t="shared" si="22"/>
        <v>1.9062129557874324E-2</v>
      </c>
      <c r="BP16" s="139" t="s">
        <v>113</v>
      </c>
      <c r="BQ16" s="139" t="s">
        <v>113</v>
      </c>
      <c r="BR16" s="139" t="s">
        <v>113</v>
      </c>
      <c r="BS16" s="131">
        <f t="shared" si="23"/>
        <v>7.6022271592012043</v>
      </c>
      <c r="BT16" s="139"/>
      <c r="BU16" s="139"/>
      <c r="BV16" s="139"/>
      <c r="BW16" s="139"/>
      <c r="BX16" s="139"/>
      <c r="BY16" s="139"/>
      <c r="BZ16" s="139"/>
      <c r="CA16" s="139"/>
      <c r="CB16" s="139"/>
      <c r="CC16" s="142" t="s">
        <v>113</v>
      </c>
      <c r="CD16" s="142" t="s">
        <v>113</v>
      </c>
      <c r="CE16" s="142" t="s">
        <v>113</v>
      </c>
      <c r="CF16" s="142" t="s">
        <v>113</v>
      </c>
      <c r="CG16" s="142" t="s">
        <v>113</v>
      </c>
      <c r="CH16" s="142" t="s">
        <v>113</v>
      </c>
      <c r="CI16" s="142" t="s">
        <v>113</v>
      </c>
      <c r="CJ16" s="142"/>
      <c r="CK16" s="139" t="s">
        <v>113</v>
      </c>
      <c r="CL16" s="139" t="s">
        <v>113</v>
      </c>
      <c r="CM16" s="139" t="s">
        <v>113</v>
      </c>
      <c r="CN16" s="139" t="s">
        <v>113</v>
      </c>
      <c r="CO16" s="139" t="s">
        <v>113</v>
      </c>
      <c r="CP16" s="139" t="s">
        <v>113</v>
      </c>
      <c r="CQ16" s="139" t="s">
        <v>113</v>
      </c>
      <c r="CR16" s="139"/>
      <c r="CS16" s="143" t="s">
        <v>113</v>
      </c>
      <c r="CT16" s="143" t="s">
        <v>113</v>
      </c>
      <c r="CU16" s="143" t="s">
        <v>113</v>
      </c>
      <c r="CV16" s="143" t="s">
        <v>113</v>
      </c>
      <c r="CW16" s="143" t="s">
        <v>113</v>
      </c>
      <c r="CX16" s="143" t="s">
        <v>113</v>
      </c>
      <c r="CY16" s="143" t="s">
        <v>113</v>
      </c>
      <c r="CZ16" s="143"/>
      <c r="DA16" s="139" t="s">
        <v>113</v>
      </c>
      <c r="DB16" s="139" t="s">
        <v>113</v>
      </c>
      <c r="DC16" s="139" t="s">
        <v>113</v>
      </c>
      <c r="DD16" s="144">
        <f t="shared" si="24"/>
        <v>75.201800687802063</v>
      </c>
      <c r="DE16" s="145">
        <f>'[13]2. Distributional by deciles o'!H32</f>
        <v>0.24798199312197944</v>
      </c>
      <c r="DF16" s="1"/>
      <c r="DG16" s="1"/>
      <c r="DH16" s="1"/>
      <c r="DI16" s="1"/>
      <c r="DJ16" s="1"/>
      <c r="DK16" s="1"/>
      <c r="DL16" s="1"/>
      <c r="DM16" s="1"/>
      <c r="DN16" s="1"/>
      <c r="DO16" s="1"/>
      <c r="DP16" s="1"/>
      <c r="DQ16" s="1"/>
      <c r="DR16" s="1"/>
      <c r="DS16" s="1"/>
      <c r="DT16" s="1"/>
      <c r="DU16" s="1"/>
      <c r="DV16" s="1"/>
      <c r="DW16" s="1"/>
      <c r="DX16" s="1"/>
      <c r="DY16" s="1"/>
      <c r="DZ16" s="1"/>
      <c r="EA16" s="146">
        <f>'[14]2. Distributional by deciles o'!B68</f>
        <v>13628937.457200006</v>
      </c>
      <c r="EB16" s="146">
        <f>'[14]2. Distributional by deciles o'!C68</f>
        <v>14296984.383600011</v>
      </c>
      <c r="EC16" s="146">
        <f>'[14]2. Distributional by deciles o'!D68</f>
        <v>13765329.406799998</v>
      </c>
      <c r="ED16" s="146">
        <f>'[14]2. Distributional by deciles o'!E68</f>
        <v>668046.92640000023</v>
      </c>
      <c r="EE16" s="146">
        <f>'[14]2. Distributional by deciles o'!F68</f>
        <v>136391.94959999993</v>
      </c>
      <c r="EF16" s="146">
        <f t="shared" si="25"/>
        <v>136391.94959999993</v>
      </c>
      <c r="EG16" s="129"/>
      <c r="EH16" s="122"/>
      <c r="EI16" s="130" t="s">
        <v>113</v>
      </c>
      <c r="EJ16" s="130" t="s">
        <v>113</v>
      </c>
      <c r="EK16" s="130" t="s">
        <v>113</v>
      </c>
      <c r="EL16" s="130" t="s">
        <v>113</v>
      </c>
      <c r="EM16" s="131">
        <f t="shared" si="10"/>
        <v>1.2834908492904462</v>
      </c>
      <c r="EN16" s="146">
        <f>'[14]2. Distributional by deciles o'!B86</f>
        <v>1026792999.4824003</v>
      </c>
      <c r="EO16" s="146">
        <f>'[14]2. Distributional by deciles o'!C86</f>
        <v>1037061094.9859996</v>
      </c>
      <c r="EP16" s="131">
        <f t="shared" si="11"/>
        <v>1.0000161190011347</v>
      </c>
      <c r="EQ16" s="130" t="s">
        <v>113</v>
      </c>
      <c r="ER16" s="130" t="s">
        <v>113</v>
      </c>
      <c r="ES16" s="130" t="s">
        <v>113</v>
      </c>
      <c r="ET16" s="130" t="s">
        <v>113</v>
      </c>
      <c r="EU16" s="131">
        <f t="shared" si="26"/>
        <v>7.6416498286456136</v>
      </c>
      <c r="EV16" s="132">
        <f t="shared" si="27"/>
        <v>4.9016011734025255</v>
      </c>
      <c r="EW16" s="132">
        <f t="shared" si="28"/>
        <v>1.0007364958695744</v>
      </c>
      <c r="EX16" s="132"/>
      <c r="EY16" s="148">
        <f t="shared" si="12"/>
        <v>-0.419219091757836</v>
      </c>
      <c r="EZ16" s="144">
        <f t="shared" si="29"/>
        <v>-43186.000000000058</v>
      </c>
      <c r="FA16" s="145">
        <f>'[14]2. Distributional by deciles o'!H32</f>
        <v>432.86000000000058</v>
      </c>
      <c r="FB16" s="130" t="s">
        <v>113</v>
      </c>
      <c r="FC16" s="130" t="s">
        <v>113</v>
      </c>
      <c r="FD16" s="130" t="s">
        <v>113</v>
      </c>
      <c r="FE16" s="130" t="s">
        <v>113</v>
      </c>
      <c r="FF16" s="130" t="s">
        <v>113</v>
      </c>
      <c r="FG16" s="130" t="s">
        <v>113</v>
      </c>
      <c r="FH16" s="130" t="s">
        <v>113</v>
      </c>
      <c r="FI16" s="130" t="s">
        <v>113</v>
      </c>
      <c r="FJ16" s="1"/>
      <c r="FK16" s="1"/>
      <c r="FL16" s="1"/>
      <c r="FM16" s="1"/>
      <c r="FN16" s="1"/>
      <c r="FO16" s="1"/>
      <c r="FP16" s="1"/>
      <c r="FQ16" s="1"/>
    </row>
    <row r="17" spans="1:173" x14ac:dyDescent="0.3">
      <c r="A17" s="1"/>
      <c r="B17" s="28">
        <v>6</v>
      </c>
      <c r="C17" s="129">
        <f>'[13]2. Distributional by deciles o'!B69</f>
        <v>18900665.572800003</v>
      </c>
      <c r="D17" s="129">
        <f>'[13]2. Distributional by deciles o'!C69</f>
        <v>19756719.248400003</v>
      </c>
      <c r="E17" s="129">
        <f>'[13]2. Distributional by deciles o'!D69</f>
        <v>19089936.580799993</v>
      </c>
      <c r="F17" s="129">
        <f>'[13]2. Distributional by deciles o'!E69</f>
        <v>19090269.121199992</v>
      </c>
      <c r="G17" s="129">
        <f>'[13]2. Distributional by deciles o'!F69</f>
        <v>19089936.580799993</v>
      </c>
      <c r="H17" s="129">
        <f t="shared" si="13"/>
        <v>19089936.580799993</v>
      </c>
      <c r="I17" s="129"/>
      <c r="J17" s="122"/>
      <c r="K17" s="130" t="s">
        <v>113</v>
      </c>
      <c r="L17" s="130" t="s">
        <v>113</v>
      </c>
      <c r="M17" s="130" t="s">
        <v>113</v>
      </c>
      <c r="N17" s="130" t="s">
        <v>113</v>
      </c>
      <c r="O17" s="131">
        <f t="shared" si="0"/>
        <v>2.3022188293033463</v>
      </c>
      <c r="P17" s="129">
        <f>'[13]2. Distributional by deciles o'!B87</f>
        <v>1040127358.4088004</v>
      </c>
      <c r="Q17" s="129">
        <f>'[13]2. Distributional by deciles o'!C87</f>
        <v>1050528960.6251997</v>
      </c>
      <c r="R17" s="131">
        <f t="shared" si="1"/>
        <v>1.0000315953915262</v>
      </c>
      <c r="S17" s="130" t="s">
        <v>113</v>
      </c>
      <c r="T17" s="130" t="s">
        <v>113</v>
      </c>
      <c r="U17" s="130" t="s">
        <v>113</v>
      </c>
      <c r="V17" s="130" t="s">
        <v>113</v>
      </c>
      <c r="W17" s="132">
        <f t="shared" si="14"/>
        <v>4.5290819299792622</v>
      </c>
      <c r="X17" s="132">
        <f t="shared" si="14"/>
        <v>1.0013670014335208</v>
      </c>
      <c r="Y17" s="132">
        <f t="shared" si="2"/>
        <v>1.0031263569033346</v>
      </c>
      <c r="Z17" s="132">
        <f t="shared" si="2"/>
        <v>1.0013670014335208</v>
      </c>
      <c r="AA17" s="132">
        <f t="shared" si="2"/>
        <v>1.0013670014335208</v>
      </c>
      <c r="AB17" s="132">
        <f t="shared" si="15"/>
        <v>1.0013670014335208</v>
      </c>
      <c r="AC17" s="132">
        <f t="shared" si="15"/>
        <v>1.0013670014335208</v>
      </c>
      <c r="AD17" s="130" t="s">
        <v>113</v>
      </c>
      <c r="AE17" s="130" t="s">
        <v>113</v>
      </c>
      <c r="AF17" s="130" t="s">
        <v>113</v>
      </c>
      <c r="AG17" s="130" t="s">
        <v>113</v>
      </c>
      <c r="AH17" s="133">
        <f t="shared" si="3"/>
        <v>1</v>
      </c>
      <c r="AI17" s="134">
        <f t="shared" si="16"/>
        <v>1.3670014335209757E-3</v>
      </c>
      <c r="AJ17" s="134">
        <f t="shared" si="4"/>
        <v>3.5259555730759278</v>
      </c>
      <c r="AK17" s="134">
        <f t="shared" si="5"/>
        <v>1.7593554698138725E-3</v>
      </c>
      <c r="AL17" s="134">
        <f t="shared" si="17"/>
        <v>0</v>
      </c>
      <c r="AM17" s="134">
        <f t="shared" si="18"/>
        <v>0</v>
      </c>
      <c r="AN17" s="135">
        <f t="shared" si="30"/>
        <v>0</v>
      </c>
      <c r="AO17" s="134">
        <f t="shared" si="19"/>
        <v>0</v>
      </c>
      <c r="AP17" s="134">
        <f t="shared" si="7"/>
        <v>1.3670014335209757E-3</v>
      </c>
      <c r="AQ17" s="136" t="s">
        <v>113</v>
      </c>
      <c r="AR17" s="137">
        <f t="shared" si="8"/>
        <v>3.8735327222312703E-2</v>
      </c>
      <c r="AS17" s="137">
        <f t="shared" si="8"/>
        <v>99.911411608872655</v>
      </c>
      <c r="AT17" s="137">
        <f t="shared" si="8"/>
        <v>4.9853063905042606E-2</v>
      </c>
      <c r="AU17" s="137">
        <f t="shared" si="8"/>
        <v>0</v>
      </c>
      <c r="AV17" s="137">
        <f t="shared" si="8"/>
        <v>0</v>
      </c>
      <c r="AW17" s="138">
        <f t="shared" si="8"/>
        <v>0</v>
      </c>
      <c r="AX17" s="137">
        <f t="shared" si="8"/>
        <v>0</v>
      </c>
      <c r="AY17" s="137">
        <f t="shared" si="8"/>
        <v>3.8735327222312703E-2</v>
      </c>
      <c r="AZ17" s="139" t="s">
        <v>113</v>
      </c>
      <c r="BA17" s="139" t="s">
        <v>113</v>
      </c>
      <c r="BB17" s="139" t="s">
        <v>113</v>
      </c>
      <c r="BC17" s="139" t="s">
        <v>113</v>
      </c>
      <c r="BD17" s="139" t="s">
        <v>113</v>
      </c>
      <c r="BE17" s="139" t="s">
        <v>113</v>
      </c>
      <c r="BF17" s="139" t="s">
        <v>113</v>
      </c>
      <c r="BG17" s="139" t="s">
        <v>113</v>
      </c>
      <c r="BH17" s="140">
        <f>'[13]2. Distributional by deciles o'!B105</f>
        <v>809371984.30319989</v>
      </c>
      <c r="BI17" s="140">
        <f>'[13]2. Distributional by deciles o'!B123</f>
        <v>97405130.140800014</v>
      </c>
      <c r="BJ17" s="140">
        <f>'[13]2. Distributional by deciles o'!B141</f>
        <v>114602064.73800004</v>
      </c>
      <c r="BK17" s="140">
        <f>'[13]2. Distributional by deciles o'!B159</f>
        <v>18748135.230000004</v>
      </c>
      <c r="BL17" s="141">
        <f t="shared" si="20"/>
        <v>0.77814703362611948</v>
      </c>
      <c r="BM17" s="141">
        <f t="shared" si="21"/>
        <v>9.3647314892278011E-2</v>
      </c>
      <c r="BN17" s="141">
        <f t="shared" si="22"/>
        <v>0.11018080493615953</v>
      </c>
      <c r="BO17" s="141">
        <f t="shared" si="22"/>
        <v>1.8024846545442962E-2</v>
      </c>
      <c r="BP17" s="139" t="s">
        <v>113</v>
      </c>
      <c r="BQ17" s="139" t="s">
        <v>113</v>
      </c>
      <c r="BR17" s="139" t="s">
        <v>113</v>
      </c>
      <c r="BS17" s="131">
        <f t="shared" si="23"/>
        <v>8.7757779870592891</v>
      </c>
      <c r="BT17" s="139"/>
      <c r="BU17" s="139"/>
      <c r="BV17" s="139"/>
      <c r="BW17" s="139"/>
      <c r="BX17" s="139"/>
      <c r="BY17" s="139"/>
      <c r="BZ17" s="139"/>
      <c r="CA17" s="139"/>
      <c r="CB17" s="139"/>
      <c r="CC17" s="142" t="s">
        <v>113</v>
      </c>
      <c r="CD17" s="142" t="s">
        <v>113</v>
      </c>
      <c r="CE17" s="142" t="s">
        <v>113</v>
      </c>
      <c r="CF17" s="142" t="s">
        <v>113</v>
      </c>
      <c r="CG17" s="142" t="s">
        <v>113</v>
      </c>
      <c r="CH17" s="142" t="s">
        <v>113</v>
      </c>
      <c r="CI17" s="142" t="s">
        <v>113</v>
      </c>
      <c r="CJ17" s="142"/>
      <c r="CK17" s="139" t="s">
        <v>113</v>
      </c>
      <c r="CL17" s="139" t="s">
        <v>113</v>
      </c>
      <c r="CM17" s="139" t="s">
        <v>113</v>
      </c>
      <c r="CN17" s="139" t="s">
        <v>113</v>
      </c>
      <c r="CO17" s="139" t="s">
        <v>113</v>
      </c>
      <c r="CP17" s="139" t="s">
        <v>113</v>
      </c>
      <c r="CQ17" s="139" t="s">
        <v>113</v>
      </c>
      <c r="CR17" s="139"/>
      <c r="CS17" s="143" t="s">
        <v>113</v>
      </c>
      <c r="CT17" s="143" t="s">
        <v>113</v>
      </c>
      <c r="CU17" s="143" t="s">
        <v>113</v>
      </c>
      <c r="CV17" s="143" t="s">
        <v>113</v>
      </c>
      <c r="CW17" s="143" t="s">
        <v>113</v>
      </c>
      <c r="CX17" s="143" t="s">
        <v>113</v>
      </c>
      <c r="CY17" s="143" t="s">
        <v>113</v>
      </c>
      <c r="CZ17" s="143"/>
      <c r="DA17" s="139" t="s">
        <v>113</v>
      </c>
      <c r="DB17" s="139" t="s">
        <v>113</v>
      </c>
      <c r="DC17" s="139" t="s">
        <v>113</v>
      </c>
      <c r="DD17" s="144">
        <f t="shared" si="24"/>
        <v>49.124205806246025</v>
      </c>
      <c r="DE17" s="145">
        <f>'[13]2. Distributional by deciles o'!H33</f>
        <v>0.50875794193753976</v>
      </c>
      <c r="DF17" s="1"/>
      <c r="DG17" s="1"/>
      <c r="DH17" s="1"/>
      <c r="DI17" s="1"/>
      <c r="DJ17" s="1"/>
      <c r="DK17" s="1"/>
      <c r="DL17" s="1"/>
      <c r="DM17" s="1"/>
      <c r="DN17" s="1"/>
      <c r="DO17" s="1"/>
      <c r="DP17" s="1"/>
      <c r="DQ17" s="1"/>
      <c r="DR17" s="1"/>
      <c r="DS17" s="1"/>
      <c r="DT17" s="1"/>
      <c r="DU17" s="1"/>
      <c r="DV17" s="1"/>
      <c r="DW17" s="1"/>
      <c r="DX17" s="1"/>
      <c r="DY17" s="1"/>
      <c r="DZ17" s="1"/>
      <c r="EA17" s="146">
        <f>'[14]2. Distributional by deciles o'!B69</f>
        <v>30548560.776000015</v>
      </c>
      <c r="EB17" s="146">
        <f>'[14]2. Distributional by deciles o'!C69</f>
        <v>31765345.990800023</v>
      </c>
      <c r="EC17" s="146">
        <f>'[14]2. Distributional by deciles o'!D69</f>
        <v>30854791.04999999</v>
      </c>
      <c r="ED17" s="146">
        <f>'[14]2. Distributional by deciles o'!E69</f>
        <v>1216785.2148000002</v>
      </c>
      <c r="EE17" s="146">
        <f>'[14]2. Distributional by deciles o'!F69</f>
        <v>306230.27400000021</v>
      </c>
      <c r="EF17" s="146">
        <f t="shared" si="25"/>
        <v>306230.27400000021</v>
      </c>
      <c r="EG17" s="129"/>
      <c r="EH17" s="122"/>
      <c r="EI17" s="130" t="s">
        <v>113</v>
      </c>
      <c r="EJ17" s="130" t="s">
        <v>113</v>
      </c>
      <c r="EK17" s="130" t="s">
        <v>113</v>
      </c>
      <c r="EL17" s="130" t="s">
        <v>113</v>
      </c>
      <c r="EM17" s="131">
        <f t="shared" si="10"/>
        <v>2.8768785782545017</v>
      </c>
      <c r="EN17" s="146">
        <f>'[14]2. Distributional by deciles o'!B87</f>
        <v>1177027654.3775995</v>
      </c>
      <c r="EO17" s="146">
        <f>'[14]2. Distributional by deciles o'!C87</f>
        <v>1188797852.8691998</v>
      </c>
      <c r="EP17" s="131">
        <f t="shared" si="11"/>
        <v>0.99999336870502109</v>
      </c>
      <c r="EQ17" s="130" t="s">
        <v>113</v>
      </c>
      <c r="ER17" s="130" t="s">
        <v>113</v>
      </c>
      <c r="ES17" s="130" t="s">
        <v>113</v>
      </c>
      <c r="ET17" s="130" t="s">
        <v>113</v>
      </c>
      <c r="EU17" s="131">
        <f t="shared" si="26"/>
        <v>8.759733634646679</v>
      </c>
      <c r="EV17" s="132">
        <f t="shared" si="27"/>
        <v>3.9831443865308196</v>
      </c>
      <c r="EW17" s="132">
        <f t="shared" si="28"/>
        <v>1.0024442950428789</v>
      </c>
      <c r="EX17" s="132"/>
      <c r="EY17" s="148">
        <f t="shared" si="12"/>
        <v>-0.54593754344844259</v>
      </c>
      <c r="EZ17" s="144">
        <f t="shared" si="29"/>
        <v>-47477.000000000044</v>
      </c>
      <c r="FA17" s="145">
        <f>'[14]2. Distributional by deciles o'!H33</f>
        <v>475.77000000000044</v>
      </c>
      <c r="FB17" s="130" t="s">
        <v>113</v>
      </c>
      <c r="FC17" s="130" t="s">
        <v>113</v>
      </c>
      <c r="FD17" s="130" t="s">
        <v>113</v>
      </c>
      <c r="FE17" s="130" t="s">
        <v>113</v>
      </c>
      <c r="FF17" s="130" t="s">
        <v>113</v>
      </c>
      <c r="FG17" s="130" t="s">
        <v>113</v>
      </c>
      <c r="FH17" s="130" t="s">
        <v>113</v>
      </c>
      <c r="FI17" s="130" t="s">
        <v>113</v>
      </c>
      <c r="FJ17" s="1"/>
      <c r="FK17" s="1"/>
      <c r="FL17" s="1"/>
      <c r="FM17" s="1"/>
      <c r="FN17" s="1"/>
      <c r="FO17" s="1"/>
      <c r="FP17" s="1"/>
      <c r="FQ17" s="1"/>
    </row>
    <row r="18" spans="1:173" x14ac:dyDescent="0.3">
      <c r="A18" s="1"/>
      <c r="B18" s="28">
        <v>7</v>
      </c>
      <c r="C18" s="129">
        <f>'[13]2. Distributional by deciles o'!B70</f>
        <v>36663739.255200014</v>
      </c>
      <c r="D18" s="129">
        <f>'[13]2. Distributional by deciles o'!C70</f>
        <v>38067248.074800014</v>
      </c>
      <c r="E18" s="129">
        <f>'[13]2. Distributional by deciles o'!D70</f>
        <v>37030769.818800002</v>
      </c>
      <c r="F18" s="129">
        <f>'[13]2. Distributional by deciles o'!E70</f>
        <v>37031665.143600009</v>
      </c>
      <c r="G18" s="129">
        <f>'[13]2. Distributional by deciles o'!F70</f>
        <v>37030769.818800002</v>
      </c>
      <c r="H18" s="129">
        <f t="shared" si="13"/>
        <v>37030769.818800002</v>
      </c>
      <c r="I18" s="129"/>
      <c r="J18" s="122"/>
      <c r="K18" s="130" t="s">
        <v>113</v>
      </c>
      <c r="L18" s="130" t="s">
        <v>113</v>
      </c>
      <c r="M18" s="130" t="s">
        <v>113</v>
      </c>
      <c r="N18" s="130" t="s">
        <v>113</v>
      </c>
      <c r="O18" s="131">
        <f t="shared" si="0"/>
        <v>4.4658718784729681</v>
      </c>
      <c r="P18" s="129">
        <f>'[13]2. Distributional by deciles o'!B88</f>
        <v>1220635100.7299998</v>
      </c>
      <c r="Q18" s="129">
        <f>'[13]2. Distributional by deciles o'!C88</f>
        <v>1232841747.1704001</v>
      </c>
      <c r="R18" s="131">
        <f t="shared" si="1"/>
        <v>1.0000242032283113</v>
      </c>
      <c r="S18" s="130" t="s">
        <v>113</v>
      </c>
      <c r="T18" s="130" t="s">
        <v>113</v>
      </c>
      <c r="U18" s="130" t="s">
        <v>113</v>
      </c>
      <c r="V18" s="130" t="s">
        <v>113</v>
      </c>
      <c r="W18" s="132">
        <f t="shared" si="14"/>
        <v>3.8279643033919375</v>
      </c>
      <c r="X18" s="132">
        <f t="shared" si="14"/>
        <v>1.0010481416960384</v>
      </c>
      <c r="Y18" s="132">
        <f t="shared" si="2"/>
        <v>1.0034900724673357</v>
      </c>
      <c r="Z18" s="132">
        <f t="shared" si="2"/>
        <v>1.0010481416960384</v>
      </c>
      <c r="AA18" s="132">
        <f t="shared" si="2"/>
        <v>1.0010481416960384</v>
      </c>
      <c r="AB18" s="132">
        <f t="shared" si="15"/>
        <v>1.0010481416960384</v>
      </c>
      <c r="AC18" s="132">
        <f t="shared" si="15"/>
        <v>1.0010481416960384</v>
      </c>
      <c r="AD18" s="130" t="s">
        <v>113</v>
      </c>
      <c r="AE18" s="130" t="s">
        <v>113</v>
      </c>
      <c r="AF18" s="130" t="s">
        <v>113</v>
      </c>
      <c r="AG18" s="130" t="s">
        <v>113</v>
      </c>
      <c r="AH18" s="133">
        <f t="shared" si="3"/>
        <v>1</v>
      </c>
      <c r="AI18" s="134">
        <f t="shared" si="16"/>
        <v>1.048141696038396E-3</v>
      </c>
      <c r="AJ18" s="134">
        <f t="shared" si="4"/>
        <v>2.8244742309246016</v>
      </c>
      <c r="AK18" s="134">
        <f t="shared" si="5"/>
        <v>2.4419307712972849E-3</v>
      </c>
      <c r="AL18" s="134">
        <f t="shared" si="17"/>
        <v>0</v>
      </c>
      <c r="AM18" s="134">
        <f t="shared" si="18"/>
        <v>0</v>
      </c>
      <c r="AN18" s="135">
        <f t="shared" si="30"/>
        <v>0</v>
      </c>
      <c r="AO18" s="134">
        <f t="shared" si="19"/>
        <v>2.2204460492503131E-16</v>
      </c>
      <c r="AP18" s="134">
        <f t="shared" si="7"/>
        <v>1.0481416960386181E-3</v>
      </c>
      <c r="AQ18" s="136" t="s">
        <v>113</v>
      </c>
      <c r="AR18" s="137">
        <f t="shared" si="8"/>
        <v>3.7063469817537172E-2</v>
      </c>
      <c r="AS18" s="137">
        <f t="shared" si="8"/>
        <v>99.876587110270449</v>
      </c>
      <c r="AT18" s="137">
        <f t="shared" si="8"/>
        <v>8.6349419911997002E-2</v>
      </c>
      <c r="AU18" s="137">
        <f t="shared" si="8"/>
        <v>0</v>
      </c>
      <c r="AV18" s="137">
        <f t="shared" si="8"/>
        <v>0</v>
      </c>
      <c r="AW18" s="138">
        <f t="shared" si="8"/>
        <v>0</v>
      </c>
      <c r="AX18" s="137">
        <f t="shared" si="8"/>
        <v>7.8517470909623917E-15</v>
      </c>
      <c r="AY18" s="137">
        <f t="shared" si="8"/>
        <v>3.7063469817545026E-2</v>
      </c>
      <c r="AZ18" s="139" t="s">
        <v>113</v>
      </c>
      <c r="BA18" s="139" t="s">
        <v>113</v>
      </c>
      <c r="BB18" s="139" t="s">
        <v>113</v>
      </c>
      <c r="BC18" s="139" t="s">
        <v>113</v>
      </c>
      <c r="BD18" s="139" t="s">
        <v>113</v>
      </c>
      <c r="BE18" s="139" t="s">
        <v>113</v>
      </c>
      <c r="BF18" s="139" t="s">
        <v>113</v>
      </c>
      <c r="BG18" s="139" t="s">
        <v>113</v>
      </c>
      <c r="BH18" s="140">
        <f>'[13]2. Distributional by deciles o'!B106</f>
        <v>973869772.68599939</v>
      </c>
      <c r="BI18" s="140">
        <f>'[13]2. Distributional by deciles o'!B124</f>
        <v>112380895.62000002</v>
      </c>
      <c r="BJ18" s="140">
        <f>'[13]2. Distributional by deciles o'!B142</f>
        <v>118231107.1284</v>
      </c>
      <c r="BK18" s="140">
        <f>'[13]2. Distributional by deciles o'!B160</f>
        <v>16153318.173600001</v>
      </c>
      <c r="BL18" s="141">
        <f t="shared" si="20"/>
        <v>0.79783858237878291</v>
      </c>
      <c r="BM18" s="141">
        <f t="shared" si="21"/>
        <v>9.206756073825495E-2</v>
      </c>
      <c r="BN18" s="141">
        <f t="shared" si="22"/>
        <v>9.6860321112780728E-2</v>
      </c>
      <c r="BO18" s="141">
        <f t="shared" si="22"/>
        <v>1.323353577018125E-2</v>
      </c>
      <c r="BP18" s="139" t="s">
        <v>113</v>
      </c>
      <c r="BQ18" s="139" t="s">
        <v>113</v>
      </c>
      <c r="BR18" s="139" t="s">
        <v>113</v>
      </c>
      <c r="BS18" s="131">
        <f t="shared" si="23"/>
        <v>10.298760589862392</v>
      </c>
      <c r="BT18" s="139"/>
      <c r="BU18" s="139"/>
      <c r="BV18" s="139"/>
      <c r="BW18" s="139"/>
      <c r="BX18" s="139"/>
      <c r="BY18" s="139"/>
      <c r="BZ18" s="139"/>
      <c r="CA18" s="139"/>
      <c r="CB18" s="139"/>
      <c r="CC18" s="142" t="s">
        <v>113</v>
      </c>
      <c r="CD18" s="142" t="s">
        <v>113</v>
      </c>
      <c r="CE18" s="142" t="s">
        <v>113</v>
      </c>
      <c r="CF18" s="142" t="s">
        <v>113</v>
      </c>
      <c r="CG18" s="142" t="s">
        <v>113</v>
      </c>
      <c r="CH18" s="142" t="s">
        <v>113</v>
      </c>
      <c r="CI18" s="142" t="s">
        <v>113</v>
      </c>
      <c r="CJ18" s="142"/>
      <c r="CK18" s="139" t="s">
        <v>113</v>
      </c>
      <c r="CL18" s="139" t="s">
        <v>113</v>
      </c>
      <c r="CM18" s="139" t="s">
        <v>113</v>
      </c>
      <c r="CN18" s="139" t="s">
        <v>113</v>
      </c>
      <c r="CO18" s="139" t="s">
        <v>113</v>
      </c>
      <c r="CP18" s="139" t="s">
        <v>113</v>
      </c>
      <c r="CQ18" s="139" t="s">
        <v>113</v>
      </c>
      <c r="CR18" s="139"/>
      <c r="CS18" s="143" t="s">
        <v>113</v>
      </c>
      <c r="CT18" s="143" t="s">
        <v>113</v>
      </c>
      <c r="CU18" s="143" t="s">
        <v>113</v>
      </c>
      <c r="CV18" s="143" t="s">
        <v>113</v>
      </c>
      <c r="CW18" s="143" t="s">
        <v>113</v>
      </c>
      <c r="CX18" s="143" t="s">
        <v>113</v>
      </c>
      <c r="CY18" s="143" t="s">
        <v>113</v>
      </c>
      <c r="CZ18" s="143"/>
      <c r="DA18" s="139" t="s">
        <v>113</v>
      </c>
      <c r="DB18" s="139" t="s">
        <v>113</v>
      </c>
      <c r="DC18" s="139" t="s">
        <v>113</v>
      </c>
      <c r="DD18" s="144">
        <f t="shared" si="24"/>
        <v>27.246168954225357</v>
      </c>
      <c r="DE18" s="145">
        <f>'[13]2. Distributional by deciles o'!H34</f>
        <v>0.72753831045774642</v>
      </c>
      <c r="DF18" s="1"/>
      <c r="DG18" s="1"/>
      <c r="DH18" s="1"/>
      <c r="DI18" s="1"/>
      <c r="DJ18" s="1"/>
      <c r="DK18" s="1"/>
      <c r="DL18" s="1"/>
      <c r="DM18" s="1"/>
      <c r="DN18" s="1"/>
      <c r="DO18" s="1"/>
      <c r="DP18" s="1"/>
      <c r="DQ18" s="1"/>
      <c r="DR18" s="1"/>
      <c r="DS18" s="1"/>
      <c r="DT18" s="1"/>
      <c r="DU18" s="1"/>
      <c r="DV18" s="1"/>
      <c r="DW18" s="1"/>
      <c r="DX18" s="1"/>
      <c r="DY18" s="1"/>
      <c r="DZ18" s="1"/>
      <c r="EA18" s="146">
        <f>'[14]2. Distributional by deciles o'!B70</f>
        <v>56865055.091999955</v>
      </c>
      <c r="EB18" s="146">
        <f>'[14]2. Distributional by deciles o'!C70</f>
        <v>58860648.481200039</v>
      </c>
      <c r="EC18" s="146">
        <f>'[14]2. Distributional by deciles o'!D70</f>
        <v>57435331.046399988</v>
      </c>
      <c r="ED18" s="146">
        <f>'[14]2. Distributional by deciles o'!E70</f>
        <v>1995593.389200002</v>
      </c>
      <c r="EE18" s="146">
        <f>'[14]2. Distributional by deciles o'!F70</f>
        <v>570275.95440000296</v>
      </c>
      <c r="EF18" s="146">
        <f t="shared" si="25"/>
        <v>570275.95440000296</v>
      </c>
      <c r="EG18" s="129"/>
      <c r="EH18" s="122"/>
      <c r="EI18" s="130" t="s">
        <v>113</v>
      </c>
      <c r="EJ18" s="130" t="s">
        <v>113</v>
      </c>
      <c r="EK18" s="130" t="s">
        <v>113</v>
      </c>
      <c r="EL18" s="130" t="s">
        <v>113</v>
      </c>
      <c r="EM18" s="131">
        <f t="shared" si="10"/>
        <v>5.3552067491821624</v>
      </c>
      <c r="EN18" s="146">
        <f>'[14]2. Distributional by deciles o'!B88</f>
        <v>1390858775.244</v>
      </c>
      <c r="EO18" s="146">
        <f>'[14]2. Distributional by deciles o'!C88</f>
        <v>1404767277.9383981</v>
      </c>
      <c r="EP18" s="131">
        <f t="shared" si="11"/>
        <v>0.99999388449472093</v>
      </c>
      <c r="EQ18" s="130" t="s">
        <v>113</v>
      </c>
      <c r="ER18" s="130" t="s">
        <v>113</v>
      </c>
      <c r="ES18" s="130" t="s">
        <v>113</v>
      </c>
      <c r="ET18" s="130" t="s">
        <v>113</v>
      </c>
      <c r="EU18" s="131">
        <f t="shared" si="26"/>
        <v>10.351118216496701</v>
      </c>
      <c r="EV18" s="132">
        <f t="shared" si="27"/>
        <v>3.509370720045915</v>
      </c>
      <c r="EW18" s="132">
        <f t="shared" si="28"/>
        <v>1.0028644850942914</v>
      </c>
      <c r="EX18" s="132"/>
      <c r="EY18" s="148">
        <f t="shared" si="12"/>
        <v>-0.3185935833460225</v>
      </c>
      <c r="EZ18" s="144">
        <f t="shared" si="29"/>
        <v>-11943.000000000029</v>
      </c>
      <c r="FA18" s="145">
        <f>'[14]2. Distributional by deciles o'!H34</f>
        <v>120.43000000000029</v>
      </c>
      <c r="FB18" s="130" t="s">
        <v>113</v>
      </c>
      <c r="FC18" s="130" t="s">
        <v>113</v>
      </c>
      <c r="FD18" s="130" t="s">
        <v>113</v>
      </c>
      <c r="FE18" s="130" t="s">
        <v>113</v>
      </c>
      <c r="FF18" s="130" t="s">
        <v>113</v>
      </c>
      <c r="FG18" s="130" t="s">
        <v>113</v>
      </c>
      <c r="FH18" s="130" t="s">
        <v>113</v>
      </c>
      <c r="FI18" s="130" t="s">
        <v>113</v>
      </c>
      <c r="FJ18" s="1"/>
      <c r="FK18" s="1"/>
      <c r="FL18" s="1"/>
      <c r="FM18" s="1"/>
      <c r="FN18" s="1"/>
      <c r="FO18" s="1"/>
      <c r="FP18" s="1"/>
      <c r="FQ18" s="1"/>
    </row>
    <row r="19" spans="1:173" x14ac:dyDescent="0.3">
      <c r="A19" s="1"/>
      <c r="B19" s="28">
        <v>8</v>
      </c>
      <c r="C19" s="129">
        <f>'[13]2. Distributional by deciles o'!B71</f>
        <v>72276274.721999973</v>
      </c>
      <c r="D19" s="129">
        <f>'[13]2. Distributional by deciles o'!C71</f>
        <v>74638770.559200019</v>
      </c>
      <c r="E19" s="129">
        <f>'[13]2. Distributional by deciles o'!D71</f>
        <v>73000432.39320007</v>
      </c>
      <c r="F19" s="129">
        <f>'[13]2. Distributional by deciles o'!E71</f>
        <v>73000935.735600069</v>
      </c>
      <c r="G19" s="129">
        <f>'[13]2. Distributional by deciles o'!F71</f>
        <v>73000432.39320007</v>
      </c>
      <c r="H19" s="129">
        <f t="shared" si="13"/>
        <v>73000432.39320007</v>
      </c>
      <c r="I19" s="129"/>
      <c r="J19" s="122"/>
      <c r="K19" s="130" t="s">
        <v>113</v>
      </c>
      <c r="L19" s="130" t="s">
        <v>113</v>
      </c>
      <c r="M19" s="130" t="s">
        <v>113</v>
      </c>
      <c r="N19" s="130" t="s">
        <v>113</v>
      </c>
      <c r="O19" s="131">
        <f t="shared" si="0"/>
        <v>8.8037005858857391</v>
      </c>
      <c r="P19" s="129">
        <f>'[13]2. Distributional by deciles o'!B89</f>
        <v>1474001897.577601</v>
      </c>
      <c r="Q19" s="129">
        <f>'[13]2. Distributional by deciles o'!C89</f>
        <v>1488742119.2844012</v>
      </c>
      <c r="R19" s="131">
        <f t="shared" si="1"/>
        <v>1.0000137537831133</v>
      </c>
      <c r="S19" s="130" t="s">
        <v>113</v>
      </c>
      <c r="T19" s="130" t="s">
        <v>113</v>
      </c>
      <c r="U19" s="130" t="s">
        <v>113</v>
      </c>
      <c r="V19" s="130" t="s">
        <v>113</v>
      </c>
      <c r="W19" s="132">
        <f t="shared" si="14"/>
        <v>3.2686567666616191</v>
      </c>
      <c r="X19" s="132">
        <f t="shared" si="14"/>
        <v>1.0019162086242808</v>
      </c>
      <c r="Y19" s="132">
        <f t="shared" si="2"/>
        <v>1.0026126134669051</v>
      </c>
      <c r="Z19" s="132">
        <f t="shared" si="2"/>
        <v>1.0019162086242808</v>
      </c>
      <c r="AA19" s="132">
        <f t="shared" si="2"/>
        <v>1.0019162086242808</v>
      </c>
      <c r="AB19" s="132">
        <f t="shared" si="15"/>
        <v>1.0019162086242808</v>
      </c>
      <c r="AC19" s="132">
        <f t="shared" si="15"/>
        <v>1.0019162086242808</v>
      </c>
      <c r="AD19" s="130" t="s">
        <v>113</v>
      </c>
      <c r="AE19" s="130" t="s">
        <v>113</v>
      </c>
      <c r="AF19" s="130" t="s">
        <v>113</v>
      </c>
      <c r="AG19" s="130" t="s">
        <v>113</v>
      </c>
      <c r="AH19" s="133">
        <f t="shared" si="3"/>
        <v>1</v>
      </c>
      <c r="AI19" s="134">
        <f t="shared" si="16"/>
        <v>1.9162086242805465E-3</v>
      </c>
      <c r="AJ19" s="134">
        <f t="shared" si="4"/>
        <v>2.2660441531947138</v>
      </c>
      <c r="AK19" s="134">
        <f t="shared" si="5"/>
        <v>6.9640484262434299E-4</v>
      </c>
      <c r="AL19" s="134">
        <f t="shared" si="17"/>
        <v>0</v>
      </c>
      <c r="AM19" s="134">
        <f t="shared" si="18"/>
        <v>0</v>
      </c>
      <c r="AN19" s="135">
        <f t="shared" si="30"/>
        <v>0</v>
      </c>
      <c r="AO19" s="134">
        <f t="shared" si="19"/>
        <v>2.2204460492503131E-16</v>
      </c>
      <c r="AP19" s="134">
        <f t="shared" si="7"/>
        <v>1.9162086242807685E-3</v>
      </c>
      <c r="AQ19" s="136" t="s">
        <v>113</v>
      </c>
      <c r="AR19" s="137">
        <f t="shared" si="8"/>
        <v>8.4464457225951015E-2</v>
      </c>
      <c r="AS19" s="137">
        <f t="shared" si="8"/>
        <v>99.884838751048719</v>
      </c>
      <c r="AT19" s="137">
        <f t="shared" si="8"/>
        <v>3.0696791725313251E-2</v>
      </c>
      <c r="AU19" s="137">
        <f t="shared" si="8"/>
        <v>0</v>
      </c>
      <c r="AV19" s="137">
        <f t="shared" si="8"/>
        <v>0</v>
      </c>
      <c r="AW19" s="138">
        <f t="shared" si="8"/>
        <v>0</v>
      </c>
      <c r="AX19" s="137">
        <f t="shared" si="8"/>
        <v>9.7874922371697095E-15</v>
      </c>
      <c r="AY19" s="137">
        <f t="shared" si="8"/>
        <v>8.4464457225960798E-2</v>
      </c>
      <c r="AZ19" s="139" t="s">
        <v>113</v>
      </c>
      <c r="BA19" s="139" t="s">
        <v>113</v>
      </c>
      <c r="BB19" s="139" t="s">
        <v>113</v>
      </c>
      <c r="BC19" s="139" t="s">
        <v>113</v>
      </c>
      <c r="BD19" s="139" t="s">
        <v>113</v>
      </c>
      <c r="BE19" s="139" t="s">
        <v>113</v>
      </c>
      <c r="BF19" s="139" t="s">
        <v>113</v>
      </c>
      <c r="BG19" s="139" t="s">
        <v>113</v>
      </c>
      <c r="BH19" s="140">
        <f>'[13]2. Distributional by deciles o'!B107</f>
        <v>1156112371.3620009</v>
      </c>
      <c r="BI19" s="140">
        <f>'[13]2. Distributional by deciles o'!B125</f>
        <v>162914737.17239997</v>
      </c>
      <c r="BJ19" s="140">
        <f>'[13]2. Distributional by deciles o'!B143</f>
        <v>127581997.79279999</v>
      </c>
      <c r="BK19" s="140">
        <f>'[13]2. Distributional by deciles o'!B161</f>
        <v>27392860.852800004</v>
      </c>
      <c r="BL19" s="141">
        <f t="shared" si="20"/>
        <v>0.7843357044996534</v>
      </c>
      <c r="BM19" s="141">
        <f t="shared" si="21"/>
        <v>0.11052545437512655</v>
      </c>
      <c r="BN19" s="141">
        <f t="shared" si="22"/>
        <v>8.6554835497868812E-2</v>
      </c>
      <c r="BO19" s="141">
        <f t="shared" si="22"/>
        <v>1.858400562735129E-2</v>
      </c>
      <c r="BP19" s="139" t="s">
        <v>113</v>
      </c>
      <c r="BQ19" s="139" t="s">
        <v>113</v>
      </c>
      <c r="BR19" s="139" t="s">
        <v>113</v>
      </c>
      <c r="BS19" s="131">
        <f t="shared" si="23"/>
        <v>12.436470688968356</v>
      </c>
      <c r="BT19" s="139"/>
      <c r="BU19" s="139"/>
      <c r="BV19" s="139"/>
      <c r="BW19" s="139"/>
      <c r="BX19" s="139"/>
      <c r="BY19" s="139"/>
      <c r="BZ19" s="139"/>
      <c r="CA19" s="139"/>
      <c r="CB19" s="139"/>
      <c r="CC19" s="142" t="s">
        <v>113</v>
      </c>
      <c r="CD19" s="142" t="s">
        <v>113</v>
      </c>
      <c r="CE19" s="142" t="s">
        <v>113</v>
      </c>
      <c r="CF19" s="142" t="s">
        <v>113</v>
      </c>
      <c r="CG19" s="142" t="s">
        <v>113</v>
      </c>
      <c r="CH19" s="142" t="s">
        <v>113</v>
      </c>
      <c r="CI19" s="142" t="s">
        <v>113</v>
      </c>
      <c r="CJ19" s="142"/>
      <c r="CK19" s="139" t="s">
        <v>113</v>
      </c>
      <c r="CL19" s="139" t="s">
        <v>113</v>
      </c>
      <c r="CM19" s="139" t="s">
        <v>113</v>
      </c>
      <c r="CN19" s="139" t="s">
        <v>113</v>
      </c>
      <c r="CO19" s="139" t="s">
        <v>113</v>
      </c>
      <c r="CP19" s="139" t="s">
        <v>113</v>
      </c>
      <c r="CQ19" s="139" t="s">
        <v>113</v>
      </c>
      <c r="CR19" s="139"/>
      <c r="CS19" s="143" t="s">
        <v>113</v>
      </c>
      <c r="CT19" s="143" t="s">
        <v>113</v>
      </c>
      <c r="CU19" s="143" t="s">
        <v>113</v>
      </c>
      <c r="CV19" s="143" t="s">
        <v>113</v>
      </c>
      <c r="CW19" s="143" t="s">
        <v>113</v>
      </c>
      <c r="CX19" s="143" t="s">
        <v>113</v>
      </c>
      <c r="CY19" s="143" t="s">
        <v>113</v>
      </c>
      <c r="CZ19" s="143"/>
      <c r="DA19" s="139" t="s">
        <v>113</v>
      </c>
      <c r="DB19" s="139" t="s">
        <v>113</v>
      </c>
      <c r="DC19" s="139" t="s">
        <v>113</v>
      </c>
      <c r="DD19" s="144">
        <f t="shared" si="24"/>
        <v>7.5470006296419756</v>
      </c>
      <c r="DE19" s="145">
        <f>'[13]2. Distributional by deciles o'!H35</f>
        <v>0.92452999370358024</v>
      </c>
      <c r="DF19" s="1"/>
      <c r="DG19" s="1"/>
      <c r="DH19" s="1"/>
      <c r="DI19" s="1"/>
      <c r="DJ19" s="1"/>
      <c r="DK19" s="1"/>
      <c r="DL19" s="1"/>
      <c r="DM19" s="1"/>
      <c r="DN19" s="1"/>
      <c r="DO19" s="1"/>
      <c r="DP19" s="1"/>
      <c r="DQ19" s="1"/>
      <c r="DR19" s="1"/>
      <c r="DS19" s="1"/>
      <c r="DT19" s="1"/>
      <c r="DU19" s="1"/>
      <c r="DV19" s="1"/>
      <c r="DW19" s="1"/>
      <c r="DX19" s="1"/>
      <c r="DY19" s="1"/>
      <c r="DZ19" s="1"/>
      <c r="EA19" s="146">
        <f>'[14]2. Distributional by deciles o'!B71</f>
        <v>104692027.42320001</v>
      </c>
      <c r="EB19" s="146">
        <f>'[14]2. Distributional by deciles o'!C71</f>
        <v>107783886.07559994</v>
      </c>
      <c r="EC19" s="146">
        <f>'[14]2. Distributional by deciles o'!D71</f>
        <v>105740720.34720008</v>
      </c>
      <c r="ED19" s="146">
        <f>'[14]2. Distributional by deciles o'!E71</f>
        <v>3091858.6524000019</v>
      </c>
      <c r="EE19" s="146">
        <f>'[14]2. Distributional by deciles o'!F71</f>
        <v>1048692.9240000099</v>
      </c>
      <c r="EF19" s="146">
        <f t="shared" si="25"/>
        <v>1048692.9240000099</v>
      </c>
      <c r="EG19" s="129"/>
      <c r="EH19" s="122"/>
      <c r="EI19" s="130" t="s">
        <v>113</v>
      </c>
      <c r="EJ19" s="130" t="s">
        <v>113</v>
      </c>
      <c r="EK19" s="130" t="s">
        <v>113</v>
      </c>
      <c r="EL19" s="130" t="s">
        <v>113</v>
      </c>
      <c r="EM19" s="131">
        <f t="shared" si="10"/>
        <v>9.8592615611685073</v>
      </c>
      <c r="EN19" s="146">
        <f>'[14]2. Distributional by deciles o'!B89</f>
        <v>1678767046.5816014</v>
      </c>
      <c r="EO19" s="146">
        <f>'[14]2. Distributional by deciles o'!C89</f>
        <v>1695554677.6967993</v>
      </c>
      <c r="EP19" s="131">
        <f t="shared" si="11"/>
        <v>0.99999765598102197</v>
      </c>
      <c r="EQ19" s="130" t="s">
        <v>113</v>
      </c>
      <c r="ER19" s="130" t="s">
        <v>113</v>
      </c>
      <c r="ES19" s="130" t="s">
        <v>113</v>
      </c>
      <c r="ET19" s="130" t="s">
        <v>113</v>
      </c>
      <c r="EU19" s="131">
        <f t="shared" si="26"/>
        <v>12.493803444621248</v>
      </c>
      <c r="EV19" s="132">
        <f t="shared" si="27"/>
        <v>2.9532964217933455</v>
      </c>
      <c r="EW19" s="132">
        <f t="shared" si="28"/>
        <v>1.001695552157732</v>
      </c>
      <c r="EX19" s="132"/>
      <c r="EY19" s="148">
        <f t="shared" si="12"/>
        <v>-0.31536034486827358</v>
      </c>
      <c r="EZ19" s="144">
        <f t="shared" si="29"/>
        <v>-3407.9999999998108</v>
      </c>
      <c r="FA19" s="145">
        <f>'[14]2. Distributional by deciles o'!H35</f>
        <v>35.079999999998108</v>
      </c>
      <c r="FB19" s="130" t="s">
        <v>113</v>
      </c>
      <c r="FC19" s="130" t="s">
        <v>113</v>
      </c>
      <c r="FD19" s="130" t="s">
        <v>113</v>
      </c>
      <c r="FE19" s="130" t="s">
        <v>113</v>
      </c>
      <c r="FF19" s="130" t="s">
        <v>113</v>
      </c>
      <c r="FG19" s="130" t="s">
        <v>113</v>
      </c>
      <c r="FH19" s="130" t="s">
        <v>113</v>
      </c>
      <c r="FI19" s="130" t="s">
        <v>113</v>
      </c>
      <c r="FJ19" s="1"/>
      <c r="FK19" s="1"/>
      <c r="FL19" s="1"/>
      <c r="FM19" s="1"/>
      <c r="FN19" s="1"/>
      <c r="FO19" s="1"/>
      <c r="FP19" s="1"/>
      <c r="FQ19" s="1"/>
    </row>
    <row r="20" spans="1:173" x14ac:dyDescent="0.3">
      <c r="A20" s="1"/>
      <c r="B20" s="28">
        <v>9</v>
      </c>
      <c r="C20" s="129">
        <f>'[13]2. Distributional by deciles o'!B72</f>
        <v>148158378.20040005</v>
      </c>
      <c r="D20" s="129">
        <f>'[13]2. Distributional by deciles o'!C72</f>
        <v>152138390.26679999</v>
      </c>
      <c r="E20" s="129">
        <f>'[13]2. Distributional by deciles o'!D72</f>
        <v>149640868.9907999</v>
      </c>
      <c r="F20" s="129">
        <f>'[13]2. Distributional by deciles o'!E72</f>
        <v>149643839.40719992</v>
      </c>
      <c r="G20" s="129">
        <f>'[13]2. Distributional by deciles o'!F72</f>
        <v>149640868.9907999</v>
      </c>
      <c r="H20" s="129">
        <f t="shared" si="13"/>
        <v>149640868.9907999</v>
      </c>
      <c r="I20" s="129"/>
      <c r="J20" s="122"/>
      <c r="K20" s="130" t="s">
        <v>113</v>
      </c>
      <c r="L20" s="130" t="s">
        <v>113</v>
      </c>
      <c r="M20" s="130" t="s">
        <v>113</v>
      </c>
      <c r="N20" s="130" t="s">
        <v>113</v>
      </c>
      <c r="O20" s="131">
        <f t="shared" si="0"/>
        <v>18.046613580787081</v>
      </c>
      <c r="P20" s="129">
        <f>'[13]2. Distributional by deciles o'!B90</f>
        <v>1936184520.7560005</v>
      </c>
      <c r="Q20" s="129">
        <f>'[13]2. Distributional by deciles o'!C90</f>
        <v>1955546531.9459996</v>
      </c>
      <c r="R20" s="131">
        <f t="shared" si="1"/>
        <v>1.0000085726560304</v>
      </c>
      <c r="S20" s="130" t="s">
        <v>113</v>
      </c>
      <c r="T20" s="130" t="s">
        <v>113</v>
      </c>
      <c r="U20" s="130" t="s">
        <v>113</v>
      </c>
      <c r="V20" s="130" t="s">
        <v>113</v>
      </c>
      <c r="W20" s="132">
        <f t="shared" si="14"/>
        <v>2.6862996178553158</v>
      </c>
      <c r="X20" s="132">
        <f t="shared" si="14"/>
        <v>1.0006036105632667</v>
      </c>
      <c r="Y20" s="132">
        <f t="shared" si="2"/>
        <v>1.0026084860026145</v>
      </c>
      <c r="Z20" s="132">
        <f t="shared" si="2"/>
        <v>1.0006036105632667</v>
      </c>
      <c r="AA20" s="132">
        <f t="shared" si="2"/>
        <v>1.0006036105632667</v>
      </c>
      <c r="AB20" s="132">
        <f t="shared" si="15"/>
        <v>1.0006036105632667</v>
      </c>
      <c r="AC20" s="132">
        <f t="shared" si="15"/>
        <v>1.0006036105632667</v>
      </c>
      <c r="AD20" s="130" t="s">
        <v>113</v>
      </c>
      <c r="AE20" s="130" t="s">
        <v>113</v>
      </c>
      <c r="AF20" s="130" t="s">
        <v>113</v>
      </c>
      <c r="AG20" s="130" t="s">
        <v>113</v>
      </c>
      <c r="AH20" s="133">
        <f t="shared" si="3"/>
        <v>1</v>
      </c>
      <c r="AI20" s="134">
        <f t="shared" si="16"/>
        <v>6.0361056326696527E-4</v>
      </c>
      <c r="AJ20" s="134">
        <f t="shared" si="4"/>
        <v>1.6836911318527013</v>
      </c>
      <c r="AK20" s="134">
        <f t="shared" si="5"/>
        <v>2.0048754393477974E-3</v>
      </c>
      <c r="AL20" s="134">
        <f t="shared" si="17"/>
        <v>0</v>
      </c>
      <c r="AM20" s="134">
        <f t="shared" si="18"/>
        <v>0</v>
      </c>
      <c r="AN20" s="135">
        <f t="shared" si="30"/>
        <v>0</v>
      </c>
      <c r="AO20" s="134">
        <f t="shared" si="19"/>
        <v>0</v>
      </c>
      <c r="AP20" s="134">
        <f t="shared" si="7"/>
        <v>6.0361056326696527E-4</v>
      </c>
      <c r="AQ20" s="136" t="s">
        <v>113</v>
      </c>
      <c r="AR20" s="137">
        <f t="shared" si="8"/>
        <v>3.5794977172245022E-2</v>
      </c>
      <c r="AS20" s="137">
        <f t="shared" si="8"/>
        <v>99.845313017034769</v>
      </c>
      <c r="AT20" s="137">
        <f t="shared" si="8"/>
        <v>0.11889200579299516</v>
      </c>
      <c r="AU20" s="137">
        <f t="shared" si="8"/>
        <v>0</v>
      </c>
      <c r="AV20" s="137">
        <f t="shared" si="8"/>
        <v>0</v>
      </c>
      <c r="AW20" s="138">
        <f t="shared" si="8"/>
        <v>0</v>
      </c>
      <c r="AX20" s="137">
        <f t="shared" si="8"/>
        <v>0</v>
      </c>
      <c r="AY20" s="137">
        <f t="shared" si="8"/>
        <v>3.5794977172245022E-2</v>
      </c>
      <c r="AZ20" s="139" t="s">
        <v>113</v>
      </c>
      <c r="BA20" s="139" t="s">
        <v>113</v>
      </c>
      <c r="BB20" s="139" t="s">
        <v>113</v>
      </c>
      <c r="BC20" s="139" t="s">
        <v>113</v>
      </c>
      <c r="BD20" s="139" t="s">
        <v>113</v>
      </c>
      <c r="BE20" s="139" t="s">
        <v>113</v>
      </c>
      <c r="BF20" s="139" t="s">
        <v>113</v>
      </c>
      <c r="BG20" s="139" t="s">
        <v>113</v>
      </c>
      <c r="BH20" s="140">
        <f>'[13]2. Distributional by deciles o'!B108</f>
        <v>1482396584.7624002</v>
      </c>
      <c r="BI20" s="140">
        <f>'[13]2. Distributional by deciles o'!B126</f>
        <v>287927671.06440002</v>
      </c>
      <c r="BJ20" s="140">
        <f>'[13]2. Distributional by deciles o'!B144</f>
        <v>131220199.89239997</v>
      </c>
      <c r="BK20" s="140">
        <f>'[13]2. Distributional by deciles o'!B162</f>
        <v>34640103.117600001</v>
      </c>
      <c r="BL20" s="141">
        <f t="shared" si="20"/>
        <v>0.76562772799560919</v>
      </c>
      <c r="BM20" s="141">
        <f t="shared" si="21"/>
        <v>0.14870879418508434</v>
      </c>
      <c r="BN20" s="141">
        <f t="shared" si="22"/>
        <v>6.7772568112635406E-2</v>
      </c>
      <c r="BO20" s="141">
        <f t="shared" si="22"/>
        <v>1.7890909706671097E-2</v>
      </c>
      <c r="BP20" s="139" t="s">
        <v>113</v>
      </c>
      <c r="BQ20" s="139" t="s">
        <v>113</v>
      </c>
      <c r="BR20" s="139" t="s">
        <v>113</v>
      </c>
      <c r="BS20" s="131">
        <f t="shared" si="23"/>
        <v>16.336004777462339</v>
      </c>
      <c r="BT20" s="139"/>
      <c r="BU20" s="139"/>
      <c r="BV20" s="139"/>
      <c r="BW20" s="139"/>
      <c r="BX20" s="139"/>
      <c r="BY20" s="139"/>
      <c r="BZ20" s="139"/>
      <c r="CA20" s="139"/>
      <c r="CB20" s="139"/>
      <c r="CC20" s="142" t="s">
        <v>113</v>
      </c>
      <c r="CD20" s="142" t="s">
        <v>113</v>
      </c>
      <c r="CE20" s="142" t="s">
        <v>113</v>
      </c>
      <c r="CF20" s="142" t="s">
        <v>113</v>
      </c>
      <c r="CG20" s="142" t="s">
        <v>113</v>
      </c>
      <c r="CH20" s="142" t="s">
        <v>113</v>
      </c>
      <c r="CI20" s="142" t="s">
        <v>113</v>
      </c>
      <c r="CJ20" s="142"/>
      <c r="CK20" s="139" t="s">
        <v>113</v>
      </c>
      <c r="CL20" s="139" t="s">
        <v>113</v>
      </c>
      <c r="CM20" s="139" t="s">
        <v>113</v>
      </c>
      <c r="CN20" s="139" t="s">
        <v>113</v>
      </c>
      <c r="CO20" s="139" t="s">
        <v>113</v>
      </c>
      <c r="CP20" s="139" t="s">
        <v>113</v>
      </c>
      <c r="CQ20" s="139" t="s">
        <v>113</v>
      </c>
      <c r="CR20" s="139"/>
      <c r="CS20" s="143" t="s">
        <v>113</v>
      </c>
      <c r="CT20" s="143" t="s">
        <v>113</v>
      </c>
      <c r="CU20" s="143" t="s">
        <v>113</v>
      </c>
      <c r="CV20" s="143" t="s">
        <v>113</v>
      </c>
      <c r="CW20" s="143" t="s">
        <v>113</v>
      </c>
      <c r="CX20" s="143" t="s">
        <v>113</v>
      </c>
      <c r="CY20" s="143" t="s">
        <v>113</v>
      </c>
      <c r="CZ20" s="143"/>
      <c r="DA20" s="139" t="s">
        <v>113</v>
      </c>
      <c r="DB20" s="139" t="s">
        <v>113</v>
      </c>
      <c r="DC20" s="139" t="s">
        <v>113</v>
      </c>
      <c r="DD20" s="144">
        <f t="shared" si="24"/>
        <v>0</v>
      </c>
      <c r="DE20" s="145">
        <f>'[13]2. Distributional by deciles o'!H36</f>
        <v>1</v>
      </c>
      <c r="DF20" s="1"/>
      <c r="DG20" s="1"/>
      <c r="DH20" s="1"/>
      <c r="DI20" s="1"/>
      <c r="DJ20" s="1"/>
      <c r="DK20" s="1"/>
      <c r="DL20" s="1"/>
      <c r="DM20" s="1"/>
      <c r="DN20" s="1"/>
      <c r="DO20" s="1"/>
      <c r="DP20" s="1"/>
      <c r="DQ20" s="1"/>
      <c r="DR20" s="1"/>
      <c r="DS20" s="1"/>
      <c r="DT20" s="1"/>
      <c r="DU20" s="1"/>
      <c r="DV20" s="1"/>
      <c r="DW20" s="1"/>
      <c r="DX20" s="1"/>
      <c r="DY20" s="1"/>
      <c r="DZ20" s="1"/>
      <c r="EA20" s="146">
        <f>'[14]2. Distributional by deciles o'!B72</f>
        <v>197399900.55359992</v>
      </c>
      <c r="EB20" s="146">
        <f>'[14]2. Distributional by deciles o'!C72</f>
        <v>202282634.35320002</v>
      </c>
      <c r="EC20" s="146">
        <f>'[14]2. Distributional by deciles o'!D72</f>
        <v>199376117.52719998</v>
      </c>
      <c r="ED20" s="146">
        <f>'[14]2. Distributional by deciles o'!E72</f>
        <v>4882733.7995999753</v>
      </c>
      <c r="EE20" s="146">
        <f>'[14]2. Distributional by deciles o'!F72</f>
        <v>1976216.9736000001</v>
      </c>
      <c r="EF20" s="146">
        <f t="shared" si="25"/>
        <v>1976216.9736000001</v>
      </c>
      <c r="EG20" s="129"/>
      <c r="EH20" s="122"/>
      <c r="EI20" s="130" t="s">
        <v>113</v>
      </c>
      <c r="EJ20" s="130" t="s">
        <v>113</v>
      </c>
      <c r="EK20" s="130" t="s">
        <v>113</v>
      </c>
      <c r="EL20" s="130" t="s">
        <v>113</v>
      </c>
      <c r="EM20" s="131">
        <f t="shared" si="10"/>
        <v>18.589927997471442</v>
      </c>
      <c r="EN20" s="146">
        <f>'[14]2. Distributional by deciles o'!B90</f>
        <v>2201792634.4728017</v>
      </c>
      <c r="EO20" s="146">
        <f>'[14]2. Distributional by deciles o'!C90</f>
        <v>2223810591.7151999</v>
      </c>
      <c r="EP20" s="131">
        <f t="shared" si="11"/>
        <v>1.0000014032961024</v>
      </c>
      <c r="EQ20" s="130" t="s">
        <v>113</v>
      </c>
      <c r="ER20" s="130" t="s">
        <v>113</v>
      </c>
      <c r="ES20" s="130" t="s">
        <v>113</v>
      </c>
      <c r="ET20" s="130" t="s">
        <v>113</v>
      </c>
      <c r="EU20" s="131">
        <f t="shared" si="26"/>
        <v>16.386290436742165</v>
      </c>
      <c r="EV20" s="132">
        <f t="shared" si="27"/>
        <v>2.4735204698659889</v>
      </c>
      <c r="EW20" s="132">
        <f t="shared" si="28"/>
        <v>1.0011221864064588</v>
      </c>
      <c r="EX20" s="132"/>
      <c r="EY20" s="148">
        <f t="shared" si="12"/>
        <v>-0.21277914798932684</v>
      </c>
      <c r="EZ20" s="144">
        <f t="shared" si="29"/>
        <v>100</v>
      </c>
      <c r="FA20" s="145">
        <f>'[14]2. Distributional by deciles o'!H36</f>
        <v>0</v>
      </c>
      <c r="FB20" s="130" t="s">
        <v>113</v>
      </c>
      <c r="FC20" s="130" t="s">
        <v>113</v>
      </c>
      <c r="FD20" s="130" t="s">
        <v>113</v>
      </c>
      <c r="FE20" s="130" t="s">
        <v>113</v>
      </c>
      <c r="FF20" s="130" t="s">
        <v>113</v>
      </c>
      <c r="FG20" s="130" t="s">
        <v>113</v>
      </c>
      <c r="FH20" s="130" t="s">
        <v>113</v>
      </c>
      <c r="FI20" s="130" t="s">
        <v>113</v>
      </c>
      <c r="FJ20" s="1"/>
      <c r="FK20" s="1"/>
      <c r="FL20" s="1"/>
      <c r="FM20" s="1"/>
      <c r="FN20" s="1"/>
      <c r="FO20" s="1"/>
      <c r="FP20" s="1"/>
      <c r="FQ20" s="1"/>
    </row>
    <row r="21" spans="1:173" x14ac:dyDescent="0.3">
      <c r="A21" s="1"/>
      <c r="B21" s="33">
        <v>10</v>
      </c>
      <c r="C21" s="129">
        <f>'[13]2. Distributional by deciles o'!B73</f>
        <v>530805150.88799989</v>
      </c>
      <c r="D21" s="129">
        <f>'[13]2. Distributional by deciles o'!C73</f>
        <v>540202565.34119999</v>
      </c>
      <c r="E21" s="129">
        <f>'[13]2. Distributional by deciles o'!D73</f>
        <v>536126562.56040049</v>
      </c>
      <c r="F21" s="129">
        <f>'[13]2. Distributional by deciles o'!E73</f>
        <v>536143387.13640058</v>
      </c>
      <c r="G21" s="129">
        <f>'[13]2. Distributional by deciles o'!F73</f>
        <v>536126562.56040049</v>
      </c>
      <c r="H21" s="129">
        <f t="shared" si="13"/>
        <v>536126562.56040049</v>
      </c>
      <c r="I21" s="149"/>
      <c r="J21" s="122"/>
      <c r="K21" s="130" t="s">
        <v>113</v>
      </c>
      <c r="L21" s="130" t="s">
        <v>113</v>
      </c>
      <c r="M21" s="130" t="s">
        <v>113</v>
      </c>
      <c r="N21" s="130" t="s">
        <v>113</v>
      </c>
      <c r="O21" s="131">
        <f t="shared" si="0"/>
        <v>64.655374614118514</v>
      </c>
      <c r="P21" s="129">
        <f>'[13]2. Distributional by deciles o'!B91</f>
        <v>3337783469.3807974</v>
      </c>
      <c r="Q21" s="129">
        <f>'[13]2. Distributional by deciles o'!C91</f>
        <v>3371161449.6084003</v>
      </c>
      <c r="R21" s="131">
        <f t="shared" si="1"/>
        <v>1.0000043601928077</v>
      </c>
      <c r="S21" s="130" t="s">
        <v>113</v>
      </c>
      <c r="T21" s="130" t="s">
        <v>113</v>
      </c>
      <c r="U21" s="130" t="s">
        <v>113</v>
      </c>
      <c r="V21" s="130" t="s">
        <v>113</v>
      </c>
      <c r="W21" s="132">
        <f t="shared" si="14"/>
        <v>1.7703998280948667</v>
      </c>
      <c r="X21" s="132">
        <f t="shared" si="14"/>
        <v>1.0025125907724424</v>
      </c>
      <c r="Y21" s="132">
        <f t="shared" si="2"/>
        <v>1.0056822100977019</v>
      </c>
      <c r="Z21" s="132">
        <f t="shared" si="2"/>
        <v>1.0025125907724424</v>
      </c>
      <c r="AA21" s="132">
        <f t="shared" si="2"/>
        <v>1.0025125907724424</v>
      </c>
      <c r="AB21" s="132">
        <f t="shared" si="15"/>
        <v>1.0025125907724424</v>
      </c>
      <c r="AC21" s="132">
        <f t="shared" si="15"/>
        <v>1.0025125907724424</v>
      </c>
      <c r="AD21" s="130" t="s">
        <v>113</v>
      </c>
      <c r="AE21" s="130" t="s">
        <v>113</v>
      </c>
      <c r="AF21" s="130" t="s">
        <v>113</v>
      </c>
      <c r="AG21" s="130" t="s">
        <v>113</v>
      </c>
      <c r="AH21" s="133">
        <f t="shared" si="3"/>
        <v>1</v>
      </c>
      <c r="AI21" s="134">
        <f t="shared" si="16"/>
        <v>2.5125907724423691E-3</v>
      </c>
      <c r="AJ21" s="134">
        <f t="shared" si="4"/>
        <v>0.76471761799716487</v>
      </c>
      <c r="AK21" s="134">
        <f>IF(W21&gt;1,MAX(MIN(Y21-Z21,W21-AH21-AJ21),0),0)</f>
        <v>3.1696193252594984E-3</v>
      </c>
      <c r="AL21" s="134">
        <f t="shared" si="17"/>
        <v>0</v>
      </c>
      <c r="AM21" s="134">
        <f t="shared" si="18"/>
        <v>0</v>
      </c>
      <c r="AN21" s="135">
        <f t="shared" si="30"/>
        <v>0</v>
      </c>
      <c r="AO21" s="134">
        <f t="shared" si="19"/>
        <v>0</v>
      </c>
      <c r="AP21" s="134">
        <f t="shared" si="7"/>
        <v>2.5125907724423691E-3</v>
      </c>
      <c r="AQ21" s="136" t="s">
        <v>113</v>
      </c>
      <c r="AR21" s="137">
        <f t="shared" si="8"/>
        <v>0.32614113877151196</v>
      </c>
      <c r="AS21" s="137">
        <f t="shared" si="8"/>
        <v>99.262433623362369</v>
      </c>
      <c r="AT21" s="137">
        <f t="shared" si="8"/>
        <v>0.41142523786612173</v>
      </c>
      <c r="AU21" s="137">
        <f t="shared" si="8"/>
        <v>0</v>
      </c>
      <c r="AV21" s="137">
        <f t="shared" si="8"/>
        <v>0</v>
      </c>
      <c r="AW21" s="138">
        <f t="shared" si="8"/>
        <v>0</v>
      </c>
      <c r="AX21" s="137">
        <f t="shared" si="8"/>
        <v>0</v>
      </c>
      <c r="AY21" s="137">
        <f t="shared" si="8"/>
        <v>0.32614113877151196</v>
      </c>
      <c r="AZ21" s="139" t="s">
        <v>113</v>
      </c>
      <c r="BA21" s="139" t="s">
        <v>113</v>
      </c>
      <c r="BB21" s="139" t="s">
        <v>113</v>
      </c>
      <c r="BC21" s="139" t="s">
        <v>113</v>
      </c>
      <c r="BD21" s="139" t="s">
        <v>113</v>
      </c>
      <c r="BE21" s="139" t="s">
        <v>113</v>
      </c>
      <c r="BF21" s="139" t="s">
        <v>113</v>
      </c>
      <c r="BG21" s="139" t="s">
        <v>113</v>
      </c>
      <c r="BH21" s="140">
        <f>'[13]2. Distributional by deciles o'!B109</f>
        <v>2468622534.6779985</v>
      </c>
      <c r="BI21" s="140">
        <f>'[13]2. Distributional by deciles o'!B127</f>
        <v>581413459.17360008</v>
      </c>
      <c r="BJ21" s="140">
        <f>'[13]2. Distributional by deciles o'!B145</f>
        <v>191814334.02479997</v>
      </c>
      <c r="BK21" s="140">
        <f>'[13]2. Distributional by deciles o'!B163</f>
        <v>95933095.789200023</v>
      </c>
      <c r="BL21" s="141">
        <f t="shared" si="20"/>
        <v>0.73959937519460872</v>
      </c>
      <c r="BM21" s="141">
        <f t="shared" si="21"/>
        <v>0.17419148739587306</v>
      </c>
      <c r="BN21" s="141">
        <f t="shared" si="22"/>
        <v>5.7467579431545894E-2</v>
      </c>
      <c r="BO21" s="141">
        <f t="shared" si="22"/>
        <v>2.8741557977972405E-2</v>
      </c>
      <c r="BP21" s="139" t="s">
        <v>113</v>
      </c>
      <c r="BQ21" s="139" t="s">
        <v>113</v>
      </c>
      <c r="BR21" s="139" t="s">
        <v>113</v>
      </c>
      <c r="BS21" s="131">
        <f t="shared" si="23"/>
        <v>28.161596230843404</v>
      </c>
      <c r="BT21" s="139"/>
      <c r="BU21" s="139"/>
      <c r="BV21" s="139"/>
      <c r="BW21" s="139"/>
      <c r="BX21" s="139"/>
      <c r="BY21" s="139"/>
      <c r="BZ21" s="139"/>
      <c r="CA21" s="139"/>
      <c r="CB21" s="139"/>
      <c r="CC21" s="142" t="s">
        <v>113</v>
      </c>
      <c r="CD21" s="142" t="s">
        <v>113</v>
      </c>
      <c r="CE21" s="142" t="s">
        <v>113</v>
      </c>
      <c r="CF21" s="142" t="s">
        <v>113</v>
      </c>
      <c r="CG21" s="142" t="s">
        <v>113</v>
      </c>
      <c r="CH21" s="142" t="s">
        <v>113</v>
      </c>
      <c r="CI21" s="142" t="s">
        <v>113</v>
      </c>
      <c r="CJ21" s="142"/>
      <c r="CK21" s="139" t="s">
        <v>113</v>
      </c>
      <c r="CL21" s="139" t="s">
        <v>113</v>
      </c>
      <c r="CM21" s="139" t="s">
        <v>113</v>
      </c>
      <c r="CN21" s="139" t="s">
        <v>113</v>
      </c>
      <c r="CO21" s="139" t="s">
        <v>113</v>
      </c>
      <c r="CP21" s="139" t="s">
        <v>113</v>
      </c>
      <c r="CQ21" s="139" t="s">
        <v>113</v>
      </c>
      <c r="CR21" s="139"/>
      <c r="CS21" s="143" t="s">
        <v>113</v>
      </c>
      <c r="CT21" s="143" t="s">
        <v>113</v>
      </c>
      <c r="CU21" s="143" t="s">
        <v>113</v>
      </c>
      <c r="CV21" s="143" t="s">
        <v>113</v>
      </c>
      <c r="CW21" s="143" t="s">
        <v>113</v>
      </c>
      <c r="CX21" s="143" t="s">
        <v>113</v>
      </c>
      <c r="CY21" s="143" t="s">
        <v>113</v>
      </c>
      <c r="CZ21" s="143"/>
      <c r="DA21" s="139" t="s">
        <v>113</v>
      </c>
      <c r="DB21" s="139" t="s">
        <v>113</v>
      </c>
      <c r="DC21" s="139" t="s">
        <v>113</v>
      </c>
      <c r="DD21" s="144">
        <f t="shared" si="24"/>
        <v>0</v>
      </c>
      <c r="DE21" s="145">
        <f>'[13]2. Distributional by deciles o'!H37</f>
        <v>1</v>
      </c>
      <c r="DF21" s="1"/>
      <c r="DG21" s="1"/>
      <c r="DH21" s="1"/>
      <c r="DI21" s="1"/>
      <c r="DJ21" s="1"/>
      <c r="DK21" s="1"/>
      <c r="DL21" s="1"/>
      <c r="DM21" s="1"/>
      <c r="DN21" s="1"/>
      <c r="DO21" s="1"/>
      <c r="DP21" s="1"/>
      <c r="DQ21" s="1"/>
      <c r="DR21" s="1"/>
      <c r="DS21" s="1"/>
      <c r="DT21" s="1"/>
      <c r="DU21" s="1"/>
      <c r="DV21" s="1"/>
      <c r="DW21" s="1"/>
      <c r="DX21" s="1"/>
      <c r="DY21" s="1"/>
      <c r="DZ21" s="1"/>
      <c r="EA21" s="146">
        <f>'[14]2. Distributional by deciles o'!B73</f>
        <v>645291509.63400006</v>
      </c>
      <c r="EB21" s="146">
        <f>'[14]2. Distributional by deciles o'!C73</f>
        <v>656171287.58159995</v>
      </c>
      <c r="EC21" s="146">
        <f>'[14]2. Distributional by deciles o'!D73</f>
        <v>651773222.28599977</v>
      </c>
      <c r="ED21" s="146">
        <f>'[14]2. Distributional by deciles o'!E73</f>
        <v>10879777.947600007</v>
      </c>
      <c r="EE21" s="146">
        <f>'[14]2. Distributional by deciles o'!F73</f>
        <v>6481712.6520000696</v>
      </c>
      <c r="EF21" s="146">
        <f t="shared" si="25"/>
        <v>6481712.6520000696</v>
      </c>
      <c r="EG21" s="129"/>
      <c r="EH21" s="122"/>
      <c r="EI21" s="130" t="s">
        <v>113</v>
      </c>
      <c r="EJ21" s="130" t="s">
        <v>113</v>
      </c>
      <c r="EK21" s="130" t="s">
        <v>113</v>
      </c>
      <c r="EL21" s="130" t="s">
        <v>113</v>
      </c>
      <c r="EM21" s="131">
        <f t="shared" si="10"/>
        <v>60.769649163113236</v>
      </c>
      <c r="EN21" s="146">
        <f>'[14]2. Distributional by deciles o'!B91</f>
        <v>3769670618.7503986</v>
      </c>
      <c r="EO21" s="146">
        <f>'[14]2. Distributional by deciles o'!C91</f>
        <v>3807367700.6795988</v>
      </c>
      <c r="EP21" s="131">
        <f t="shared" si="11"/>
        <v>1.0000099674940977</v>
      </c>
      <c r="EQ21" s="130" t="s">
        <v>113</v>
      </c>
      <c r="ER21" s="130" t="s">
        <v>113</v>
      </c>
      <c r="ES21" s="130" t="s">
        <v>113</v>
      </c>
      <c r="ET21" s="130" t="s">
        <v>113</v>
      </c>
      <c r="EU21" s="131">
        <f t="shared" si="26"/>
        <v>28.054829797579021</v>
      </c>
      <c r="EV21" s="132">
        <f t="shared" si="27"/>
        <v>1.6860084693705497</v>
      </c>
      <c r="EW21" s="132">
        <f t="shared" si="28"/>
        <v>1.0044527084956325</v>
      </c>
      <c r="EX21" s="132"/>
      <c r="EY21" s="148">
        <f t="shared" si="12"/>
        <v>-8.4391358724317023E-2</v>
      </c>
      <c r="EZ21" s="144">
        <f t="shared" si="29"/>
        <v>100</v>
      </c>
      <c r="FA21" s="145">
        <f>'[14]2. Distributional by deciles o'!H37</f>
        <v>0</v>
      </c>
      <c r="FB21" s="130" t="s">
        <v>113</v>
      </c>
      <c r="FC21" s="130" t="s">
        <v>113</v>
      </c>
      <c r="FD21" s="130" t="s">
        <v>113</v>
      </c>
      <c r="FE21" s="130" t="s">
        <v>113</v>
      </c>
      <c r="FF21" s="130" t="s">
        <v>113</v>
      </c>
      <c r="FG21" s="130" t="s">
        <v>113</v>
      </c>
      <c r="FH21" s="130" t="s">
        <v>113</v>
      </c>
      <c r="FI21" s="130" t="s">
        <v>113</v>
      </c>
      <c r="FJ21" s="1"/>
      <c r="FK21" s="1"/>
      <c r="FL21" s="1"/>
      <c r="FM21" s="1"/>
      <c r="FN21" s="1"/>
      <c r="FO21" s="1"/>
      <c r="FP21" s="1"/>
      <c r="FQ21" s="1"/>
    </row>
    <row r="22" spans="1:173" ht="13.2" customHeight="1" x14ac:dyDescent="0.3">
      <c r="A22" s="1"/>
      <c r="B22" s="34" t="s">
        <v>114</v>
      </c>
      <c r="C22" s="362">
        <f>'[13]2. Distributional by deciles o'!B74</f>
        <v>820976065.88159847</v>
      </c>
      <c r="D22" s="362">
        <f>'[13]2. Distributional by deciles o'!C74</f>
        <v>839843013.03240013</v>
      </c>
      <c r="E22" s="362">
        <f>'[13]2. Distributional by deciles o'!D74</f>
        <v>829202221.44719982</v>
      </c>
      <c r="F22" s="362">
        <f>'[13]2. Distributional by deciles o'!E74</f>
        <v>829223863.4447999</v>
      </c>
      <c r="G22" s="362">
        <f>'[13]2. Distributional by deciles o'!F74</f>
        <v>829202221.44719982</v>
      </c>
      <c r="H22" s="362">
        <f t="shared" si="13"/>
        <v>829202221.44719982</v>
      </c>
      <c r="I22" s="150"/>
      <c r="J22" s="122"/>
      <c r="K22" s="151">
        <f>'[15]1. Fiscal'!D11</f>
        <v>835138849.96559882</v>
      </c>
      <c r="L22" s="151">
        <f>'[15]1. Fiscal'!E11</f>
        <v>824020020.01920009</v>
      </c>
      <c r="M22" s="151">
        <f>'[15]1. Fiscal'!F11</f>
        <v>822031196.54399896</v>
      </c>
      <c r="N22" s="151">
        <f>'[15]1. Fiscal'!G11</f>
        <v>821299003.90799856</v>
      </c>
      <c r="O22" s="152" t="s">
        <v>113</v>
      </c>
      <c r="P22" s="362">
        <f>'[13]2. Distributional by deciles o'!B92</f>
        <v>11852252415.028801</v>
      </c>
      <c r="Q22" s="362">
        <f>'[13]2. Distributional by deciles o'!C92</f>
        <v>11970777434.421612</v>
      </c>
      <c r="R22" s="153">
        <f>(Q22/P22-1)*100</f>
        <v>1.0000210528972486</v>
      </c>
      <c r="S22" s="151">
        <f>'[15]1. Fiscal'!D134</f>
        <v>11939806408.486814</v>
      </c>
      <c r="T22" s="151">
        <f>'[15]1. Fiscal'!E134</f>
        <v>11870776038.994839</v>
      </c>
      <c r="U22" s="151">
        <f>'[15]1. Fiscal'!F134</f>
        <v>11862377754.595234</v>
      </c>
      <c r="V22" s="151">
        <f>'[15]1. Fiscal'!G134</f>
        <v>11854574741.994041</v>
      </c>
      <c r="W22" s="154">
        <f t="shared" si="14"/>
        <v>2.2980633345266068</v>
      </c>
      <c r="X22" s="154">
        <f t="shared" si="14"/>
        <v>1.0019759073007843</v>
      </c>
      <c r="Y22" s="154">
        <f t="shared" si="2"/>
        <v>1.0046119819541519</v>
      </c>
      <c r="Z22" s="154">
        <f t="shared" si="2"/>
        <v>1.0019759073007843</v>
      </c>
      <c r="AA22" s="154">
        <f t="shared" si="2"/>
        <v>1.0019759073007843</v>
      </c>
      <c r="AB22" s="154">
        <f t="shared" si="15"/>
        <v>1.0019759073007843</v>
      </c>
      <c r="AC22" s="154">
        <f t="shared" si="15"/>
        <v>1.0019759073007843</v>
      </c>
      <c r="AD22" s="155">
        <f>(K22/$C22-1) / (S22/$P22-1)</f>
        <v>2.3353021028384129</v>
      </c>
      <c r="AE22" s="155">
        <f>(L22/$C22-1) / (T22/$P22-1)</f>
        <v>2.3723706605064598</v>
      </c>
      <c r="AF22" s="155">
        <f>(M22/$C22-1) / (U22/$P22-1)</f>
        <v>1.5044128799674092</v>
      </c>
      <c r="AG22" s="155">
        <f>(N22/$C22-1) / (V22/$P22-1)</f>
        <v>2.0075492929301699</v>
      </c>
      <c r="AH22" s="156">
        <f t="shared" si="3"/>
        <v>1</v>
      </c>
      <c r="AI22" s="155">
        <f t="shared" si="16"/>
        <v>1.9759073007841188E-3</v>
      </c>
      <c r="AJ22" s="155">
        <f t="shared" si="4"/>
        <v>1.2934513525724549</v>
      </c>
      <c r="AK22" s="155">
        <f>IF(W22&gt;1,MAX(MIN(Y22-Z22,W22-AH22-AJ22),0),0)</f>
        <v>2.6360746533675705E-3</v>
      </c>
      <c r="AL22" s="155">
        <f t="shared" si="17"/>
        <v>0</v>
      </c>
      <c r="AM22" s="155">
        <f t="shared" si="18"/>
        <v>0</v>
      </c>
      <c r="AN22" s="157">
        <f t="shared" si="30"/>
        <v>0</v>
      </c>
      <c r="AO22" s="155">
        <f t="shared" si="19"/>
        <v>0</v>
      </c>
      <c r="AP22" s="155">
        <f t="shared" si="7"/>
        <v>1.9759073007841188E-3</v>
      </c>
      <c r="AQ22" s="136" t="s">
        <v>113</v>
      </c>
      <c r="AR22" s="137">
        <f>AI22/($W22-1)*100</f>
        <v>0.15221963738038377</v>
      </c>
      <c r="AS22" s="137">
        <f t="shared" si="8"/>
        <v>99.644702856056412</v>
      </c>
      <c r="AT22" s="137">
        <f t="shared" si="8"/>
        <v>0.20307750656318518</v>
      </c>
      <c r="AU22" s="137">
        <f t="shared" si="8"/>
        <v>0</v>
      </c>
      <c r="AV22" s="137">
        <f t="shared" si="8"/>
        <v>0</v>
      </c>
      <c r="AW22" s="138">
        <f t="shared" si="8"/>
        <v>0</v>
      </c>
      <c r="AX22" s="137">
        <f t="shared" si="8"/>
        <v>0</v>
      </c>
      <c r="AY22" s="137">
        <f t="shared" si="8"/>
        <v>0.15221963738038377</v>
      </c>
      <c r="AZ22" s="158">
        <f>W22</f>
        <v>2.2980633345266068</v>
      </c>
      <c r="BA22" s="158">
        <f>AD22</f>
        <v>2.3353021028384129</v>
      </c>
      <c r="BB22" s="176">
        <f>AF22</f>
        <v>1.5044128799674092</v>
      </c>
      <c r="BC22" s="176">
        <f>AG22</f>
        <v>2.0075492929301699</v>
      </c>
      <c r="BD22" s="159">
        <f>W22-AZ22</f>
        <v>0</v>
      </c>
      <c r="BE22" s="159">
        <f>AD22-BA22</f>
        <v>0</v>
      </c>
      <c r="BF22" s="159">
        <f>AF22-BB22</f>
        <v>0</v>
      </c>
      <c r="BG22" s="159">
        <f>AG22-BC22</f>
        <v>0</v>
      </c>
      <c r="BH22" s="361">
        <f>'[13]2. Distributional by deciles o'!B110</f>
        <v>8755282637.0400085</v>
      </c>
      <c r="BI22" s="361">
        <f>'[13]2. Distributional by deciles o'!B128</f>
        <v>1852268747.3964009</v>
      </c>
      <c r="BJ22" s="361">
        <f>'[13]2. Distributional by deciles o'!B146</f>
        <v>1012483010.8572013</v>
      </c>
      <c r="BK22" s="361">
        <f>'[13]2. Distributional by deciles o'!B164</f>
        <v>232218259.22039998</v>
      </c>
      <c r="BL22" s="141">
        <f t="shared" si="20"/>
        <v>0.73870199127973368</v>
      </c>
      <c r="BM22" s="141">
        <f t="shared" si="21"/>
        <v>0.15627989053126976</v>
      </c>
      <c r="BN22" s="141">
        <f t="shared" si="22"/>
        <v>8.5425365149602209E-2</v>
      </c>
      <c r="BO22" s="141">
        <f t="shared" si="22"/>
        <v>1.9592753039394423E-2</v>
      </c>
      <c r="BP22" s="159">
        <f>(AD22*BL22+AF22*BN22+AG22*BO22)/(BL22+BN22+BO22)</f>
        <v>2.2435648143034013</v>
      </c>
      <c r="BQ22" s="159">
        <f>W22-BP22</f>
        <v>5.449852022320556E-2</v>
      </c>
      <c r="BR22" s="159">
        <f>BP22-AZ22</f>
        <v>-5.449852022320556E-2</v>
      </c>
      <c r="BS22" s="152" t="s">
        <v>113</v>
      </c>
      <c r="BT22" s="161"/>
      <c r="BU22" s="161"/>
      <c r="BV22" s="161"/>
      <c r="BW22" s="161"/>
      <c r="BX22" s="162"/>
      <c r="BY22" s="162"/>
      <c r="BZ22" s="163"/>
      <c r="CA22" s="164"/>
      <c r="CB22" s="165"/>
      <c r="CC22" s="166"/>
      <c r="CD22" s="166"/>
      <c r="CE22" s="166"/>
      <c r="CF22" s="166"/>
      <c r="CG22" s="167"/>
      <c r="CH22" s="167"/>
      <c r="CI22" s="168"/>
      <c r="CJ22" s="169"/>
      <c r="CK22" s="161">
        <f>'[13]3. Inequality and Poverty'!$B$7</f>
        <v>0.38361613359825297</v>
      </c>
      <c r="CL22" s="161">
        <f>'[13]3. Inequality and Poverty'!$B$8</f>
        <v>0.35429543801874203</v>
      </c>
      <c r="CM22" s="161">
        <f>'[13]3. Inequality and Poverty'!$C$7</f>
        <v>0.38361604515872599</v>
      </c>
      <c r="CN22" s="161">
        <f>'[13]3. Inequality and Poverty'!$C$8</f>
        <v>0.35406859008448799</v>
      </c>
      <c r="CO22" s="162">
        <f t="shared" ref="CO22" si="31">(CK22-CL22)/CK22</f>
        <v>7.6432383863754352E-2</v>
      </c>
      <c r="CP22" s="162">
        <f>(CM22-CN22)/CM22</f>
        <v>7.7023512043174244E-2</v>
      </c>
      <c r="CQ22" s="163">
        <f>(CP22-CO22)*100</f>
        <v>5.9112817941989193E-2</v>
      </c>
      <c r="CR22" s="165">
        <f>CN22-CL22</f>
        <v>-2.2684793425403749E-4</v>
      </c>
      <c r="CS22" s="170">
        <f>(SUM(P20:P21))/(SUM(P12:P13))</f>
        <v>8.6762781789144281</v>
      </c>
      <c r="CT22" s="170">
        <f>(SUM(P20:P21)-SUM(C20:C21))/(SUM(P12:P13)-SUM(C12:C13))</f>
        <v>7.5614401940807676</v>
      </c>
      <c r="CU22" s="170">
        <f>(SUM(Q20:Q21))/(SUM(Q12:Q13))</f>
        <v>8.6762740331011923</v>
      </c>
      <c r="CV22" s="170">
        <f>(SUM(Q20:Q21)-SUM(D20:D21))/(SUM(Q12:Q13)-SUM(D12:D13))</f>
        <v>7.5508969232709058</v>
      </c>
      <c r="CW22" s="162">
        <f>(CS22-CT22)/CS22</f>
        <v>0.12849265109353011</v>
      </c>
      <c r="CX22" s="162">
        <f>(CU22-CV22)/CU22</f>
        <v>0.12970741882250564</v>
      </c>
      <c r="CY22" s="163">
        <f>(CX22-CW22)*100</f>
        <v>0.12147677289755243</v>
      </c>
      <c r="CZ22" s="165">
        <f>CV22-CT22</f>
        <v>-1.0543270809861838E-2</v>
      </c>
      <c r="DA22" s="171">
        <f>'[13]3. Inequality and Poverty'!$B$34</f>
        <v>0.39873029251767</v>
      </c>
      <c r="DB22" s="171">
        <f>'[13]3. Inequality and Poverty'!$C$34</f>
        <v>0.39638892694965899</v>
      </c>
      <c r="DC22" s="172">
        <f>DB22-DA22</f>
        <v>-2.3413655680110113E-3</v>
      </c>
      <c r="DD22" s="144">
        <f t="shared" si="24"/>
        <v>54.508321169159402</v>
      </c>
      <c r="DE22" s="359">
        <f>'[13]2. Distributional by deciles o'!H38</f>
        <v>0.45491678830840593</v>
      </c>
      <c r="DF22" s="1"/>
      <c r="DG22" s="1"/>
      <c r="DH22" s="1"/>
      <c r="DI22" s="1"/>
      <c r="DJ22" s="1"/>
      <c r="DK22" s="1"/>
      <c r="DL22" s="1"/>
      <c r="DM22" s="1"/>
      <c r="DN22" s="1"/>
      <c r="DO22" s="1"/>
      <c r="DP22" s="1"/>
      <c r="DQ22" s="1"/>
      <c r="DR22" s="1"/>
      <c r="DS22" s="1"/>
      <c r="DT22" s="1"/>
      <c r="DU22" s="1"/>
      <c r="DV22" s="1"/>
      <c r="DW22" s="1"/>
      <c r="DX22" s="1"/>
      <c r="DY22" s="1"/>
      <c r="DZ22" s="1"/>
      <c r="EA22" s="360">
        <f>'[14]2. Distributional by deciles o'!B74</f>
        <v>1061864793.5615985</v>
      </c>
      <c r="EB22" s="360">
        <f>'[14]2. Distributional by deciles o'!C74</f>
        <v>1085336876.1720004</v>
      </c>
      <c r="EC22" s="360">
        <f>'[14]2. Distributional by deciles o'!D74</f>
        <v>1072518839.3843992</v>
      </c>
      <c r="ED22" s="360">
        <f>'[14]2. Distributional by deciles o'!E74</f>
        <v>23472082.610399961</v>
      </c>
      <c r="EE22" s="360">
        <f>'[14]2. Distributional by deciles o'!F74</f>
        <v>10654045.82280004</v>
      </c>
      <c r="EF22" s="360">
        <f t="shared" si="25"/>
        <v>10654045.82280004</v>
      </c>
      <c r="EG22" s="150"/>
      <c r="EH22" s="123"/>
      <c r="EI22" s="151">
        <f>'[16]1. Fiscal'!D11</f>
        <v>1079694436.1628017</v>
      </c>
      <c r="EJ22" s="151">
        <f>'[16]1. Fiscal'!E11</f>
        <v>1065395695.7411996</v>
      </c>
      <c r="EK22" s="151">
        <f>'[16]1. Fiscal'!F11</f>
        <v>1063222000.2059991</v>
      </c>
      <c r="EL22" s="151">
        <f>'[16]1. Fiscal'!G11</f>
        <v>1062257765.1731983</v>
      </c>
      <c r="EM22" s="152" t="s">
        <v>113</v>
      </c>
      <c r="EN22" s="360">
        <f>'[14]2. Distributional by deciles o'!B92</f>
        <v>13436797321.349995</v>
      </c>
      <c r="EO22" s="360">
        <f>'[14]2. Distributional by deciles o'!C92</f>
        <v>13571166285.599972</v>
      </c>
      <c r="EP22" s="153">
        <f>(EO22/EN22-1)*100</f>
        <v>1.0000073755408678</v>
      </c>
      <c r="EQ22" s="151">
        <f>'[16]1. Fiscal'!D138</f>
        <v>13536617621.836779</v>
      </c>
      <c r="ER22" s="151">
        <f>'[16]1. Fiscal'!E138</f>
        <v>13457162997.752392</v>
      </c>
      <c r="ES22" s="151">
        <f>'[16]1. Fiscal'!F138</f>
        <v>13448340845.997612</v>
      </c>
      <c r="ET22" s="151">
        <f>'[16]1. Fiscal'!G138</f>
        <v>13439436413.498413</v>
      </c>
      <c r="EU22" s="152" t="s">
        <v>113</v>
      </c>
      <c r="EV22" s="154">
        <f t="shared" si="27"/>
        <v>2.2104423872692003</v>
      </c>
      <c r="EW22" s="154">
        <f t="shared" si="28"/>
        <v>1.0033261587188869</v>
      </c>
      <c r="EX22" s="174">
        <f>EW22-X22</f>
        <v>1.3502514181025216E-3</v>
      </c>
      <c r="EY22" s="175">
        <f t="shared" si="12"/>
        <v>-8.7620947257406545E-2</v>
      </c>
      <c r="EZ22" s="144">
        <f t="shared" si="29"/>
        <v>-180371.0000000021</v>
      </c>
      <c r="FA22" s="359">
        <f>'[14]2. Distributional by deciles o'!H38</f>
        <v>1804.710000000021</v>
      </c>
      <c r="FB22" s="155">
        <f>(EI22/$EA22-1) / (EQ22/$EN22-1)</f>
        <v>2.2602178965105972</v>
      </c>
      <c r="FC22" s="155">
        <f>(EJ22/$EA22-1) / (ER22/$EN22-1)</f>
        <v>2.1938826402738023</v>
      </c>
      <c r="FD22" s="155">
        <f>(EK22/$EA22-1) / (ES22/$EN22-1)</f>
        <v>1.4877641416225975</v>
      </c>
      <c r="FE22" s="155">
        <f>(EL22/$EA22-1) / (ET22/$EN22-1)</f>
        <v>1.8842267617848738</v>
      </c>
      <c r="FF22" s="75">
        <f>FB22-AD22</f>
        <v>-7.508420632781565E-2</v>
      </c>
      <c r="FG22" s="75">
        <f>FC22-AE22</f>
        <v>-0.17848802023265753</v>
      </c>
      <c r="FH22" s="75">
        <f>FD22-AF22</f>
        <v>-1.6648738344811731E-2</v>
      </c>
      <c r="FI22" s="75">
        <f>FE22-AG22</f>
        <v>-0.12332253114529612</v>
      </c>
      <c r="FJ22" s="1"/>
      <c r="FK22" s="1"/>
      <c r="FL22" s="1"/>
      <c r="FM22" s="1"/>
      <c r="FN22" s="1"/>
      <c r="FO22" s="1"/>
      <c r="FP22" s="1"/>
      <c r="FQ22" s="1"/>
    </row>
    <row r="23" spans="1:173" x14ac:dyDescent="0.3">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c r="ET23" s="1"/>
      <c r="EU23" s="1"/>
      <c r="EV23" s="1"/>
      <c r="EW23" s="1"/>
      <c r="EX23" s="1"/>
      <c r="EY23" s="1"/>
      <c r="EZ23" s="1"/>
      <c r="FA23" s="1"/>
      <c r="FB23" s="1"/>
      <c r="FC23" s="1"/>
      <c r="FD23" s="1"/>
      <c r="FE23" s="1"/>
      <c r="FF23" s="1"/>
      <c r="FG23" s="1"/>
      <c r="FH23" s="1"/>
      <c r="FI23" s="1"/>
      <c r="FJ23" s="1"/>
      <c r="FK23" s="1"/>
      <c r="FL23" s="1"/>
      <c r="FM23" s="1"/>
      <c r="FN23" s="1"/>
      <c r="FO23" s="1"/>
      <c r="FP23" s="1"/>
      <c r="FQ23" s="1"/>
    </row>
    <row r="24" spans="1:173" x14ac:dyDescent="0.3">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c r="EJ24" s="1"/>
      <c r="EK24" s="1"/>
      <c r="EL24" s="1"/>
      <c r="EM24" s="1"/>
      <c r="EN24" s="1"/>
      <c r="EO24" s="1"/>
      <c r="EP24" s="1"/>
      <c r="EQ24" s="1"/>
      <c r="ER24" s="1"/>
      <c r="ES24" s="1"/>
      <c r="ET24" s="1"/>
      <c r="EU24" s="1"/>
      <c r="EV24" s="1"/>
      <c r="EW24" s="1"/>
      <c r="EX24" s="1"/>
      <c r="EY24" s="1"/>
      <c r="EZ24" s="1"/>
      <c r="FA24" s="1"/>
      <c r="FB24" s="1"/>
      <c r="FC24" s="1"/>
      <c r="FD24" s="1"/>
      <c r="FE24" s="1"/>
      <c r="FF24" s="1"/>
      <c r="FG24" s="1"/>
      <c r="FH24" s="1"/>
      <c r="FI24" s="1"/>
      <c r="FJ24" s="1"/>
      <c r="FK24" s="1"/>
      <c r="FL24" s="1"/>
      <c r="FM24" s="1"/>
      <c r="FN24" s="1"/>
      <c r="FO24" s="1"/>
      <c r="FP24" s="1"/>
      <c r="FQ24" s="1"/>
    </row>
    <row r="25" spans="1:173" x14ac:dyDescent="0.3">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Q25" s="1"/>
    </row>
    <row r="26" spans="1:173" x14ac:dyDescent="0.3">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c r="ER26" s="1"/>
      <c r="ES26" s="1"/>
      <c r="ET26" s="1"/>
      <c r="EU26" s="1"/>
      <c r="EV26" s="1"/>
      <c r="EW26" s="1"/>
      <c r="EX26" s="1"/>
      <c r="EY26" s="1"/>
      <c r="EZ26" s="1"/>
      <c r="FA26" s="1"/>
      <c r="FB26" s="1"/>
      <c r="FC26" s="1"/>
      <c r="FD26" s="1"/>
      <c r="FE26" s="1"/>
      <c r="FF26" s="1"/>
      <c r="FG26" s="1"/>
      <c r="FH26" s="1"/>
      <c r="FI26" s="1"/>
      <c r="FJ26" s="1"/>
      <c r="FK26" s="1"/>
      <c r="FL26" s="1"/>
      <c r="FM26" s="1"/>
      <c r="FN26" s="1"/>
      <c r="FO26" s="1"/>
      <c r="FP26" s="1"/>
      <c r="FQ26" s="1"/>
    </row>
    <row r="27" spans="1:173" x14ac:dyDescent="0.3">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c r="CW27" s="1"/>
      <c r="CX27" s="1"/>
      <c r="CY27" s="1"/>
      <c r="CZ27" s="1"/>
      <c r="DA27" s="1"/>
      <c r="DB27" s="1"/>
      <c r="DC27" s="1"/>
      <c r="DD27" s="1"/>
      <c r="DE27" s="1"/>
      <c r="DF27" s="1"/>
      <c r="DG27" s="1"/>
      <c r="DH27" s="1"/>
      <c r="DI27" s="1"/>
      <c r="DJ27" s="1"/>
      <c r="DK27" s="1"/>
      <c r="DL27" s="1"/>
      <c r="DM27" s="1"/>
      <c r="DN27" s="1"/>
      <c r="DO27" s="1"/>
      <c r="DP27" s="1"/>
      <c r="DQ27" s="1"/>
      <c r="DR27" s="1"/>
      <c r="DS27" s="1"/>
      <c r="DT27" s="1"/>
      <c r="DU27" s="1"/>
      <c r="DV27" s="1"/>
      <c r="DW27" s="1"/>
      <c r="DX27" s="1"/>
      <c r="DY27" s="1"/>
      <c r="DZ27" s="1"/>
      <c r="EA27" s="1"/>
      <c r="EB27" s="1"/>
      <c r="EC27" s="1"/>
      <c r="ED27" s="1"/>
      <c r="EE27" s="1"/>
      <c r="EF27" s="1"/>
      <c r="EG27" s="1"/>
      <c r="EH27" s="1"/>
      <c r="EI27" s="1"/>
      <c r="EJ27" s="1"/>
      <c r="EK27" s="1"/>
      <c r="EL27" s="1"/>
      <c r="EM27" s="1"/>
      <c r="EN27" s="1"/>
      <c r="EO27" s="1"/>
      <c r="EP27" s="1"/>
      <c r="EQ27" s="1"/>
      <c r="ER27" s="1"/>
      <c r="ES27" s="1"/>
      <c r="ET27" s="1"/>
      <c r="EU27" s="1"/>
      <c r="EV27" s="1"/>
      <c r="EW27" s="1"/>
      <c r="EX27" s="1"/>
      <c r="EY27" s="1"/>
      <c r="EZ27" s="1"/>
      <c r="FA27" s="1"/>
      <c r="FB27" s="1"/>
      <c r="FC27" s="1"/>
      <c r="FD27" s="1"/>
      <c r="FE27" s="1"/>
      <c r="FF27" s="1"/>
      <c r="FG27" s="1"/>
      <c r="FH27" s="1"/>
      <c r="FI27" s="1"/>
      <c r="FJ27" s="1"/>
      <c r="FK27" s="1"/>
      <c r="FL27" s="1"/>
      <c r="FM27" s="1"/>
      <c r="FN27" s="1"/>
      <c r="FO27" s="1"/>
      <c r="FP27" s="1"/>
      <c r="FQ27" s="1"/>
    </row>
  </sheetData>
  <pageMargins left="0.7" right="0.7" top="0.75" bottom="0.75" header="0.3" footer="0.3"/>
  <pageSetup paperSize="9" orientation="portrait" r:id="rId1"/>
  <headerFooter>
    <oddHeader>&amp;C&amp;"Calibri"&amp;10&amp;K000000 ECB-CONFIDENTIAL      &amp;1#_x000D_</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AEC474-E6E1-47DF-9B11-5A8CA028C8B0}">
  <dimension ref="A1:BN121"/>
  <sheetViews>
    <sheetView zoomScale="55" zoomScaleNormal="55" workbookViewId="0">
      <selection activeCell="E24" sqref="E24"/>
    </sheetView>
  </sheetViews>
  <sheetFormatPr baseColWidth="10" defaultColWidth="8.6640625" defaultRowHeight="14.4" x14ac:dyDescent="0.3"/>
  <cols>
    <col min="1" max="1" width="4.33203125" customWidth="1"/>
    <col min="3" max="3" width="17.33203125" customWidth="1"/>
    <col min="4" max="4" width="15.6640625" customWidth="1"/>
    <col min="5" max="5" width="16.33203125" customWidth="1"/>
    <col min="6" max="6" width="15.6640625" customWidth="1"/>
    <col min="7" max="7" width="16" customWidth="1"/>
    <col min="8" max="8" width="19" customWidth="1"/>
    <col min="9" max="12" width="17" customWidth="1"/>
    <col min="13" max="13" width="17.33203125" customWidth="1"/>
    <col min="14" max="18" width="16.33203125" customWidth="1"/>
    <col min="19" max="19" width="17" customWidth="1"/>
    <col min="20" max="33" width="16.33203125" customWidth="1"/>
    <col min="34" max="34" width="14.6640625" customWidth="1"/>
    <col min="35" max="36" width="12.6640625" customWidth="1"/>
    <col min="37" max="37" width="17.33203125" customWidth="1"/>
    <col min="38" max="38" width="12.33203125" customWidth="1"/>
    <col min="39" max="39" width="9.6640625" customWidth="1"/>
    <col min="40" max="42" width="17.44140625" customWidth="1"/>
    <col min="43" max="50" width="9.6640625" customWidth="1"/>
    <col min="51" max="59" width="0.5546875" customWidth="1"/>
  </cols>
  <sheetData>
    <row r="1" spans="1:66" ht="15" thickBot="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row>
    <row r="2" spans="1:66" ht="18" customHeight="1" thickBot="1" x14ac:dyDescent="0.35">
      <c r="A2" s="1"/>
      <c r="B2" s="2" t="s">
        <v>655</v>
      </c>
      <c r="C2" s="3"/>
      <c r="D2" s="3"/>
      <c r="E2" s="3"/>
      <c r="F2" s="3"/>
      <c r="G2" s="3"/>
      <c r="H2" s="3"/>
      <c r="I2" s="3"/>
      <c r="J2" s="3"/>
      <c r="K2" s="3"/>
      <c r="L2" s="3"/>
      <c r="M2" s="4"/>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row>
    <row r="3" spans="1:66" ht="18" customHeight="1" x14ac:dyDescent="0.3">
      <c r="A3" s="1"/>
      <c r="B3" s="5" t="s">
        <v>115</v>
      </c>
      <c r="C3" s="6"/>
      <c r="D3" s="6"/>
      <c r="E3" s="6"/>
      <c r="F3" s="6"/>
      <c r="G3" s="6"/>
      <c r="H3" s="6"/>
      <c r="I3" s="6"/>
      <c r="J3" s="6"/>
      <c r="K3" s="6"/>
      <c r="L3" s="6"/>
      <c r="M3" s="7"/>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row>
    <row r="4" spans="1:66" ht="18" customHeight="1" x14ac:dyDescent="0.3">
      <c r="A4" s="1"/>
      <c r="B4" s="99" t="s">
        <v>1</v>
      </c>
      <c r="C4" s="296"/>
      <c r="D4" s="296"/>
      <c r="E4" s="296"/>
      <c r="F4" s="296"/>
      <c r="G4" s="296"/>
      <c r="H4" s="296"/>
      <c r="I4" s="296"/>
      <c r="J4" s="296"/>
      <c r="K4" s="296"/>
      <c r="L4" s="296"/>
      <c r="M4" s="100"/>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row>
    <row r="5" spans="1:66" ht="14.25" customHeight="1" x14ac:dyDescent="0.3">
      <c r="A5" s="1"/>
      <c r="B5" s="293" t="s">
        <v>116</v>
      </c>
      <c r="C5" s="294"/>
      <c r="D5" s="294"/>
      <c r="E5" s="294"/>
      <c r="F5" s="294"/>
      <c r="G5" s="294"/>
      <c r="H5" s="294"/>
      <c r="I5" s="294"/>
      <c r="J5" s="294"/>
      <c r="K5" s="294"/>
      <c r="L5" s="294"/>
      <c r="M5" s="295"/>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row>
    <row r="6" spans="1:66" ht="12.6" customHeight="1" x14ac:dyDescent="0.3">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row>
    <row r="7" spans="1:66" ht="12.6" customHeight="1" x14ac:dyDescent="0.3">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row>
    <row r="8" spans="1:66" ht="17.7" customHeight="1" x14ac:dyDescent="0.3">
      <c r="A8" s="1"/>
      <c r="B8" s="11" t="s">
        <v>2</v>
      </c>
      <c r="C8" s="12" t="s">
        <v>208</v>
      </c>
      <c r="D8" s="12" t="s">
        <v>657</v>
      </c>
      <c r="E8" s="124" t="s">
        <v>520</v>
      </c>
      <c r="F8" s="125"/>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row>
    <row r="9" spans="1:66" ht="10.35" customHeight="1" x14ac:dyDescent="0.3">
      <c r="A9" s="1"/>
      <c r="B9" s="1"/>
      <c r="C9" s="1"/>
      <c r="D9" s="1"/>
      <c r="E9" s="1" t="s">
        <v>521</v>
      </c>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row>
    <row r="10" spans="1:66" x14ac:dyDescent="0.3">
      <c r="A10" s="1"/>
      <c r="B10" s="1"/>
      <c r="C10" s="13" t="s">
        <v>6</v>
      </c>
      <c r="D10" s="14"/>
      <c r="E10" s="14" t="s">
        <v>521</v>
      </c>
      <c r="F10" s="14"/>
      <c r="G10" s="14"/>
      <c r="H10" s="14"/>
      <c r="I10" s="14"/>
      <c r="J10" s="14"/>
      <c r="K10" s="14"/>
      <c r="L10" s="14"/>
      <c r="M10" s="14"/>
      <c r="N10" s="14"/>
      <c r="O10" s="14"/>
      <c r="P10" s="15" t="s">
        <v>596</v>
      </c>
      <c r="Q10" s="16"/>
      <c r="R10" s="16"/>
      <c r="S10" s="16"/>
      <c r="T10" s="16"/>
      <c r="U10" s="16"/>
      <c r="V10" s="16"/>
      <c r="W10" s="16"/>
      <c r="X10" s="13"/>
      <c r="Y10" s="17"/>
      <c r="Z10" s="17"/>
      <c r="AA10" s="17"/>
      <c r="AB10" s="17"/>
      <c r="AC10" s="17"/>
      <c r="AD10" s="17"/>
      <c r="AE10" s="19"/>
      <c r="AF10" s="16"/>
      <c r="AG10" s="16"/>
      <c r="AH10" s="16"/>
      <c r="AI10" s="16"/>
      <c r="AJ10" s="16"/>
      <c r="AK10" s="1"/>
      <c r="AL10" s="1"/>
      <c r="AM10" s="99" t="s">
        <v>562</v>
      </c>
      <c r="AN10" s="9"/>
      <c r="AO10" s="9"/>
      <c r="AP10" s="9"/>
      <c r="AQ10" s="9"/>
      <c r="AR10" s="9"/>
      <c r="AS10" s="10"/>
      <c r="AT10" s="1"/>
      <c r="AU10" s="1"/>
      <c r="AV10" s="1"/>
      <c r="AW10" s="1"/>
      <c r="AX10" s="1"/>
      <c r="AY10" s="1"/>
      <c r="AZ10" s="1"/>
      <c r="BA10" s="1"/>
      <c r="BB10" s="1"/>
      <c r="BC10" s="1"/>
      <c r="BD10" s="1"/>
      <c r="BE10" s="1"/>
      <c r="BF10" s="1"/>
      <c r="BG10" s="1"/>
      <c r="BH10" s="1"/>
      <c r="BI10" s="1"/>
      <c r="BJ10" s="1"/>
      <c r="BK10" s="1"/>
      <c r="BL10" s="1"/>
      <c r="BM10" s="1"/>
      <c r="BN10" s="1"/>
    </row>
    <row r="11" spans="1:66" ht="78.75" customHeight="1" x14ac:dyDescent="0.3">
      <c r="A11" s="1"/>
      <c r="B11" s="25" t="s">
        <v>20</v>
      </c>
      <c r="C11" s="26" t="s">
        <v>119</v>
      </c>
      <c r="D11" s="27" t="s">
        <v>120</v>
      </c>
      <c r="E11" s="26" t="s">
        <v>121</v>
      </c>
      <c r="F11" s="27" t="s">
        <v>122</v>
      </c>
      <c r="G11" s="27" t="s">
        <v>123</v>
      </c>
      <c r="H11" s="27" t="s">
        <v>124</v>
      </c>
      <c r="I11" s="27" t="s">
        <v>125</v>
      </c>
      <c r="J11" s="27" t="s">
        <v>126</v>
      </c>
      <c r="K11" s="27" t="s">
        <v>127</v>
      </c>
      <c r="L11" s="27"/>
      <c r="M11" s="27"/>
      <c r="N11" s="27"/>
      <c r="O11" s="27"/>
      <c r="P11" s="26" t="s">
        <v>119</v>
      </c>
      <c r="Q11" s="27" t="s">
        <v>120</v>
      </c>
      <c r="R11" s="27" t="s">
        <v>121</v>
      </c>
      <c r="S11" s="27" t="s">
        <v>122</v>
      </c>
      <c r="T11" s="27" t="s">
        <v>123</v>
      </c>
      <c r="U11" s="27" t="s">
        <v>130</v>
      </c>
      <c r="V11" s="27"/>
      <c r="W11" s="27"/>
      <c r="X11" s="27"/>
      <c r="Y11" s="27"/>
      <c r="Z11" s="27"/>
      <c r="AA11" s="27"/>
      <c r="AB11" s="27"/>
      <c r="AC11" s="27"/>
      <c r="AD11" s="27"/>
      <c r="AE11" s="27"/>
      <c r="AF11" s="27"/>
      <c r="AG11" s="27"/>
      <c r="AH11" s="27"/>
      <c r="AI11" s="27"/>
      <c r="AJ11" s="27"/>
      <c r="AK11" s="27" t="s">
        <v>150</v>
      </c>
      <c r="AL11" s="1"/>
      <c r="AM11" s="522" t="s">
        <v>563</v>
      </c>
      <c r="AN11" s="523" t="s">
        <v>568</v>
      </c>
      <c r="AO11" s="523" t="s">
        <v>569</v>
      </c>
      <c r="AP11" s="523" t="s">
        <v>570</v>
      </c>
      <c r="AQ11" s="523" t="s">
        <v>564</v>
      </c>
      <c r="AR11" s="523" t="s">
        <v>565</v>
      </c>
      <c r="AS11" s="523" t="s">
        <v>566</v>
      </c>
      <c r="AT11" s="1"/>
      <c r="AU11" s="1"/>
      <c r="AV11" s="1"/>
      <c r="AW11" s="1"/>
      <c r="AX11" s="1"/>
      <c r="AY11" s="1"/>
      <c r="AZ11" s="1"/>
      <c r="BA11" s="1"/>
      <c r="BB11" s="1"/>
      <c r="BC11" s="1"/>
      <c r="BD11" s="1"/>
      <c r="BE11" s="1"/>
      <c r="BF11" s="1"/>
      <c r="BG11" s="1"/>
      <c r="BH11" s="1"/>
      <c r="BI11" s="1"/>
      <c r="BJ11" s="1"/>
      <c r="BK11" s="1"/>
      <c r="BL11" s="1"/>
      <c r="BM11" s="1"/>
      <c r="BN11" s="1"/>
    </row>
    <row r="12" spans="1:66" x14ac:dyDescent="0.3">
      <c r="A12" s="1"/>
      <c r="B12" s="28">
        <v>1</v>
      </c>
      <c r="C12" s="129">
        <f>'[17]2. Distributional by deciles o'!B64</f>
        <v>0</v>
      </c>
      <c r="D12" s="129">
        <f>'[17]2. Distributional by deciles o'!C64</f>
        <v>0</v>
      </c>
      <c r="E12" s="129">
        <f>'[17]2. Distributional by deciles o'!D64</f>
        <v>0</v>
      </c>
      <c r="F12" s="129">
        <f>'[17]2. Distributional by deciles o'!E64</f>
        <v>0</v>
      </c>
      <c r="G12" s="129">
        <f>'[17]2. Distributional by deciles o'!F64</f>
        <v>0</v>
      </c>
      <c r="H12" s="129">
        <f>'[17]2. Distributional by deciles o'!H64</f>
        <v>0</v>
      </c>
      <c r="I12" s="129">
        <f>'[17]2. Distributional by deciles o'!I64</f>
        <v>0</v>
      </c>
      <c r="J12" s="129">
        <f>'[17]2. Distributional by deciles o'!J64</f>
        <v>0</v>
      </c>
      <c r="K12" s="129">
        <f>'[17]2. Distributional by deciles o'!K64</f>
        <v>0</v>
      </c>
      <c r="L12" s="291">
        <f t="shared" ref="L12:L21" si="0">G12*(1+0.1+0.085)</f>
        <v>0</v>
      </c>
      <c r="M12" s="291">
        <f t="shared" ref="M12:O22" si="1">$G12*(1+0.1+0)</f>
        <v>0</v>
      </c>
      <c r="N12" s="291">
        <f t="shared" si="1"/>
        <v>0</v>
      </c>
      <c r="O12" s="291">
        <f t="shared" si="1"/>
        <v>0</v>
      </c>
      <c r="P12" s="129">
        <f>'[17]2. Distributional by deciles o'!B82</f>
        <v>158834700.31079999</v>
      </c>
      <c r="Q12" s="129">
        <f>'[17]2. Distributional by deciles o'!C82</f>
        <v>158558511.84119993</v>
      </c>
      <c r="R12" s="129">
        <f>'[17]2. Distributional by deciles o'!D82</f>
        <v>164948372.45280004</v>
      </c>
      <c r="S12" s="129">
        <f>'[17]2. Distributional by deciles o'!E82</f>
        <v>169873830.23639983</v>
      </c>
      <c r="T12" s="129">
        <f>'[17]2. Distributional by deciles o'!F82</f>
        <v>178835902.48680007</v>
      </c>
      <c r="U12" s="209">
        <f t="shared" ref="U12:U22" si="2">T12/P12-1</f>
        <v>0.12592463823624622</v>
      </c>
      <c r="V12" s="291">
        <f t="shared" ref="V12:V21" si="3">T12*1.1</f>
        <v>196719492.7354801</v>
      </c>
      <c r="W12" s="209"/>
      <c r="X12" s="132"/>
      <c r="Y12" s="132"/>
      <c r="Z12" s="132"/>
      <c r="AA12" s="132"/>
      <c r="AB12" s="132"/>
      <c r="AC12" s="132"/>
      <c r="AD12" s="132"/>
      <c r="AE12" s="139"/>
      <c r="AF12" s="139"/>
      <c r="AG12" s="139"/>
      <c r="AH12" s="139"/>
      <c r="AI12" s="139"/>
      <c r="AJ12" s="139"/>
      <c r="AK12" s="408">
        <f>'[17]2. Distributional by deciles o'!$L64</f>
        <v>0</v>
      </c>
      <c r="AL12" s="55"/>
      <c r="AM12" s="32" cm="1">
        <f t="array" aca="1" ref="AM12" ca="1">INDIRECT("'1"&amp;$C$8&amp;"'!W12")</f>
        <v>0</v>
      </c>
      <c r="AN12" s="524">
        <f t="shared" ref="AN12:AN21" ca="1" si="4">C12+C12*U12*AM12</f>
        <v>0</v>
      </c>
      <c r="AO12" s="524">
        <f t="shared" ref="AO12:AO21" ca="1" si="5">C12+C12*U$22*AM12</f>
        <v>0</v>
      </c>
      <c r="AP12" s="524">
        <f t="shared" ref="AP12:AP21" ca="1" si="6">C12+C12*AR12*AM12</f>
        <v>0</v>
      </c>
      <c r="AQ12" s="525">
        <f t="shared" ref="AQ12:AQ21" si="7">U12</f>
        <v>0.12592463823624622</v>
      </c>
      <c r="AR12" s="344">
        <f>AQ12</f>
        <v>0.12592463823624622</v>
      </c>
      <c r="AS12" s="41">
        <f>P12/P$22</f>
        <v>1.3401224910582873E-2</v>
      </c>
      <c r="AT12" s="1"/>
      <c r="AU12" s="1"/>
      <c r="AV12" s="1"/>
      <c r="AW12" s="1"/>
      <c r="AX12" s="1"/>
      <c r="AY12" s="1"/>
      <c r="AZ12" s="1"/>
      <c r="BA12" s="1"/>
      <c r="BB12" s="1"/>
      <c r="BC12" s="1"/>
      <c r="BD12" s="1"/>
      <c r="BE12" s="1"/>
      <c r="BF12" s="1"/>
      <c r="BG12" s="1"/>
      <c r="BH12" s="1"/>
      <c r="BI12" s="1"/>
      <c r="BJ12" s="1"/>
      <c r="BK12" s="1"/>
      <c r="BL12" s="1"/>
      <c r="BM12" s="1"/>
      <c r="BN12" s="1"/>
    </row>
    <row r="13" spans="1:66" x14ac:dyDescent="0.3">
      <c r="A13" s="1"/>
      <c r="B13" s="28">
        <v>2</v>
      </c>
      <c r="C13" s="129">
        <f>'[17]2. Distributional by deciles o'!B65</f>
        <v>171581.10359999997</v>
      </c>
      <c r="D13" s="129">
        <f>'[17]2. Distributional by deciles o'!C65</f>
        <v>150648.19200000001</v>
      </c>
      <c r="E13" s="129">
        <f>'[17]2. Distributional by deciles o'!D65</f>
        <v>214135.14240000001</v>
      </c>
      <c r="F13" s="129">
        <f>'[17]2. Distributional by deciles o'!E65</f>
        <v>296652.96000000002</v>
      </c>
      <c r="G13" s="129">
        <f>'[17]2. Distributional by deciles o'!F65</f>
        <v>535115.01359999995</v>
      </c>
      <c r="H13" s="129">
        <f>'[17]2. Distributional by deciles o'!H65</f>
        <v>595333.97040000011</v>
      </c>
      <c r="I13" s="129">
        <f>'[17]2. Distributional by deciles o'!I65</f>
        <v>200614.5624</v>
      </c>
      <c r="J13" s="129">
        <f>'[17]2. Distributional by deciles o'!J65</f>
        <v>274665.51</v>
      </c>
      <c r="K13" s="129">
        <f>'[17]2. Distributional by deciles o'!K65</f>
        <v>205397.60159999999</v>
      </c>
      <c r="L13" s="291">
        <f t="shared" si="0"/>
        <v>634111.29111599992</v>
      </c>
      <c r="M13" s="291">
        <f t="shared" si="1"/>
        <v>588626.51495999994</v>
      </c>
      <c r="N13" s="291">
        <f t="shared" si="1"/>
        <v>588626.51495999994</v>
      </c>
      <c r="O13" s="291">
        <f t="shared" si="1"/>
        <v>588626.51495999994</v>
      </c>
      <c r="P13" s="129">
        <f>'[17]2. Distributional by deciles o'!B83</f>
        <v>449025937.7856003</v>
      </c>
      <c r="Q13" s="129">
        <f>'[17]2. Distributional by deciles o'!C83</f>
        <v>448580869.04999989</v>
      </c>
      <c r="R13" s="129">
        <f>'[17]2. Distributional by deciles o'!D83</f>
        <v>467093277.46920007</v>
      </c>
      <c r="S13" s="129">
        <f>'[17]2. Distributional by deciles o'!E83</f>
        <v>479983731.88560051</v>
      </c>
      <c r="T13" s="129">
        <f>'[17]2. Distributional by deciles o'!F83</f>
        <v>504455303.66039997</v>
      </c>
      <c r="U13" s="209">
        <f t="shared" si="2"/>
        <v>0.12344357243181325</v>
      </c>
      <c r="V13" s="291">
        <f t="shared" si="3"/>
        <v>554900834.02644002</v>
      </c>
      <c r="W13" s="209"/>
      <c r="X13" s="132"/>
      <c r="Y13" s="132"/>
      <c r="Z13" s="132"/>
      <c r="AA13" s="132"/>
      <c r="AB13" s="132"/>
      <c r="AC13" s="132"/>
      <c r="AD13" s="132"/>
      <c r="AE13" s="139"/>
      <c r="AF13" s="139"/>
      <c r="AG13" s="139"/>
      <c r="AH13" s="139"/>
      <c r="AI13" s="139"/>
      <c r="AJ13" s="139"/>
      <c r="AK13" s="408">
        <f>'[17]2. Distributional by deciles o'!$L65</f>
        <v>535115.01359999995</v>
      </c>
      <c r="AL13" s="55"/>
      <c r="AM13" s="32" cm="1">
        <f t="array" aca="1" ref="AM13" ca="1">INDIRECT("'1"&amp;$C$8&amp;"'!W13")</f>
        <v>10.173885062297899</v>
      </c>
      <c r="AN13" s="524">
        <f t="shared" ca="1" si="4"/>
        <v>387069.93473796232</v>
      </c>
      <c r="AO13" s="524">
        <f t="shared" ca="1" si="5"/>
        <v>404959.11961801664</v>
      </c>
      <c r="AP13" s="524">
        <f t="shared" ca="1" si="6"/>
        <v>387069.93473796232</v>
      </c>
      <c r="AQ13" s="525">
        <f t="shared" si="7"/>
        <v>0.12344357243181325</v>
      </c>
      <c r="AR13" s="344">
        <f t="shared" ref="AR13:AR18" si="8">AQ13</f>
        <v>0.12344357243181325</v>
      </c>
      <c r="AS13" s="41">
        <f t="shared" ref="AS13:AS21" si="9">P13/P$22</f>
        <v>3.7885283072121377E-2</v>
      </c>
      <c r="AT13" s="1"/>
      <c r="AU13" s="1"/>
      <c r="AV13" s="1"/>
      <c r="AW13" s="1"/>
      <c r="AX13" s="1"/>
      <c r="AY13" s="1"/>
      <c r="AZ13" s="1"/>
      <c r="BA13" s="1"/>
      <c r="BB13" s="1"/>
      <c r="BC13" s="1"/>
      <c r="BD13" s="1"/>
      <c r="BE13" s="1"/>
      <c r="BF13" s="1"/>
      <c r="BG13" s="1"/>
      <c r="BH13" s="1"/>
      <c r="BI13" s="1"/>
      <c r="BJ13" s="1"/>
      <c r="BK13" s="1"/>
      <c r="BL13" s="1"/>
      <c r="BM13" s="1"/>
      <c r="BN13" s="1"/>
    </row>
    <row r="14" spans="1:66" x14ac:dyDescent="0.3">
      <c r="A14" s="1"/>
      <c r="B14" s="28">
        <v>3</v>
      </c>
      <c r="C14" s="129">
        <f>'[17]2. Distributional by deciles o'!B66</f>
        <v>1444605.2795999995</v>
      </c>
      <c r="D14" s="129">
        <f>'[17]2. Distributional by deciles o'!C66</f>
        <v>1261747.7063999996</v>
      </c>
      <c r="E14" s="129">
        <f>'[17]2. Distributional by deciles o'!D66</f>
        <v>1768850.0244</v>
      </c>
      <c r="F14" s="129">
        <f>'[17]2. Distributional by deciles o'!E66</f>
        <v>2434274.9172</v>
      </c>
      <c r="G14" s="129">
        <f>'[17]2. Distributional by deciles o'!F66</f>
        <v>3716031.7091999995</v>
      </c>
      <c r="H14" s="129">
        <f>'[17]2. Distributional by deciles o'!H66</f>
        <v>4069295.3351999992</v>
      </c>
      <c r="I14" s="129">
        <f>'[17]2. Distributional by deciles o'!I66</f>
        <v>1802023.5420000004</v>
      </c>
      <c r="J14" s="129">
        <f>'[17]2. Distributional by deciles o'!J66</f>
        <v>2429316.5976</v>
      </c>
      <c r="K14" s="129">
        <f>'[17]2. Distributional by deciles o'!K66</f>
        <v>1844984.5019999994</v>
      </c>
      <c r="L14" s="291">
        <f t="shared" si="0"/>
        <v>4403497.575402</v>
      </c>
      <c r="M14" s="291">
        <f t="shared" si="1"/>
        <v>4087634.8801199999</v>
      </c>
      <c r="N14" s="291">
        <f t="shared" si="1"/>
        <v>4087634.8801199999</v>
      </c>
      <c r="O14" s="291">
        <f t="shared" si="1"/>
        <v>4087634.8801199999</v>
      </c>
      <c r="P14" s="129">
        <f>'[17]2. Distributional by deciles o'!B84</f>
        <v>583105106.69279981</v>
      </c>
      <c r="Q14" s="129">
        <f>'[17]2. Distributional by deciles o'!C84</f>
        <v>581659850.01600027</v>
      </c>
      <c r="R14" s="129">
        <f>'[17]2. Distributional by deciles o'!D84</f>
        <v>604944346.48080015</v>
      </c>
      <c r="S14" s="129">
        <f>'[17]2. Distributional by deciles o'!E84</f>
        <v>624173906.42159951</v>
      </c>
      <c r="T14" s="129">
        <f>'[17]2. Distributional by deciles o'!F84</f>
        <v>658899401.48399985</v>
      </c>
      <c r="U14" s="209">
        <f t="shared" si="2"/>
        <v>0.12998393243558248</v>
      </c>
      <c r="V14" s="291">
        <f t="shared" si="3"/>
        <v>724789341.63239992</v>
      </c>
      <c r="W14" s="209"/>
      <c r="X14" s="132"/>
      <c r="Y14" s="132"/>
      <c r="Z14" s="132"/>
      <c r="AA14" s="132"/>
      <c r="AB14" s="132"/>
      <c r="AC14" s="132"/>
      <c r="AD14" s="132"/>
      <c r="AE14" s="139"/>
      <c r="AF14" s="139"/>
      <c r="AG14" s="139"/>
      <c r="AH14" s="139"/>
      <c r="AI14" s="139"/>
      <c r="AJ14" s="139"/>
      <c r="AK14" s="408">
        <f>'[17]2. Distributional by deciles o'!$L66</f>
        <v>3716031.7091999995</v>
      </c>
      <c r="AL14" s="55"/>
      <c r="AM14" s="32" cm="1">
        <f t="array" aca="1" ref="AM14" ca="1">INDIRECT("'1"&amp;$C$8&amp;"'!W14")</f>
        <v>10.642336890791634</v>
      </c>
      <c r="AN14" s="524">
        <f t="shared" ca="1" si="4"/>
        <v>3442975.1450128336</v>
      </c>
      <c r="AO14" s="524">
        <f t="shared" ca="1" si="5"/>
        <v>3499974.5547634857</v>
      </c>
      <c r="AP14" s="524">
        <f t="shared" ca="1" si="6"/>
        <v>3442975.1450128336</v>
      </c>
      <c r="AQ14" s="525">
        <f t="shared" si="7"/>
        <v>0.12998393243558248</v>
      </c>
      <c r="AR14" s="344">
        <f t="shared" si="8"/>
        <v>0.12998393243558248</v>
      </c>
      <c r="AS14" s="41">
        <f t="shared" si="9"/>
        <v>4.9197830612636585E-2</v>
      </c>
      <c r="AT14" s="1"/>
      <c r="AU14" s="1"/>
      <c r="AV14" s="1"/>
      <c r="AW14" s="1"/>
      <c r="AX14" s="1"/>
      <c r="AY14" s="1"/>
      <c r="AZ14" s="1"/>
      <c r="BA14" s="1"/>
      <c r="BB14" s="1"/>
      <c r="BC14" s="1"/>
      <c r="BD14" s="1"/>
      <c r="BE14" s="1"/>
      <c r="BF14" s="1"/>
      <c r="BG14" s="1"/>
      <c r="BH14" s="1"/>
      <c r="BI14" s="1"/>
      <c r="BJ14" s="1"/>
      <c r="BK14" s="1"/>
      <c r="BL14" s="1"/>
      <c r="BM14" s="1"/>
      <c r="BN14" s="1"/>
    </row>
    <row r="15" spans="1:66" x14ac:dyDescent="0.3">
      <c r="A15" s="1"/>
      <c r="B15" s="28">
        <v>4</v>
      </c>
      <c r="C15" s="129">
        <f>'[17]2. Distributional by deciles o'!B67</f>
        <v>4897896.5928000007</v>
      </c>
      <c r="D15" s="129">
        <f>'[17]2. Distributional by deciles o'!C67</f>
        <v>4493705.4444000013</v>
      </c>
      <c r="E15" s="129">
        <f>'[17]2. Distributional by deciles o'!D67</f>
        <v>5587530.0336000035</v>
      </c>
      <c r="F15" s="129">
        <f>'[17]2. Distributional by deciles o'!E67</f>
        <v>6757023.3000000017</v>
      </c>
      <c r="G15" s="129">
        <f>'[17]2. Distributional by deciles o'!F67</f>
        <v>9175250.6988000013</v>
      </c>
      <c r="H15" s="129">
        <f>'[17]2. Distributional by deciles o'!H67</f>
        <v>9735197.1396000013</v>
      </c>
      <c r="I15" s="129">
        <f>'[17]2. Distributional by deciles o'!I67</f>
        <v>5679611.4132000003</v>
      </c>
      <c r="J15" s="129">
        <f>'[17]2. Distributional by deciles o'!J67</f>
        <v>6761074.6884000022</v>
      </c>
      <c r="K15" s="129">
        <f>'[17]2. Distributional by deciles o'!K67</f>
        <v>5754646.9523999989</v>
      </c>
      <c r="L15" s="291">
        <f t="shared" si="0"/>
        <v>10872672.078078002</v>
      </c>
      <c r="M15" s="291">
        <f t="shared" si="1"/>
        <v>10092775.768680003</v>
      </c>
      <c r="N15" s="291">
        <f t="shared" si="1"/>
        <v>10092775.768680003</v>
      </c>
      <c r="O15" s="291">
        <f t="shared" si="1"/>
        <v>10092775.768680003</v>
      </c>
      <c r="P15" s="129">
        <f>'[17]2. Distributional by deciles o'!B85</f>
        <v>751519171.31400013</v>
      </c>
      <c r="Q15" s="129">
        <f>'[17]2. Distributional by deciles o'!C85</f>
        <v>749098335.42359924</v>
      </c>
      <c r="R15" s="129">
        <f>'[17]2. Distributional by deciles o'!D85</f>
        <v>778595478.93600035</v>
      </c>
      <c r="S15" s="129">
        <f>'[17]2. Distributional by deciles o'!E85</f>
        <v>805327939.97759962</v>
      </c>
      <c r="T15" s="129">
        <f>'[17]2. Distributional by deciles o'!F85</f>
        <v>851759720.00759983</v>
      </c>
      <c r="U15" s="209">
        <f t="shared" si="2"/>
        <v>0.13338388762369591</v>
      </c>
      <c r="V15" s="291">
        <f t="shared" si="3"/>
        <v>936935692.00835991</v>
      </c>
      <c r="W15" s="209"/>
      <c r="X15" s="132"/>
      <c r="Y15" s="132"/>
      <c r="Z15" s="132"/>
      <c r="AA15" s="132"/>
      <c r="AB15" s="132"/>
      <c r="AC15" s="132"/>
      <c r="AD15" s="132"/>
      <c r="AE15" s="139"/>
      <c r="AF15" s="139"/>
      <c r="AG15" s="139"/>
      <c r="AH15" s="139"/>
      <c r="AI15" s="139"/>
      <c r="AJ15" s="139"/>
      <c r="AK15" s="408">
        <f>'[17]2. Distributional by deciles o'!$L67</f>
        <v>9175250.6988000013</v>
      </c>
      <c r="AL15" s="55"/>
      <c r="AM15" s="32" cm="1">
        <f t="array" aca="1" ref="AM15" ca="1">INDIRECT("'1"&amp;$C$8&amp;"'!W15")</f>
        <v>5.8958205225046205</v>
      </c>
      <c r="AN15" s="524">
        <f t="shared" ca="1" si="4"/>
        <v>8749639.0215961058</v>
      </c>
      <c r="AO15" s="524">
        <f t="shared" ca="1" si="5"/>
        <v>8758520.768936364</v>
      </c>
      <c r="AP15" s="524">
        <f t="shared" ca="1" si="6"/>
        <v>8749639.0215961058</v>
      </c>
      <c r="AQ15" s="525">
        <f t="shared" si="7"/>
        <v>0.13338388762369591</v>
      </c>
      <c r="AR15" s="344">
        <f t="shared" si="8"/>
        <v>0.13338388762369591</v>
      </c>
      <c r="AS15" s="41">
        <f t="shared" si="9"/>
        <v>6.3407287070689169E-2</v>
      </c>
      <c r="AT15" s="1"/>
      <c r="AU15" s="1"/>
      <c r="AV15" s="1"/>
      <c r="AW15" s="1"/>
      <c r="AX15" s="1"/>
      <c r="AY15" s="1"/>
      <c r="AZ15" s="1"/>
      <c r="BA15" s="1"/>
      <c r="BB15" s="1"/>
      <c r="BC15" s="1"/>
      <c r="BD15" s="1"/>
      <c r="BE15" s="1"/>
      <c r="BF15" s="1"/>
      <c r="BG15" s="1"/>
      <c r="BH15" s="1"/>
      <c r="BI15" s="1"/>
      <c r="BJ15" s="1"/>
      <c r="BK15" s="1"/>
      <c r="BL15" s="1"/>
      <c r="BM15" s="1"/>
      <c r="BN15" s="1"/>
    </row>
    <row r="16" spans="1:66" x14ac:dyDescent="0.3">
      <c r="A16" s="1"/>
      <c r="B16" s="28">
        <v>5</v>
      </c>
      <c r="C16" s="129">
        <f>'[17]2. Distributional by deciles o'!B68</f>
        <v>7657774.2671999969</v>
      </c>
      <c r="D16" s="129">
        <f>'[17]2. Distributional by deciles o'!C68</f>
        <v>7068562.7568000015</v>
      </c>
      <c r="E16" s="129">
        <f>'[17]2. Distributional by deciles o'!D68</f>
        <v>8644022.6424000002</v>
      </c>
      <c r="F16" s="129">
        <f>'[17]2. Distributional by deciles o'!E68</f>
        <v>10317998.820000002</v>
      </c>
      <c r="G16" s="129">
        <f>'[17]2. Distributional by deciles o'!F68</f>
        <v>13598803.942800002</v>
      </c>
      <c r="H16" s="129">
        <f>'[17]2. Distributional by deciles o'!H68</f>
        <v>14499720.028799996</v>
      </c>
      <c r="I16" s="129">
        <f>'[17]2. Distributional by deciles o'!I68</f>
        <v>8913541.6427999996</v>
      </c>
      <c r="J16" s="129">
        <f>'[17]2. Distributional by deciles o'!J68</f>
        <v>10375055.604000004</v>
      </c>
      <c r="K16" s="129">
        <f>'[17]2. Distributional by deciles o'!K68</f>
        <v>9012599.5404000022</v>
      </c>
      <c r="L16" s="291">
        <f t="shared" si="0"/>
        <v>16114582.672218002</v>
      </c>
      <c r="M16" s="291">
        <f t="shared" si="1"/>
        <v>14958684.337080004</v>
      </c>
      <c r="N16" s="291">
        <f t="shared" si="1"/>
        <v>14958684.337080004</v>
      </c>
      <c r="O16" s="291">
        <f t="shared" si="1"/>
        <v>14958684.337080004</v>
      </c>
      <c r="P16" s="129">
        <f>'[17]2. Distributional by deciles o'!B86</f>
        <v>901035152.07240009</v>
      </c>
      <c r="Q16" s="129">
        <f>'[17]2. Distributional by deciles o'!C86</f>
        <v>897731098.4052</v>
      </c>
      <c r="R16" s="129">
        <f>'[17]2. Distributional by deciles o'!D86</f>
        <v>932731251.09959972</v>
      </c>
      <c r="S16" s="129">
        <f>'[17]2. Distributional by deciles o'!E86</f>
        <v>965979097.60199976</v>
      </c>
      <c r="T16" s="129">
        <f>'[17]2. Distributional by deciles o'!F86</f>
        <v>1022965257.3156004</v>
      </c>
      <c r="U16" s="209">
        <f t="shared" si="2"/>
        <v>0.13532225126040687</v>
      </c>
      <c r="V16" s="291">
        <f t="shared" si="3"/>
        <v>1125261783.0471606</v>
      </c>
      <c r="W16" s="209"/>
      <c r="X16" s="132"/>
      <c r="Y16" s="132"/>
      <c r="Z16" s="132"/>
      <c r="AA16" s="132"/>
      <c r="AB16" s="132"/>
      <c r="AC16" s="132"/>
      <c r="AD16" s="132"/>
      <c r="AE16" s="139"/>
      <c r="AF16" s="139"/>
      <c r="AG16" s="139"/>
      <c r="AH16" s="139"/>
      <c r="AI16" s="139"/>
      <c r="AJ16" s="139"/>
      <c r="AK16" s="408">
        <f>'[17]2. Distributional by deciles o'!$L68</f>
        <v>13598803.942800002</v>
      </c>
      <c r="AL16" s="55"/>
      <c r="AM16" s="32" cm="1">
        <f t="array" aca="1" ref="AM16" ca="1">INDIRECT("'1"&amp;$C$8&amp;"'!W16")</f>
        <v>5.3208202651603616</v>
      </c>
      <c r="AN16" s="524">
        <f t="shared" ca="1" si="4"/>
        <v>13171566.069646517</v>
      </c>
      <c r="AO16" s="524">
        <f t="shared" ca="1" si="5"/>
        <v>13105118.354995603</v>
      </c>
      <c r="AP16" s="524">
        <f t="shared" ca="1" si="6"/>
        <v>13171566.069646517</v>
      </c>
      <c r="AQ16" s="525">
        <f t="shared" si="7"/>
        <v>0.13532225126040687</v>
      </c>
      <c r="AR16" s="344">
        <f t="shared" si="8"/>
        <v>0.13532225126040687</v>
      </c>
      <c r="AS16" s="41">
        <f t="shared" si="9"/>
        <v>7.6022271592012039E-2</v>
      </c>
      <c r="AT16" s="1"/>
      <c r="AU16" s="1"/>
      <c r="AV16" s="1"/>
      <c r="AW16" s="1"/>
      <c r="AX16" s="1"/>
      <c r="AY16" s="1"/>
      <c r="AZ16" s="1"/>
      <c r="BA16" s="1"/>
      <c r="BB16" s="1"/>
      <c r="BC16" s="1"/>
      <c r="BD16" s="1"/>
      <c r="BE16" s="1"/>
      <c r="BF16" s="1"/>
      <c r="BG16" s="1"/>
      <c r="BH16" s="1"/>
      <c r="BI16" s="1"/>
      <c r="BJ16" s="1"/>
      <c r="BK16" s="1"/>
      <c r="BL16" s="1"/>
      <c r="BM16" s="1"/>
      <c r="BN16" s="1"/>
    </row>
    <row r="17" spans="1:66" x14ac:dyDescent="0.3">
      <c r="A17" s="1"/>
      <c r="B17" s="28">
        <v>6</v>
      </c>
      <c r="C17" s="129">
        <f>'[17]2. Distributional by deciles o'!B69</f>
        <v>18900665.572800003</v>
      </c>
      <c r="D17" s="129">
        <f>'[17]2. Distributional by deciles o'!C69</f>
        <v>17743243.622400001</v>
      </c>
      <c r="E17" s="129">
        <f>'[17]2. Distributional by deciles o'!D69</f>
        <v>20928984.664800018</v>
      </c>
      <c r="F17" s="129">
        <f>'[17]2. Distributional by deciles o'!E69</f>
        <v>24265873.992000006</v>
      </c>
      <c r="G17" s="129">
        <f>'[17]2. Distributional by deciles o'!F69</f>
        <v>30762928.537200019</v>
      </c>
      <c r="H17" s="129">
        <f>'[17]2. Distributional by deciles o'!H69</f>
        <v>32396314.726800002</v>
      </c>
      <c r="I17" s="129">
        <f>'[17]2. Distributional by deciles o'!I69</f>
        <v>21813812.656800009</v>
      </c>
      <c r="J17" s="129">
        <f>'[17]2. Distributional by deciles o'!J69</f>
        <v>24764652.394800007</v>
      </c>
      <c r="K17" s="129">
        <f>'[17]2. Distributional by deciles o'!K69</f>
        <v>22017398.123999987</v>
      </c>
      <c r="L17" s="291">
        <f t="shared" si="0"/>
        <v>36454070.316582024</v>
      </c>
      <c r="M17" s="291">
        <f t="shared" si="1"/>
        <v>33839221.390920021</v>
      </c>
      <c r="N17" s="291">
        <f t="shared" si="1"/>
        <v>33839221.390920021</v>
      </c>
      <c r="O17" s="291">
        <f t="shared" si="1"/>
        <v>33839221.390920021</v>
      </c>
      <c r="P17" s="129">
        <f>'[17]2. Distributional by deciles o'!B87</f>
        <v>1040127358.4088004</v>
      </c>
      <c r="Q17" s="129">
        <f>'[17]2. Distributional by deciles o'!C87</f>
        <v>1036106348.3099992</v>
      </c>
      <c r="R17" s="129">
        <f>'[17]2. Distributional by deciles o'!D87</f>
        <v>1076325874.1436</v>
      </c>
      <c r="S17" s="129">
        <f>'[17]2. Distributional by deciles o'!E87</f>
        <v>1115236194.8879998</v>
      </c>
      <c r="T17" s="129">
        <f>'[17]2. Distributional by deciles o'!F87</f>
        <v>1181747321.8307989</v>
      </c>
      <c r="U17" s="209">
        <f t="shared" si="2"/>
        <v>0.13615636804193909</v>
      </c>
      <c r="V17" s="291">
        <f t="shared" si="3"/>
        <v>1299922054.0138788</v>
      </c>
      <c r="W17" s="209"/>
      <c r="X17" s="132"/>
      <c r="Y17" s="132"/>
      <c r="Z17" s="132"/>
      <c r="AA17" s="132"/>
      <c r="AB17" s="132"/>
      <c r="AC17" s="132"/>
      <c r="AD17" s="132"/>
      <c r="AE17" s="139"/>
      <c r="AF17" s="139"/>
      <c r="AG17" s="139"/>
      <c r="AH17" s="139"/>
      <c r="AI17" s="139"/>
      <c r="AJ17" s="139"/>
      <c r="AK17" s="408">
        <f>'[17]2. Distributional by deciles o'!$L69</f>
        <v>30762928.537200019</v>
      </c>
      <c r="AL17" s="55"/>
      <c r="AM17" s="32" cm="1">
        <f t="array" aca="1" ref="AM17" ca="1">INDIRECT("'1"&amp;$C$8&amp;"'!W17")</f>
        <v>4.5290819299792622</v>
      </c>
      <c r="AN17" s="524">
        <f t="shared" ca="1" si="4"/>
        <v>30556013.249391615</v>
      </c>
      <c r="AO17" s="524">
        <f t="shared" ca="1" si="5"/>
        <v>30345010.388653737</v>
      </c>
      <c r="AP17" s="524">
        <f t="shared" ca="1" si="6"/>
        <v>30556013.249391615</v>
      </c>
      <c r="AQ17" s="525">
        <f t="shared" si="7"/>
        <v>0.13615636804193909</v>
      </c>
      <c r="AR17" s="344">
        <f t="shared" si="8"/>
        <v>0.13615636804193909</v>
      </c>
      <c r="AS17" s="41">
        <f t="shared" si="9"/>
        <v>8.7757779870592884E-2</v>
      </c>
      <c r="AT17" s="1"/>
      <c r="AU17" s="1"/>
      <c r="AV17" s="1"/>
      <c r="AW17" s="1"/>
      <c r="AX17" s="1"/>
      <c r="AY17" s="1"/>
      <c r="AZ17" s="1"/>
      <c r="BA17" s="1"/>
      <c r="BB17" s="1"/>
      <c r="BC17" s="1"/>
      <c r="BD17" s="1"/>
      <c r="BE17" s="1"/>
      <c r="BF17" s="1"/>
      <c r="BG17" s="1"/>
      <c r="BH17" s="1"/>
      <c r="BI17" s="1"/>
      <c r="BJ17" s="1"/>
      <c r="BK17" s="1"/>
      <c r="BL17" s="1"/>
      <c r="BM17" s="1"/>
      <c r="BN17" s="1"/>
    </row>
    <row r="18" spans="1:66" x14ac:dyDescent="0.3">
      <c r="A18" s="1"/>
      <c r="B18" s="28">
        <v>7</v>
      </c>
      <c r="C18" s="129">
        <f>'[17]2. Distributional by deciles o'!B70</f>
        <v>36663739.255200014</v>
      </c>
      <c r="D18" s="129">
        <f>'[17]2. Distributional by deciles o'!C70</f>
        <v>34947900.648000024</v>
      </c>
      <c r="E18" s="129">
        <f>'[17]2. Distributional by deciles o'!D70</f>
        <v>40063421.780400008</v>
      </c>
      <c r="F18" s="129">
        <f>'[17]2. Distributional by deciles o'!E70</f>
        <v>45505693.806000017</v>
      </c>
      <c r="G18" s="129">
        <f>'[17]2. Distributional by deciles o'!F70</f>
        <v>56110070.513999969</v>
      </c>
      <c r="H18" s="129">
        <f>'[17]2. Distributional by deciles o'!H70</f>
        <v>58617463.892399959</v>
      </c>
      <c r="I18" s="129">
        <f>'[17]2. Distributional by deciles o'!I70</f>
        <v>42054001.792800002</v>
      </c>
      <c r="J18" s="129">
        <f>'[17]2. Distributional by deciles o'!J70</f>
        <v>46755457.244400024</v>
      </c>
      <c r="K18" s="129">
        <f>'[17]2. Distributional by deciles o'!K70</f>
        <v>42376217.979600027</v>
      </c>
      <c r="L18" s="291">
        <f t="shared" si="0"/>
        <v>66490433.559089966</v>
      </c>
      <c r="M18" s="291">
        <f t="shared" si="1"/>
        <v>61721077.565399967</v>
      </c>
      <c r="N18" s="291">
        <f t="shared" si="1"/>
        <v>61721077.565399967</v>
      </c>
      <c r="O18" s="291">
        <f t="shared" si="1"/>
        <v>61721077.565399967</v>
      </c>
      <c r="P18" s="129">
        <f>'[17]2. Distributional by deciles o'!B88</f>
        <v>1220635100.7299998</v>
      </c>
      <c r="Q18" s="129">
        <f>'[17]2. Distributional by deciles o'!C88</f>
        <v>1215918518.9772</v>
      </c>
      <c r="R18" s="129">
        <f>'[17]2. Distributional by deciles o'!D88</f>
        <v>1263249540.1584003</v>
      </c>
      <c r="S18" s="129">
        <f>'[17]2. Distributional by deciles o'!E88</f>
        <v>1308700683.5003996</v>
      </c>
      <c r="T18" s="129">
        <f>'[17]2. Distributional by deciles o'!F88</f>
        <v>1387056925.1112001</v>
      </c>
      <c r="U18" s="209">
        <f t="shared" si="2"/>
        <v>0.1363403561651404</v>
      </c>
      <c r="V18" s="291">
        <f t="shared" si="3"/>
        <v>1525762617.6223202</v>
      </c>
      <c r="W18" s="209"/>
      <c r="X18" s="132"/>
      <c r="Y18" s="132"/>
      <c r="Z18" s="132"/>
      <c r="AA18" s="132"/>
      <c r="AB18" s="132"/>
      <c r="AC18" s="132"/>
      <c r="AD18" s="132"/>
      <c r="AE18" s="139"/>
      <c r="AF18" s="139"/>
      <c r="AG18" s="139"/>
      <c r="AH18" s="139"/>
      <c r="AI18" s="139"/>
      <c r="AJ18" s="139"/>
      <c r="AK18" s="408">
        <f>'[17]2. Distributional by deciles o'!$L70</f>
        <v>56110070.513999969</v>
      </c>
      <c r="AL18" s="55"/>
      <c r="AM18" s="32" cm="1">
        <f t="array" aca="1" ref="AM18" ca="1">INDIRECT("'1"&amp;$C$8&amp;"'!W18")</f>
        <v>3.8279643033919375</v>
      </c>
      <c r="AN18" s="524">
        <f t="shared" ca="1" si="4"/>
        <v>55798765.36031244</v>
      </c>
      <c r="AO18" s="524">
        <f t="shared" ca="1" si="5"/>
        <v>55426999.168959558</v>
      </c>
      <c r="AP18" s="524">
        <f t="shared" ca="1" si="6"/>
        <v>55798765.36031244</v>
      </c>
      <c r="AQ18" s="525">
        <f t="shared" si="7"/>
        <v>0.1363403561651404</v>
      </c>
      <c r="AR18" s="344">
        <f t="shared" si="8"/>
        <v>0.1363403561651404</v>
      </c>
      <c r="AS18" s="41">
        <f t="shared" si="9"/>
        <v>0.10298760589862392</v>
      </c>
      <c r="AT18" s="1"/>
      <c r="AU18" s="1"/>
      <c r="AV18" s="1"/>
      <c r="AW18" s="1"/>
      <c r="AX18" s="1"/>
      <c r="AY18" s="1"/>
      <c r="AZ18" s="1"/>
      <c r="BA18" s="1"/>
      <c r="BB18" s="1"/>
      <c r="BC18" s="1"/>
      <c r="BD18" s="1"/>
      <c r="BE18" s="1"/>
      <c r="BF18" s="1"/>
      <c r="BG18" s="1"/>
      <c r="BH18" s="1"/>
      <c r="BI18" s="1"/>
      <c r="BJ18" s="1"/>
      <c r="BK18" s="1"/>
      <c r="BL18" s="1"/>
      <c r="BM18" s="1"/>
      <c r="BN18" s="1"/>
    </row>
    <row r="19" spans="1:66" x14ac:dyDescent="0.3">
      <c r="A19" s="1"/>
      <c r="B19" s="28">
        <v>8</v>
      </c>
      <c r="C19" s="129">
        <f>'[17]2. Distributional by deciles o'!B71</f>
        <v>72276274.721999973</v>
      </c>
      <c r="D19" s="129">
        <f>'[17]2. Distributional by deciles o'!C71</f>
        <v>69385179.517200008</v>
      </c>
      <c r="E19" s="129">
        <f>'[17]2. Distributional by deciles o'!D71</f>
        <v>78021963.0264</v>
      </c>
      <c r="F19" s="129">
        <f>'[17]2. Distributional by deciles o'!E71</f>
        <v>86767807.930800021</v>
      </c>
      <c r="G19" s="129">
        <f>'[17]2. Distributional by deciles o'!F71</f>
        <v>103206623.12280002</v>
      </c>
      <c r="H19" s="129">
        <f>'[17]2. Distributional by deciles o'!H71</f>
        <v>106967936.77799995</v>
      </c>
      <c r="I19" s="129">
        <f>'[17]2. Distributional by deciles o'!I71</f>
        <v>82425299.403600067</v>
      </c>
      <c r="J19" s="129">
        <f>'[17]2. Distributional by deciles o'!J71</f>
        <v>89641094.510399997</v>
      </c>
      <c r="K19" s="129">
        <f>'[17]2. Distributional by deciles o'!K71</f>
        <v>82933042.462800011</v>
      </c>
      <c r="L19" s="291">
        <f t="shared" si="0"/>
        <v>122299848.40051803</v>
      </c>
      <c r="M19" s="291">
        <f t="shared" si="1"/>
        <v>113527285.43508004</v>
      </c>
      <c r="N19" s="291">
        <f t="shared" si="1"/>
        <v>113527285.43508004</v>
      </c>
      <c r="O19" s="291">
        <f t="shared" si="1"/>
        <v>113527285.43508004</v>
      </c>
      <c r="P19" s="129">
        <f>'[17]2. Distributional by deciles o'!B89</f>
        <v>1474001897.577601</v>
      </c>
      <c r="Q19" s="129">
        <f>'[17]2. Distributional by deciles o'!C89</f>
        <v>1468549231.8335993</v>
      </c>
      <c r="R19" s="129">
        <f>'[17]2. Distributional by deciles o'!D89</f>
        <v>1525802198.7827995</v>
      </c>
      <c r="S19" s="129">
        <f>'[17]2. Distributional by deciles o'!E89</f>
        <v>1580316212.7384</v>
      </c>
      <c r="T19" s="129">
        <f>'[17]2. Distributional by deciles o'!F89</f>
        <v>1673765511.6504011</v>
      </c>
      <c r="U19" s="209">
        <f t="shared" si="2"/>
        <v>0.13552466547098407</v>
      </c>
      <c r="V19" s="291">
        <f t="shared" si="3"/>
        <v>1841142062.8154414</v>
      </c>
      <c r="W19" s="209"/>
      <c r="X19" s="132"/>
      <c r="Y19" s="132"/>
      <c r="Z19" s="132"/>
      <c r="AA19" s="132"/>
      <c r="AB19" s="132"/>
      <c r="AC19" s="132"/>
      <c r="AD19" s="132"/>
      <c r="AE19" s="139"/>
      <c r="AF19" s="139"/>
      <c r="AG19" s="139"/>
      <c r="AH19" s="139"/>
      <c r="AI19" s="139"/>
      <c r="AJ19" s="139"/>
      <c r="AK19" s="408">
        <f>'[17]2. Distributional by deciles o'!$L71</f>
        <v>103206623.12280002</v>
      </c>
      <c r="AL19" s="55"/>
      <c r="AM19" s="32" cm="1">
        <f t="array" aca="1" ref="AM19" ca="1">INDIRECT("'1"&amp;$C$8&amp;"'!W19")</f>
        <v>3.2686567666616191</v>
      </c>
      <c r="AN19" s="524">
        <f t="shared" ca="1" si="4"/>
        <v>104293480.16561326</v>
      </c>
      <c r="AO19" s="524">
        <f t="shared" ca="1" si="5"/>
        <v>103860391.62774119</v>
      </c>
      <c r="AP19" s="524">
        <f t="shared" ca="1" si="6"/>
        <v>92731955.177513704</v>
      </c>
      <c r="AQ19" s="525">
        <f t="shared" si="7"/>
        <v>0.13552466547098407</v>
      </c>
      <c r="AR19" s="526">
        <f>U19-AP31*AS21/SUM(AS19:AS20)</f>
        <v>8.6586234254490399E-2</v>
      </c>
      <c r="AS19" s="41">
        <f t="shared" si="9"/>
        <v>0.12436470688968357</v>
      </c>
      <c r="AT19" s="1"/>
      <c r="AU19" s="1"/>
      <c r="AV19" s="1"/>
      <c r="AW19" s="1"/>
      <c r="AX19" s="1"/>
      <c r="AY19" s="1"/>
      <c r="AZ19" s="1"/>
      <c r="BA19" s="1"/>
      <c r="BB19" s="1"/>
      <c r="BC19" s="1"/>
      <c r="BD19" s="1"/>
      <c r="BE19" s="1"/>
      <c r="BF19" s="1"/>
      <c r="BG19" s="1"/>
      <c r="BH19" s="1"/>
      <c r="BI19" s="1"/>
      <c r="BJ19" s="1"/>
      <c r="BK19" s="1"/>
      <c r="BL19" s="1"/>
      <c r="BM19" s="1"/>
      <c r="BN19" s="1"/>
    </row>
    <row r="20" spans="1:66" x14ac:dyDescent="0.3">
      <c r="A20" s="1"/>
      <c r="B20" s="28">
        <v>9</v>
      </c>
      <c r="C20" s="129">
        <f>'[17]2. Distributional by deciles o'!B72</f>
        <v>148158378.20040005</v>
      </c>
      <c r="D20" s="129">
        <f>'[17]2. Distributional by deciles o'!C72</f>
        <v>143091823.19400007</v>
      </c>
      <c r="E20" s="129">
        <f>'[17]2. Distributional by deciles o'!D72</f>
        <v>158206907.63519996</v>
      </c>
      <c r="F20" s="129">
        <f>'[17]2. Distributional by deciles o'!E72</f>
        <v>171893896.86360013</v>
      </c>
      <c r="G20" s="129">
        <f>'[17]2. Distributional by deciles o'!F72</f>
        <v>197856408.04919997</v>
      </c>
      <c r="H20" s="129">
        <f>'[17]2. Distributional by deciles o'!H72</f>
        <v>204342001.18199998</v>
      </c>
      <c r="I20" s="129">
        <f>'[17]2. Distributional by deciles o'!I72</f>
        <v>168232922.99399996</v>
      </c>
      <c r="J20" s="129">
        <f>'[17]2. Distributional by deciles o'!J72</f>
        <v>179177259.61799994</v>
      </c>
      <c r="K20" s="129">
        <f>'[17]2. Distributional by deciles o'!K72</f>
        <v>169012655.10480016</v>
      </c>
      <c r="L20" s="291">
        <f t="shared" si="0"/>
        <v>234459843.53830197</v>
      </c>
      <c r="M20" s="291">
        <f t="shared" si="1"/>
        <v>217642048.85411999</v>
      </c>
      <c r="N20" s="291">
        <f t="shared" si="1"/>
        <v>217642048.85411999</v>
      </c>
      <c r="O20" s="291">
        <f t="shared" si="1"/>
        <v>217642048.85411999</v>
      </c>
      <c r="P20" s="129">
        <f>'[17]2. Distributional by deciles o'!B90</f>
        <v>1936184520.7560005</v>
      </c>
      <c r="Q20" s="129">
        <f>'[17]2. Distributional by deciles o'!C90</f>
        <v>1929746309.9447985</v>
      </c>
      <c r="R20" s="129">
        <f>'[17]2. Distributional by deciles o'!D90</f>
        <v>2005618610.181601</v>
      </c>
      <c r="S20" s="129">
        <f>'[17]2. Distributional by deciles o'!E90</f>
        <v>2075130870.1548014</v>
      </c>
      <c r="T20" s="129">
        <f>'[17]2. Distributional by deciles o'!F90</f>
        <v>2195486785.7340012</v>
      </c>
      <c r="U20" s="209">
        <f t="shared" si="2"/>
        <v>0.13392435596828012</v>
      </c>
      <c r="V20" s="291">
        <f t="shared" si="3"/>
        <v>2415035464.3074017</v>
      </c>
      <c r="W20" s="209"/>
      <c r="X20" s="132"/>
      <c r="Y20" s="132"/>
      <c r="Z20" s="132"/>
      <c r="AA20" s="132"/>
      <c r="AB20" s="132"/>
      <c r="AC20" s="132"/>
      <c r="AD20" s="132"/>
      <c r="AE20" s="139"/>
      <c r="AF20" s="139"/>
      <c r="AG20" s="139"/>
      <c r="AH20" s="139"/>
      <c r="AI20" s="139"/>
      <c r="AJ20" s="139"/>
      <c r="AK20" s="408">
        <f>'[17]2. Distributional by deciles o'!$L72</f>
        <v>197856408.04919997</v>
      </c>
      <c r="AL20" s="55"/>
      <c r="AM20" s="32" cm="1">
        <f t="array" aca="1" ref="AM20" ca="1">INDIRECT("'1"&amp;$C$8&amp;"'!W20")</f>
        <v>2.6862996178553158</v>
      </c>
      <c r="AN20" s="524">
        <f t="shared" ca="1" si="4"/>
        <v>201459976.53799111</v>
      </c>
      <c r="AO20" s="524">
        <f t="shared" ca="1" si="5"/>
        <v>201367283.6727066</v>
      </c>
      <c r="AP20" s="524">
        <f t="shared" ca="1" si="6"/>
        <v>181982588.83570343</v>
      </c>
      <c r="AQ20" s="525">
        <f t="shared" si="7"/>
        <v>0.13392435596828012</v>
      </c>
      <c r="AR20" s="526">
        <f>U20-AP31*AS21/SUM(AS19:AS20)</f>
        <v>8.4985924751786443E-2</v>
      </c>
      <c r="AS20" s="41">
        <f t="shared" si="9"/>
        <v>0.1633600477746234</v>
      </c>
      <c r="AT20" s="1"/>
      <c r="AU20" s="1"/>
      <c r="AV20" s="1"/>
      <c r="AW20" s="1"/>
      <c r="AX20" s="1"/>
      <c r="AY20" s="1"/>
      <c r="AZ20" s="1"/>
      <c r="BA20" s="1"/>
      <c r="BB20" s="1"/>
      <c r="BC20" s="1"/>
      <c r="BD20" s="1"/>
      <c r="BE20" s="1"/>
      <c r="BF20" s="1"/>
      <c r="BG20" s="1"/>
      <c r="BH20" s="1"/>
      <c r="BI20" s="1"/>
      <c r="BJ20" s="1"/>
      <c r="BK20" s="1"/>
      <c r="BL20" s="1"/>
      <c r="BM20" s="1"/>
      <c r="BN20" s="1"/>
    </row>
    <row r="21" spans="1:66" x14ac:dyDescent="0.3">
      <c r="A21" s="1"/>
      <c r="B21" s="33">
        <v>10</v>
      </c>
      <c r="C21" s="129">
        <f>'[17]2. Distributional by deciles o'!B73</f>
        <v>530805150.88799989</v>
      </c>
      <c r="D21" s="129">
        <f>'[17]2. Distributional by deciles o'!C73</f>
        <v>519496657.24560034</v>
      </c>
      <c r="E21" s="129">
        <f>'[17]2. Distributional by deciles o'!D73</f>
        <v>554473037.07719994</v>
      </c>
      <c r="F21" s="129">
        <f>'[17]2. Distributional by deciles o'!E73</f>
        <v>587910922.88520038</v>
      </c>
      <c r="G21" s="129">
        <f>'[17]2. Distributional by deciles o'!F73</f>
        <v>646903561.97400022</v>
      </c>
      <c r="H21" s="129">
        <f>'[17]2. Distributional by deciles o'!H73</f>
        <v>660863164.04880011</v>
      </c>
      <c r="I21" s="129">
        <f>'[17]2. Distributional by deciles o'!I73</f>
        <v>603998351.07959998</v>
      </c>
      <c r="J21" s="129">
        <f>'[17]2. Distributional by deciles o'!J73</f>
        <v>621603105.45000017</v>
      </c>
      <c r="K21" s="129">
        <f>'[17]2. Distributional by deciles o'!K73</f>
        <v>605255009.60159969</v>
      </c>
      <c r="L21" s="291">
        <f t="shared" si="0"/>
        <v>766580720.93919027</v>
      </c>
      <c r="M21" s="291">
        <f t="shared" si="1"/>
        <v>711593918.17140031</v>
      </c>
      <c r="N21" s="291">
        <f t="shared" si="1"/>
        <v>711593918.17140031</v>
      </c>
      <c r="O21" s="291">
        <f t="shared" si="1"/>
        <v>711593918.17140031</v>
      </c>
      <c r="P21" s="129">
        <f>'[17]2. Distributional by deciles o'!B91</f>
        <v>3337783469.3807974</v>
      </c>
      <c r="Q21" s="129">
        <f>'[17]2. Distributional by deciles o'!C91</f>
        <v>3327231400.8851995</v>
      </c>
      <c r="R21" s="129">
        <f>'[17]2. Distributional by deciles o'!D91</f>
        <v>3457993573.7604036</v>
      </c>
      <c r="S21" s="129">
        <f>'[17]2. Distributional by deciles o'!E91</f>
        <v>3577744408.1160002</v>
      </c>
      <c r="T21" s="129">
        <f>'[17]2. Distributional by deciles o'!F91</f>
        <v>3781825192.0691996</v>
      </c>
      <c r="U21" s="209">
        <f t="shared" si="2"/>
        <v>0.13303490977225607</v>
      </c>
      <c r="V21" s="291">
        <f t="shared" si="3"/>
        <v>4160007711.2761197</v>
      </c>
      <c r="W21" s="209"/>
      <c r="X21" s="132"/>
      <c r="Y21" s="132"/>
      <c r="Z21" s="132"/>
      <c r="AA21" s="132"/>
      <c r="AB21" s="132"/>
      <c r="AC21" s="132"/>
      <c r="AD21" s="132"/>
      <c r="AE21" s="139"/>
      <c r="AF21" s="139"/>
      <c r="AG21" s="139"/>
      <c r="AH21" s="139"/>
      <c r="AI21" s="139"/>
      <c r="AJ21" s="139"/>
      <c r="AK21" s="408">
        <f>'[17]2. Distributional by deciles o'!$L73</f>
        <v>646903561.97400022</v>
      </c>
      <c r="AL21" s="55"/>
      <c r="AM21" s="32" cm="1">
        <f t="array" aca="1" ref="AM21" ca="1">INDIRECT("'1"&amp;$C$8&amp;"'!W21")</f>
        <v>1.7703998280948667</v>
      </c>
      <c r="AN21" s="524">
        <f t="shared" ca="1" si="4"/>
        <v>655823024.173365</v>
      </c>
      <c r="AO21" s="524">
        <f t="shared" ca="1" si="5"/>
        <v>656440007.09315586</v>
      </c>
      <c r="AP21" s="524">
        <f t="shared" ca="1" si="6"/>
        <v>702809891.56756425</v>
      </c>
      <c r="AQ21" s="525">
        <f t="shared" si="7"/>
        <v>0.13303490977225607</v>
      </c>
      <c r="AR21" s="527">
        <f>U21+AP31</f>
        <v>0.18303490977225606</v>
      </c>
      <c r="AS21" s="41">
        <f t="shared" si="9"/>
        <v>0.28161596230843405</v>
      </c>
      <c r="AT21" s="1"/>
      <c r="AU21" s="1"/>
      <c r="AV21" s="1"/>
      <c r="AW21" s="1"/>
      <c r="AX21" s="1"/>
      <c r="AY21" s="1"/>
      <c r="AZ21" s="1"/>
      <c r="BA21" s="1"/>
      <c r="BB21" s="1"/>
      <c r="BC21" s="1"/>
      <c r="BD21" s="1"/>
      <c r="BE21" s="1"/>
      <c r="BF21" s="1"/>
      <c r="BG21" s="1"/>
      <c r="BH21" s="1"/>
      <c r="BI21" s="1"/>
      <c r="BJ21" s="1"/>
      <c r="BK21" s="1"/>
      <c r="BL21" s="1"/>
      <c r="BM21" s="1"/>
      <c r="BN21" s="1"/>
    </row>
    <row r="22" spans="1:66" ht="13.2" customHeight="1" x14ac:dyDescent="0.3">
      <c r="A22" s="1"/>
      <c r="B22" s="34" t="s">
        <v>114</v>
      </c>
      <c r="C22" s="129">
        <f>'[17]2. Distributional by deciles o'!B74</f>
        <v>820976065.88159847</v>
      </c>
      <c r="D22" s="129">
        <f>'[17]2. Distributional by deciles o'!C74</f>
        <v>797639468.32680047</v>
      </c>
      <c r="E22" s="129">
        <f>'[17]2. Distributional by deciles o'!D74</f>
        <v>867908852.02680087</v>
      </c>
      <c r="F22" s="129">
        <f>'[17]2. Distributional by deciles o'!E74</f>
        <v>936150145.47480047</v>
      </c>
      <c r="G22" s="129">
        <f>'[17]2. Distributional by deciles o'!F74</f>
        <v>1061864793.5615985</v>
      </c>
      <c r="H22" s="129">
        <f>'[17]2. Distributional by deciles o'!H74</f>
        <v>1092086427.1019971</v>
      </c>
      <c r="I22" s="129">
        <f>'[17]2. Distributional by deciles o'!I74</f>
        <v>935120179.08719921</v>
      </c>
      <c r="J22" s="129">
        <f>'[17]2. Distributional by deciles o'!J74</f>
        <v>981781681.61760211</v>
      </c>
      <c r="K22" s="129">
        <f>'[17]2. Distributional by deciles o'!K74</f>
        <v>938411951.86920071</v>
      </c>
      <c r="L22" s="292">
        <f>G22*(1+0.1+0.085)</f>
        <v>1258309780.3704944</v>
      </c>
      <c r="M22" s="292">
        <f>$G22*(1+0.1+0)</f>
        <v>1168051272.9177585</v>
      </c>
      <c r="N22" s="292">
        <f t="shared" si="1"/>
        <v>1168051272.9177585</v>
      </c>
      <c r="O22" s="292">
        <f t="shared" si="1"/>
        <v>1168051272.9177585</v>
      </c>
      <c r="P22" s="362">
        <f>'[17]2. Distributional by deciles o'!B92</f>
        <v>11852252415.028801</v>
      </c>
      <c r="Q22" s="362">
        <f>'[17]2. Distributional by deciles o'!C92</f>
        <v>11813180474.686792</v>
      </c>
      <c r="R22" s="362">
        <f>'[17]2. Distributional by deciles o'!D92</f>
        <v>12277302523.465227</v>
      </c>
      <c r="S22" s="362">
        <f>'[17]2. Distributional by deciles o'!E92</f>
        <v>12702466875.520811</v>
      </c>
      <c r="T22" s="362">
        <f>'[17]2. Distributional by deciles o'!F92</f>
        <v>13436797321.349995</v>
      </c>
      <c r="U22" s="210">
        <f t="shared" si="2"/>
        <v>0.13369145803138416</v>
      </c>
      <c r="V22" s="292">
        <f>T22*1.1</f>
        <v>14780477053.484995</v>
      </c>
      <c r="W22" s="210"/>
      <c r="X22" s="154"/>
      <c r="Y22" s="154"/>
      <c r="Z22" s="154"/>
      <c r="AA22" s="154"/>
      <c r="AB22" s="154"/>
      <c r="AC22" s="154"/>
      <c r="AD22" s="154"/>
      <c r="AE22" s="161"/>
      <c r="AF22" s="161"/>
      <c r="AG22" s="161"/>
      <c r="AH22" s="161"/>
      <c r="AI22" s="162"/>
      <c r="AJ22" s="162"/>
      <c r="AK22" s="437">
        <f>'[17]2. Distributional by deciles o'!$L74</f>
        <v>1061864793.5615985</v>
      </c>
      <c r="AL22" s="55"/>
      <c r="AM22" s="534" cm="1">
        <f t="array" aca="1" ref="AM22" ca="1">INDIRECT("'1"&amp;$C$8&amp;"'!W22")</f>
        <v>2.2980633345266068</v>
      </c>
      <c r="AN22" s="528">
        <f ca="1">SUM(AN12:AN21)</f>
        <v>1073682509.6576668</v>
      </c>
      <c r="AO22" s="528">
        <f ca="1">SUM(AO12:AO21)</f>
        <v>1073208264.7495304</v>
      </c>
      <c r="AP22" s="528">
        <f ca="1">SUM(AP12:AP21)</f>
        <v>1089630464.3614788</v>
      </c>
      <c r="AQ22" s="529">
        <f>SUMPRODUCT(AQ12:AQ21,AS12:AS21)</f>
        <v>0.13369145803138471</v>
      </c>
      <c r="AR22" s="529">
        <f>SUMPRODUCT(AR12:AR21,AS12:AS21)</f>
        <v>0.13369145803138471</v>
      </c>
      <c r="AS22" s="530"/>
      <c r="AT22" s="1"/>
      <c r="AU22" s="1"/>
      <c r="AV22" s="1"/>
      <c r="AW22" s="1"/>
      <c r="AX22" s="1"/>
      <c r="AY22" s="1"/>
      <c r="AZ22" s="1"/>
      <c r="BA22" s="1"/>
      <c r="BB22" s="1"/>
      <c r="BC22" s="1"/>
      <c r="BD22" s="1"/>
      <c r="BE22" s="1"/>
      <c r="BF22" s="1"/>
      <c r="BG22" s="1"/>
      <c r="BH22" s="1"/>
      <c r="BI22" s="1"/>
      <c r="BJ22" s="1"/>
      <c r="BK22" s="1"/>
      <c r="BL22" s="1"/>
      <c r="BM22" s="1"/>
      <c r="BN22" s="1"/>
    </row>
    <row r="23" spans="1:66" ht="12.6" customHeight="1" x14ac:dyDescent="0.3">
      <c r="A23" s="1"/>
      <c r="B23" s="1"/>
      <c r="C23" s="1"/>
      <c r="D23" s="1"/>
      <c r="E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55"/>
      <c r="AM23" s="1"/>
      <c r="AN23" s="531"/>
      <c r="AO23" s="531"/>
      <c r="AP23" s="1"/>
      <c r="AQ23" s="1"/>
      <c r="AR23" s="525">
        <f>U22</f>
        <v>0.13369145803138416</v>
      </c>
      <c r="AS23" s="1"/>
      <c r="AT23" s="1"/>
      <c r="AU23" s="1"/>
      <c r="AV23" s="1"/>
      <c r="AW23" s="1"/>
      <c r="AX23" s="1"/>
      <c r="AY23" s="1"/>
      <c r="AZ23" s="1"/>
      <c r="BA23" s="1"/>
      <c r="BB23" s="1"/>
      <c r="BC23" s="1"/>
      <c r="BD23" s="1"/>
      <c r="BE23" s="1"/>
      <c r="BF23" s="1"/>
      <c r="BG23" s="1"/>
      <c r="BH23" s="1"/>
      <c r="BI23" s="1"/>
      <c r="BJ23" s="1"/>
      <c r="BK23" s="1"/>
      <c r="BL23" s="1"/>
      <c r="BM23" s="1"/>
      <c r="BN23" s="1"/>
    </row>
    <row r="24" spans="1:66" ht="13.95" customHeight="1" x14ac:dyDescent="0.3">
      <c r="A24" s="1"/>
      <c r="B24" s="1"/>
      <c r="C24" s="1"/>
      <c r="D24" s="1"/>
      <c r="E24" s="1"/>
      <c r="F24" s="1"/>
      <c r="G24" s="11" t="s">
        <v>151</v>
      </c>
      <c r="H24" s="212">
        <f>U22</f>
        <v>0.13369145803138416</v>
      </c>
      <c r="I24" s="1"/>
      <c r="J24" s="1"/>
      <c r="K24" s="11" t="s">
        <v>151</v>
      </c>
      <c r="L24" s="212">
        <f>W22</f>
        <v>0</v>
      </c>
      <c r="M24" s="1"/>
      <c r="O24" s="1"/>
      <c r="P24" s="1"/>
      <c r="Q24" s="1"/>
      <c r="R24" s="1"/>
      <c r="S24" s="1"/>
      <c r="T24" s="1"/>
      <c r="U24" s="1"/>
      <c r="V24" s="1"/>
      <c r="W24" s="1"/>
      <c r="X24" s="1"/>
      <c r="Y24" s="55"/>
      <c r="Z24" s="55"/>
      <c r="AA24" s="55"/>
      <c r="AB24" s="55"/>
      <c r="AC24" s="55"/>
      <c r="AD24" s="55"/>
      <c r="AE24" s="55"/>
      <c r="AF24" s="55"/>
      <c r="AG24" s="55"/>
      <c r="AH24" s="1"/>
      <c r="AI24" s="1"/>
      <c r="AJ24" s="1"/>
      <c r="AK24" s="1"/>
      <c r="AL24" s="1"/>
      <c r="AM24" s="1"/>
      <c r="AN24" s="531">
        <f ca="1">AN22/G22-1</f>
        <v>1.1129209827581255E-2</v>
      </c>
      <c r="AO24" s="531"/>
      <c r="AP24" s="1"/>
      <c r="AQ24" s="1"/>
      <c r="AR24" s="532" t="str">
        <f>IF(AR23-AR22&lt;0.0000000001,"ok","wrong")</f>
        <v>ok</v>
      </c>
      <c r="AS24" s="1"/>
      <c r="AT24" s="1"/>
      <c r="AU24" s="1"/>
      <c r="AV24" s="1"/>
      <c r="AW24" s="1"/>
      <c r="AX24" s="1"/>
      <c r="AY24" s="1"/>
      <c r="AZ24" s="1"/>
      <c r="BA24" s="1"/>
      <c r="BB24" s="1"/>
      <c r="BC24" s="1"/>
      <c r="BD24" s="1"/>
      <c r="BE24" s="1"/>
      <c r="BF24" s="1"/>
      <c r="BG24" s="1"/>
      <c r="BH24" s="1"/>
      <c r="BI24" s="1"/>
      <c r="BJ24" s="1"/>
      <c r="BK24" s="1"/>
      <c r="BL24" s="1"/>
      <c r="BM24" s="1"/>
      <c r="BN24" s="1"/>
    </row>
    <row r="25" spans="1:66" ht="13.95" customHeight="1" x14ac:dyDescent="0.3">
      <c r="A25" s="1"/>
      <c r="B25" s="1"/>
      <c r="C25" s="1"/>
      <c r="D25" s="1"/>
      <c r="E25" s="1"/>
      <c r="F25" s="1"/>
      <c r="G25" s="11" t="s">
        <v>152</v>
      </c>
      <c r="H25" s="213">
        <v>9.9171904619375306E-2</v>
      </c>
      <c r="I25" s="1"/>
      <c r="J25" s="1"/>
      <c r="K25" s="11" t="s">
        <v>152</v>
      </c>
      <c r="L25" s="438"/>
      <c r="M25" s="1"/>
      <c r="N25" s="1"/>
      <c r="O25" s="1"/>
      <c r="P25" s="1"/>
      <c r="Q25" s="1"/>
      <c r="R25" s="1"/>
      <c r="S25" s="1"/>
      <c r="T25" s="1"/>
      <c r="U25" s="1"/>
      <c r="V25" s="1"/>
      <c r="W25" s="1"/>
      <c r="X25" s="1"/>
      <c r="Y25" s="55"/>
      <c r="Z25" s="55"/>
      <c r="AA25" s="55"/>
      <c r="AB25" s="55"/>
      <c r="AC25" s="55"/>
      <c r="AD25" s="55"/>
      <c r="AE25" s="55"/>
      <c r="AF25" s="55"/>
      <c r="AG25" s="55"/>
      <c r="AH25" s="1"/>
      <c r="AI25" s="1"/>
      <c r="AJ25" s="1"/>
      <c r="AK25" s="1"/>
      <c r="AL25" s="1"/>
      <c r="AM25" s="1"/>
      <c r="AN25" s="1"/>
      <c r="AO25" s="531"/>
      <c r="AP25" s="1"/>
      <c r="AQ25" s="1"/>
      <c r="AR25" s="532" t="str">
        <f>IF(AQ22-AR22&lt;0.0000000001,"ok","wrong")</f>
        <v>ok</v>
      </c>
      <c r="AS25" s="1"/>
      <c r="AT25" s="1"/>
      <c r="AU25" s="1"/>
      <c r="AV25" s="1"/>
      <c r="AW25" s="1"/>
      <c r="AX25" s="1"/>
      <c r="AY25" s="1"/>
      <c r="AZ25" s="1"/>
      <c r="BA25" s="1"/>
      <c r="BB25" s="1"/>
      <c r="BC25" s="1"/>
      <c r="BD25" s="1"/>
      <c r="BE25" s="1"/>
      <c r="BF25" s="1"/>
      <c r="BG25" s="1"/>
      <c r="BH25" s="1"/>
      <c r="BI25" s="1"/>
      <c r="BJ25" s="1"/>
      <c r="BK25" s="1"/>
      <c r="BL25" s="1"/>
      <c r="BM25" s="1"/>
      <c r="BN25" s="1"/>
    </row>
    <row r="26" spans="1:66" ht="13.95" customHeight="1" x14ac:dyDescent="0.3">
      <c r="A26" s="1"/>
      <c r="B26" s="1"/>
      <c r="C26" s="1"/>
      <c r="D26" s="1"/>
      <c r="E26" s="1"/>
      <c r="F26" s="1"/>
      <c r="G26" s="11" t="s">
        <v>153</v>
      </c>
      <c r="H26" s="213">
        <v>0.13613812264338154</v>
      </c>
      <c r="I26" s="1"/>
      <c r="J26" s="1"/>
      <c r="K26" s="11" t="s">
        <v>153</v>
      </c>
      <c r="L26" s="438"/>
      <c r="M26" s="1"/>
      <c r="N26" s="1"/>
      <c r="O26" s="1"/>
      <c r="P26" s="1"/>
      <c r="Q26" s="1"/>
      <c r="R26" s="1"/>
      <c r="S26" s="1"/>
      <c r="T26" s="1"/>
      <c r="U26" s="1"/>
      <c r="V26" s="1"/>
      <c r="W26" s="1"/>
      <c r="X26" s="1"/>
      <c r="Y26" s="55"/>
      <c r="Z26" s="55"/>
      <c r="AA26" s="55"/>
      <c r="AB26" s="55"/>
      <c r="AC26" s="55"/>
      <c r="AD26" s="55"/>
      <c r="AE26" s="55"/>
      <c r="AF26" s="55"/>
      <c r="AG26" s="55"/>
      <c r="AH26" s="1"/>
      <c r="AI26" s="1"/>
      <c r="AJ26" s="1"/>
      <c r="AK26" s="1"/>
      <c r="AL26" s="1"/>
      <c r="AM26" s="8" t="s">
        <v>571</v>
      </c>
      <c r="AN26" s="533"/>
      <c r="AO26" s="535">
        <f ca="1">AO22/$AN22-1</f>
        <v>-4.4169938866522873E-4</v>
      </c>
      <c r="AP26" s="536">
        <f ca="1">AP22/$AN22-1</f>
        <v>1.4853510754214261E-2</v>
      </c>
      <c r="AQ26" s="1"/>
      <c r="AR26" s="1"/>
      <c r="AS26" s="1"/>
      <c r="AT26" s="1"/>
      <c r="AU26" s="1"/>
      <c r="AV26" s="1"/>
      <c r="AW26" s="1"/>
      <c r="AX26" s="1"/>
      <c r="AY26" s="1"/>
      <c r="AZ26" s="1"/>
      <c r="BA26" s="1"/>
      <c r="BB26" s="1"/>
      <c r="BC26" s="1"/>
      <c r="BD26" s="1"/>
      <c r="BE26" s="1"/>
      <c r="BF26" s="1"/>
      <c r="BG26" s="1"/>
      <c r="BH26" s="1"/>
      <c r="BI26" s="1"/>
      <c r="BJ26" s="1"/>
      <c r="BK26" s="1"/>
      <c r="BL26" s="1"/>
      <c r="BM26" s="1"/>
      <c r="BN26" s="1"/>
    </row>
    <row r="27" spans="1:66" ht="9" customHeight="1" x14ac:dyDescent="0.3">
      <c r="A27" s="1"/>
      <c r="B27" s="1"/>
      <c r="C27" s="1"/>
      <c r="D27" s="1"/>
      <c r="E27" s="1"/>
      <c r="F27" s="1"/>
      <c r="G27" s="1"/>
      <c r="H27" s="1"/>
      <c r="I27" s="1"/>
      <c r="J27" s="1"/>
      <c r="K27" s="1"/>
      <c r="L27" s="1"/>
      <c r="M27" s="1"/>
      <c r="N27" s="1"/>
      <c r="O27" s="1"/>
      <c r="P27" s="1"/>
      <c r="Q27" s="1"/>
      <c r="R27" s="1"/>
      <c r="S27" s="1"/>
      <c r="T27" s="55"/>
      <c r="U27" s="55"/>
      <c r="V27" s="55"/>
      <c r="W27" s="55"/>
      <c r="X27" s="55"/>
      <c r="Y27" s="55"/>
      <c r="Z27" s="55"/>
      <c r="AA27" s="55"/>
      <c r="AB27" s="55"/>
      <c r="AC27" s="55"/>
      <c r="AD27" s="55"/>
      <c r="AE27" s="55"/>
      <c r="AF27" s="55"/>
      <c r="AG27" s="55"/>
      <c r="AH27" s="1"/>
      <c r="AI27" s="1"/>
      <c r="AJ27" s="1"/>
      <c r="AK27" s="1"/>
      <c r="AL27" s="1"/>
      <c r="AM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row>
    <row r="28" spans="1:66" ht="12" customHeight="1" thickBot="1" x14ac:dyDescent="0.35">
      <c r="A28" s="214"/>
      <c r="B28" s="214"/>
      <c r="C28" s="214"/>
      <c r="D28" s="214"/>
      <c r="E28" s="214"/>
      <c r="F28" s="214"/>
      <c r="G28" s="214"/>
      <c r="H28" s="214"/>
      <c r="I28" s="214"/>
      <c r="J28" s="214"/>
      <c r="K28" s="214"/>
      <c r="L28" s="214"/>
      <c r="M28" s="214"/>
      <c r="N28" s="214"/>
      <c r="O28" s="214"/>
      <c r="P28" s="214"/>
      <c r="Q28" s="214"/>
      <c r="R28" s="214"/>
      <c r="S28" s="214"/>
      <c r="T28" s="215"/>
      <c r="U28" s="215"/>
      <c r="V28" s="215"/>
      <c r="W28" s="215"/>
      <c r="X28" s="215"/>
      <c r="Y28" s="215"/>
      <c r="Z28" s="215"/>
      <c r="AA28" s="214"/>
      <c r="AB28" s="214"/>
      <c r="AC28" s="214"/>
      <c r="AD28" s="214"/>
      <c r="AE28" s="214"/>
      <c r="AF28" s="214"/>
      <c r="AG28" s="214"/>
      <c r="AH28" s="214"/>
      <c r="AI28" s="214"/>
      <c r="AJ28" s="1"/>
      <c r="AK28" s="1"/>
      <c r="AL28" s="1"/>
      <c r="AM28" s="8" t="s">
        <v>572</v>
      </c>
      <c r="AN28" s="8"/>
      <c r="AO28" s="535">
        <f ca="1">(AO22-$AN22)/($W$37*1000000)</f>
        <v>-3.0559853768351514E-3</v>
      </c>
      <c r="AP28" s="536">
        <f ca="1">(AP22-$AN22)/($W$37*1000000)</f>
        <v>0.1027669786836483</v>
      </c>
      <c r="AQ28" s="1"/>
      <c r="AR28" s="1"/>
      <c r="AS28" s="1"/>
      <c r="AT28" s="1"/>
      <c r="AU28" s="1"/>
      <c r="AV28" s="1"/>
      <c r="AW28" s="1"/>
      <c r="AX28" s="1"/>
      <c r="AY28" s="1"/>
      <c r="AZ28" s="1"/>
      <c r="BA28" s="1"/>
      <c r="BB28" s="1"/>
      <c r="BC28" s="1"/>
      <c r="BD28" s="1"/>
      <c r="BE28" s="1"/>
      <c r="BF28" s="1"/>
      <c r="BG28" s="1"/>
      <c r="BH28" s="1"/>
      <c r="BI28" s="1"/>
      <c r="BJ28" s="1"/>
      <c r="BK28" s="1"/>
      <c r="BL28" s="1"/>
      <c r="BM28" s="1"/>
      <c r="BN28" s="1"/>
    </row>
    <row r="29" spans="1:66" ht="12" customHeight="1" thickBot="1" x14ac:dyDescent="0.35">
      <c r="A29" s="214"/>
      <c r="B29" s="216" t="s">
        <v>154</v>
      </c>
      <c r="C29" s="217"/>
      <c r="D29" s="217"/>
      <c r="E29" s="217"/>
      <c r="F29" s="217"/>
      <c r="G29" s="217"/>
      <c r="H29" s="217"/>
      <c r="I29" s="217"/>
      <c r="J29" s="217"/>
      <c r="K29" s="217"/>
      <c r="L29" s="217"/>
      <c r="M29" s="217"/>
      <c r="N29" s="217"/>
      <c r="O29" s="217"/>
      <c r="P29" s="217"/>
      <c r="Q29" s="217"/>
      <c r="R29" s="217"/>
      <c r="S29" s="217"/>
      <c r="T29" s="218"/>
      <c r="U29" s="218"/>
      <c r="V29" s="219"/>
      <c r="W29" s="215"/>
      <c r="X29" s="215"/>
      <c r="Y29" s="215"/>
      <c r="Z29" s="215"/>
      <c r="AA29" s="214"/>
      <c r="AB29" s="214"/>
      <c r="AC29" s="214"/>
      <c r="AD29" s="214"/>
      <c r="AE29" s="214"/>
      <c r="AF29" s="214"/>
      <c r="AG29" s="214"/>
      <c r="AH29" s="214"/>
      <c r="AI29" s="214"/>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row>
    <row r="30" spans="1:66" ht="21.6" customHeight="1" thickBot="1" x14ac:dyDescent="0.35">
      <c r="A30" s="214"/>
      <c r="B30" s="220"/>
      <c r="C30" s="214"/>
      <c r="D30" s="214"/>
      <c r="E30" s="214"/>
      <c r="F30" s="214"/>
      <c r="G30" s="214"/>
      <c r="H30" s="214"/>
      <c r="I30" s="214"/>
      <c r="J30" s="214"/>
      <c r="K30" s="214"/>
      <c r="L30" s="214"/>
      <c r="M30" s="214"/>
      <c r="N30" s="214"/>
      <c r="O30" s="214"/>
      <c r="P30" s="214"/>
      <c r="Q30" s="214"/>
      <c r="R30" s="214"/>
      <c r="S30" s="214"/>
      <c r="T30" s="214"/>
      <c r="U30" s="214"/>
      <c r="V30" s="214"/>
      <c r="W30" s="214"/>
      <c r="X30" s="214"/>
      <c r="Y30" s="214"/>
      <c r="Z30" s="214"/>
      <c r="AA30" s="214"/>
      <c r="AB30" s="214"/>
      <c r="AC30" s="216" t="s">
        <v>158</v>
      </c>
      <c r="AD30" s="221"/>
      <c r="AE30" s="214"/>
      <c r="AF30" s="214"/>
      <c r="AG30" s="214"/>
      <c r="AH30" s="214"/>
      <c r="AI30" s="214"/>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row>
    <row r="31" spans="1:66" ht="21" customHeight="1" thickBot="1" x14ac:dyDescent="0.35">
      <c r="A31" s="214"/>
      <c r="B31" s="216" t="s">
        <v>159</v>
      </c>
      <c r="C31" s="221"/>
      <c r="D31" s="223"/>
      <c r="E31" s="222" t="s">
        <v>160</v>
      </c>
      <c r="F31" s="222" t="s">
        <v>160</v>
      </c>
      <c r="G31" s="223"/>
      <c r="H31" s="224" t="s">
        <v>161</v>
      </c>
      <c r="I31" s="222"/>
      <c r="J31" s="222"/>
      <c r="K31" s="222"/>
      <c r="L31" s="222"/>
      <c r="M31" s="223"/>
      <c r="N31" s="216" t="s">
        <v>162</v>
      </c>
      <c r="O31" s="221"/>
      <c r="P31" s="222" t="s">
        <v>163</v>
      </c>
      <c r="Q31" s="222"/>
      <c r="R31" s="222"/>
      <c r="S31" s="223"/>
      <c r="T31" s="224" t="s">
        <v>164</v>
      </c>
      <c r="U31" s="222"/>
      <c r="V31" s="222"/>
      <c r="W31" s="223"/>
      <c r="X31" s="225" t="s">
        <v>165</v>
      </c>
      <c r="Y31" s="222"/>
      <c r="Z31" s="222"/>
      <c r="AA31" s="223"/>
      <c r="AB31" s="214"/>
      <c r="AC31" s="347" t="s">
        <v>163</v>
      </c>
      <c r="AD31" s="348"/>
      <c r="AE31" s="223"/>
      <c r="AF31" s="224" t="s">
        <v>164</v>
      </c>
      <c r="AG31" s="222"/>
      <c r="AH31" s="223"/>
      <c r="AI31" s="214"/>
      <c r="AJ31" s="1"/>
      <c r="AK31" s="1"/>
      <c r="AL31" s="1"/>
      <c r="AM31" s="1"/>
      <c r="AN31" s="1"/>
      <c r="AO31" s="8" t="s">
        <v>567</v>
      </c>
      <c r="AP31" s="10">
        <v>0.05</v>
      </c>
      <c r="AQ31" s="1"/>
      <c r="AR31" s="1"/>
      <c r="AS31" s="1"/>
      <c r="AT31" s="1"/>
      <c r="AU31" s="1"/>
      <c r="AV31" s="1"/>
      <c r="AW31" s="1"/>
      <c r="AX31" s="1"/>
      <c r="AY31" s="1"/>
      <c r="AZ31" s="1"/>
      <c r="BA31" s="1"/>
      <c r="BB31" s="1"/>
      <c r="BC31" s="1"/>
      <c r="BD31" s="1"/>
      <c r="BE31" s="1"/>
      <c r="BF31" s="1"/>
      <c r="BG31" s="1"/>
      <c r="BH31" s="1"/>
      <c r="BI31" s="1"/>
      <c r="BJ31" s="1"/>
      <c r="BK31" s="1"/>
      <c r="BL31" s="1"/>
      <c r="BM31" s="1"/>
      <c r="BN31" s="1"/>
    </row>
    <row r="32" spans="1:66" ht="51" customHeight="1" x14ac:dyDescent="0.3">
      <c r="A32" s="214"/>
      <c r="B32" s="226"/>
      <c r="C32" s="227" t="s">
        <v>166</v>
      </c>
      <c r="D32" s="228" t="s">
        <v>167</v>
      </c>
      <c r="E32" s="228" t="s">
        <v>168</v>
      </c>
      <c r="F32" s="410" t="s">
        <v>169</v>
      </c>
      <c r="G32" s="228" t="s">
        <v>170</v>
      </c>
      <c r="H32" s="228" t="s">
        <v>171</v>
      </c>
      <c r="I32" s="229" t="s">
        <v>172</v>
      </c>
      <c r="J32" s="229" t="s">
        <v>173</v>
      </c>
      <c r="K32" s="230" t="s">
        <v>174</v>
      </c>
      <c r="L32" s="229" t="s">
        <v>175</v>
      </c>
      <c r="M32" s="411" t="s">
        <v>176</v>
      </c>
      <c r="N32" s="227"/>
      <c r="O32" s="227" t="s">
        <v>177</v>
      </c>
      <c r="P32" s="231" t="s">
        <v>178</v>
      </c>
      <c r="Q32" s="231" t="s">
        <v>179</v>
      </c>
      <c r="R32" s="231" t="s">
        <v>180</v>
      </c>
      <c r="S32" s="231" t="s">
        <v>181</v>
      </c>
      <c r="T32" s="231" t="s">
        <v>182</v>
      </c>
      <c r="U32" s="231" t="s">
        <v>183</v>
      </c>
      <c r="V32" s="231" t="s">
        <v>184</v>
      </c>
      <c r="W32" s="231" t="s">
        <v>185</v>
      </c>
      <c r="X32" s="231" t="s">
        <v>186</v>
      </c>
      <c r="Y32" s="231" t="s">
        <v>187</v>
      </c>
      <c r="Z32" s="231" t="s">
        <v>188</v>
      </c>
      <c r="AA32" s="231" t="s">
        <v>189</v>
      </c>
      <c r="AB32" s="214"/>
      <c r="AC32" s="231" t="s">
        <v>178</v>
      </c>
      <c r="AD32" s="231" t="s">
        <v>179</v>
      </c>
      <c r="AE32" s="231" t="s">
        <v>180</v>
      </c>
      <c r="AF32" s="231" t="s">
        <v>182</v>
      </c>
      <c r="AG32" s="231" t="s">
        <v>183</v>
      </c>
      <c r="AH32" s="231" t="s">
        <v>184</v>
      </c>
      <c r="AI32" s="214"/>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row>
    <row r="33" spans="1:66" ht="15.6" customHeight="1" x14ac:dyDescent="0.3">
      <c r="A33" s="214"/>
      <c r="B33" s="232">
        <v>2019</v>
      </c>
      <c r="C33" s="233">
        <f>C22</f>
        <v>820976065.88159847</v>
      </c>
      <c r="D33" s="146">
        <f>'[18]Sheet 1'!$P$26</f>
        <v>23400.9</v>
      </c>
      <c r="E33" s="349">
        <f>(F33/1000000/D33)*100</f>
        <v>3.1421868389677319</v>
      </c>
      <c r="F33" s="350">
        <f>'[19]Sheet 1'!$M$92*1000000</f>
        <v>735300000</v>
      </c>
      <c r="G33" s="234">
        <f>F33/C33</f>
        <v>0.89564121362101357</v>
      </c>
      <c r="H33" s="235">
        <f>C33*G33</f>
        <v>735300000</v>
      </c>
      <c r="I33" s="235" t="s">
        <v>113</v>
      </c>
      <c r="J33" s="235" t="s">
        <v>113</v>
      </c>
      <c r="K33" s="235" t="s">
        <v>113</v>
      </c>
      <c r="L33" s="235" t="s">
        <v>113</v>
      </c>
      <c r="M33" s="214"/>
      <c r="N33" s="232">
        <v>2019</v>
      </c>
      <c r="O33" s="236">
        <f>G33</f>
        <v>0.89564121362101357</v>
      </c>
      <c r="P33" s="237"/>
      <c r="Q33" s="237"/>
      <c r="R33" s="237"/>
      <c r="S33" s="237"/>
      <c r="T33" s="237"/>
      <c r="U33" s="237"/>
      <c r="V33" s="238"/>
      <c r="W33" s="238"/>
      <c r="X33" s="238"/>
      <c r="Y33" s="238"/>
      <c r="Z33" s="238"/>
      <c r="AA33" s="238"/>
      <c r="AB33" s="214"/>
      <c r="AC33" s="237"/>
      <c r="AD33" s="237"/>
      <c r="AE33" s="237"/>
      <c r="AF33" s="237"/>
      <c r="AG33" s="237"/>
      <c r="AH33" s="238"/>
      <c r="AI33" s="214"/>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row>
    <row r="34" spans="1:66" s="51" customFormat="1" ht="15.6" customHeight="1" x14ac:dyDescent="0.3">
      <c r="A34" s="239"/>
      <c r="B34" s="240">
        <v>2020</v>
      </c>
      <c r="C34" s="241">
        <f>D22</f>
        <v>797639468.32680047</v>
      </c>
      <c r="D34" s="146">
        <f>'[18]Sheet 1'!$R$26</f>
        <v>22373.599999999999</v>
      </c>
      <c r="E34" s="349">
        <f>(F34/1000000/D34)*100</f>
        <v>3.2636678943040018</v>
      </c>
      <c r="F34" s="350">
        <f>'[19]Sheet 1'!$O$92*1000000</f>
        <v>730200000</v>
      </c>
      <c r="G34" s="234">
        <f>F34/C34</f>
        <v>0.91545118940983761</v>
      </c>
      <c r="H34" s="242">
        <f>C34*G34</f>
        <v>730200000</v>
      </c>
      <c r="I34" s="243"/>
      <c r="J34" s="243"/>
      <c r="K34" s="243"/>
      <c r="L34" s="243"/>
      <c r="M34" s="214"/>
      <c r="N34" s="240">
        <v>2020</v>
      </c>
      <c r="O34" s="244"/>
      <c r="P34" s="245"/>
      <c r="Q34" s="245"/>
      <c r="R34" s="245"/>
      <c r="S34" s="245"/>
      <c r="T34" s="245"/>
      <c r="U34" s="245"/>
      <c r="V34" s="245"/>
      <c r="W34" s="245"/>
      <c r="X34" s="245"/>
      <c r="Y34" s="245"/>
      <c r="Z34" s="245"/>
      <c r="AA34" s="245"/>
      <c r="AB34" s="239"/>
      <c r="AC34" s="245"/>
      <c r="AD34" s="245"/>
      <c r="AE34" s="245"/>
      <c r="AF34" s="245"/>
      <c r="AG34" s="245"/>
      <c r="AH34" s="245"/>
      <c r="AI34" s="239"/>
      <c r="AJ34" s="47"/>
      <c r="AK34" s="47"/>
      <c r="AL34" s="47"/>
      <c r="AM34" s="47"/>
      <c r="AN34" s="47"/>
      <c r="AO34" s="47"/>
      <c r="AP34" s="47"/>
      <c r="AQ34" s="47"/>
      <c r="AR34" s="47"/>
      <c r="AS34" s="47"/>
      <c r="AT34" s="47"/>
      <c r="AU34" s="47"/>
      <c r="AV34" s="47"/>
      <c r="AW34" s="47"/>
      <c r="AX34" s="47"/>
      <c r="AY34" s="47"/>
      <c r="AZ34" s="47"/>
      <c r="BA34" s="47"/>
      <c r="BB34" s="47"/>
      <c r="BC34" s="47"/>
      <c r="BD34" s="47"/>
      <c r="BE34" s="47"/>
      <c r="BF34" s="47"/>
      <c r="BG34" s="47"/>
      <c r="BH34" s="47"/>
      <c r="BI34" s="47"/>
      <c r="BJ34" s="47"/>
      <c r="BK34" s="47"/>
      <c r="BL34" s="47"/>
      <c r="BM34" s="47"/>
      <c r="BN34" s="47"/>
    </row>
    <row r="35" spans="1:66" ht="15.6" customHeight="1" x14ac:dyDescent="0.3">
      <c r="A35" s="214"/>
      <c r="B35" s="232">
        <v>2021</v>
      </c>
      <c r="C35" s="241">
        <f>E22</f>
        <v>867908852.02680087</v>
      </c>
      <c r="D35" s="146">
        <f>'[18]Sheet 1'!$T$26</f>
        <v>25680.1</v>
      </c>
      <c r="E35" s="349">
        <f>(F35/1000000/D35)*100</f>
        <v>3.2227288834545038</v>
      </c>
      <c r="F35" s="350">
        <f>'[19]Sheet 1'!$Q$92*1000000</f>
        <v>827600000</v>
      </c>
      <c r="G35" s="234">
        <f>F35/C35</f>
        <v>0.95355635337435629</v>
      </c>
      <c r="H35" s="242">
        <f>C35*G35</f>
        <v>827600000</v>
      </c>
      <c r="I35" s="243"/>
      <c r="J35" s="243"/>
      <c r="K35" s="243"/>
      <c r="L35" s="243"/>
      <c r="M35" s="214"/>
      <c r="N35" s="232">
        <v>2021</v>
      </c>
      <c r="O35" s="244"/>
      <c r="P35" s="246"/>
      <c r="Q35" s="246"/>
      <c r="R35" s="246"/>
      <c r="S35" s="246"/>
      <c r="T35" s="246"/>
      <c r="U35" s="246"/>
      <c r="V35" s="247"/>
      <c r="W35" s="247"/>
      <c r="X35" s="247"/>
      <c r="Y35" s="247"/>
      <c r="Z35" s="247"/>
      <c r="AA35" s="247"/>
      <c r="AB35" s="214"/>
      <c r="AC35" s="246"/>
      <c r="AD35" s="246"/>
      <c r="AE35" s="246"/>
      <c r="AF35" s="246"/>
      <c r="AG35" s="246"/>
      <c r="AH35" s="247"/>
      <c r="AI35" s="214"/>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row>
    <row r="36" spans="1:66" ht="15.6" customHeight="1" x14ac:dyDescent="0.3">
      <c r="A36" s="214"/>
      <c r="B36" s="240">
        <v>2022</v>
      </c>
      <c r="C36" s="248">
        <f>F22</f>
        <v>936150145.47480047</v>
      </c>
      <c r="D36" s="146">
        <f>'[18]Sheet 1'!$V$26</f>
        <v>29415.7</v>
      </c>
      <c r="E36" s="349">
        <f>(F36/1000000/D36)*100</f>
        <v>3.3040179224019828</v>
      </c>
      <c r="F36" s="350">
        <f>'[19]Sheet 1'!$S$92*1000000</f>
        <v>971900000</v>
      </c>
      <c r="G36" s="234">
        <f>F36/C36</f>
        <v>1.0381881631894292</v>
      </c>
      <c r="H36" s="242">
        <f>C36*G36</f>
        <v>971900000</v>
      </c>
      <c r="I36" s="249"/>
      <c r="J36" s="249"/>
      <c r="K36" s="249"/>
      <c r="L36" s="249"/>
      <c r="M36" s="214"/>
      <c r="N36" s="240">
        <v>2022</v>
      </c>
      <c r="O36" s="250"/>
      <c r="P36" s="225"/>
      <c r="Q36" s="225"/>
      <c r="R36" s="225"/>
      <c r="S36" s="225"/>
      <c r="T36" s="225"/>
      <c r="U36" s="225"/>
      <c r="V36" s="225"/>
      <c r="W36" s="225"/>
      <c r="X36" s="225"/>
      <c r="Y36" s="225"/>
      <c r="Z36" s="225"/>
      <c r="AA36" s="225"/>
      <c r="AB36" s="214"/>
      <c r="AC36" s="225"/>
      <c r="AD36" s="225"/>
      <c r="AE36" s="225"/>
      <c r="AF36" s="225"/>
      <c r="AG36" s="225"/>
      <c r="AH36" s="225"/>
      <c r="AI36" s="214"/>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row>
    <row r="37" spans="1:66" ht="15.6" customHeight="1" x14ac:dyDescent="0.3">
      <c r="A37" s="214"/>
      <c r="B37" s="232">
        <v>2023</v>
      </c>
      <c r="C37" s="251">
        <f>G22</f>
        <v>1061864793.5615985</v>
      </c>
      <c r="D37" s="146">
        <f>'[18]Sheet 1'!$X$26</f>
        <v>31340</v>
      </c>
      <c r="E37" s="367">
        <f>(F37/1000000/D37)*100</f>
        <v>3.7472878111040204</v>
      </c>
      <c r="F37" s="146">
        <f>'[19]Sheet 1'!$U$92*1000000</f>
        <v>1174400000</v>
      </c>
      <c r="G37" s="234">
        <f>F37/C37</f>
        <v>1.1059788469499467</v>
      </c>
      <c r="H37" s="242">
        <f>C37*G37</f>
        <v>1174400000</v>
      </c>
      <c r="I37" s="235">
        <f>H22*$G37</f>
        <v>1207824487.4159539</v>
      </c>
      <c r="J37" s="235">
        <f>I22*$G37</f>
        <v>1034223137.4264883</v>
      </c>
      <c r="K37" s="235">
        <f>J22*$G37</f>
        <v>1085829772.1920154</v>
      </c>
      <c r="L37" s="235">
        <f>K22*$G37</f>
        <v>1037863768.4923475</v>
      </c>
      <c r="M37" s="412">
        <f>AK22*$G37</f>
        <v>1174400000</v>
      </c>
      <c r="N37" s="232">
        <v>2023</v>
      </c>
      <c r="O37" s="252">
        <f>G37</f>
        <v>1.1059788469499467</v>
      </c>
      <c r="P37" s="253">
        <f>($H37-J37)/1000000</f>
        <v>140.17686257351173</v>
      </c>
      <c r="Q37" s="253">
        <f>($H37-K37)/1000000</f>
        <v>88.570227807984594</v>
      </c>
      <c r="R37" s="253">
        <f>($H37-L37)/1000000</f>
        <v>136.53623150765253</v>
      </c>
      <c r="S37" s="253">
        <f>AVERAGE(P37:R37)</f>
        <v>121.76110729638295</v>
      </c>
      <c r="T37" s="253">
        <f t="shared" ref="T37:V40" si="10">($I37-J37)/1000000</f>
        <v>173.6013499894656</v>
      </c>
      <c r="U37" s="253">
        <f t="shared" si="10"/>
        <v>121.99471522393847</v>
      </c>
      <c r="V37" s="253">
        <f t="shared" si="10"/>
        <v>169.96071892360641</v>
      </c>
      <c r="W37" s="253">
        <f>AVERAGE(T37:V37)</f>
        <v>155.18559471233684</v>
      </c>
      <c r="X37" s="254">
        <f>(T37-P37)/T37</f>
        <v>0.19253587266448174</v>
      </c>
      <c r="Y37" s="254">
        <f>(U37-Q37)/U37</f>
        <v>0.27398307668162941</v>
      </c>
      <c r="Z37" s="254">
        <f>(V37-R37)/V37</f>
        <v>0.19666007314888712</v>
      </c>
      <c r="AA37" s="254">
        <f>AVERAGE(X37:Z37)</f>
        <v>0.22105967416499941</v>
      </c>
      <c r="AB37" s="214"/>
      <c r="AC37" s="351">
        <f>P37/$D37</f>
        <v>4.4727780017074581E-3</v>
      </c>
      <c r="AD37" s="351">
        <f>Q37/$D37</f>
        <v>2.8261080985317356E-3</v>
      </c>
      <c r="AE37" s="351">
        <f>R37/$D37</f>
        <v>4.3566123646347332E-3</v>
      </c>
      <c r="AF37" s="351">
        <f>T37/$D37</f>
        <v>5.539290044335214E-3</v>
      </c>
      <c r="AG37" s="351">
        <f>U37/$D37</f>
        <v>3.8926201411594919E-3</v>
      </c>
      <c r="AH37" s="351">
        <f>V37/$D37</f>
        <v>5.423124407262489E-3</v>
      </c>
      <c r="AI37" s="214"/>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row>
    <row r="38" spans="1:66" ht="15.6" customHeight="1" x14ac:dyDescent="0.3">
      <c r="A38" s="214"/>
      <c r="B38" s="240">
        <v>2024</v>
      </c>
      <c r="C38" s="255"/>
      <c r="D38" s="352"/>
      <c r="E38" s="256" t="s">
        <v>113</v>
      </c>
      <c r="F38" s="256" t="s">
        <v>113</v>
      </c>
      <c r="G38" s="257"/>
      <c r="H38" s="256" t="s">
        <v>113</v>
      </c>
      <c r="I38" s="249">
        <f>$H37*(I40/$H37)^(1/3)</f>
        <v>0</v>
      </c>
      <c r="J38" s="249">
        <f>$H37*(J40/$H37)^(1/3)</f>
        <v>0</v>
      </c>
      <c r="K38" s="249">
        <f>$H37*(K40/$H37)^(1/3)</f>
        <v>0</v>
      </c>
      <c r="L38" s="249">
        <f>$H37*(L40/$H37)^(1/3)</f>
        <v>0</v>
      </c>
      <c r="M38" s="214"/>
      <c r="N38" s="240">
        <v>2024</v>
      </c>
      <c r="O38" s="250"/>
      <c r="P38" s="225"/>
      <c r="Q38" s="225"/>
      <c r="R38" s="225"/>
      <c r="S38" s="225"/>
      <c r="T38" s="258">
        <f t="shared" si="10"/>
        <v>0</v>
      </c>
      <c r="U38" s="258">
        <f t="shared" si="10"/>
        <v>0</v>
      </c>
      <c r="V38" s="258">
        <f t="shared" si="10"/>
        <v>0</v>
      </c>
      <c r="W38" s="258">
        <f>AVERAGE(T38:V38)</f>
        <v>0</v>
      </c>
      <c r="X38" s="225"/>
      <c r="Y38" s="225"/>
      <c r="Z38" s="225"/>
      <c r="AA38" s="225"/>
      <c r="AB38" s="214"/>
      <c r="AC38" s="353"/>
      <c r="AD38" s="353"/>
      <c r="AE38" s="353"/>
      <c r="AF38" s="354"/>
      <c r="AG38" s="354"/>
      <c r="AH38" s="354"/>
      <c r="AI38" s="214"/>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row>
    <row r="39" spans="1:66" ht="15.6" customHeight="1" x14ac:dyDescent="0.3">
      <c r="A39" s="214"/>
      <c r="B39" s="232">
        <v>2025</v>
      </c>
      <c r="C39" s="255"/>
      <c r="D39" s="352"/>
      <c r="E39" s="256" t="s">
        <v>113</v>
      </c>
      <c r="F39" s="256" t="s">
        <v>113</v>
      </c>
      <c r="G39" s="257"/>
      <c r="H39" s="256" t="s">
        <v>113</v>
      </c>
      <c r="I39" s="249">
        <f>I38*(I40/$H37)^(1/3)</f>
        <v>0</v>
      </c>
      <c r="J39" s="249">
        <f>J38*(J40/$H37)^(1/3)</f>
        <v>0</v>
      </c>
      <c r="K39" s="249">
        <f>K38*(K40/$H37)^(1/3)</f>
        <v>0</v>
      </c>
      <c r="L39" s="249">
        <f>L38*(L40/$H37)^(1/3)</f>
        <v>0</v>
      </c>
      <c r="M39" s="214"/>
      <c r="N39" s="232">
        <v>2025</v>
      </c>
      <c r="O39" s="250"/>
      <c r="P39" s="225"/>
      <c r="Q39" s="225"/>
      <c r="R39" s="225"/>
      <c r="S39" s="225"/>
      <c r="T39" s="258">
        <f t="shared" si="10"/>
        <v>0</v>
      </c>
      <c r="U39" s="258">
        <f t="shared" si="10"/>
        <v>0</v>
      </c>
      <c r="V39" s="258">
        <f t="shared" si="10"/>
        <v>0</v>
      </c>
      <c r="W39" s="258">
        <f>AVERAGE(T39:V39)</f>
        <v>0</v>
      </c>
      <c r="X39" s="225"/>
      <c r="Y39" s="225"/>
      <c r="Z39" s="225"/>
      <c r="AA39" s="225"/>
      <c r="AB39" s="214"/>
      <c r="AC39" s="353"/>
      <c r="AD39" s="353"/>
      <c r="AE39" s="353"/>
      <c r="AF39" s="354"/>
      <c r="AG39" s="354"/>
      <c r="AH39" s="354"/>
      <c r="AI39" s="214"/>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row>
    <row r="40" spans="1:66" ht="15.6" customHeight="1" x14ac:dyDescent="0.3">
      <c r="A40" s="214"/>
      <c r="B40" s="240">
        <v>2026</v>
      </c>
      <c r="C40" s="251"/>
      <c r="D40" s="352"/>
      <c r="E40" s="256" t="s">
        <v>113</v>
      </c>
      <c r="F40" s="256" t="s">
        <v>113</v>
      </c>
      <c r="G40" s="259"/>
      <c r="H40" s="256" t="s">
        <v>113</v>
      </c>
      <c r="I40" s="235">
        <f>L22*$G40</f>
        <v>0</v>
      </c>
      <c r="J40" s="235">
        <f>M22*$G40</f>
        <v>0</v>
      </c>
      <c r="K40" s="235">
        <f>N22*$G40</f>
        <v>0</v>
      </c>
      <c r="L40" s="235">
        <f>O22*$G40</f>
        <v>0</v>
      </c>
      <c r="M40" s="214"/>
      <c r="N40" s="240">
        <v>2026</v>
      </c>
      <c r="O40" s="252">
        <f>G40</f>
        <v>0</v>
      </c>
      <c r="P40" s="225"/>
      <c r="Q40" s="225"/>
      <c r="R40" s="225"/>
      <c r="S40" s="225"/>
      <c r="T40" s="253">
        <f t="shared" si="10"/>
        <v>0</v>
      </c>
      <c r="U40" s="253">
        <f t="shared" si="10"/>
        <v>0</v>
      </c>
      <c r="V40" s="253">
        <f t="shared" si="10"/>
        <v>0</v>
      </c>
      <c r="W40" s="253">
        <f>AVERAGE(T40:V40)</f>
        <v>0</v>
      </c>
      <c r="X40" s="225"/>
      <c r="Y40" s="225"/>
      <c r="Z40" s="225"/>
      <c r="AA40" s="225"/>
      <c r="AB40" s="214"/>
      <c r="AC40" s="353"/>
      <c r="AD40" s="353"/>
      <c r="AE40" s="353"/>
      <c r="AF40" s="351"/>
      <c r="AG40" s="351"/>
      <c r="AH40" s="351"/>
      <c r="AI40" s="214"/>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row>
    <row r="41" spans="1:66" ht="12.6" customHeight="1" x14ac:dyDescent="0.3">
      <c r="A41" s="214"/>
      <c r="B41" s="214"/>
      <c r="C41" s="214"/>
      <c r="D41" s="214"/>
      <c r="E41" s="214"/>
      <c r="F41" s="214"/>
      <c r="G41" s="214"/>
      <c r="H41" s="214"/>
      <c r="I41" s="260"/>
      <c r="J41" s="214"/>
      <c r="K41" s="214"/>
      <c r="L41" s="214"/>
      <c r="M41" s="214"/>
      <c r="N41" s="214"/>
      <c r="O41" s="214"/>
      <c r="P41" s="214"/>
      <c r="Q41" s="214"/>
      <c r="R41" s="214"/>
      <c r="S41" s="214"/>
      <c r="T41" s="260"/>
      <c r="U41" s="214"/>
      <c r="V41" s="214"/>
      <c r="W41" s="214"/>
      <c r="X41" s="413" t="s">
        <v>190</v>
      </c>
      <c r="Y41" s="414"/>
      <c r="Z41" s="414"/>
      <c r="AA41" s="415"/>
      <c r="AB41" s="214"/>
      <c r="AC41" s="214"/>
      <c r="AD41" s="214"/>
      <c r="AE41" s="214"/>
      <c r="AF41" s="260"/>
      <c r="AG41" s="214"/>
      <c r="AH41" s="214"/>
      <c r="AI41" s="214"/>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row>
    <row r="42" spans="1:66" ht="12.6" customHeight="1" x14ac:dyDescent="0.3">
      <c r="A42" s="214"/>
      <c r="B42" s="214"/>
      <c r="C42" s="214"/>
      <c r="D42" s="214"/>
      <c r="E42" s="214"/>
      <c r="F42" s="214"/>
      <c r="G42" s="214"/>
      <c r="H42" s="214"/>
      <c r="I42" s="214"/>
      <c r="J42" s="214"/>
      <c r="K42" s="214"/>
      <c r="L42" s="214"/>
      <c r="M42" s="214"/>
      <c r="N42" s="214"/>
      <c r="O42" s="214"/>
      <c r="P42" s="214"/>
      <c r="Q42" s="214"/>
      <c r="R42" s="214"/>
      <c r="S42" s="214"/>
      <c r="T42" s="214"/>
      <c r="U42" s="214"/>
      <c r="V42" s="214"/>
      <c r="W42" s="416">
        <v>2023</v>
      </c>
      <c r="X42" s="417">
        <f>(($M37-$H37)/1000000)/T37</f>
        <v>0</v>
      </c>
      <c r="Y42" s="417">
        <f>(($M37-$H37)/1000000)/U37</f>
        <v>0</v>
      </c>
      <c r="Z42" s="417">
        <f>(($M37-$H37)/1000000)/V37</f>
        <v>0</v>
      </c>
      <c r="AA42" s="417">
        <f>AVERAGE(X42:Z42)</f>
        <v>0</v>
      </c>
      <c r="AB42" s="214"/>
      <c r="AC42" s="214"/>
      <c r="AD42" s="214"/>
      <c r="AE42" s="214"/>
      <c r="AF42" s="214"/>
      <c r="AG42" s="214"/>
      <c r="AH42" s="214"/>
      <c r="AI42" s="214"/>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row>
    <row r="43" spans="1:66" ht="12.6" customHeight="1" thickBot="1" x14ac:dyDescent="0.35">
      <c r="A43" s="214"/>
      <c r="B43" s="214"/>
      <c r="C43" s="214"/>
      <c r="D43" s="214"/>
      <c r="E43" s="214"/>
      <c r="F43" s="214"/>
      <c r="G43" s="214"/>
      <c r="H43" s="214"/>
      <c r="I43" s="214"/>
      <c r="J43" s="214"/>
      <c r="K43" s="214"/>
      <c r="L43" s="214"/>
      <c r="M43" s="214"/>
      <c r="N43" s="214"/>
      <c r="O43" s="214"/>
      <c r="P43" s="214"/>
      <c r="Q43" s="214"/>
      <c r="R43" s="214"/>
      <c r="S43" s="214"/>
      <c r="T43" s="214"/>
      <c r="U43" s="214"/>
      <c r="V43" s="214"/>
      <c r="W43" s="214"/>
      <c r="X43" s="214"/>
      <c r="Y43" s="214"/>
      <c r="Z43" s="214"/>
      <c r="AA43" s="214"/>
      <c r="AB43" s="214"/>
      <c r="AC43" s="214"/>
      <c r="AD43" s="214"/>
      <c r="AE43" s="214"/>
      <c r="AF43" s="214"/>
      <c r="AG43" s="214"/>
      <c r="AH43" s="214"/>
      <c r="AI43" s="214"/>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row>
    <row r="44" spans="1:66" ht="18" customHeight="1" thickBot="1" x14ac:dyDescent="0.35">
      <c r="A44" s="214"/>
      <c r="B44" s="216" t="s">
        <v>191</v>
      </c>
      <c r="C44" s="221"/>
      <c r="D44" s="222" t="s">
        <v>160</v>
      </c>
      <c r="E44" s="223"/>
      <c r="F44" s="224" t="s">
        <v>161</v>
      </c>
      <c r="G44" s="222"/>
      <c r="H44" s="222"/>
      <c r="I44" s="222"/>
      <c r="J44" s="223"/>
      <c r="K44" s="214"/>
      <c r="L44" s="214"/>
      <c r="M44" s="214"/>
      <c r="N44" s="214"/>
      <c r="O44" s="214"/>
      <c r="P44" s="214"/>
      <c r="Q44" s="214"/>
      <c r="R44" s="214"/>
      <c r="S44" s="214"/>
      <c r="T44" s="214"/>
      <c r="U44" s="216" t="s">
        <v>192</v>
      </c>
      <c r="V44" s="221"/>
      <c r="W44" s="222" t="s">
        <v>160</v>
      </c>
      <c r="X44" s="223"/>
      <c r="Y44" s="224" t="s">
        <v>161</v>
      </c>
      <c r="Z44" s="222"/>
      <c r="AA44" s="222"/>
      <c r="AB44" s="222"/>
      <c r="AC44" s="223"/>
      <c r="AD44" s="214"/>
      <c r="AE44" s="214"/>
      <c r="AF44" s="214"/>
      <c r="AG44" s="214"/>
      <c r="AH44" s="214"/>
      <c r="AI44" s="214"/>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row>
    <row r="45" spans="1:66" ht="42" customHeight="1" x14ac:dyDescent="0.3">
      <c r="A45" s="214"/>
      <c r="B45" s="227"/>
      <c r="C45" s="231" t="s">
        <v>193</v>
      </c>
      <c r="D45" s="228" t="s">
        <v>194</v>
      </c>
      <c r="E45" s="228" t="s">
        <v>170</v>
      </c>
      <c r="F45" s="229" t="s">
        <v>195</v>
      </c>
      <c r="G45" s="229" t="s">
        <v>196</v>
      </c>
      <c r="H45" s="261" t="s">
        <v>197</v>
      </c>
      <c r="I45" s="261" t="s">
        <v>198</v>
      </c>
      <c r="J45" s="261" t="s">
        <v>199</v>
      </c>
      <c r="K45" s="411" t="s">
        <v>176</v>
      </c>
      <c r="L45" s="214"/>
      <c r="M45" s="214"/>
      <c r="N45" s="214"/>
      <c r="O45" s="214"/>
      <c r="P45" s="214"/>
      <c r="Q45" s="214"/>
      <c r="R45" s="214"/>
      <c r="S45" s="214"/>
      <c r="T45" s="214"/>
      <c r="U45" s="227"/>
      <c r="V45" s="231" t="s">
        <v>193</v>
      </c>
      <c r="W45" s="228" t="s">
        <v>194</v>
      </c>
      <c r="X45" s="228" t="s">
        <v>170</v>
      </c>
      <c r="Y45" s="229" t="s">
        <v>195</v>
      </c>
      <c r="Z45" s="229" t="s">
        <v>196</v>
      </c>
      <c r="AA45" s="261" t="s">
        <v>197</v>
      </c>
      <c r="AB45" s="261" t="s">
        <v>198</v>
      </c>
      <c r="AC45" s="261" t="s">
        <v>199</v>
      </c>
      <c r="AD45" s="214"/>
      <c r="AE45" s="214"/>
      <c r="AF45" s="214"/>
      <c r="AG45" s="214"/>
      <c r="AH45" s="214"/>
      <c r="AI45" s="214"/>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row>
    <row r="46" spans="1:66" ht="15" customHeight="1" x14ac:dyDescent="0.3">
      <c r="A46" s="214"/>
      <c r="B46" s="232">
        <v>2019</v>
      </c>
      <c r="C46" s="262">
        <f>C33/1000000</f>
        <v>820.97606588159852</v>
      </c>
      <c r="D46" s="263">
        <f>F33/1000000</f>
        <v>735.3</v>
      </c>
      <c r="E46" s="264"/>
      <c r="F46" s="262">
        <f>H33/1000000</f>
        <v>735.3</v>
      </c>
      <c r="G46" s="264"/>
      <c r="H46" s="264"/>
      <c r="I46" s="264"/>
      <c r="J46" s="264"/>
      <c r="K46" s="214"/>
      <c r="L46" s="214"/>
      <c r="M46" s="214"/>
      <c r="N46" s="214"/>
      <c r="O46" s="214"/>
      <c r="P46" s="214"/>
      <c r="Q46" s="214"/>
      <c r="R46" s="214"/>
      <c r="S46" s="214"/>
      <c r="T46" s="214"/>
      <c r="U46" s="232">
        <v>2019</v>
      </c>
      <c r="V46" s="355">
        <f>C33/1000000/D33</f>
        <v>3.5083097909977753E-2</v>
      </c>
      <c r="W46" s="355">
        <f>F33/(D33*1000000)</f>
        <v>3.1421868389677317E-2</v>
      </c>
      <c r="X46" s="264"/>
      <c r="Y46" s="355">
        <f>H33/($D33*1000000)</f>
        <v>3.1421868389677317E-2</v>
      </c>
      <c r="Z46" s="355"/>
      <c r="AA46" s="355"/>
      <c r="AB46" s="355"/>
      <c r="AC46" s="355"/>
      <c r="AD46" s="214"/>
      <c r="AE46" s="214"/>
      <c r="AF46" s="214"/>
      <c r="AG46" s="214"/>
      <c r="AH46" s="214"/>
      <c r="AI46" s="214"/>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row>
    <row r="47" spans="1:66" ht="15" customHeight="1" x14ac:dyDescent="0.3">
      <c r="A47" s="214"/>
      <c r="B47" s="240">
        <v>2020</v>
      </c>
      <c r="C47" s="262">
        <f>C34/1000000</f>
        <v>797.63946832680051</v>
      </c>
      <c r="D47" s="263">
        <f>F34/1000000</f>
        <v>730.2</v>
      </c>
      <c r="E47" s="264"/>
      <c r="F47" s="264"/>
      <c r="G47" s="264"/>
      <c r="H47" s="264"/>
      <c r="I47" s="264"/>
      <c r="J47" s="264"/>
      <c r="K47" s="214"/>
      <c r="L47" s="214"/>
      <c r="M47" s="214"/>
      <c r="N47" s="214"/>
      <c r="O47" s="214"/>
      <c r="P47" s="214"/>
      <c r="Q47" s="214"/>
      <c r="R47" s="214"/>
      <c r="S47" s="214"/>
      <c r="T47" s="214"/>
      <c r="U47" s="240">
        <v>2020</v>
      </c>
      <c r="V47" s="355">
        <f>C34/1000000/D34</f>
        <v>3.5650921994082339E-2</v>
      </c>
      <c r="W47" s="355">
        <f>F34/(D34*1000000)</f>
        <v>3.2636678943040009E-2</v>
      </c>
      <c r="X47" s="264"/>
      <c r="Y47" s="355"/>
      <c r="Z47" s="355"/>
      <c r="AA47" s="355"/>
      <c r="AB47" s="355"/>
      <c r="AC47" s="355"/>
      <c r="AD47" s="214"/>
      <c r="AE47" s="214"/>
      <c r="AF47" s="214"/>
      <c r="AG47" s="214"/>
      <c r="AH47" s="214"/>
      <c r="AI47" s="214"/>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row>
    <row r="48" spans="1:66" ht="15" customHeight="1" x14ac:dyDescent="0.3">
      <c r="A48" s="214"/>
      <c r="B48" s="232">
        <v>2021</v>
      </c>
      <c r="C48" s="262">
        <f>C35/1000000</f>
        <v>867.9088520268009</v>
      </c>
      <c r="D48" s="263">
        <f>F35/1000000</f>
        <v>827.6</v>
      </c>
      <c r="E48" s="264"/>
      <c r="F48" s="264"/>
      <c r="G48" s="264"/>
      <c r="H48" s="264"/>
      <c r="I48" s="264"/>
      <c r="J48" s="264"/>
      <c r="K48" s="214"/>
      <c r="L48" s="214"/>
      <c r="M48" s="214"/>
      <c r="N48" s="214"/>
      <c r="O48" s="214"/>
      <c r="P48" s="214"/>
      <c r="Q48" s="214"/>
      <c r="R48" s="214"/>
      <c r="S48" s="214"/>
      <c r="T48" s="214"/>
      <c r="U48" s="232">
        <v>2021</v>
      </c>
      <c r="V48" s="355">
        <f>C35/1000000/D35</f>
        <v>3.3796942069026246E-2</v>
      </c>
      <c r="W48" s="355">
        <f>F35/(D35*1000000)</f>
        <v>3.2227288834545037E-2</v>
      </c>
      <c r="X48" s="264"/>
      <c r="Y48" s="355"/>
      <c r="Z48" s="355"/>
      <c r="AA48" s="355"/>
      <c r="AB48" s="355"/>
      <c r="AC48" s="355"/>
      <c r="AD48" s="214"/>
      <c r="AE48" s="214"/>
      <c r="AF48" s="214"/>
      <c r="AG48" s="214"/>
      <c r="AH48" s="214"/>
      <c r="AI48" s="214"/>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row>
    <row r="49" spans="1:66" ht="15" customHeight="1" x14ac:dyDescent="0.3">
      <c r="A49" s="214"/>
      <c r="B49" s="240">
        <v>2022</v>
      </c>
      <c r="C49" s="262">
        <f>C36/1000000</f>
        <v>936.15014547480041</v>
      </c>
      <c r="D49" s="263">
        <f>F36/1000000</f>
        <v>971.9</v>
      </c>
      <c r="E49" s="264"/>
      <c r="F49" s="264"/>
      <c r="G49" s="264"/>
      <c r="H49" s="264"/>
      <c r="I49" s="264"/>
      <c r="J49" s="264"/>
      <c r="K49" s="214"/>
      <c r="L49" s="214"/>
      <c r="M49" s="214"/>
      <c r="N49" s="214"/>
      <c r="O49" s="214"/>
      <c r="P49" s="214"/>
      <c r="Q49" s="214"/>
      <c r="R49" s="214"/>
      <c r="S49" s="214"/>
      <c r="T49" s="214"/>
      <c r="U49" s="240">
        <v>2022</v>
      </c>
      <c r="V49" s="355">
        <f>C36/1000000/D36</f>
        <v>3.182484678164383E-2</v>
      </c>
      <c r="W49" s="355">
        <f>F36/(D36*1000000)</f>
        <v>3.3040179224019826E-2</v>
      </c>
      <c r="X49" s="264"/>
      <c r="Y49" s="355"/>
      <c r="Z49" s="355"/>
      <c r="AA49" s="355"/>
      <c r="AB49" s="355"/>
      <c r="AC49" s="355"/>
      <c r="AD49" s="214"/>
      <c r="AE49" s="214"/>
      <c r="AF49" s="214"/>
      <c r="AG49" s="214"/>
      <c r="AH49" s="214"/>
      <c r="AI49" s="214"/>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row>
    <row r="50" spans="1:66" ht="15" customHeight="1" x14ac:dyDescent="0.3">
      <c r="A50" s="214"/>
      <c r="B50" s="232">
        <v>2023</v>
      </c>
      <c r="C50" s="262">
        <f>C37/1000000</f>
        <v>1061.8647935615986</v>
      </c>
      <c r="D50" s="263">
        <f>F37/1000000</f>
        <v>1174.4000000000001</v>
      </c>
      <c r="E50" s="264"/>
      <c r="F50" s="262">
        <f t="shared" ref="F50:K50" si="11">H37/1000000</f>
        <v>1174.4000000000001</v>
      </c>
      <c r="G50" s="262">
        <f t="shared" si="11"/>
        <v>1207.8244874159539</v>
      </c>
      <c r="H50" s="262">
        <f t="shared" si="11"/>
        <v>1034.2231374264884</v>
      </c>
      <c r="I50" s="262">
        <f t="shared" si="11"/>
        <v>1085.8297721920153</v>
      </c>
      <c r="J50" s="262">
        <f t="shared" si="11"/>
        <v>1037.8637684923474</v>
      </c>
      <c r="K50" s="418">
        <f t="shared" si="11"/>
        <v>1174.4000000000001</v>
      </c>
      <c r="L50" s="214"/>
      <c r="M50" s="214"/>
      <c r="N50" s="214"/>
      <c r="O50" s="214"/>
      <c r="P50" s="214"/>
      <c r="Q50" s="214"/>
      <c r="R50" s="214"/>
      <c r="S50" s="214"/>
      <c r="T50" s="214"/>
      <c r="U50" s="232">
        <v>2023</v>
      </c>
      <c r="V50" s="355">
        <f>C37/1000000/D37</f>
        <v>3.3882092966228419E-2</v>
      </c>
      <c r="W50" s="355">
        <f>F37/(D37*1000000)</f>
        <v>3.7472878111040206E-2</v>
      </c>
      <c r="X50" s="264"/>
      <c r="Y50" s="355">
        <f>H37/($D37*1000000)</f>
        <v>3.7472878111040206E-2</v>
      </c>
      <c r="Z50" s="355">
        <f>I37/($D37*1000000)</f>
        <v>3.853939015366796E-2</v>
      </c>
      <c r="AA50" s="355">
        <f>J37/($D37*1000000)</f>
        <v>3.3000100109332749E-2</v>
      </c>
      <c r="AB50" s="355">
        <f>K37/($D37*1000000)</f>
        <v>3.4646770012508467E-2</v>
      </c>
      <c r="AC50" s="355">
        <f>L37/($D37*1000000)</f>
        <v>3.3116265746405471E-2</v>
      </c>
      <c r="AD50" s="214"/>
      <c r="AE50" s="214"/>
      <c r="AF50" s="214"/>
      <c r="AG50" s="214"/>
      <c r="AH50" s="214"/>
      <c r="AI50" s="214"/>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row>
    <row r="51" spans="1:66" ht="15" customHeight="1" x14ac:dyDescent="0.3">
      <c r="A51" s="214"/>
      <c r="B51" s="240">
        <v>2024</v>
      </c>
      <c r="C51" s="264"/>
      <c r="D51" s="264"/>
      <c r="E51" s="264"/>
      <c r="F51" s="264"/>
      <c r="G51" s="264"/>
      <c r="H51" s="264"/>
      <c r="I51" s="264"/>
      <c r="J51" s="264"/>
      <c r="K51" s="214"/>
      <c r="L51" s="214"/>
      <c r="M51" s="214"/>
      <c r="N51" s="214"/>
      <c r="O51" s="214"/>
      <c r="P51" s="214"/>
      <c r="Q51" s="214"/>
      <c r="R51" s="214"/>
      <c r="S51" s="214"/>
      <c r="T51" s="214"/>
      <c r="U51" s="240">
        <v>2024</v>
      </c>
      <c r="V51" s="264"/>
      <c r="W51" s="264"/>
      <c r="X51" s="264"/>
      <c r="Y51" s="355"/>
      <c r="Z51" s="355"/>
      <c r="AA51" s="355"/>
      <c r="AB51" s="355"/>
      <c r="AC51" s="355"/>
      <c r="AD51" s="214"/>
      <c r="AE51" s="214"/>
      <c r="AF51" s="214"/>
      <c r="AG51" s="214"/>
      <c r="AH51" s="214"/>
      <c r="AI51" s="214"/>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row>
    <row r="52" spans="1:66" ht="15" customHeight="1" x14ac:dyDescent="0.3">
      <c r="A52" s="214"/>
      <c r="B52" s="232">
        <v>2025</v>
      </c>
      <c r="C52" s="264"/>
      <c r="D52" s="264"/>
      <c r="E52" s="264"/>
      <c r="F52" s="264"/>
      <c r="G52" s="264"/>
      <c r="H52" s="264"/>
      <c r="I52" s="264"/>
      <c r="J52" s="264"/>
      <c r="K52" s="214"/>
      <c r="L52" s="214"/>
      <c r="M52" s="214"/>
      <c r="N52" s="214"/>
      <c r="O52" s="214"/>
      <c r="P52" s="214"/>
      <c r="Q52" s="214"/>
      <c r="R52" s="214"/>
      <c r="S52" s="214"/>
      <c r="T52" s="214"/>
      <c r="U52" s="232">
        <v>2025</v>
      </c>
      <c r="V52" s="264"/>
      <c r="W52" s="264"/>
      <c r="X52" s="264"/>
      <c r="Y52" s="355"/>
      <c r="Z52" s="355"/>
      <c r="AA52" s="355"/>
      <c r="AB52" s="355"/>
      <c r="AC52" s="355"/>
      <c r="AD52" s="214"/>
      <c r="AE52" s="214"/>
      <c r="AF52" s="214"/>
      <c r="AG52" s="214"/>
      <c r="AH52" s="214"/>
      <c r="AI52" s="214"/>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row>
    <row r="53" spans="1:66" ht="15" customHeight="1" x14ac:dyDescent="0.3">
      <c r="A53" s="214"/>
      <c r="B53" s="240">
        <v>2026</v>
      </c>
      <c r="C53" s="262"/>
      <c r="D53" s="264"/>
      <c r="E53" s="264"/>
      <c r="F53" s="264"/>
      <c r="G53" s="262"/>
      <c r="H53" s="262"/>
      <c r="I53" s="262"/>
      <c r="J53" s="262"/>
      <c r="K53" s="214"/>
      <c r="L53" s="214"/>
      <c r="M53" s="214"/>
      <c r="N53" s="214"/>
      <c r="O53" s="214"/>
      <c r="P53" s="214"/>
      <c r="Q53" s="214"/>
      <c r="R53" s="214"/>
      <c r="S53" s="214"/>
      <c r="T53" s="214"/>
      <c r="U53" s="240">
        <v>2026</v>
      </c>
      <c r="V53" s="262"/>
      <c r="W53" s="264"/>
      <c r="X53" s="264"/>
      <c r="Y53" s="355"/>
      <c r="Z53" s="355"/>
      <c r="AA53" s="355"/>
      <c r="AB53" s="355"/>
      <c r="AC53" s="355"/>
      <c r="AD53" s="214"/>
      <c r="AE53" s="214"/>
      <c r="AF53" s="214"/>
      <c r="AG53" s="214"/>
      <c r="AH53" s="214"/>
      <c r="AI53" s="214"/>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row>
    <row r="54" spans="1:66" ht="12.6" customHeight="1" x14ac:dyDescent="0.3">
      <c r="A54" s="214"/>
      <c r="B54" s="214"/>
      <c r="C54" s="214"/>
      <c r="D54" s="214"/>
      <c r="E54" s="214"/>
      <c r="F54" s="214"/>
      <c r="G54" s="214"/>
      <c r="H54" s="214"/>
      <c r="I54" s="214"/>
      <c r="J54" s="214"/>
      <c r="K54" s="214"/>
      <c r="L54" s="214"/>
      <c r="M54" s="214"/>
      <c r="N54" s="214"/>
      <c r="O54" s="214"/>
      <c r="P54" s="214"/>
      <c r="Q54" s="214"/>
      <c r="R54" s="214"/>
      <c r="S54" s="214"/>
      <c r="T54" s="214"/>
      <c r="U54" s="214"/>
      <c r="V54" s="214"/>
      <c r="W54" s="214"/>
      <c r="X54" s="214"/>
      <c r="Y54" s="214"/>
      <c r="Z54" s="214"/>
      <c r="AA54" s="214"/>
      <c r="AB54" s="214"/>
      <c r="AC54" s="214"/>
      <c r="AD54" s="214"/>
      <c r="AE54" s="214"/>
      <c r="AF54" s="214"/>
      <c r="AG54" s="214"/>
      <c r="AH54" s="214"/>
      <c r="AI54" s="214"/>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row>
    <row r="55" spans="1:66" ht="12.6" customHeight="1" x14ac:dyDescent="0.3">
      <c r="A55" s="214"/>
      <c r="B55" s="214"/>
      <c r="C55" s="214"/>
      <c r="D55" s="214"/>
      <c r="E55" s="214"/>
      <c r="F55" s="214"/>
      <c r="G55" s="214"/>
      <c r="H55" s="214"/>
      <c r="I55" s="214"/>
      <c r="J55" s="214"/>
      <c r="K55" s="214"/>
      <c r="L55" s="214"/>
      <c r="M55" s="214"/>
      <c r="N55" s="214"/>
      <c r="O55" s="214"/>
      <c r="P55" s="214"/>
      <c r="Q55" s="214"/>
      <c r="R55" s="214"/>
      <c r="S55" s="214"/>
      <c r="T55" s="214"/>
      <c r="U55" s="214"/>
      <c r="V55" s="214"/>
      <c r="W55" s="214"/>
      <c r="X55" s="214"/>
      <c r="Y55" s="214"/>
      <c r="Z55" s="214"/>
      <c r="AA55" s="214"/>
      <c r="AB55" s="214"/>
      <c r="AC55" s="214"/>
      <c r="AD55" s="214"/>
      <c r="AE55" s="214"/>
      <c r="AF55" s="214"/>
      <c r="AG55" s="214"/>
      <c r="AH55" s="214"/>
      <c r="AI55" s="214"/>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row>
    <row r="56" spans="1:66" ht="12.6" customHeight="1" x14ac:dyDescent="0.3">
      <c r="A56" s="214"/>
      <c r="B56" s="214"/>
      <c r="C56" s="214"/>
      <c r="D56" s="214"/>
      <c r="E56" s="214"/>
      <c r="F56" s="214"/>
      <c r="G56" s="214"/>
      <c r="H56" s="214"/>
      <c r="I56" s="214"/>
      <c r="J56" s="214"/>
      <c r="K56" s="214"/>
      <c r="L56" s="214"/>
      <c r="M56" s="214"/>
      <c r="N56" s="214"/>
      <c r="O56" s="214"/>
      <c r="P56" s="214"/>
      <c r="Q56" s="214"/>
      <c r="R56" s="214"/>
      <c r="S56" s="214"/>
      <c r="T56" s="214"/>
      <c r="U56" s="214"/>
      <c r="V56" s="214"/>
      <c r="W56" s="214"/>
      <c r="X56" s="214"/>
      <c r="Y56" s="214"/>
      <c r="Z56" s="214"/>
      <c r="AA56" s="214"/>
      <c r="AB56" s="214"/>
      <c r="AC56" s="214"/>
      <c r="AD56" s="214"/>
      <c r="AE56" s="214"/>
      <c r="AF56" s="214"/>
      <c r="AG56" s="214"/>
      <c r="AH56" s="214"/>
      <c r="AI56" s="214"/>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row>
    <row r="57" spans="1:66" ht="12.6" customHeight="1" x14ac:dyDescent="0.3">
      <c r="A57" s="214"/>
      <c r="B57" s="214"/>
      <c r="C57" s="214"/>
      <c r="D57" s="214"/>
      <c r="E57" s="214"/>
      <c r="F57" s="214"/>
      <c r="G57" s="214"/>
      <c r="H57" s="214"/>
      <c r="I57" s="214"/>
      <c r="J57" s="214"/>
      <c r="K57" s="214"/>
      <c r="L57" s="214"/>
      <c r="M57" s="214"/>
      <c r="N57" s="214"/>
      <c r="O57" s="214"/>
      <c r="P57" s="214"/>
      <c r="Q57" s="214"/>
      <c r="R57" s="214"/>
      <c r="S57" s="214"/>
      <c r="T57" s="214"/>
      <c r="U57" s="214"/>
      <c r="V57" s="214"/>
      <c r="W57" s="214"/>
      <c r="X57" s="214"/>
      <c r="Y57" s="214"/>
      <c r="Z57" s="214"/>
      <c r="AA57" s="214"/>
      <c r="AB57" s="214"/>
      <c r="AC57" s="214"/>
      <c r="AD57" s="214"/>
      <c r="AE57" s="214"/>
      <c r="AF57" s="214"/>
      <c r="AG57" s="214"/>
      <c r="AH57" s="214"/>
      <c r="AI57" s="214"/>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row>
    <row r="58" spans="1:66" ht="12.6" customHeight="1" x14ac:dyDescent="0.3">
      <c r="A58" s="214"/>
      <c r="B58" s="214"/>
      <c r="C58" s="214"/>
      <c r="D58" s="214"/>
      <c r="E58" s="214"/>
      <c r="F58" s="214"/>
      <c r="G58" s="214"/>
      <c r="H58" s="214"/>
      <c r="I58" s="214"/>
      <c r="J58" s="214"/>
      <c r="K58" s="214"/>
      <c r="L58" s="214"/>
      <c r="M58" s="214"/>
      <c r="N58" s="214"/>
      <c r="O58" s="214"/>
      <c r="P58" s="214"/>
      <c r="Q58" s="214"/>
      <c r="R58" s="214"/>
      <c r="S58" s="214"/>
      <c r="T58" s="214"/>
      <c r="U58" s="214"/>
      <c r="V58" s="214"/>
      <c r="W58" s="214"/>
      <c r="X58" s="214"/>
      <c r="Y58" s="214"/>
      <c r="Z58" s="214"/>
      <c r="AA58" s="214"/>
      <c r="AB58" s="214"/>
      <c r="AC58" s="214"/>
      <c r="AD58" s="214"/>
      <c r="AE58" s="214"/>
      <c r="AF58" s="214"/>
      <c r="AG58" s="214"/>
      <c r="AH58" s="214"/>
      <c r="AI58" s="214"/>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row>
    <row r="59" spans="1:66" ht="12.6"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row>
    <row r="60" spans="1:66" ht="12" customHeight="1" thickBot="1" x14ac:dyDescent="0.35">
      <c r="A60" s="98"/>
      <c r="B60" s="98"/>
      <c r="C60" s="98"/>
      <c r="D60" s="98"/>
      <c r="E60" s="98"/>
      <c r="F60" s="98"/>
      <c r="G60" s="98"/>
      <c r="H60" s="98"/>
      <c r="I60" s="98"/>
      <c r="J60" s="98"/>
      <c r="K60" s="98"/>
      <c r="L60" s="98"/>
      <c r="M60" s="98"/>
      <c r="N60" s="98"/>
      <c r="O60" s="98"/>
      <c r="P60" s="98"/>
      <c r="Q60" s="98"/>
      <c r="R60" s="98"/>
      <c r="S60" s="98"/>
      <c r="T60" s="265"/>
      <c r="U60" s="265"/>
      <c r="V60" s="265"/>
      <c r="W60" s="265"/>
      <c r="X60" s="55"/>
      <c r="Y60" s="55"/>
      <c r="Z60" s="55"/>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row>
    <row r="61" spans="1:66" ht="12" customHeight="1" thickBot="1" x14ac:dyDescent="0.35">
      <c r="A61" s="98"/>
      <c r="B61" s="266" t="s">
        <v>200</v>
      </c>
      <c r="C61" s="267"/>
      <c r="D61" s="267"/>
      <c r="E61" s="267"/>
      <c r="F61" s="267"/>
      <c r="G61" s="267"/>
      <c r="H61" s="267"/>
      <c r="I61" s="267"/>
      <c r="J61" s="267"/>
      <c r="K61" s="267"/>
      <c r="L61" s="267"/>
      <c r="M61" s="267"/>
      <c r="N61" s="267"/>
      <c r="O61" s="267"/>
      <c r="P61" s="267"/>
      <c r="Q61" s="267"/>
      <c r="R61" s="267"/>
      <c r="S61" s="267"/>
      <c r="T61" s="268"/>
      <c r="U61" s="268"/>
      <c r="V61" s="269"/>
      <c r="W61" s="265"/>
      <c r="X61" s="55"/>
      <c r="Y61" s="55"/>
      <c r="Z61" s="55"/>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row>
    <row r="62" spans="1:66" ht="21.6" customHeight="1" x14ac:dyDescent="0.3">
      <c r="A62" s="98"/>
      <c r="B62" s="270"/>
      <c r="C62" s="98"/>
      <c r="D62" s="98"/>
      <c r="E62" s="98"/>
      <c r="F62" s="98"/>
      <c r="G62" s="98"/>
      <c r="H62" s="98"/>
      <c r="I62" s="98"/>
      <c r="J62" s="98"/>
      <c r="K62" s="98"/>
      <c r="L62" s="98"/>
      <c r="M62" s="98"/>
      <c r="N62" s="98"/>
      <c r="O62" s="98"/>
      <c r="P62" s="98"/>
      <c r="Q62" s="98"/>
      <c r="R62" s="98"/>
      <c r="S62" s="98"/>
      <c r="T62" s="98"/>
      <c r="U62" s="98"/>
      <c r="V62" s="98"/>
      <c r="W62" s="98"/>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row>
    <row r="63" spans="1:66" ht="21" customHeight="1" x14ac:dyDescent="0.3">
      <c r="A63" s="98"/>
      <c r="B63" s="98"/>
      <c r="C63" s="98"/>
      <c r="D63" s="98"/>
      <c r="E63" s="98"/>
      <c r="F63" s="98"/>
      <c r="G63" s="98"/>
      <c r="H63" s="98"/>
      <c r="I63" s="98"/>
      <c r="J63" s="98"/>
      <c r="K63" s="98"/>
      <c r="L63" s="98"/>
      <c r="M63" s="98"/>
      <c r="N63" s="98"/>
      <c r="O63" s="98"/>
      <c r="P63" s="98"/>
      <c r="Q63" s="98"/>
      <c r="R63" s="98"/>
      <c r="S63" s="98"/>
      <c r="T63" s="98"/>
      <c r="U63" s="98"/>
      <c r="V63" s="98"/>
      <c r="W63" s="98"/>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row>
    <row r="64" spans="1:66" ht="42.6" customHeight="1" x14ac:dyDescent="0.3">
      <c r="A64" s="98"/>
      <c r="B64" s="356" t="s">
        <v>201</v>
      </c>
      <c r="C64" s="271" t="s">
        <v>202</v>
      </c>
      <c r="D64" s="272" t="s">
        <v>172</v>
      </c>
      <c r="E64" s="272" t="s">
        <v>173</v>
      </c>
      <c r="F64" s="273" t="s">
        <v>174</v>
      </c>
      <c r="G64" s="272" t="s">
        <v>175</v>
      </c>
      <c r="H64" s="274"/>
      <c r="I64" s="274"/>
      <c r="J64" s="274"/>
      <c r="K64" s="274"/>
      <c r="L64" s="274"/>
      <c r="M64" s="274"/>
      <c r="N64" s="274"/>
      <c r="O64" s="274"/>
      <c r="P64" s="274"/>
      <c r="Q64" s="274"/>
      <c r="R64" s="274"/>
      <c r="S64" s="274"/>
      <c r="T64" s="274"/>
      <c r="U64" s="274"/>
      <c r="V64" s="274"/>
      <c r="W64" s="98"/>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row>
    <row r="65" spans="1:66" ht="15.6" customHeight="1" x14ac:dyDescent="0.3">
      <c r="A65" s="98"/>
      <c r="B65" s="275">
        <v>2019</v>
      </c>
      <c r="C65" s="357">
        <f>C22/P22*100</f>
        <v>6.9267514488688313</v>
      </c>
      <c r="D65" s="276"/>
      <c r="E65" s="276"/>
      <c r="F65" s="276"/>
      <c r="G65" s="276"/>
      <c r="H65" s="277"/>
      <c r="I65" s="277"/>
      <c r="J65" s="277"/>
      <c r="K65" s="277"/>
      <c r="L65" s="277"/>
      <c r="M65" s="277"/>
      <c r="N65" s="277"/>
      <c r="O65" s="277"/>
      <c r="P65" s="277"/>
      <c r="Q65" s="277"/>
      <c r="R65" s="277"/>
      <c r="S65" s="277"/>
      <c r="T65" s="277"/>
      <c r="U65" s="277"/>
      <c r="V65" s="277"/>
      <c r="W65" s="278"/>
      <c r="X65" s="44"/>
      <c r="Y65" s="44"/>
      <c r="Z65" s="44"/>
      <c r="AA65" s="46"/>
      <c r="AB65" s="46"/>
      <c r="AC65" s="46"/>
      <c r="AD65" s="46"/>
      <c r="AE65" s="46"/>
      <c r="AF65" s="46"/>
      <c r="AG65" s="44"/>
      <c r="AH65" s="44"/>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row>
    <row r="66" spans="1:66" s="51" customFormat="1" ht="15.6" customHeight="1" x14ac:dyDescent="0.3">
      <c r="A66" s="279"/>
      <c r="B66" s="280">
        <v>2020</v>
      </c>
      <c r="C66" s="357">
        <f>D22/Q22*100</f>
        <v>6.7521144710857266</v>
      </c>
      <c r="D66" s="276"/>
      <c r="E66" s="276"/>
      <c r="F66" s="276"/>
      <c r="G66" s="276"/>
      <c r="H66" s="281"/>
      <c r="I66" s="281"/>
      <c r="J66" s="281"/>
      <c r="K66" s="281"/>
      <c r="L66" s="281"/>
      <c r="M66" s="281"/>
      <c r="N66" s="281"/>
      <c r="O66" s="281"/>
      <c r="P66" s="281"/>
      <c r="Q66" s="281"/>
      <c r="R66" s="281"/>
      <c r="S66" s="281"/>
      <c r="T66" s="281"/>
      <c r="U66" s="281"/>
      <c r="V66" s="281"/>
      <c r="W66" s="282"/>
      <c r="X66" s="48"/>
      <c r="Y66" s="48"/>
      <c r="Z66" s="48"/>
      <c r="AA66" s="48"/>
      <c r="AB66" s="48"/>
      <c r="AC66" s="48"/>
      <c r="AD66" s="48"/>
      <c r="AE66" s="48"/>
      <c r="AF66" s="48"/>
      <c r="AG66" s="48"/>
      <c r="AH66" s="48"/>
      <c r="AI66" s="47"/>
      <c r="AJ66" s="47"/>
      <c r="AK66" s="47"/>
      <c r="AL66" s="47"/>
      <c r="AM66" s="47"/>
      <c r="AN66" s="47"/>
      <c r="AO66" s="47"/>
      <c r="AP66" s="47"/>
      <c r="AQ66" s="47"/>
      <c r="AR66" s="47"/>
      <c r="AS66" s="47"/>
      <c r="AT66" s="47"/>
      <c r="AU66" s="47"/>
      <c r="AV66" s="47"/>
      <c r="AW66" s="47"/>
      <c r="AX66" s="47"/>
      <c r="AY66" s="47"/>
      <c r="AZ66" s="47"/>
      <c r="BA66" s="47"/>
      <c r="BB66" s="47"/>
      <c r="BC66" s="47"/>
      <c r="BD66" s="47"/>
      <c r="BE66" s="47"/>
      <c r="BF66" s="47"/>
      <c r="BG66" s="47"/>
      <c r="BH66" s="47"/>
      <c r="BI66" s="47"/>
      <c r="BJ66" s="47"/>
      <c r="BK66" s="47"/>
      <c r="BL66" s="47"/>
      <c r="BM66" s="47"/>
      <c r="BN66" s="47"/>
    </row>
    <row r="67" spans="1:66" ht="15.6" customHeight="1" x14ac:dyDescent="0.3">
      <c r="A67" s="98"/>
      <c r="B67" s="275">
        <v>2021</v>
      </c>
      <c r="C67" s="357">
        <f>E22/R22*100</f>
        <v>7.0692145148984764</v>
      </c>
      <c r="D67" s="276"/>
      <c r="E67" s="276"/>
      <c r="F67" s="276"/>
      <c r="G67" s="276"/>
      <c r="H67" s="281"/>
      <c r="I67" s="281"/>
      <c r="J67" s="281"/>
      <c r="K67" s="281"/>
      <c r="L67" s="281"/>
      <c r="M67" s="281"/>
      <c r="N67" s="281"/>
      <c r="O67" s="281"/>
      <c r="P67" s="281"/>
      <c r="Q67" s="281"/>
      <c r="R67" s="281"/>
      <c r="S67" s="281"/>
      <c r="T67" s="281"/>
      <c r="U67" s="281"/>
      <c r="V67" s="281"/>
      <c r="W67" s="283"/>
      <c r="X67" s="52"/>
      <c r="Y67" s="52"/>
      <c r="Z67" s="52"/>
      <c r="AA67" s="43"/>
      <c r="AB67" s="43"/>
      <c r="AC67" s="43"/>
      <c r="AD67" s="43"/>
      <c r="AE67" s="43"/>
      <c r="AF67" s="43"/>
      <c r="AG67" s="43"/>
      <c r="AH67" s="43"/>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row>
    <row r="68" spans="1:66" ht="15.6" customHeight="1" x14ac:dyDescent="0.3">
      <c r="A68" s="98"/>
      <c r="B68" s="280">
        <v>2022</v>
      </c>
      <c r="C68" s="357">
        <f>F22/S22*100</f>
        <v>7.3698294563465856</v>
      </c>
      <c r="D68" s="276"/>
      <c r="E68" s="276"/>
      <c r="F68" s="276"/>
      <c r="G68" s="276"/>
      <c r="H68" s="284"/>
      <c r="I68" s="284"/>
      <c r="J68" s="284"/>
      <c r="K68" s="284"/>
      <c r="L68" s="284"/>
      <c r="M68" s="284"/>
      <c r="N68" s="284"/>
      <c r="O68" s="284"/>
      <c r="P68" s="284"/>
      <c r="Q68" s="284"/>
      <c r="R68" s="284"/>
      <c r="S68" s="284"/>
      <c r="T68" s="284"/>
      <c r="U68" s="284"/>
      <c r="V68" s="284"/>
      <c r="W68" s="98"/>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row>
    <row r="69" spans="1:66" ht="15.6" customHeight="1" x14ac:dyDescent="0.3">
      <c r="A69" s="98"/>
      <c r="B69" s="275">
        <v>2023</v>
      </c>
      <c r="C69" s="357">
        <f>G22/$T22*100</f>
        <v>7.9026628754337205</v>
      </c>
      <c r="D69" s="357">
        <f>H22/$T22*100</f>
        <v>8.1275798167079536</v>
      </c>
      <c r="E69" s="357">
        <f>I22/$T22*100</f>
        <v>6.9593978142497406</v>
      </c>
      <c r="F69" s="357">
        <f>J22/$T22*100</f>
        <v>7.3066643645627494</v>
      </c>
      <c r="G69" s="357">
        <f>K22/$T22*100</f>
        <v>6.9838960090447983</v>
      </c>
      <c r="H69" s="277"/>
      <c r="I69" s="277"/>
      <c r="J69" s="277"/>
      <c r="K69" s="277"/>
      <c r="L69" s="277"/>
      <c r="M69" s="277"/>
      <c r="N69" s="277"/>
      <c r="O69" s="277"/>
      <c r="P69" s="277"/>
      <c r="Q69" s="277"/>
      <c r="R69" s="277"/>
      <c r="S69" s="277"/>
      <c r="T69" s="277"/>
      <c r="U69" s="277"/>
      <c r="V69" s="277"/>
      <c r="W69" s="98"/>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row>
    <row r="70" spans="1:66" ht="15.6" customHeight="1" x14ac:dyDescent="0.3">
      <c r="A70" s="98"/>
      <c r="B70" s="280">
        <v>2024</v>
      </c>
      <c r="C70" s="276"/>
      <c r="D70" s="358"/>
      <c r="E70" s="357"/>
      <c r="F70" s="357"/>
      <c r="G70" s="357"/>
      <c r="H70" s="284"/>
      <c r="I70" s="284"/>
      <c r="J70" s="284"/>
      <c r="K70" s="284"/>
      <c r="L70" s="284"/>
      <c r="M70" s="284"/>
      <c r="N70" s="284"/>
      <c r="O70" s="284"/>
      <c r="P70" s="284"/>
      <c r="Q70" s="284"/>
      <c r="R70" s="284"/>
      <c r="S70" s="284"/>
      <c r="T70" s="284"/>
      <c r="U70" s="284"/>
      <c r="V70" s="284"/>
      <c r="W70" s="98"/>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row>
    <row r="71" spans="1:66" ht="15.6" customHeight="1" x14ac:dyDescent="0.3">
      <c r="A71" s="98"/>
      <c r="B71" s="275">
        <v>2025</v>
      </c>
      <c r="C71" s="276"/>
      <c r="D71" s="358"/>
      <c r="E71" s="357"/>
      <c r="F71" s="357"/>
      <c r="G71" s="357"/>
      <c r="H71" s="284"/>
      <c r="I71" s="284"/>
      <c r="J71" s="284"/>
      <c r="K71" s="284"/>
      <c r="L71" s="284"/>
      <c r="M71" s="284"/>
      <c r="N71" s="284"/>
      <c r="O71" s="284"/>
      <c r="P71" s="284"/>
      <c r="Q71" s="284"/>
      <c r="R71" s="284"/>
      <c r="S71" s="284"/>
      <c r="T71" s="284"/>
      <c r="U71" s="284"/>
      <c r="V71" s="284"/>
      <c r="W71" s="98"/>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row>
    <row r="72" spans="1:66" ht="15.6" customHeight="1" x14ac:dyDescent="0.3">
      <c r="A72" s="98"/>
      <c r="B72" s="280">
        <v>2026</v>
      </c>
      <c r="C72" s="276"/>
      <c r="D72" s="357">
        <f>L22/$V22*100</f>
        <v>8.5133231885354164</v>
      </c>
      <c r="E72" s="357">
        <f>M22/$V22*100</f>
        <v>7.9026628754337205</v>
      </c>
      <c r="F72" s="357">
        <f>N22/$V22*100</f>
        <v>7.9026628754337205</v>
      </c>
      <c r="G72" s="357">
        <f>O22/$V22*100</f>
        <v>7.9026628754337205</v>
      </c>
      <c r="H72" s="277"/>
      <c r="I72" s="277"/>
      <c r="J72" s="277"/>
      <c r="K72" s="277"/>
      <c r="L72" s="277"/>
      <c r="M72" s="277"/>
      <c r="N72" s="277"/>
      <c r="O72" s="277"/>
      <c r="P72" s="277"/>
      <c r="Q72" s="277"/>
      <c r="R72" s="277"/>
      <c r="S72" s="277"/>
      <c r="T72" s="277"/>
      <c r="U72" s="277"/>
      <c r="V72" s="277"/>
      <c r="W72" s="98"/>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row>
    <row r="73" spans="1:66" ht="12.6" customHeight="1" x14ac:dyDescent="0.3">
      <c r="A73" s="98"/>
      <c r="B73" s="98"/>
      <c r="C73" s="98"/>
      <c r="D73" s="98"/>
      <c r="E73" s="98"/>
      <c r="F73" s="98"/>
      <c r="G73" s="98"/>
      <c r="H73" s="98"/>
      <c r="I73" s="98"/>
      <c r="J73" s="98"/>
      <c r="K73" s="98"/>
      <c r="L73" s="98"/>
      <c r="M73" s="98"/>
      <c r="N73" s="98"/>
      <c r="O73" s="98"/>
      <c r="P73" s="98"/>
      <c r="Q73" s="98"/>
      <c r="R73" s="98"/>
      <c r="S73" s="98"/>
      <c r="T73" s="98"/>
      <c r="U73" s="98"/>
      <c r="V73" s="98"/>
      <c r="W73" s="98"/>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row>
    <row r="74" spans="1:66" ht="12.6" customHeight="1" x14ac:dyDescent="0.3">
      <c r="A74" s="98"/>
      <c r="B74" s="98"/>
      <c r="C74" s="285"/>
      <c r="D74" s="98"/>
      <c r="E74" s="98"/>
      <c r="F74" s="98"/>
      <c r="G74" s="98"/>
      <c r="H74" s="98"/>
      <c r="I74" s="98"/>
      <c r="J74" s="98"/>
      <c r="K74" s="98"/>
      <c r="L74" s="98"/>
      <c r="M74" s="98"/>
      <c r="N74" s="98"/>
      <c r="O74" s="98"/>
      <c r="P74" s="98"/>
      <c r="Q74" s="98"/>
      <c r="R74" s="98"/>
      <c r="S74" s="98"/>
      <c r="T74" s="98"/>
      <c r="U74" s="98"/>
      <c r="V74" s="98"/>
      <c r="W74" s="98"/>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row>
    <row r="75" spans="1:66" ht="12.6" customHeight="1" x14ac:dyDescent="0.3">
      <c r="A75" s="98"/>
      <c r="B75" s="98"/>
      <c r="C75" s="98"/>
      <c r="D75" s="98"/>
      <c r="E75" s="98"/>
      <c r="F75" s="98"/>
      <c r="G75" s="98"/>
      <c r="H75" s="98"/>
      <c r="I75" s="98"/>
      <c r="J75" s="98"/>
      <c r="K75" s="98"/>
      <c r="L75" s="98"/>
      <c r="M75" s="98"/>
      <c r="N75" s="98"/>
      <c r="O75" s="98"/>
      <c r="P75" s="98"/>
      <c r="Q75" s="98"/>
      <c r="R75" s="98"/>
      <c r="S75" s="98"/>
      <c r="T75" s="98"/>
      <c r="U75" s="98"/>
      <c r="V75" s="98"/>
      <c r="W75" s="98"/>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row>
    <row r="76" spans="1:66" ht="18" customHeight="1" x14ac:dyDescent="0.3">
      <c r="A76" s="98"/>
      <c r="B76" s="98"/>
      <c r="C76" s="98"/>
      <c r="D76" s="98"/>
      <c r="E76" s="98"/>
      <c r="F76" s="98"/>
      <c r="G76" s="98"/>
      <c r="H76" s="98"/>
      <c r="I76" s="98"/>
      <c r="J76" s="98"/>
      <c r="K76" s="98"/>
      <c r="L76" s="98"/>
      <c r="M76" s="98"/>
      <c r="N76" s="98"/>
      <c r="O76" s="98"/>
      <c r="P76" s="98"/>
      <c r="Q76" s="98"/>
      <c r="R76" s="98"/>
      <c r="S76" s="98"/>
      <c r="T76" s="98"/>
      <c r="U76" s="98"/>
      <c r="V76" s="98"/>
      <c r="W76" s="98"/>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row>
    <row r="77" spans="1:66" ht="42" customHeight="1" x14ac:dyDescent="0.3">
      <c r="A77" s="98"/>
      <c r="B77" s="356" t="s">
        <v>203</v>
      </c>
      <c r="C77" s="271" t="s">
        <v>202</v>
      </c>
      <c r="D77" s="272" t="s">
        <v>172</v>
      </c>
      <c r="E77" s="272" t="s">
        <v>173</v>
      </c>
      <c r="F77" s="273" t="s">
        <v>174</v>
      </c>
      <c r="G77" s="272" t="s">
        <v>175</v>
      </c>
      <c r="H77" s="98"/>
      <c r="I77" s="98"/>
      <c r="J77" s="98"/>
      <c r="K77" s="98"/>
      <c r="L77" s="98"/>
      <c r="M77" s="98"/>
      <c r="N77" s="98"/>
      <c r="O77" s="98"/>
      <c r="P77" s="98"/>
      <c r="Q77" s="98"/>
      <c r="R77" s="98"/>
      <c r="S77" s="98"/>
      <c r="T77" s="98"/>
      <c r="U77" s="98"/>
      <c r="V77" s="98"/>
      <c r="W77" s="98"/>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row>
    <row r="78" spans="1:66" ht="15.6" customHeight="1" x14ac:dyDescent="0.3">
      <c r="A78" s="98"/>
      <c r="B78" s="275">
        <v>2019</v>
      </c>
      <c r="C78" s="357">
        <f>C65</f>
        <v>6.9267514488688313</v>
      </c>
      <c r="D78" s="276"/>
      <c r="E78" s="276"/>
      <c r="F78" s="276"/>
      <c r="G78" s="276"/>
      <c r="H78" s="98"/>
      <c r="I78" s="98"/>
      <c r="J78" s="98"/>
      <c r="K78" s="98"/>
      <c r="L78" s="98"/>
      <c r="M78" s="98"/>
      <c r="N78" s="98"/>
      <c r="O78" s="98"/>
      <c r="P78" s="98"/>
      <c r="Q78" s="98"/>
      <c r="R78" s="98"/>
      <c r="S78" s="98"/>
      <c r="T78" s="98"/>
      <c r="U78" s="98"/>
      <c r="V78" s="98"/>
      <c r="W78" s="98"/>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row>
    <row r="79" spans="1:66" s="1" customFormat="1" ht="15" customHeight="1" x14ac:dyDescent="0.3">
      <c r="A79" s="98"/>
      <c r="B79" s="280">
        <v>2020</v>
      </c>
      <c r="C79" s="357">
        <f>C66</f>
        <v>6.7521144710857266</v>
      </c>
      <c r="D79" s="276"/>
      <c r="E79" s="276"/>
      <c r="F79" s="276"/>
      <c r="G79" s="276"/>
      <c r="H79" s="98"/>
      <c r="I79" s="98"/>
      <c r="J79" s="98"/>
      <c r="K79" s="98"/>
      <c r="L79" s="98"/>
      <c r="M79" s="98"/>
      <c r="N79" s="98"/>
      <c r="O79" s="98"/>
      <c r="P79" s="98"/>
      <c r="Q79" s="98"/>
      <c r="R79" s="98"/>
      <c r="S79" s="98"/>
      <c r="T79" s="98"/>
      <c r="U79" s="98"/>
      <c r="V79" s="98"/>
      <c r="W79" s="98"/>
    </row>
    <row r="80" spans="1:66" s="1" customFormat="1" ht="15" customHeight="1" x14ac:dyDescent="0.3">
      <c r="A80" s="98"/>
      <c r="B80" s="275">
        <v>2021</v>
      </c>
      <c r="C80" s="357">
        <f>C67</f>
        <v>7.0692145148984764</v>
      </c>
      <c r="D80" s="276"/>
      <c r="E80" s="276"/>
      <c r="F80" s="276"/>
      <c r="G80" s="276"/>
      <c r="H80" s="98"/>
      <c r="I80" s="98"/>
      <c r="J80" s="98"/>
      <c r="K80" s="98"/>
      <c r="L80" s="98"/>
      <c r="M80" s="98"/>
      <c r="N80" s="98"/>
      <c r="O80" s="98"/>
      <c r="P80" s="98"/>
      <c r="Q80" s="98"/>
      <c r="R80" s="98"/>
      <c r="S80" s="98"/>
      <c r="T80" s="98"/>
      <c r="U80" s="98"/>
      <c r="V80" s="98"/>
      <c r="W80" s="98"/>
    </row>
    <row r="81" spans="1:23" s="1" customFormat="1" ht="15" customHeight="1" x14ac:dyDescent="0.3">
      <c r="A81" s="98"/>
      <c r="B81" s="280">
        <v>2022</v>
      </c>
      <c r="C81" s="357">
        <f>C68</f>
        <v>7.3698294563465856</v>
      </c>
      <c r="D81" s="276"/>
      <c r="E81" s="276"/>
      <c r="F81" s="276"/>
      <c r="G81" s="276"/>
      <c r="H81" s="98"/>
      <c r="I81" s="98"/>
      <c r="J81" s="98"/>
      <c r="K81" s="98"/>
      <c r="L81" s="98"/>
      <c r="M81" s="98"/>
      <c r="N81" s="98"/>
      <c r="O81" s="98"/>
      <c r="P81" s="98"/>
      <c r="Q81" s="98"/>
      <c r="R81" s="98"/>
      <c r="S81" s="98"/>
      <c r="T81" s="98"/>
      <c r="U81" s="98"/>
      <c r="V81" s="98"/>
      <c r="W81" s="98"/>
    </row>
    <row r="82" spans="1:23" s="1" customFormat="1" ht="15" customHeight="1" x14ac:dyDescent="0.3">
      <c r="A82" s="98"/>
      <c r="B82" s="275">
        <v>2023</v>
      </c>
      <c r="C82" s="357">
        <f>C69</f>
        <v>7.9026628754337205</v>
      </c>
      <c r="D82" s="357">
        <f>D69</f>
        <v>8.1275798167079536</v>
      </c>
      <c r="E82" s="357">
        <f>E69</f>
        <v>6.9593978142497406</v>
      </c>
      <c r="F82" s="357">
        <f>F69</f>
        <v>7.3066643645627494</v>
      </c>
      <c r="G82" s="357">
        <f>G69</f>
        <v>6.9838960090447983</v>
      </c>
      <c r="H82" s="98"/>
      <c r="I82" s="98"/>
      <c r="J82" s="98"/>
      <c r="K82" s="98"/>
      <c r="L82" s="98"/>
      <c r="M82" s="98"/>
      <c r="N82" s="98"/>
      <c r="O82" s="98"/>
      <c r="P82" s="98"/>
      <c r="Q82" s="98"/>
      <c r="R82" s="98"/>
      <c r="S82" s="98"/>
      <c r="T82" s="98"/>
      <c r="U82" s="98"/>
      <c r="V82" s="98"/>
      <c r="W82" s="98"/>
    </row>
    <row r="83" spans="1:23" s="1" customFormat="1" ht="15" customHeight="1" x14ac:dyDescent="0.3">
      <c r="A83" s="98"/>
      <c r="B83" s="280">
        <v>2024</v>
      </c>
      <c r="C83" s="357"/>
      <c r="D83" s="358">
        <f>$C82*(D85/$C82)^(1/3)</f>
        <v>8.1011873750211922</v>
      </c>
      <c r="E83" s="358">
        <f>$C82*(E85/$C82)^(1/3)</f>
        <v>7.9026628754337205</v>
      </c>
      <c r="F83" s="358">
        <f>$C82*(F85/$C82)^(1/3)</f>
        <v>7.9026628754337205</v>
      </c>
      <c r="G83" s="358">
        <f>$C82*(G85/$C82)^(1/3)</f>
        <v>7.9026628754337205</v>
      </c>
      <c r="H83" s="98"/>
      <c r="I83" s="98"/>
      <c r="J83" s="98"/>
      <c r="K83" s="98"/>
      <c r="L83" s="98"/>
      <c r="M83" s="98"/>
      <c r="N83" s="98"/>
      <c r="O83" s="98"/>
      <c r="P83" s="98"/>
      <c r="Q83" s="98"/>
      <c r="R83" s="98"/>
      <c r="S83" s="98"/>
      <c r="T83" s="98"/>
      <c r="U83" s="98"/>
      <c r="V83" s="98"/>
      <c r="W83" s="98"/>
    </row>
    <row r="84" spans="1:23" s="1" customFormat="1" ht="15" customHeight="1" x14ac:dyDescent="0.3">
      <c r="A84" s="98"/>
      <c r="B84" s="275">
        <v>2025</v>
      </c>
      <c r="C84" s="357"/>
      <c r="D84" s="358">
        <f>D83*(D85/$C82)^(1/3)</f>
        <v>8.3046990514068764</v>
      </c>
      <c r="E84" s="358">
        <f>E83*(E85/$C82)^(1/3)</f>
        <v>7.9026628754337205</v>
      </c>
      <c r="F84" s="358">
        <f>F83*(F85/$C82)^(1/3)</f>
        <v>7.9026628754337205</v>
      </c>
      <c r="G84" s="358">
        <f>G83*(G85/$C82)^(1/3)</f>
        <v>7.9026628754337205</v>
      </c>
      <c r="H84" s="98"/>
      <c r="I84" s="98"/>
      <c r="J84" s="98"/>
      <c r="K84" s="98"/>
      <c r="L84" s="98"/>
      <c r="M84" s="98"/>
      <c r="N84" s="98"/>
      <c r="O84" s="98"/>
      <c r="P84" s="98"/>
      <c r="Q84" s="98"/>
      <c r="R84" s="98"/>
      <c r="S84" s="98"/>
      <c r="T84" s="98"/>
      <c r="U84" s="98"/>
      <c r="V84" s="98"/>
      <c r="W84" s="98"/>
    </row>
    <row r="85" spans="1:23" s="1" customFormat="1" ht="15" customHeight="1" x14ac:dyDescent="0.3">
      <c r="A85" s="98"/>
      <c r="B85" s="280">
        <v>2026</v>
      </c>
      <c r="C85" s="357"/>
      <c r="D85" s="357">
        <f>D72</f>
        <v>8.5133231885354164</v>
      </c>
      <c r="E85" s="357">
        <f>E72</f>
        <v>7.9026628754337205</v>
      </c>
      <c r="F85" s="357">
        <f>F72</f>
        <v>7.9026628754337205</v>
      </c>
      <c r="G85" s="357">
        <f>G72</f>
        <v>7.9026628754337205</v>
      </c>
      <c r="H85" s="98"/>
      <c r="I85" s="98"/>
      <c r="J85" s="98"/>
      <c r="K85" s="98"/>
      <c r="L85" s="98"/>
      <c r="M85" s="98"/>
      <c r="N85" s="98"/>
      <c r="O85" s="98"/>
      <c r="P85" s="98"/>
      <c r="Q85" s="98"/>
      <c r="R85" s="98"/>
      <c r="S85" s="98"/>
      <c r="T85" s="98"/>
      <c r="U85" s="98"/>
      <c r="V85" s="98"/>
      <c r="W85" s="98"/>
    </row>
    <row r="86" spans="1:23" s="1" customFormat="1" ht="12.6" customHeight="1" x14ac:dyDescent="0.3">
      <c r="A86" s="98"/>
      <c r="B86" s="98"/>
      <c r="C86" s="98"/>
      <c r="D86" s="285"/>
      <c r="E86" s="98"/>
      <c r="F86" s="98"/>
      <c r="G86" s="98"/>
      <c r="H86" s="98"/>
      <c r="I86" s="98"/>
      <c r="J86" s="98"/>
      <c r="K86" s="98"/>
      <c r="L86" s="98"/>
      <c r="M86" s="98"/>
      <c r="N86" s="98"/>
      <c r="O86" s="98"/>
      <c r="P86" s="98"/>
      <c r="Q86" s="98"/>
      <c r="R86" s="98"/>
      <c r="S86" s="98"/>
      <c r="T86" s="98"/>
      <c r="U86" s="98"/>
      <c r="V86" s="98"/>
      <c r="W86" s="98"/>
    </row>
    <row r="87" spans="1:23" s="1" customFormat="1" ht="12.6" customHeight="1" x14ac:dyDescent="0.3">
      <c r="A87" s="98"/>
      <c r="B87" s="98"/>
      <c r="C87" s="98"/>
      <c r="D87" s="98"/>
      <c r="E87" s="98"/>
      <c r="F87" s="98"/>
      <c r="G87" s="98"/>
      <c r="H87" s="98"/>
      <c r="I87" s="98"/>
      <c r="J87" s="98"/>
      <c r="K87" s="98"/>
      <c r="L87" s="98"/>
      <c r="M87" s="98"/>
      <c r="N87" s="98"/>
      <c r="O87" s="98"/>
      <c r="P87" s="98"/>
      <c r="Q87" s="98"/>
      <c r="R87" s="98"/>
      <c r="S87" s="98"/>
      <c r="T87" s="98"/>
      <c r="U87" s="98"/>
      <c r="V87" s="98"/>
      <c r="W87" s="98"/>
    </row>
    <row r="88" spans="1:23" s="1" customFormat="1" ht="12.6" customHeight="1" x14ac:dyDescent="0.3">
      <c r="A88" s="98"/>
      <c r="B88" s="98"/>
      <c r="C88" s="98"/>
      <c r="D88" s="98"/>
      <c r="E88" s="98"/>
      <c r="F88" s="98"/>
      <c r="G88" s="98"/>
      <c r="H88" s="98"/>
      <c r="I88" s="98"/>
      <c r="J88" s="98"/>
      <c r="K88" s="98"/>
      <c r="L88" s="98"/>
      <c r="M88" s="98"/>
      <c r="N88" s="98"/>
      <c r="O88" s="98"/>
      <c r="P88" s="98"/>
      <c r="Q88" s="98"/>
      <c r="R88" s="98"/>
      <c r="S88" s="98"/>
      <c r="T88" s="98"/>
      <c r="U88" s="98"/>
      <c r="V88" s="98"/>
      <c r="W88" s="98"/>
    </row>
    <row r="89" spans="1:23" s="1" customFormat="1" ht="12.6" customHeight="1" x14ac:dyDescent="0.3"/>
    <row r="90" spans="1:23" s="1" customFormat="1" ht="12.6" customHeight="1" x14ac:dyDescent="0.3"/>
    <row r="91" spans="1:23" s="1" customFormat="1" x14ac:dyDescent="0.3"/>
    <row r="92" spans="1:23" s="1" customFormat="1" x14ac:dyDescent="0.3"/>
    <row r="93" spans="1:23" s="1" customFormat="1" x14ac:dyDescent="0.3"/>
    <row r="94" spans="1:23" s="1" customFormat="1" x14ac:dyDescent="0.3"/>
    <row r="95" spans="1:23" s="1" customFormat="1" x14ac:dyDescent="0.3"/>
    <row r="96" spans="1:23" s="1" customFormat="1" x14ac:dyDescent="0.3"/>
    <row r="97" s="1" customFormat="1" x14ac:dyDescent="0.3"/>
    <row r="98" s="1" customFormat="1" x14ac:dyDescent="0.3"/>
    <row r="99" s="1" customFormat="1" x14ac:dyDescent="0.3"/>
    <row r="100" s="1" customFormat="1" x14ac:dyDescent="0.3"/>
    <row r="101" s="1" customFormat="1" x14ac:dyDescent="0.3"/>
    <row r="102" s="1" customFormat="1" x14ac:dyDescent="0.3"/>
    <row r="103" s="1" customFormat="1" x14ac:dyDescent="0.3"/>
    <row r="104" s="1" customFormat="1" x14ac:dyDescent="0.3"/>
    <row r="105" s="1" customFormat="1" x14ac:dyDescent="0.3"/>
    <row r="106" s="1" customFormat="1" x14ac:dyDescent="0.3"/>
    <row r="107" s="1" customFormat="1" x14ac:dyDescent="0.3"/>
    <row r="108" s="1" customFormat="1" x14ac:dyDescent="0.3"/>
    <row r="109" s="1" customFormat="1" x14ac:dyDescent="0.3"/>
    <row r="110" s="1" customFormat="1" x14ac:dyDescent="0.3"/>
    <row r="111" s="1" customFormat="1" x14ac:dyDescent="0.3"/>
    <row r="112" s="1" customFormat="1" x14ac:dyDescent="0.3"/>
    <row r="113" s="1" customFormat="1" x14ac:dyDescent="0.3"/>
    <row r="114" s="1" customFormat="1" x14ac:dyDescent="0.3"/>
    <row r="115" s="1" customFormat="1" x14ac:dyDescent="0.3"/>
    <row r="116" s="1" customFormat="1" x14ac:dyDescent="0.3"/>
    <row r="117" s="1" customFormat="1" x14ac:dyDescent="0.3"/>
    <row r="118" s="1" customFormat="1" x14ac:dyDescent="0.3"/>
    <row r="119" s="1" customFormat="1" x14ac:dyDescent="0.3"/>
    <row r="120" s="1" customFormat="1" x14ac:dyDescent="0.3"/>
    <row r="121" s="1" customFormat="1" x14ac:dyDescent="0.3"/>
  </sheetData>
  <pageMargins left="0.7" right="0.7" top="0.75" bottom="0.75" header="0.3" footer="0.3"/>
  <pageSetup paperSize="9" orientation="portrait" r:id="rId1"/>
  <headerFooter>
    <oddHeader>&amp;C&amp;"Calibri"&amp;10&amp;K000000 ECB-CONFIDENTIAL      &amp;1#_x000D_</oddHead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28834D-2F38-493E-81FB-9C3125ED4645}">
  <dimension ref="A1:FQ27"/>
  <sheetViews>
    <sheetView topLeftCell="A2" zoomScaleNormal="100" workbookViewId="0">
      <selection activeCell="AH35" sqref="AH35"/>
    </sheetView>
  </sheetViews>
  <sheetFormatPr baseColWidth="10" defaultColWidth="8.6640625" defaultRowHeight="14.4" x14ac:dyDescent="0.3"/>
  <cols>
    <col min="1" max="1" width="4.33203125" customWidth="1"/>
    <col min="3" max="3" width="15.6640625" customWidth="1"/>
    <col min="4" max="7" width="14.5546875" customWidth="1"/>
    <col min="8" max="15" width="18" customWidth="1"/>
    <col min="16" max="17" width="18.6640625" customWidth="1"/>
    <col min="18" max="18" width="15.33203125" customWidth="1"/>
    <col min="19" max="22" width="18" customWidth="1"/>
    <col min="23" max="31" width="14.6640625" customWidth="1"/>
    <col min="32" max="32" width="15.33203125" customWidth="1"/>
    <col min="33" max="33" width="14.6640625" customWidth="1"/>
    <col min="34" max="41" width="13.5546875" customWidth="1"/>
    <col min="42" max="42" width="15.5546875" customWidth="1"/>
    <col min="43" max="43" width="13" customWidth="1"/>
    <col min="44" max="44" width="11.33203125" customWidth="1"/>
    <col min="45" max="45" width="12.33203125" customWidth="1"/>
    <col min="46" max="50" width="11.33203125" customWidth="1"/>
    <col min="51" max="51" width="13.44140625" customWidth="1"/>
    <col min="56" max="56" width="9.6640625" customWidth="1"/>
    <col min="60" max="60" width="16.44140625" customWidth="1"/>
    <col min="61" max="61" width="16.33203125" customWidth="1"/>
    <col min="62" max="63" width="15.33203125" customWidth="1"/>
    <col min="68" max="68" width="11.44140625" bestFit="1" customWidth="1"/>
    <col min="69" max="69" width="13.5546875" customWidth="1"/>
    <col min="70" max="70" width="13.6640625" customWidth="1"/>
    <col min="71" max="71" width="12.44140625" customWidth="1"/>
    <col min="72" max="77" width="12.6640625" customWidth="1"/>
    <col min="78" max="80" width="11.33203125" customWidth="1"/>
    <col min="81" max="85" width="11.6640625" hidden="1" customWidth="1"/>
    <col min="86" max="86" width="13.33203125" hidden="1" customWidth="1"/>
    <col min="87" max="88" width="11.6640625" hidden="1" customWidth="1"/>
    <col min="89" max="94" width="12.6640625" customWidth="1"/>
    <col min="95" max="96" width="11.33203125" customWidth="1"/>
    <col min="97" max="104" width="11.6640625" customWidth="1"/>
    <col min="105" max="108" width="13.44140625" customWidth="1"/>
    <col min="110" max="130" width="0.5546875" customWidth="1"/>
    <col min="131" max="132" width="15.5546875" customWidth="1"/>
    <col min="133" max="133" width="15.33203125" customWidth="1"/>
    <col min="134" max="134" width="14.5546875" customWidth="1"/>
    <col min="135" max="135" width="16.5546875" customWidth="1"/>
    <col min="136" max="138" width="18" customWidth="1"/>
    <col min="139" max="142" width="15.33203125" customWidth="1"/>
    <col min="143" max="143" width="11" customWidth="1"/>
    <col min="144" max="145" width="16" customWidth="1"/>
    <col min="146" max="146" width="9.33203125" customWidth="1"/>
    <col min="147" max="150" width="17" customWidth="1"/>
    <col min="153" max="153" width="10.6640625" customWidth="1"/>
    <col min="156" max="157" width="11.33203125" customWidth="1"/>
    <col min="158" max="161" width="9.6640625" customWidth="1"/>
    <col min="162" max="165" width="11.5546875" customWidth="1"/>
  </cols>
  <sheetData>
    <row r="1" spans="1:173" ht="15" thickBot="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ht="18" customHeight="1" thickBot="1" x14ac:dyDescent="0.35">
      <c r="A2" s="1"/>
      <c r="B2" s="2" t="s">
        <v>579</v>
      </c>
      <c r="C2" s="3"/>
      <c r="D2" s="3"/>
      <c r="E2" s="3"/>
      <c r="F2" s="3"/>
      <c r="G2" s="3"/>
      <c r="H2" s="4"/>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18" customHeight="1" x14ac:dyDescent="0.3">
      <c r="A3" s="1"/>
      <c r="B3" s="5" t="s">
        <v>0</v>
      </c>
      <c r="C3" s="6"/>
      <c r="D3" s="6"/>
      <c r="E3" s="6"/>
      <c r="F3" s="6"/>
      <c r="G3" s="6"/>
      <c r="H3" s="7"/>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18" customHeight="1" x14ac:dyDescent="0.3">
      <c r="A4" s="1"/>
      <c r="B4" s="8" t="s">
        <v>1</v>
      </c>
      <c r="C4" s="9"/>
      <c r="D4" s="9"/>
      <c r="E4" s="9"/>
      <c r="F4" s="9"/>
      <c r="G4" s="9"/>
      <c r="H4" s="10"/>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12.6" customHeight="1" x14ac:dyDescent="0.3">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row>
    <row r="6" spans="1:173" ht="12.6" customHeight="1" x14ac:dyDescent="0.3">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row>
    <row r="7" spans="1:173" ht="12.6" customHeight="1" x14ac:dyDescent="0.3">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c r="EU7" s="1"/>
      <c r="EV7" s="1"/>
      <c r="EW7" s="1"/>
      <c r="EX7" s="1"/>
      <c r="EY7" s="1"/>
      <c r="EZ7" s="1"/>
      <c r="FA7" s="1"/>
      <c r="FB7" s="1"/>
      <c r="FC7" s="1"/>
      <c r="FD7" s="1"/>
      <c r="FE7" s="1"/>
      <c r="FF7" s="1"/>
      <c r="FG7" s="1"/>
      <c r="FH7" s="1"/>
      <c r="FI7" s="1"/>
      <c r="FJ7" s="1"/>
      <c r="FK7" s="1"/>
      <c r="FL7" s="1"/>
      <c r="FM7" s="1"/>
      <c r="FN7" s="1"/>
      <c r="FO7" s="1"/>
      <c r="FP7" s="1"/>
      <c r="FQ7" s="1"/>
    </row>
    <row r="8" spans="1:173" ht="17.7" customHeight="1" x14ac:dyDescent="0.3">
      <c r="A8" s="1"/>
      <c r="B8" s="11" t="s">
        <v>2</v>
      </c>
      <c r="C8" s="12" t="s">
        <v>210</v>
      </c>
      <c r="D8" s="12" t="s">
        <v>211</v>
      </c>
      <c r="E8" s="124" t="s">
        <v>212</v>
      </c>
      <c r="F8" s="125"/>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56"/>
      <c r="CD8" s="56"/>
      <c r="CE8" s="56"/>
      <c r="CF8" s="56"/>
      <c r="CG8" s="56"/>
      <c r="CH8" s="56"/>
      <c r="CI8" s="56"/>
      <c r="CJ8" s="56"/>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row>
    <row r="9" spans="1:173" ht="10.35" customHeight="1" x14ac:dyDescent="0.3">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56"/>
      <c r="CD9" s="56"/>
      <c r="CE9" s="56"/>
      <c r="CF9" s="56"/>
      <c r="CG9" s="56"/>
      <c r="CH9" s="56"/>
      <c r="CI9" s="56"/>
      <c r="CJ9" s="56"/>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row>
    <row r="10" spans="1:173" x14ac:dyDescent="0.3">
      <c r="A10" s="1"/>
      <c r="B10" s="1"/>
      <c r="C10" s="13" t="s">
        <v>6</v>
      </c>
      <c r="D10" s="14"/>
      <c r="E10" s="14"/>
      <c r="F10" s="14"/>
      <c r="G10" s="14"/>
      <c r="H10" s="14"/>
      <c r="I10" s="14"/>
      <c r="J10" s="14"/>
      <c r="K10" s="14"/>
      <c r="L10" s="14"/>
      <c r="M10" s="14"/>
      <c r="N10" s="14"/>
      <c r="O10" s="14"/>
      <c r="P10" s="15" t="s">
        <v>580</v>
      </c>
      <c r="Q10" s="16"/>
      <c r="R10" s="16"/>
      <c r="S10" s="16"/>
      <c r="T10" s="16"/>
      <c r="U10" s="16"/>
      <c r="V10" s="16"/>
      <c r="W10" s="13" t="s">
        <v>628</v>
      </c>
      <c r="X10" s="17"/>
      <c r="Y10" s="17"/>
      <c r="Z10" s="17"/>
      <c r="AA10" s="17"/>
      <c r="AB10" s="17"/>
      <c r="AC10" s="17"/>
      <c r="AD10" s="13" t="s">
        <v>629</v>
      </c>
      <c r="AE10" s="17"/>
      <c r="AF10" s="17"/>
      <c r="AG10" s="18"/>
      <c r="AH10" s="19" t="s">
        <v>630</v>
      </c>
      <c r="AI10" s="20"/>
      <c r="AJ10" s="16"/>
      <c r="AK10" s="16"/>
      <c r="AL10" s="16"/>
      <c r="AM10" s="16"/>
      <c r="AN10" s="16"/>
      <c r="AO10" s="16"/>
      <c r="AP10" s="21"/>
      <c r="AQ10" s="19" t="s">
        <v>9</v>
      </c>
      <c r="AR10" s="16"/>
      <c r="AS10" s="16"/>
      <c r="AT10" s="16"/>
      <c r="AU10" s="16"/>
      <c r="AV10" s="16"/>
      <c r="AW10" s="16"/>
      <c r="AX10" s="16"/>
      <c r="AY10" s="21"/>
      <c r="AZ10" s="22" t="s">
        <v>10</v>
      </c>
      <c r="BA10" s="23"/>
      <c r="BB10" s="23"/>
      <c r="BC10" s="23"/>
      <c r="BD10" s="23"/>
      <c r="BE10" s="23"/>
      <c r="BF10" s="23"/>
      <c r="BG10" s="23"/>
      <c r="BH10" s="23"/>
      <c r="BI10" s="23"/>
      <c r="BJ10" s="23"/>
      <c r="BK10" s="23"/>
      <c r="BL10" s="23"/>
      <c r="BM10" s="23"/>
      <c r="BN10" s="23"/>
      <c r="BO10" s="23"/>
      <c r="BP10" s="23"/>
      <c r="BQ10" s="23"/>
      <c r="BR10" s="24"/>
      <c r="BS10" s="11"/>
      <c r="BT10" s="19"/>
      <c r="BU10" s="16"/>
      <c r="BV10" s="16"/>
      <c r="BW10" s="16"/>
      <c r="BX10" s="16"/>
      <c r="BY10" s="16"/>
      <c r="BZ10" s="16"/>
      <c r="CA10" s="16"/>
      <c r="CB10" s="16"/>
      <c r="CC10" s="58" t="s">
        <v>12</v>
      </c>
      <c r="CD10" s="59"/>
      <c r="CE10" s="59"/>
      <c r="CF10" s="59"/>
      <c r="CG10" s="59"/>
      <c r="CH10" s="59"/>
      <c r="CI10" s="59"/>
      <c r="CJ10" s="59"/>
      <c r="CK10" s="19" t="s">
        <v>581</v>
      </c>
      <c r="CL10" s="16"/>
      <c r="CM10" s="16"/>
      <c r="CN10" s="16"/>
      <c r="CO10" s="16"/>
      <c r="CP10" s="16"/>
      <c r="CQ10" s="16"/>
      <c r="CR10" s="16"/>
      <c r="CS10" s="19" t="s">
        <v>582</v>
      </c>
      <c r="CT10" s="127"/>
      <c r="CU10" s="59"/>
      <c r="CV10" s="59"/>
      <c r="CW10" s="59"/>
      <c r="CX10" s="59"/>
      <c r="CY10" s="59"/>
      <c r="CZ10" s="59"/>
      <c r="DA10" s="15" t="s">
        <v>15</v>
      </c>
      <c r="DB10" s="60"/>
      <c r="DC10" s="60"/>
      <c r="DD10" s="8" t="s">
        <v>16</v>
      </c>
      <c r="DE10" s="10"/>
      <c r="DF10" s="1"/>
      <c r="DG10" s="1"/>
      <c r="DH10" s="1"/>
      <c r="DI10" s="1"/>
      <c r="DJ10" s="1"/>
      <c r="DK10" s="1"/>
      <c r="DL10" s="1"/>
      <c r="DM10" s="1"/>
      <c r="DN10" s="1"/>
      <c r="DO10" s="1"/>
      <c r="DP10" s="1"/>
      <c r="DQ10" s="1"/>
      <c r="DR10" s="1"/>
      <c r="DS10" s="1"/>
      <c r="DT10" s="1"/>
      <c r="DU10" s="1"/>
      <c r="DV10" s="1"/>
      <c r="DW10" s="1"/>
      <c r="DX10" s="1"/>
      <c r="DY10" s="1"/>
      <c r="DZ10" s="1"/>
      <c r="EA10" s="13" t="s">
        <v>17</v>
      </c>
      <c r="EB10" s="14"/>
      <c r="EC10" s="14"/>
      <c r="ED10" s="14"/>
      <c r="EE10" s="14"/>
      <c r="EF10" s="14"/>
      <c r="EG10" s="14"/>
      <c r="EH10" s="14"/>
      <c r="EI10" s="14"/>
      <c r="EJ10" s="14"/>
      <c r="EK10" s="14"/>
      <c r="EL10" s="14"/>
      <c r="EM10" s="14"/>
      <c r="EN10" s="15" t="s">
        <v>583</v>
      </c>
      <c r="EO10" s="16"/>
      <c r="EP10" s="16"/>
      <c r="EQ10" s="16"/>
      <c r="ER10" s="16"/>
      <c r="ES10" s="16"/>
      <c r="ET10" s="16"/>
      <c r="EU10" s="16"/>
      <c r="EV10" s="13" t="s">
        <v>631</v>
      </c>
      <c r="EW10" s="14"/>
      <c r="EX10" s="14"/>
      <c r="EY10" s="61"/>
      <c r="EZ10" s="62" t="s">
        <v>19</v>
      </c>
      <c r="FA10" s="10"/>
      <c r="FB10" s="14" t="s">
        <v>632</v>
      </c>
      <c r="FC10" s="17"/>
      <c r="FD10" s="17"/>
      <c r="FE10" s="17"/>
      <c r="FF10" s="17"/>
      <c r="FG10" s="17"/>
      <c r="FH10" s="17"/>
      <c r="FI10" s="18"/>
      <c r="FJ10" s="1"/>
      <c r="FK10" s="1"/>
      <c r="FL10" s="1"/>
      <c r="FM10" s="1"/>
      <c r="FN10" s="1"/>
      <c r="FO10" s="1"/>
      <c r="FP10" s="1"/>
      <c r="FQ10" s="1"/>
    </row>
    <row r="11" spans="1:173" ht="78.75" customHeight="1" x14ac:dyDescent="0.3">
      <c r="A11" s="1"/>
      <c r="B11" s="25" t="s">
        <v>20</v>
      </c>
      <c r="C11" s="26" t="s">
        <v>21</v>
      </c>
      <c r="D11" s="27" t="s">
        <v>22</v>
      </c>
      <c r="E11" s="27" t="s">
        <v>23</v>
      </c>
      <c r="F11" s="27" t="s">
        <v>24</v>
      </c>
      <c r="G11" s="27" t="s">
        <v>36</v>
      </c>
      <c r="H11" s="27" t="s">
        <v>26</v>
      </c>
      <c r="I11" s="27" t="s">
        <v>27</v>
      </c>
      <c r="J11" s="121"/>
      <c r="K11" s="27" t="s">
        <v>29</v>
      </c>
      <c r="L11" s="27" t="s">
        <v>30</v>
      </c>
      <c r="M11" s="27" t="s">
        <v>31</v>
      </c>
      <c r="N11" s="27" t="s">
        <v>32</v>
      </c>
      <c r="O11" s="27" t="s">
        <v>33</v>
      </c>
      <c r="P11" s="26" t="s">
        <v>21</v>
      </c>
      <c r="Q11" s="27" t="s">
        <v>22</v>
      </c>
      <c r="R11" s="27" t="s">
        <v>34</v>
      </c>
      <c r="S11" s="27" t="s">
        <v>29</v>
      </c>
      <c r="T11" s="27" t="s">
        <v>30</v>
      </c>
      <c r="U11" s="27" t="s">
        <v>31</v>
      </c>
      <c r="V11" s="27" t="s">
        <v>32</v>
      </c>
      <c r="W11" s="27" t="s">
        <v>22</v>
      </c>
      <c r="X11" s="27" t="s">
        <v>23</v>
      </c>
      <c r="Y11" s="27" t="s">
        <v>35</v>
      </c>
      <c r="Z11" s="27" t="s">
        <v>36</v>
      </c>
      <c r="AA11" s="27" t="s">
        <v>26</v>
      </c>
      <c r="AB11" s="27" t="s">
        <v>27</v>
      </c>
      <c r="AC11" s="27" t="s">
        <v>28</v>
      </c>
      <c r="AD11" s="27" t="s">
        <v>29</v>
      </c>
      <c r="AE11" s="27" t="s">
        <v>30</v>
      </c>
      <c r="AF11" s="27" t="s">
        <v>31</v>
      </c>
      <c r="AG11" s="27" t="s">
        <v>32</v>
      </c>
      <c r="AH11" s="27" t="s">
        <v>37</v>
      </c>
      <c r="AI11" s="27" t="s">
        <v>38</v>
      </c>
      <c r="AJ11" s="27" t="s">
        <v>39</v>
      </c>
      <c r="AK11" s="27" t="s">
        <v>40</v>
      </c>
      <c r="AL11" s="27" t="s">
        <v>41</v>
      </c>
      <c r="AM11" s="27" t="s">
        <v>42</v>
      </c>
      <c r="AN11" s="121" t="s">
        <v>43</v>
      </c>
      <c r="AO11" s="27" t="s">
        <v>44</v>
      </c>
      <c r="AP11" s="27" t="s">
        <v>45</v>
      </c>
      <c r="AQ11" s="27" t="s">
        <v>37</v>
      </c>
      <c r="AR11" s="27" t="s">
        <v>38</v>
      </c>
      <c r="AS11" s="27" t="s">
        <v>39</v>
      </c>
      <c r="AT11" s="27" t="s">
        <v>40</v>
      </c>
      <c r="AU11" s="27" t="s">
        <v>41</v>
      </c>
      <c r="AV11" s="27" t="s">
        <v>42</v>
      </c>
      <c r="AW11" s="121"/>
      <c r="AX11" s="27" t="s">
        <v>44</v>
      </c>
      <c r="AY11" s="27" t="s">
        <v>45</v>
      </c>
      <c r="AZ11" s="27" t="s">
        <v>633</v>
      </c>
      <c r="BA11" s="27" t="s">
        <v>634</v>
      </c>
      <c r="BB11" s="27" t="s">
        <v>635</v>
      </c>
      <c r="BC11" s="27" t="s">
        <v>636</v>
      </c>
      <c r="BD11" s="27" t="s">
        <v>46</v>
      </c>
      <c r="BE11" s="27" t="s">
        <v>47</v>
      </c>
      <c r="BF11" s="27" t="s">
        <v>48</v>
      </c>
      <c r="BG11" s="27" t="s">
        <v>49</v>
      </c>
      <c r="BH11" s="27" t="s">
        <v>50</v>
      </c>
      <c r="BI11" s="27" t="s">
        <v>51</v>
      </c>
      <c r="BJ11" s="27" t="s">
        <v>52</v>
      </c>
      <c r="BK11" s="27" t="s">
        <v>53</v>
      </c>
      <c r="BL11" s="27" t="s">
        <v>54</v>
      </c>
      <c r="BM11" s="27" t="s">
        <v>55</v>
      </c>
      <c r="BN11" s="27" t="s">
        <v>56</v>
      </c>
      <c r="BO11" s="27" t="s">
        <v>57</v>
      </c>
      <c r="BP11" s="27" t="s">
        <v>637</v>
      </c>
      <c r="BQ11" s="27" t="s">
        <v>638</v>
      </c>
      <c r="BR11" s="27" t="s">
        <v>273</v>
      </c>
      <c r="BS11" s="27" t="s">
        <v>584</v>
      </c>
      <c r="BT11" s="27"/>
      <c r="BU11" s="27"/>
      <c r="BV11" s="27"/>
      <c r="BW11" s="27"/>
      <c r="BX11" s="27"/>
      <c r="BY11" s="27"/>
      <c r="BZ11" s="27"/>
      <c r="CA11" s="27"/>
      <c r="CB11" s="27"/>
      <c r="CC11" s="63" t="s">
        <v>68</v>
      </c>
      <c r="CD11" s="63" t="s">
        <v>69</v>
      </c>
      <c r="CE11" s="63" t="s">
        <v>70</v>
      </c>
      <c r="CF11" s="63" t="s">
        <v>71</v>
      </c>
      <c r="CG11" s="63" t="s">
        <v>72</v>
      </c>
      <c r="CH11" s="63" t="s">
        <v>73</v>
      </c>
      <c r="CI11" s="63" t="s">
        <v>74</v>
      </c>
      <c r="CJ11" s="63" t="s">
        <v>75</v>
      </c>
      <c r="CK11" s="27" t="s">
        <v>585</v>
      </c>
      <c r="CL11" s="27" t="s">
        <v>586</v>
      </c>
      <c r="CM11" s="27" t="s">
        <v>587</v>
      </c>
      <c r="CN11" s="27" t="s">
        <v>588</v>
      </c>
      <c r="CO11" s="27" t="s">
        <v>80</v>
      </c>
      <c r="CP11" s="27" t="s">
        <v>81</v>
      </c>
      <c r="CQ11" s="27" t="s">
        <v>82</v>
      </c>
      <c r="CR11" s="27" t="s">
        <v>589</v>
      </c>
      <c r="CS11" s="128" t="s">
        <v>590</v>
      </c>
      <c r="CT11" s="128" t="s">
        <v>591</v>
      </c>
      <c r="CU11" s="128" t="s">
        <v>592</v>
      </c>
      <c r="CV11" s="128" t="s">
        <v>593</v>
      </c>
      <c r="CW11" s="128" t="s">
        <v>88</v>
      </c>
      <c r="CX11" s="128" t="s">
        <v>89</v>
      </c>
      <c r="CY11" s="128" t="s">
        <v>90</v>
      </c>
      <c r="CZ11" s="128" t="s">
        <v>91</v>
      </c>
      <c r="DA11" s="64" t="s">
        <v>92</v>
      </c>
      <c r="DB11" s="64" t="s">
        <v>93</v>
      </c>
      <c r="DC11" s="64" t="s">
        <v>94</v>
      </c>
      <c r="DD11" s="64" t="s">
        <v>95</v>
      </c>
      <c r="DE11" s="64" t="s">
        <v>96</v>
      </c>
      <c r="DF11" s="1"/>
      <c r="DG11" s="1"/>
      <c r="DH11" s="1"/>
      <c r="DI11" s="1"/>
      <c r="DJ11" s="1"/>
      <c r="DK11" s="1"/>
      <c r="DL11" s="1"/>
      <c r="DM11" s="1"/>
      <c r="DN11" s="1"/>
      <c r="DO11" s="1"/>
      <c r="DP11" s="1"/>
      <c r="DQ11" s="1"/>
      <c r="DR11" s="1"/>
      <c r="DS11" s="1"/>
      <c r="DT11" s="1"/>
      <c r="DU11" s="1"/>
      <c r="DV11" s="1"/>
      <c r="DW11" s="1"/>
      <c r="DX11" s="1"/>
      <c r="DY11" s="1"/>
      <c r="DZ11" s="1"/>
      <c r="EA11" s="26" t="s">
        <v>97</v>
      </c>
      <c r="EB11" s="27" t="s">
        <v>98</v>
      </c>
      <c r="EC11" s="27" t="s">
        <v>99</v>
      </c>
      <c r="ED11" s="27" t="s">
        <v>100</v>
      </c>
      <c r="EE11" s="27" t="s">
        <v>101</v>
      </c>
      <c r="EF11" s="27" t="s">
        <v>102</v>
      </c>
      <c r="EG11" s="27" t="s">
        <v>103</v>
      </c>
      <c r="EH11" s="121"/>
      <c r="EI11" s="27" t="s">
        <v>104</v>
      </c>
      <c r="EJ11" s="27" t="s">
        <v>105</v>
      </c>
      <c r="EK11" s="27" t="s">
        <v>106</v>
      </c>
      <c r="EL11" s="27" t="s">
        <v>107</v>
      </c>
      <c r="EM11" s="27" t="s">
        <v>33</v>
      </c>
      <c r="EN11" s="27" t="s">
        <v>97</v>
      </c>
      <c r="EO11" s="27" t="s">
        <v>98</v>
      </c>
      <c r="EP11" s="27" t="s">
        <v>108</v>
      </c>
      <c r="EQ11" s="27" t="s">
        <v>104</v>
      </c>
      <c r="ER11" s="27" t="s">
        <v>105</v>
      </c>
      <c r="ES11" s="27" t="s">
        <v>106</v>
      </c>
      <c r="ET11" s="27" t="s">
        <v>107</v>
      </c>
      <c r="EU11" s="27" t="s">
        <v>594</v>
      </c>
      <c r="EV11" s="64" t="s">
        <v>639</v>
      </c>
      <c r="EW11" s="27" t="s">
        <v>99</v>
      </c>
      <c r="EX11" s="64" t="s">
        <v>110</v>
      </c>
      <c r="EY11" s="64" t="s">
        <v>640</v>
      </c>
      <c r="EZ11" s="64" t="s">
        <v>111</v>
      </c>
      <c r="FA11" s="64" t="s">
        <v>112</v>
      </c>
      <c r="FB11" s="27" t="s">
        <v>641</v>
      </c>
      <c r="FC11" s="27" t="s">
        <v>642</v>
      </c>
      <c r="FD11" s="27" t="s">
        <v>643</v>
      </c>
      <c r="FE11" s="27" t="s">
        <v>644</v>
      </c>
      <c r="FF11" s="27" t="s">
        <v>645</v>
      </c>
      <c r="FG11" s="27" t="s">
        <v>646</v>
      </c>
      <c r="FH11" s="27" t="s">
        <v>647</v>
      </c>
      <c r="FI11" s="27" t="s">
        <v>648</v>
      </c>
      <c r="FJ11" s="1"/>
      <c r="FK11" s="1"/>
      <c r="FL11" s="1"/>
      <c r="FM11" s="1"/>
      <c r="FN11" s="1"/>
      <c r="FO11" s="1"/>
      <c r="FP11" s="1"/>
      <c r="FQ11" s="1"/>
    </row>
    <row r="12" spans="1:173" x14ac:dyDescent="0.3">
      <c r="A12" s="1"/>
      <c r="B12" s="28">
        <v>1</v>
      </c>
      <c r="C12" s="129">
        <f>'[20]2. Distributional by deciles o'!B118</f>
        <v>121711868.98799995</v>
      </c>
      <c r="D12" s="129">
        <f>'[20]2. Distributional by deciles o'!C118</f>
        <v>126735670.14480002</v>
      </c>
      <c r="E12" s="129">
        <f>'[20]2. Distributional by deciles o'!D118</f>
        <v>121893953.68320005</v>
      </c>
      <c r="F12" s="129">
        <f>'[20]2. Distributional by deciles o'!E118</f>
        <v>126185259.77279998</v>
      </c>
      <c r="G12" s="129">
        <f>'[20]2. Distributional by deciles o'!F118</f>
        <v>124866178.12919998</v>
      </c>
      <c r="H12" s="129">
        <f>'[20]2. Distributional by deciles o'!G118</f>
        <v>122372697.68759999</v>
      </c>
      <c r="I12" s="129">
        <f>'[20]2. Distributional by deciles o'!H118</f>
        <v>122372697.68759999</v>
      </c>
      <c r="J12" s="122"/>
      <c r="K12" s="130" t="s">
        <v>113</v>
      </c>
      <c r="L12" s="130" t="s">
        <v>113</v>
      </c>
      <c r="M12" s="130" t="s">
        <v>113</v>
      </c>
      <c r="N12" s="130" t="s">
        <v>113</v>
      </c>
      <c r="O12" s="131">
        <f>C12/C$22*100</f>
        <v>3.0275562993503251E-2</v>
      </c>
      <c r="P12" s="129">
        <f>'[21]2. Distributional by deciles o'!B100</f>
        <v>16960840068.538807</v>
      </c>
      <c r="Q12" s="129">
        <f>'[21]2. Distributional by deciles o'!C100</f>
        <v>17126677022.389189</v>
      </c>
      <c r="R12" s="131">
        <f t="shared" ref="R12:R21" si="0">(Q12/P12-1)*100</f>
        <v>0.97776379695955207</v>
      </c>
      <c r="S12" s="130" t="s">
        <v>113</v>
      </c>
      <c r="T12" s="130" t="s">
        <v>113</v>
      </c>
      <c r="U12" s="130" t="s">
        <v>113</v>
      </c>
      <c r="V12" s="130" t="s">
        <v>113</v>
      </c>
      <c r="W12" s="132">
        <f>IF(D12&lt;&gt;0,((D12-$C12)/ABS($C12)) / ($Q12/$P12-1),0)</f>
        <v>4.2214879824822802</v>
      </c>
      <c r="X12" s="132">
        <f>IF(E12&lt;&gt;0,((E12-$C12)/ABS($C12)) / ($Q12/$P12-1),0)</f>
        <v>0.15300532974732201</v>
      </c>
      <c r="Y12" s="132">
        <f t="shared" ref="Y12:AA22" si="1">IF(F12&lt;&gt;0,MAX(((F12-$C12)/ABS($C12)) / ($Q12/$P12-1),0),0)</f>
        <v>3.7589794758136459</v>
      </c>
      <c r="Z12" s="132">
        <f t="shared" si="1"/>
        <v>2.6505583555165111</v>
      </c>
      <c r="AA12" s="132">
        <f t="shared" si="1"/>
        <v>0.55529276075446043</v>
      </c>
      <c r="AB12" s="132">
        <f>IF(I12&lt;&gt;0,MAX(((I12-$C12)/ABS($C12)) / ($Q12/$P12-1),0),AA12)</f>
        <v>0.55529276075446043</v>
      </c>
      <c r="AC12" s="132">
        <f>IF(J12&lt;&gt;0,MAX(((J12-$C12)/ABS($C12)) / ($Q12/$P12-1),0),AB12)</f>
        <v>0.55529276075446043</v>
      </c>
      <c r="AD12" s="130" t="s">
        <v>113</v>
      </c>
      <c r="AE12" s="130" t="s">
        <v>113</v>
      </c>
      <c r="AF12" s="130" t="s">
        <v>113</v>
      </c>
      <c r="AG12" s="130" t="s">
        <v>113</v>
      </c>
      <c r="AH12" s="133">
        <f t="shared" ref="AH12:AH22" si="2">MIN(W12,1)</f>
        <v>1</v>
      </c>
      <c r="AI12" s="134">
        <f>IF(W12&gt;1,MAX(W12-SUM(AH12,AJ12:AO12),0),0)</f>
        <v>0</v>
      </c>
      <c r="AJ12" s="134">
        <f t="shared" ref="AJ12:AJ22" si="3">IF(W12&gt;1,MIN($W12-Y12,W12-AH12),0)</f>
        <v>0.4625085066686343</v>
      </c>
      <c r="AK12" s="134">
        <f t="shared" ref="AK12:AK20" si="4">IF(W12&gt;1,MAX(MIN(Y12-Z12,W12-AH12-AJ12),0),0)</f>
        <v>1.1084211202971348</v>
      </c>
      <c r="AL12" s="134">
        <f>IF(W12&gt;1,MAX(MIN(Z12-AA12,W12-AH12-AJ12-AK12),0),0)</f>
        <v>1.6505583555165111</v>
      </c>
      <c r="AM12" s="134">
        <f>IF(I12&lt;&gt;0,IF(W12&gt;1,MAX(MIN(AA12-AB12,W12-AH12-AJ12-AK12-AL12),0),0),0)</f>
        <v>0</v>
      </c>
      <c r="AN12" s="135">
        <f t="shared" ref="AN12:AN13" si="5">IF(J12&lt;&gt;0,IF(W12&gt;1,MAX(MIN(AB12-AC12,W12-AH12-AJ12-AK12-AL12-AM12),0),0),0)</f>
        <v>0</v>
      </c>
      <c r="AO12" s="134">
        <f>IF(W12&gt;1,MAX(0,MIN(W12-AH12-AJ12-AK12-AL12-AM12,W12-AH12-AJ12-AK12-AL12-AM12-X12+1)),0)</f>
        <v>0</v>
      </c>
      <c r="AP12" s="134">
        <f t="shared" ref="AP12:AP22" si="6">AI12+AO12</f>
        <v>0</v>
      </c>
      <c r="AQ12" s="136" t="s">
        <v>113</v>
      </c>
      <c r="AR12" s="137">
        <f t="shared" ref="AR12:AY22" si="7">AI12/($W12-1)*100</f>
        <v>0</v>
      </c>
      <c r="AS12" s="137">
        <f t="shared" si="7"/>
        <v>14.356983766000386</v>
      </c>
      <c r="AT12" s="137">
        <f t="shared" si="7"/>
        <v>34.407116410940439</v>
      </c>
      <c r="AU12" s="137">
        <f t="shared" si="7"/>
        <v>51.235899823059171</v>
      </c>
      <c r="AV12" s="137">
        <f t="shared" si="7"/>
        <v>0</v>
      </c>
      <c r="AW12" s="138">
        <f t="shared" si="7"/>
        <v>0</v>
      </c>
      <c r="AX12" s="137">
        <f t="shared" si="7"/>
        <v>0</v>
      </c>
      <c r="AY12" s="137">
        <f t="shared" si="7"/>
        <v>0</v>
      </c>
      <c r="AZ12" s="139" t="s">
        <v>113</v>
      </c>
      <c r="BA12" s="139" t="s">
        <v>113</v>
      </c>
      <c r="BB12" s="139" t="s">
        <v>113</v>
      </c>
      <c r="BC12" s="139" t="s">
        <v>113</v>
      </c>
      <c r="BD12" s="139" t="s">
        <v>113</v>
      </c>
      <c r="BE12" s="139" t="s">
        <v>113</v>
      </c>
      <c r="BF12" s="139" t="s">
        <v>113</v>
      </c>
      <c r="BG12" s="139" t="s">
        <v>113</v>
      </c>
      <c r="BH12" s="129">
        <f>'[21]2. Distributional by deciles o'!B136</f>
        <v>6908850393.8844013</v>
      </c>
      <c r="BI12" s="129">
        <f>'[21]2. Distributional by deciles o'!B154</f>
        <v>5421368830.6559982</v>
      </c>
      <c r="BJ12" s="129">
        <f>'[21]2. Distributional by deciles o'!B172</f>
        <v>1764697586.2596006</v>
      </c>
      <c r="BK12" s="129">
        <f>'[21]2. Distributional by deciles o'!B190</f>
        <v>858933380.39160025</v>
      </c>
      <c r="BL12" s="141">
        <f>BH12/SUM($BH12:$BK12)</f>
        <v>0.46201147567694528</v>
      </c>
      <c r="BM12" s="141">
        <f t="shared" ref="BM12:BO12" si="8">BI12/SUM($BH12:$BK12)</f>
        <v>0.36253999881912657</v>
      </c>
      <c r="BN12" s="141">
        <f t="shared" si="8"/>
        <v>0.11800958038880692</v>
      </c>
      <c r="BO12" s="141">
        <f t="shared" si="8"/>
        <v>5.7438945115121293E-2</v>
      </c>
      <c r="BP12" s="139" t="s">
        <v>113</v>
      </c>
      <c r="BQ12" s="139" t="s">
        <v>113</v>
      </c>
      <c r="BR12" s="139" t="s">
        <v>113</v>
      </c>
      <c r="BS12" s="131">
        <f>P12/P$22*100</f>
        <v>0.79563814089933638</v>
      </c>
      <c r="BT12" s="139"/>
      <c r="BU12" s="139"/>
      <c r="BV12" s="139"/>
      <c r="BW12" s="139"/>
      <c r="BX12" s="139"/>
      <c r="BY12" s="139"/>
      <c r="BZ12" s="139"/>
      <c r="CA12" s="139"/>
      <c r="CB12" s="139"/>
      <c r="CC12" s="142" t="s">
        <v>113</v>
      </c>
      <c r="CD12" s="142" t="s">
        <v>113</v>
      </c>
      <c r="CE12" s="142" t="s">
        <v>113</v>
      </c>
      <c r="CF12" s="142" t="s">
        <v>113</v>
      </c>
      <c r="CG12" s="142" t="s">
        <v>113</v>
      </c>
      <c r="CH12" s="142" t="s">
        <v>113</v>
      </c>
      <c r="CI12" s="142" t="s">
        <v>113</v>
      </c>
      <c r="CJ12" s="142"/>
      <c r="CK12" s="139" t="s">
        <v>113</v>
      </c>
      <c r="CL12" s="139" t="s">
        <v>113</v>
      </c>
      <c r="CM12" s="139" t="s">
        <v>113</v>
      </c>
      <c r="CN12" s="139" t="s">
        <v>113</v>
      </c>
      <c r="CO12" s="139" t="s">
        <v>113</v>
      </c>
      <c r="CP12" s="139" t="s">
        <v>113</v>
      </c>
      <c r="CQ12" s="139" t="s">
        <v>113</v>
      </c>
      <c r="CR12" s="139"/>
      <c r="CS12" s="143" t="s">
        <v>113</v>
      </c>
      <c r="CT12" s="143" t="s">
        <v>113</v>
      </c>
      <c r="CU12" s="143" t="s">
        <v>113</v>
      </c>
      <c r="CV12" s="143" t="s">
        <v>113</v>
      </c>
      <c r="CW12" s="143" t="s">
        <v>113</v>
      </c>
      <c r="CX12" s="143" t="s">
        <v>113</v>
      </c>
      <c r="CY12" s="143" t="s">
        <v>113</v>
      </c>
      <c r="CZ12" s="143"/>
      <c r="DA12" s="139" t="s">
        <v>113</v>
      </c>
      <c r="DB12" s="139" t="s">
        <v>113</v>
      </c>
      <c r="DC12" s="139" t="s">
        <v>113</v>
      </c>
      <c r="DD12" s="144">
        <f>(1-DE12)*100</f>
        <v>92.635051499048132</v>
      </c>
      <c r="DE12" s="428">
        <f>'[21]2. Distributional by deciles o'!I28</f>
        <v>7.3649485009518637E-2</v>
      </c>
      <c r="DF12" s="1"/>
      <c r="DG12" s="1"/>
      <c r="DH12" s="1"/>
      <c r="DI12" s="1"/>
      <c r="DJ12" s="1"/>
      <c r="DK12" s="1"/>
      <c r="DL12" s="1"/>
      <c r="DM12" s="1"/>
      <c r="DN12" s="1"/>
      <c r="DO12" s="1"/>
      <c r="DP12" s="1"/>
      <c r="DQ12" s="1"/>
      <c r="DR12" s="1"/>
      <c r="DS12" s="1"/>
      <c r="DT12" s="1"/>
      <c r="DU12" s="1"/>
      <c r="DV12" s="1"/>
      <c r="DW12" s="1"/>
      <c r="DX12" s="1"/>
      <c r="DY12" s="1"/>
      <c r="DZ12" s="1"/>
      <c r="EA12" s="129">
        <f>'[22]2. Distributional by deciles o'!B118</f>
        <v>111934136.63399994</v>
      </c>
      <c r="EB12" s="129">
        <f>'[22]2. Distributional by deciles o'!C118</f>
        <v>115068445.58760001</v>
      </c>
      <c r="EC12" s="129">
        <f>'[22]2. Distributional by deciles o'!D118</f>
        <v>112211746.61039999</v>
      </c>
      <c r="ED12" s="147"/>
      <c r="EE12" s="147"/>
      <c r="EF12" s="147"/>
      <c r="EG12" s="129"/>
      <c r="EH12" s="122"/>
      <c r="EI12" s="130" t="s">
        <v>113</v>
      </c>
      <c r="EJ12" s="130" t="s">
        <v>113</v>
      </c>
      <c r="EK12" s="130" t="s">
        <v>113</v>
      </c>
      <c r="EL12" s="130" t="s">
        <v>113</v>
      </c>
      <c r="EM12" s="131">
        <f t="shared" ref="EM12:EM21" si="9">EA12/EA$22*100</f>
        <v>2.5526165211621862E-2</v>
      </c>
      <c r="EN12" s="129">
        <f>'[23]2. Distributional by deciles o'!B100</f>
        <v>19243772064.607212</v>
      </c>
      <c r="EO12" s="129">
        <f>'[23]2. Distributional by deciles o'!C100</f>
        <v>19431691331.159988</v>
      </c>
      <c r="EP12" s="131">
        <f t="shared" ref="EP12:EP21" si="10">(EO12/EN12-1)*100</f>
        <v>0.97651991471252586</v>
      </c>
      <c r="EQ12" s="130" t="s">
        <v>113</v>
      </c>
      <c r="ER12" s="130" t="s">
        <v>113</v>
      </c>
      <c r="ES12" s="130" t="s">
        <v>113</v>
      </c>
      <c r="ET12" s="130" t="s">
        <v>113</v>
      </c>
      <c r="EU12" s="131">
        <f>EN12/EN$22*100</f>
        <v>0.79114488359056034</v>
      </c>
      <c r="EV12" s="132">
        <f>((EB12-$EA12)/ABS($EA12)) / ($EO12/$EN12-1)</f>
        <v>2.8674651274937477</v>
      </c>
      <c r="EW12" s="132">
        <f>IF(EC12&lt;&gt;0,((EC12-$EA12)/ABS($EA12)) / ($EO12/$EN12-1),0)</f>
        <v>0.25397525839217971</v>
      </c>
      <c r="EX12" s="132"/>
      <c r="EY12" s="148">
        <f t="shared" ref="EY12:EY22" si="11">EV12-W12</f>
        <v>-1.3540228549885325</v>
      </c>
      <c r="EZ12" s="144">
        <f>(1-FA12)*100</f>
        <v>94.182330929889133</v>
      </c>
      <c r="FA12" s="428">
        <f>'[23]2. Distributional by deciles o'!I28</f>
        <v>5.8176690701108646E-2</v>
      </c>
      <c r="FB12" s="130" t="s">
        <v>113</v>
      </c>
      <c r="FC12" s="130" t="s">
        <v>113</v>
      </c>
      <c r="FD12" s="130" t="s">
        <v>113</v>
      </c>
      <c r="FE12" s="130" t="s">
        <v>113</v>
      </c>
      <c r="FF12" s="130" t="s">
        <v>113</v>
      </c>
      <c r="FG12" s="130" t="s">
        <v>113</v>
      </c>
      <c r="FH12" s="130" t="s">
        <v>113</v>
      </c>
      <c r="FI12" s="130" t="s">
        <v>113</v>
      </c>
      <c r="FJ12" s="1"/>
      <c r="FK12" s="1"/>
      <c r="FL12" s="1"/>
      <c r="FM12" s="1"/>
      <c r="FN12" s="1"/>
      <c r="FO12" s="1"/>
      <c r="FP12" s="1"/>
      <c r="FQ12" s="1"/>
    </row>
    <row r="13" spans="1:173" x14ac:dyDescent="0.3">
      <c r="A13" s="1"/>
      <c r="B13" s="28">
        <v>2</v>
      </c>
      <c r="C13" s="129">
        <f>'[20]2. Distributional by deciles o'!B119</f>
        <v>1885103050.9344013</v>
      </c>
      <c r="D13" s="129">
        <f>'[20]2. Distributional by deciles o'!C119</f>
        <v>1979441367.1944017</v>
      </c>
      <c r="E13" s="129">
        <f>'[20]2. Distributional by deciles o'!D119</f>
        <v>1901388472.7196014</v>
      </c>
      <c r="F13" s="129">
        <f>'[20]2. Distributional by deciles o'!E119</f>
        <v>1961419486.1279976</v>
      </c>
      <c r="G13" s="129">
        <f>'[20]2. Distributional by deciles o'!F119</f>
        <v>1936107053.5871983</v>
      </c>
      <c r="H13" s="129">
        <f>'[20]2. Distributional by deciles o'!G119</f>
        <v>1906130590.2731996</v>
      </c>
      <c r="I13" s="129">
        <f>'[20]2. Distributional by deciles o'!H119</f>
        <v>1906110840.2255995</v>
      </c>
      <c r="J13" s="122"/>
      <c r="K13" s="130" t="s">
        <v>113</v>
      </c>
      <c r="L13" s="130" t="s">
        <v>113</v>
      </c>
      <c r="M13" s="130" t="s">
        <v>113</v>
      </c>
      <c r="N13" s="130" t="s">
        <v>113</v>
      </c>
      <c r="O13" s="131">
        <f t="shared" ref="O13:O21" si="12">C13/C$22*100</f>
        <v>0.46891528856102477</v>
      </c>
      <c r="P13" s="129">
        <f>'[21]2. Distributional by deciles o'!B101</f>
        <v>74223656365.209564</v>
      </c>
      <c r="Q13" s="129">
        <f>'[21]2. Distributional by deciles o'!C101</f>
        <v>74962113172.706467</v>
      </c>
      <c r="R13" s="131">
        <f t="shared" si="0"/>
        <v>0.9949076125587375</v>
      </c>
      <c r="S13" s="130" t="s">
        <v>113</v>
      </c>
      <c r="T13" s="130" t="s">
        <v>113</v>
      </c>
      <c r="U13" s="130" t="s">
        <v>113</v>
      </c>
      <c r="V13" s="130" t="s">
        <v>113</v>
      </c>
      <c r="W13" s="132">
        <f t="shared" ref="W13:X22" si="13">IF(D13&lt;&gt;0,((D13-$C13)/ABS($C13)) / ($Q13/$P13-1),0)</f>
        <v>5.0300264705273428</v>
      </c>
      <c r="X13" s="132">
        <f t="shared" si="13"/>
        <v>0.86832271245434278</v>
      </c>
      <c r="Y13" s="132">
        <f t="shared" si="1"/>
        <v>4.0691174527866467</v>
      </c>
      <c r="Z13" s="132">
        <f t="shared" si="1"/>
        <v>2.7194833829697433</v>
      </c>
      <c r="AA13" s="132">
        <f t="shared" si="1"/>
        <v>1.1211677680647407</v>
      </c>
      <c r="AB13" s="132">
        <f t="shared" ref="AB13:AC22" si="14">IF(I13&lt;&gt;0,MAX(((I13-$C13)/ABS($C13)) / ($Q13/$P13-1),0),AA13)</f>
        <v>1.1201147149028789</v>
      </c>
      <c r="AC13" s="132">
        <f t="shared" si="14"/>
        <v>1.1201147149028789</v>
      </c>
      <c r="AD13" s="130" t="s">
        <v>113</v>
      </c>
      <c r="AE13" s="130" t="s">
        <v>113</v>
      </c>
      <c r="AF13" s="130" t="s">
        <v>113</v>
      </c>
      <c r="AG13" s="130" t="s">
        <v>113</v>
      </c>
      <c r="AH13" s="133">
        <f t="shared" si="2"/>
        <v>1</v>
      </c>
      <c r="AI13" s="134">
        <f t="shared" ref="AI13:AI22" si="15">IF(W13&gt;1,MAX(W13-SUM(AH13,AJ13:AO13),0),0)</f>
        <v>0</v>
      </c>
      <c r="AJ13" s="134">
        <f t="shared" si="3"/>
        <v>0.96090901774069604</v>
      </c>
      <c r="AK13" s="134">
        <f t="shared" si="4"/>
        <v>1.3496340698169034</v>
      </c>
      <c r="AL13" s="134">
        <f t="shared" ref="AL13:AL22" si="16">IF(W13&gt;1,MAX(MIN(Z13-AA13,W13-AH13-AJ13-AK13),0),0)</f>
        <v>1.5983156149050026</v>
      </c>
      <c r="AM13" s="134">
        <f t="shared" ref="AM13:AM22" si="17">IF(I13&lt;&gt;0,IF(W13&gt;1,MAX(MIN(AA13-AB13,W13-AH13-AJ13-AK13-AL13),0),0),0)</f>
        <v>1.0530531618617722E-3</v>
      </c>
      <c r="AN13" s="135">
        <f t="shared" si="5"/>
        <v>0</v>
      </c>
      <c r="AO13" s="134">
        <f t="shared" ref="AO13:AO22" si="18">IF(W13&gt;1,MAX(0,MIN(W13-AH13-AJ13-AK13-AL13-AM13,W13-AH13-AJ13-AK13-AL13-AM13-X13+1)),0)</f>
        <v>0.12011471490287895</v>
      </c>
      <c r="AP13" s="134">
        <f t="shared" si="6"/>
        <v>0.12011471490287895</v>
      </c>
      <c r="AQ13" s="136" t="s">
        <v>113</v>
      </c>
      <c r="AR13" s="137">
        <f t="shared" si="7"/>
        <v>0</v>
      </c>
      <c r="AS13" s="137">
        <f t="shared" si="7"/>
        <v>23.843739607371806</v>
      </c>
      <c r="AT13" s="137">
        <f t="shared" si="7"/>
        <v>33.489459180656425</v>
      </c>
      <c r="AU13" s="137">
        <f t="shared" si="7"/>
        <v>39.660176591739791</v>
      </c>
      <c r="AV13" s="137">
        <f t="shared" si="7"/>
        <v>2.6130179778297503E-2</v>
      </c>
      <c r="AW13" s="138">
        <f t="shared" si="7"/>
        <v>0</v>
      </c>
      <c r="AX13" s="137">
        <f t="shared" si="7"/>
        <v>2.980494440453676</v>
      </c>
      <c r="AY13" s="137">
        <f t="shared" si="7"/>
        <v>2.980494440453676</v>
      </c>
      <c r="AZ13" s="139" t="s">
        <v>113</v>
      </c>
      <c r="BA13" s="139" t="s">
        <v>113</v>
      </c>
      <c r="BB13" s="139" t="s">
        <v>113</v>
      </c>
      <c r="BC13" s="139" t="s">
        <v>113</v>
      </c>
      <c r="BD13" s="139" t="s">
        <v>113</v>
      </c>
      <c r="BE13" s="139" t="s">
        <v>113</v>
      </c>
      <c r="BF13" s="139" t="s">
        <v>113</v>
      </c>
      <c r="BG13" s="139" t="s">
        <v>113</v>
      </c>
      <c r="BH13" s="129">
        <f>'[21]2. Distributional by deciles o'!B137</f>
        <v>28624068874.397999</v>
      </c>
      <c r="BI13" s="129">
        <f>'[21]2. Distributional by deciles o'!B155</f>
        <v>35128458596.222305</v>
      </c>
      <c r="BJ13" s="129">
        <f>'[21]2. Distributional by deciles o'!B173</f>
        <v>5865196933.5120049</v>
      </c>
      <c r="BK13" s="129">
        <f>'[21]2. Distributional by deciles o'!B191</f>
        <v>1331588036.7684014</v>
      </c>
      <c r="BL13" s="141">
        <f t="shared" ref="BL13:BL22" si="19">BH13/SUM($BH13:$BK13)</f>
        <v>0.40344392200053025</v>
      </c>
      <c r="BM13" s="141">
        <f t="shared" ref="BM13:BM22" si="20">BI13/SUM($BH13:$BK13)</f>
        <v>0.49512049359863175</v>
      </c>
      <c r="BN13" s="141">
        <f t="shared" ref="BN13:BO22" si="21">BJ13/SUM($BH13:$BK13)</f>
        <v>8.2667424556053179E-2</v>
      </c>
      <c r="BO13" s="141">
        <f t="shared" si="21"/>
        <v>1.8768159844784773E-2</v>
      </c>
      <c r="BP13" s="139" t="s">
        <v>113</v>
      </c>
      <c r="BQ13" s="139" t="s">
        <v>113</v>
      </c>
      <c r="BR13" s="139" t="s">
        <v>113</v>
      </c>
      <c r="BS13" s="131">
        <f t="shared" ref="BS13:BS21" si="22">P13/P$22*100</f>
        <v>3.4818541842576427</v>
      </c>
      <c r="BT13" s="139"/>
      <c r="BU13" s="139"/>
      <c r="BV13" s="139"/>
      <c r="BW13" s="139"/>
      <c r="BX13" s="139"/>
      <c r="BY13" s="139"/>
      <c r="BZ13" s="139"/>
      <c r="CA13" s="139"/>
      <c r="CB13" s="139"/>
      <c r="CC13" s="142" t="s">
        <v>113</v>
      </c>
      <c r="CD13" s="142" t="s">
        <v>113</v>
      </c>
      <c r="CE13" s="142" t="s">
        <v>113</v>
      </c>
      <c r="CF13" s="142" t="s">
        <v>113</v>
      </c>
      <c r="CG13" s="142" t="s">
        <v>113</v>
      </c>
      <c r="CH13" s="142" t="s">
        <v>113</v>
      </c>
      <c r="CI13" s="142" t="s">
        <v>113</v>
      </c>
      <c r="CJ13" s="142"/>
      <c r="CK13" s="139" t="s">
        <v>113</v>
      </c>
      <c r="CL13" s="139" t="s">
        <v>113</v>
      </c>
      <c r="CM13" s="139" t="s">
        <v>113</v>
      </c>
      <c r="CN13" s="139" t="s">
        <v>113</v>
      </c>
      <c r="CO13" s="139" t="s">
        <v>113</v>
      </c>
      <c r="CP13" s="139" t="s">
        <v>113</v>
      </c>
      <c r="CQ13" s="139" t="s">
        <v>113</v>
      </c>
      <c r="CR13" s="139"/>
      <c r="CS13" s="143" t="s">
        <v>113</v>
      </c>
      <c r="CT13" s="143" t="s">
        <v>113</v>
      </c>
      <c r="CU13" s="143" t="s">
        <v>113</v>
      </c>
      <c r="CV13" s="143" t="s">
        <v>113</v>
      </c>
      <c r="CW13" s="143" t="s">
        <v>113</v>
      </c>
      <c r="CX13" s="143" t="s">
        <v>113</v>
      </c>
      <c r="CY13" s="143" t="s">
        <v>113</v>
      </c>
      <c r="CZ13" s="143"/>
      <c r="DA13" s="139" t="s">
        <v>113</v>
      </c>
      <c r="DB13" s="139" t="s">
        <v>113</v>
      </c>
      <c r="DC13" s="139" t="s">
        <v>113</v>
      </c>
      <c r="DD13" s="144">
        <f t="shared" ref="DD13:DD22" si="23">(1-DE13)*100</f>
        <v>48.212024146275681</v>
      </c>
      <c r="DE13" s="428">
        <f>'[21]2. Distributional by deciles o'!I29</f>
        <v>0.51787975853724322</v>
      </c>
      <c r="DF13" s="1"/>
      <c r="DG13" s="1"/>
      <c r="DH13" s="1"/>
      <c r="DI13" s="1"/>
      <c r="DJ13" s="1"/>
      <c r="DK13" s="1"/>
      <c r="DL13" s="1"/>
      <c r="DM13" s="1"/>
      <c r="DN13" s="1"/>
      <c r="DO13" s="1"/>
      <c r="DP13" s="1"/>
      <c r="DQ13" s="1"/>
      <c r="DR13" s="1"/>
      <c r="DS13" s="1"/>
      <c r="DT13" s="1"/>
      <c r="DU13" s="1"/>
      <c r="DV13" s="1"/>
      <c r="DW13" s="1"/>
      <c r="DX13" s="1"/>
      <c r="DY13" s="1"/>
      <c r="DZ13" s="1"/>
      <c r="EA13" s="129">
        <f>'[22]2. Distributional by deciles o'!B119</f>
        <v>1788616498.8083982</v>
      </c>
      <c r="EB13" s="129">
        <f>'[22]2. Distributional by deciles o'!C119</f>
        <v>1859118085.1471977</v>
      </c>
      <c r="EC13" s="129">
        <f>'[22]2. Distributional by deciles o'!D119</f>
        <v>1803410108.5199995</v>
      </c>
      <c r="ED13" s="147"/>
      <c r="EE13" s="147"/>
      <c r="EF13" s="147"/>
      <c r="EG13" s="129"/>
      <c r="EH13" s="122"/>
      <c r="EI13" s="130" t="s">
        <v>113</v>
      </c>
      <c r="EJ13" s="130" t="s">
        <v>113</v>
      </c>
      <c r="EK13" s="130" t="s">
        <v>113</v>
      </c>
      <c r="EL13" s="130" t="s">
        <v>113</v>
      </c>
      <c r="EM13" s="131">
        <f t="shared" si="9"/>
        <v>0.40788736681913784</v>
      </c>
      <c r="EN13" s="129">
        <f>'[23]2. Distributional by deciles o'!B101</f>
        <v>84441509255.866974</v>
      </c>
      <c r="EO13" s="129">
        <f>'[23]2. Distributional by deciles o'!C101</f>
        <v>85282179542.776733</v>
      </c>
      <c r="EP13" s="131">
        <f t="shared" si="10"/>
        <v>0.99556520758343758</v>
      </c>
      <c r="EQ13" s="130" t="s">
        <v>113</v>
      </c>
      <c r="ER13" s="130" t="s">
        <v>113</v>
      </c>
      <c r="ES13" s="130" t="s">
        <v>113</v>
      </c>
      <c r="ET13" s="130" t="s">
        <v>113</v>
      </c>
      <c r="EU13" s="131">
        <f t="shared" ref="EU13:EU21" si="24">EN13/EN$22*100</f>
        <v>3.4715370659223024</v>
      </c>
      <c r="EV13" s="132">
        <f t="shared" ref="EV13:EV22" si="25">((EB13-$EA13)/ABS($EA13)) / ($EO13/$EN13-1)</f>
        <v>3.9592410695517142</v>
      </c>
      <c r="EW13" s="132">
        <f t="shared" ref="EW13:EW22" si="26">IF(EC13&lt;&gt;0,((EC13-$EA13)/ABS($EA13)) / ($EO13/$EN13-1),0)</f>
        <v>0.83078225865191457</v>
      </c>
      <c r="EX13" s="132"/>
      <c r="EY13" s="148">
        <f t="shared" si="11"/>
        <v>-1.0707854009756286</v>
      </c>
      <c r="EZ13" s="144">
        <f t="shared" ref="EZ13:EZ22" si="27">(1-FA13)*100</f>
        <v>52.010511765531952</v>
      </c>
      <c r="FA13" s="428">
        <f>'[23]2. Distributional by deciles o'!I29</f>
        <v>0.47989488234468047</v>
      </c>
      <c r="FB13" s="130" t="s">
        <v>113</v>
      </c>
      <c r="FC13" s="130" t="s">
        <v>113</v>
      </c>
      <c r="FD13" s="130" t="s">
        <v>113</v>
      </c>
      <c r="FE13" s="130" t="s">
        <v>113</v>
      </c>
      <c r="FF13" s="130" t="s">
        <v>113</v>
      </c>
      <c r="FG13" s="130" t="s">
        <v>113</v>
      </c>
      <c r="FH13" s="130" t="s">
        <v>113</v>
      </c>
      <c r="FI13" s="130" t="s">
        <v>113</v>
      </c>
      <c r="FJ13" s="1"/>
      <c r="FK13" s="1"/>
      <c r="FL13" s="1"/>
      <c r="FM13" s="1"/>
      <c r="FN13" s="1"/>
      <c r="FO13" s="1"/>
      <c r="FP13" s="1"/>
      <c r="FQ13" s="1"/>
    </row>
    <row r="14" spans="1:173" x14ac:dyDescent="0.3">
      <c r="A14" s="1"/>
      <c r="B14" s="28">
        <v>3</v>
      </c>
      <c r="C14" s="129">
        <f>'[20]2. Distributional by deciles o'!B120</f>
        <v>5329331788.6919994</v>
      </c>
      <c r="D14" s="129">
        <f>'[20]2. Distributional by deciles o'!C120</f>
        <v>5516294184.1092014</v>
      </c>
      <c r="E14" s="129">
        <f>'[20]2. Distributional by deciles o'!D120</f>
        <v>5380456237.4171934</v>
      </c>
      <c r="F14" s="129">
        <f>'[20]2. Distributional by deciles o'!E120</f>
        <v>5448585073.0991974</v>
      </c>
      <c r="G14" s="129">
        <f>'[20]2. Distributional by deciles o'!F120</f>
        <v>5419853566.9703989</v>
      </c>
      <c r="H14" s="129">
        <f>'[20]2. Distributional by deciles o'!G120</f>
        <v>5389796515.4663982</v>
      </c>
      <c r="I14" s="129">
        <f>'[20]2. Distributional by deciles o'!H120</f>
        <v>5402994394.6056013</v>
      </c>
      <c r="J14" s="122"/>
      <c r="K14" s="130" t="s">
        <v>113</v>
      </c>
      <c r="L14" s="130" t="s">
        <v>113</v>
      </c>
      <c r="M14" s="130" t="s">
        <v>113</v>
      </c>
      <c r="N14" s="130" t="s">
        <v>113</v>
      </c>
      <c r="O14" s="131">
        <f t="shared" si="12"/>
        <v>1.3256597045414855</v>
      </c>
      <c r="P14" s="129">
        <f>'[21]2. Distributional by deciles o'!B102</f>
        <v>109876478277.75864</v>
      </c>
      <c r="Q14" s="129">
        <f>'[21]2. Distributional by deciles o'!C102</f>
        <v>110972347190.75166</v>
      </c>
      <c r="R14" s="131">
        <f t="shared" si="0"/>
        <v>0.99736443155991061</v>
      </c>
      <c r="S14" s="130" t="s">
        <v>113</v>
      </c>
      <c r="T14" s="130" t="s">
        <v>113</v>
      </c>
      <c r="U14" s="130" t="s">
        <v>113</v>
      </c>
      <c r="V14" s="130" t="s">
        <v>113</v>
      </c>
      <c r="W14" s="132">
        <f t="shared" si="13"/>
        <v>3.5174475366260394</v>
      </c>
      <c r="X14" s="132">
        <f t="shared" si="13"/>
        <v>0.96183815910422521</v>
      </c>
      <c r="Y14" s="132">
        <f t="shared" si="1"/>
        <v>2.2435911271709594</v>
      </c>
      <c r="Z14" s="132">
        <f t="shared" si="1"/>
        <v>1.7030462479144559</v>
      </c>
      <c r="AA14" s="132">
        <f t="shared" si="1"/>
        <v>1.137563004425473</v>
      </c>
      <c r="AB14" s="132">
        <f t="shared" si="14"/>
        <v>1.3858634573763811</v>
      </c>
      <c r="AC14" s="132">
        <f t="shared" si="14"/>
        <v>1.3858634573763811</v>
      </c>
      <c r="AD14" s="130" t="s">
        <v>113</v>
      </c>
      <c r="AE14" s="130" t="s">
        <v>113</v>
      </c>
      <c r="AF14" s="130" t="s">
        <v>113</v>
      </c>
      <c r="AG14" s="130" t="s">
        <v>113</v>
      </c>
      <c r="AH14" s="133">
        <f t="shared" si="2"/>
        <v>1</v>
      </c>
      <c r="AI14" s="134">
        <f t="shared" si="15"/>
        <v>0</v>
      </c>
      <c r="AJ14" s="134">
        <f t="shared" si="3"/>
        <v>1.2738564094550799</v>
      </c>
      <c r="AK14" s="134">
        <f t="shared" si="4"/>
        <v>0.54054487925650352</v>
      </c>
      <c r="AL14" s="134">
        <f t="shared" si="16"/>
        <v>0.56548324348898293</v>
      </c>
      <c r="AM14" s="134">
        <f t="shared" si="17"/>
        <v>0</v>
      </c>
      <c r="AN14" s="135">
        <f>IF(J14&lt;&gt;0,IF(W14&gt;1,MAX(MIN(AB14-AC14,W14-AH14-AJ14-AK14-AL14-AM14),0),0),0)</f>
        <v>0</v>
      </c>
      <c r="AO14" s="134">
        <f t="shared" si="18"/>
        <v>0.13756300442547298</v>
      </c>
      <c r="AP14" s="134">
        <f t="shared" si="6"/>
        <v>0.13756300442547298</v>
      </c>
      <c r="AQ14" s="136" t="s">
        <v>113</v>
      </c>
      <c r="AR14" s="137">
        <f t="shared" si="7"/>
        <v>0</v>
      </c>
      <c r="AS14" s="137">
        <f t="shared" si="7"/>
        <v>50.601110486788592</v>
      </c>
      <c r="AT14" s="137">
        <f t="shared" si="7"/>
        <v>21.471942171273938</v>
      </c>
      <c r="AU14" s="137">
        <f t="shared" si="7"/>
        <v>22.46256318202607</v>
      </c>
      <c r="AV14" s="137">
        <f t="shared" si="7"/>
        <v>0</v>
      </c>
      <c r="AW14" s="138">
        <f t="shared" si="7"/>
        <v>0</v>
      </c>
      <c r="AX14" s="137">
        <f t="shared" si="7"/>
        <v>5.4643841599113978</v>
      </c>
      <c r="AY14" s="137">
        <f t="shared" si="7"/>
        <v>5.4643841599113978</v>
      </c>
      <c r="AZ14" s="139" t="s">
        <v>113</v>
      </c>
      <c r="BA14" s="139" t="s">
        <v>113</v>
      </c>
      <c r="BB14" s="139" t="s">
        <v>113</v>
      </c>
      <c r="BC14" s="139" t="s">
        <v>113</v>
      </c>
      <c r="BD14" s="139" t="s">
        <v>113</v>
      </c>
      <c r="BE14" s="139" t="s">
        <v>113</v>
      </c>
      <c r="BF14" s="139" t="s">
        <v>113</v>
      </c>
      <c r="BG14" s="139" t="s">
        <v>113</v>
      </c>
      <c r="BH14" s="129">
        <f>'[21]2. Distributional by deciles o'!B138</f>
        <v>46038141075.800407</v>
      </c>
      <c r="BI14" s="129">
        <f>'[21]2. Distributional by deciles o'!B156</f>
        <v>54684526362.838882</v>
      </c>
      <c r="BJ14" s="129">
        <f>'[21]2. Distributional by deciles o'!B174</f>
        <v>5487004028.7011995</v>
      </c>
      <c r="BK14" s="129">
        <f>'[21]2. Distributional by deciles o'!B192</f>
        <v>1956184803.1152</v>
      </c>
      <c r="BL14" s="141">
        <f t="shared" si="19"/>
        <v>0.42562544839184357</v>
      </c>
      <c r="BM14" s="141">
        <f t="shared" si="20"/>
        <v>0.5055618126491489</v>
      </c>
      <c r="BN14" s="141">
        <f t="shared" si="21"/>
        <v>5.0727690029852002E-2</v>
      </c>
      <c r="BO14" s="141">
        <f t="shared" si="21"/>
        <v>1.8085048929155571E-2</v>
      </c>
      <c r="BP14" s="139" t="s">
        <v>113</v>
      </c>
      <c r="BQ14" s="139" t="s">
        <v>113</v>
      </c>
      <c r="BR14" s="139" t="s">
        <v>113</v>
      </c>
      <c r="BS14" s="131">
        <f t="shared" si="22"/>
        <v>5.1543388506825112</v>
      </c>
      <c r="BT14" s="139"/>
      <c r="BU14" s="139"/>
      <c r="BV14" s="139"/>
      <c r="BW14" s="139"/>
      <c r="BX14" s="139"/>
      <c r="BY14" s="139"/>
      <c r="BZ14" s="139"/>
      <c r="CA14" s="139"/>
      <c r="CB14" s="139"/>
      <c r="CC14" s="142" t="s">
        <v>113</v>
      </c>
      <c r="CD14" s="142" t="s">
        <v>113</v>
      </c>
      <c r="CE14" s="142" t="s">
        <v>113</v>
      </c>
      <c r="CF14" s="142" t="s">
        <v>113</v>
      </c>
      <c r="CG14" s="142" t="s">
        <v>113</v>
      </c>
      <c r="CH14" s="142" t="s">
        <v>113</v>
      </c>
      <c r="CI14" s="142" t="s">
        <v>113</v>
      </c>
      <c r="CJ14" s="142"/>
      <c r="CK14" s="139" t="s">
        <v>113</v>
      </c>
      <c r="CL14" s="139" t="s">
        <v>113</v>
      </c>
      <c r="CM14" s="139" t="s">
        <v>113</v>
      </c>
      <c r="CN14" s="139" t="s">
        <v>113</v>
      </c>
      <c r="CO14" s="139" t="s">
        <v>113</v>
      </c>
      <c r="CP14" s="139" t="s">
        <v>113</v>
      </c>
      <c r="CQ14" s="139" t="s">
        <v>113</v>
      </c>
      <c r="CR14" s="139"/>
      <c r="CS14" s="143" t="s">
        <v>113</v>
      </c>
      <c r="CT14" s="143" t="s">
        <v>113</v>
      </c>
      <c r="CU14" s="143" t="s">
        <v>113</v>
      </c>
      <c r="CV14" s="143" t="s">
        <v>113</v>
      </c>
      <c r="CW14" s="143" t="s">
        <v>113</v>
      </c>
      <c r="CX14" s="143" t="s">
        <v>113</v>
      </c>
      <c r="CY14" s="143" t="s">
        <v>113</v>
      </c>
      <c r="CZ14" s="143"/>
      <c r="DA14" s="139" t="s">
        <v>113</v>
      </c>
      <c r="DB14" s="139" t="s">
        <v>113</v>
      </c>
      <c r="DC14" s="139" t="s">
        <v>113</v>
      </c>
      <c r="DD14" s="144">
        <f t="shared" si="23"/>
        <v>24.600578490341761</v>
      </c>
      <c r="DE14" s="428">
        <f>'[21]2. Distributional by deciles o'!I30</f>
        <v>0.75399421509658238</v>
      </c>
      <c r="DF14" s="1"/>
      <c r="DG14" s="1"/>
      <c r="DH14" s="1"/>
      <c r="DI14" s="1"/>
      <c r="DJ14" s="1"/>
      <c r="DK14" s="1"/>
      <c r="DL14" s="1"/>
      <c r="DM14" s="1"/>
      <c r="DN14" s="1"/>
      <c r="DO14" s="1"/>
      <c r="DP14" s="1"/>
      <c r="DQ14" s="1"/>
      <c r="DR14" s="1"/>
      <c r="DS14" s="1"/>
      <c r="DT14" s="1"/>
      <c r="DU14" s="1"/>
      <c r="DV14" s="1"/>
      <c r="DW14" s="1"/>
      <c r="DX14" s="1"/>
      <c r="DY14" s="1"/>
      <c r="DZ14" s="1"/>
      <c r="EA14" s="129">
        <f>'[22]2. Distributional by deciles o'!B120</f>
        <v>5406989844.4692001</v>
      </c>
      <c r="EB14" s="129">
        <f>'[22]2. Distributional by deciles o'!C120</f>
        <v>5589729235.2839956</v>
      </c>
      <c r="EC14" s="129">
        <f>'[22]2. Distributional by deciles o'!D120</f>
        <v>5457682123.8072033</v>
      </c>
      <c r="ED14" s="147"/>
      <c r="EE14" s="147"/>
      <c r="EF14" s="147"/>
      <c r="EG14" s="129"/>
      <c r="EH14" s="122"/>
      <c r="EI14" s="130" t="s">
        <v>113</v>
      </c>
      <c r="EJ14" s="130" t="s">
        <v>113</v>
      </c>
      <c r="EK14" s="130" t="s">
        <v>113</v>
      </c>
      <c r="EL14" s="130" t="s">
        <v>113</v>
      </c>
      <c r="EM14" s="131">
        <f t="shared" si="9"/>
        <v>1.2330440044289313</v>
      </c>
      <c r="EN14" s="129">
        <f>'[23]2. Distributional by deciles o'!B102</f>
        <v>125101890757.46164</v>
      </c>
      <c r="EO14" s="129">
        <f>'[23]2. Distributional by deciles o'!C102</f>
        <v>126349740155.64346</v>
      </c>
      <c r="EP14" s="131">
        <f t="shared" si="10"/>
        <v>0.99746645764215991</v>
      </c>
      <c r="EQ14" s="130" t="s">
        <v>113</v>
      </c>
      <c r="ER14" s="130" t="s">
        <v>113</v>
      </c>
      <c r="ES14" s="130" t="s">
        <v>113</v>
      </c>
      <c r="ET14" s="130" t="s">
        <v>113</v>
      </c>
      <c r="EU14" s="131">
        <f t="shared" si="24"/>
        <v>5.1431559502984143</v>
      </c>
      <c r="EV14" s="132">
        <f t="shared" si="25"/>
        <v>3.3882724034138638</v>
      </c>
      <c r="EW14" s="132">
        <f t="shared" si="26"/>
        <v>0.93991366820949496</v>
      </c>
      <c r="EX14" s="132"/>
      <c r="EY14" s="148">
        <f t="shared" si="11"/>
        <v>-0.12917513321217555</v>
      </c>
      <c r="EZ14" s="144">
        <f t="shared" si="27"/>
        <v>21.33454522303574</v>
      </c>
      <c r="FA14" s="428">
        <f>'[23]2. Distributional by deciles o'!I30</f>
        <v>0.78665454776964261</v>
      </c>
      <c r="FB14" s="130" t="s">
        <v>113</v>
      </c>
      <c r="FC14" s="130" t="s">
        <v>113</v>
      </c>
      <c r="FD14" s="130" t="s">
        <v>113</v>
      </c>
      <c r="FE14" s="130" t="s">
        <v>113</v>
      </c>
      <c r="FF14" s="130" t="s">
        <v>113</v>
      </c>
      <c r="FG14" s="130" t="s">
        <v>113</v>
      </c>
      <c r="FH14" s="130" t="s">
        <v>113</v>
      </c>
      <c r="FI14" s="130" t="s">
        <v>113</v>
      </c>
      <c r="FJ14" s="1"/>
      <c r="FK14" s="1"/>
      <c r="FL14" s="1"/>
      <c r="FM14" s="1"/>
      <c r="FN14" s="1"/>
      <c r="FO14" s="1"/>
      <c r="FP14" s="1"/>
      <c r="FQ14" s="1"/>
    </row>
    <row r="15" spans="1:173" x14ac:dyDescent="0.3">
      <c r="A15" s="1"/>
      <c r="B15" s="28">
        <v>4</v>
      </c>
      <c r="C15" s="129">
        <f>'[20]2. Distributional by deciles o'!B121</f>
        <v>10404543288.167992</v>
      </c>
      <c r="D15" s="129">
        <f>'[20]2. Distributional by deciles o'!C121</f>
        <v>10706379583.942802</v>
      </c>
      <c r="E15" s="129">
        <f>'[20]2. Distributional by deciles o'!D121</f>
        <v>10506733464.844822</v>
      </c>
      <c r="F15" s="129">
        <f>'[20]2. Distributional by deciles o'!E121</f>
        <v>10596566638.303221</v>
      </c>
      <c r="G15" s="129">
        <f>'[20]2. Distributional by deciles o'!F121</f>
        <v>10544667870.84482</v>
      </c>
      <c r="H15" s="129">
        <f>'[20]2. Distributional by deciles o'!G121</f>
        <v>10518813488.077213</v>
      </c>
      <c r="I15" s="129">
        <f>'[20]2. Distributional by deciles o'!H121</f>
        <v>10519418995.526417</v>
      </c>
      <c r="J15" s="122"/>
      <c r="K15" s="130" t="s">
        <v>113</v>
      </c>
      <c r="L15" s="130" t="s">
        <v>113</v>
      </c>
      <c r="M15" s="130" t="s">
        <v>113</v>
      </c>
      <c r="N15" s="130" t="s">
        <v>113</v>
      </c>
      <c r="O15" s="131">
        <f t="shared" si="12"/>
        <v>2.5881075392131145</v>
      </c>
      <c r="P15" s="129">
        <f>'[21]2. Distributional by deciles o'!B103</f>
        <v>137486935402.22742</v>
      </c>
      <c r="Q15" s="129">
        <f>'[21]2. Distributional by deciles o'!C103</f>
        <v>138858982195.05023</v>
      </c>
      <c r="R15" s="131">
        <f t="shared" si="0"/>
        <v>0.99794703315541078</v>
      </c>
      <c r="S15" s="130" t="s">
        <v>113</v>
      </c>
      <c r="T15" s="130" t="s">
        <v>113</v>
      </c>
      <c r="U15" s="130" t="s">
        <v>113</v>
      </c>
      <c r="V15" s="130" t="s">
        <v>113</v>
      </c>
      <c r="W15" s="132">
        <f t="shared" si="13"/>
        <v>2.9069726759151968</v>
      </c>
      <c r="X15" s="132">
        <f t="shared" si="13"/>
        <v>0.98418929567079272</v>
      </c>
      <c r="Y15" s="132">
        <f t="shared" si="1"/>
        <v>1.8493688128125774</v>
      </c>
      <c r="Z15" s="132">
        <f t="shared" si="1"/>
        <v>1.349533965157923</v>
      </c>
      <c r="AA15" s="132">
        <f t="shared" si="1"/>
        <v>1.1005314915980229</v>
      </c>
      <c r="AB15" s="132">
        <f t="shared" si="14"/>
        <v>1.1063631083867833</v>
      </c>
      <c r="AC15" s="132">
        <f t="shared" si="14"/>
        <v>1.1063631083867833</v>
      </c>
      <c r="AD15" s="130" t="s">
        <v>113</v>
      </c>
      <c r="AE15" s="130" t="s">
        <v>113</v>
      </c>
      <c r="AF15" s="130" t="s">
        <v>113</v>
      </c>
      <c r="AG15" s="130" t="s">
        <v>113</v>
      </c>
      <c r="AH15" s="133">
        <f t="shared" si="2"/>
        <v>1</v>
      </c>
      <c r="AI15" s="134">
        <f t="shared" si="15"/>
        <v>0</v>
      </c>
      <c r="AJ15" s="134">
        <f t="shared" si="3"/>
        <v>1.0576038631026194</v>
      </c>
      <c r="AK15" s="134">
        <f t="shared" si="4"/>
        <v>0.49983484765465436</v>
      </c>
      <c r="AL15" s="134">
        <f t="shared" si="16"/>
        <v>0.24900247355990013</v>
      </c>
      <c r="AM15" s="134">
        <f t="shared" si="17"/>
        <v>0</v>
      </c>
      <c r="AN15" s="135">
        <f t="shared" ref="AN15:AN22" si="28">IF(J15&lt;&gt;0,IF(W15&gt;1,MAX(MIN(AB15-AC15,W15-AH15-AJ15-AK15-AL15-AM15),0),0),0)</f>
        <v>0</v>
      </c>
      <c r="AO15" s="134">
        <f t="shared" si="18"/>
        <v>0.10053149159802288</v>
      </c>
      <c r="AP15" s="134">
        <f t="shared" si="6"/>
        <v>0.10053149159802288</v>
      </c>
      <c r="AQ15" s="136" t="s">
        <v>113</v>
      </c>
      <c r="AR15" s="137">
        <f t="shared" si="7"/>
        <v>0</v>
      </c>
      <c r="AS15" s="137">
        <f t="shared" si="7"/>
        <v>55.459833088329532</v>
      </c>
      <c r="AT15" s="137">
        <f t="shared" si="7"/>
        <v>26.210907684598727</v>
      </c>
      <c r="AU15" s="137">
        <f t="shared" si="7"/>
        <v>13.057474640552913</v>
      </c>
      <c r="AV15" s="137">
        <f t="shared" si="7"/>
        <v>0</v>
      </c>
      <c r="AW15" s="138">
        <f t="shared" si="7"/>
        <v>0</v>
      </c>
      <c r="AX15" s="137">
        <f t="shared" si="7"/>
        <v>5.2717845865188222</v>
      </c>
      <c r="AY15" s="137">
        <f t="shared" si="7"/>
        <v>5.2717845865188222</v>
      </c>
      <c r="AZ15" s="139" t="s">
        <v>113</v>
      </c>
      <c r="BA15" s="139" t="s">
        <v>113</v>
      </c>
      <c r="BB15" s="139" t="s">
        <v>113</v>
      </c>
      <c r="BC15" s="139" t="s">
        <v>113</v>
      </c>
      <c r="BD15" s="139" t="s">
        <v>113</v>
      </c>
      <c r="BE15" s="139" t="s">
        <v>113</v>
      </c>
      <c r="BF15" s="139" t="s">
        <v>113</v>
      </c>
      <c r="BG15" s="139" t="s">
        <v>113</v>
      </c>
      <c r="BH15" s="129">
        <f>'[21]2. Distributional by deciles o'!B139</f>
        <v>68342006305.857498</v>
      </c>
      <c r="BI15" s="129">
        <f>'[21]2. Distributional by deciles o'!B157</f>
        <v>57530599742.046021</v>
      </c>
      <c r="BJ15" s="129">
        <f>'[21]2. Distributional by deciles o'!B175</f>
        <v>7692802091.9723997</v>
      </c>
      <c r="BK15" s="129">
        <f>'[21]2. Distributional by deciles o'!B193</f>
        <v>2579524730.341198</v>
      </c>
      <c r="BL15" s="141">
        <f t="shared" si="19"/>
        <v>0.50197980097434758</v>
      </c>
      <c r="BM15" s="141">
        <f t="shared" si="20"/>
        <v>0.42256879142823639</v>
      </c>
      <c r="BN15" s="141">
        <f t="shared" si="21"/>
        <v>5.6504505381083238E-2</v>
      </c>
      <c r="BO15" s="141">
        <f t="shared" si="21"/>
        <v>1.8946902216332807E-2</v>
      </c>
      <c r="BP15" s="139" t="s">
        <v>113</v>
      </c>
      <c r="BQ15" s="139" t="s">
        <v>113</v>
      </c>
      <c r="BR15" s="139" t="s">
        <v>113</v>
      </c>
      <c r="BS15" s="131">
        <f t="shared" si="22"/>
        <v>6.4495537508360821</v>
      </c>
      <c r="BT15" s="139"/>
      <c r="BU15" s="139"/>
      <c r="BV15" s="139"/>
      <c r="BW15" s="139"/>
      <c r="BX15" s="139"/>
      <c r="BY15" s="139"/>
      <c r="BZ15" s="139"/>
      <c r="CA15" s="139"/>
      <c r="CB15" s="139"/>
      <c r="CC15" s="142" t="s">
        <v>113</v>
      </c>
      <c r="CD15" s="142" t="s">
        <v>113</v>
      </c>
      <c r="CE15" s="142" t="s">
        <v>113</v>
      </c>
      <c r="CF15" s="142" t="s">
        <v>113</v>
      </c>
      <c r="CG15" s="142" t="s">
        <v>113</v>
      </c>
      <c r="CH15" s="142" t="s">
        <v>113</v>
      </c>
      <c r="CI15" s="142" t="s">
        <v>113</v>
      </c>
      <c r="CJ15" s="142"/>
      <c r="CK15" s="139" t="s">
        <v>113</v>
      </c>
      <c r="CL15" s="139" t="s">
        <v>113</v>
      </c>
      <c r="CM15" s="139" t="s">
        <v>113</v>
      </c>
      <c r="CN15" s="139" t="s">
        <v>113</v>
      </c>
      <c r="CO15" s="139" t="s">
        <v>113</v>
      </c>
      <c r="CP15" s="139" t="s">
        <v>113</v>
      </c>
      <c r="CQ15" s="139" t="s">
        <v>113</v>
      </c>
      <c r="CR15" s="139"/>
      <c r="CS15" s="143" t="s">
        <v>113</v>
      </c>
      <c r="CT15" s="143" t="s">
        <v>113</v>
      </c>
      <c r="CU15" s="143" t="s">
        <v>113</v>
      </c>
      <c r="CV15" s="143" t="s">
        <v>113</v>
      </c>
      <c r="CW15" s="143" t="s">
        <v>113</v>
      </c>
      <c r="CX15" s="143" t="s">
        <v>113</v>
      </c>
      <c r="CY15" s="143" t="s">
        <v>113</v>
      </c>
      <c r="CZ15" s="143"/>
      <c r="DA15" s="139" t="s">
        <v>113</v>
      </c>
      <c r="DB15" s="139" t="s">
        <v>113</v>
      </c>
      <c r="DC15" s="139" t="s">
        <v>113</v>
      </c>
      <c r="DD15" s="144">
        <f t="shared" si="23"/>
        <v>9.7683359491241735</v>
      </c>
      <c r="DE15" s="428">
        <f>'[21]2. Distributional by deciles o'!I31</f>
        <v>0.90231664050875826</v>
      </c>
      <c r="DF15" s="1"/>
      <c r="DG15" s="1"/>
      <c r="DH15" s="1"/>
      <c r="DI15" s="1"/>
      <c r="DJ15" s="1"/>
      <c r="DK15" s="1"/>
      <c r="DL15" s="1"/>
      <c r="DM15" s="1"/>
      <c r="DN15" s="1"/>
      <c r="DO15" s="1"/>
      <c r="DP15" s="1"/>
      <c r="DQ15" s="1"/>
      <c r="DR15" s="1"/>
      <c r="DS15" s="1"/>
      <c r="DT15" s="1"/>
      <c r="DU15" s="1"/>
      <c r="DV15" s="1"/>
      <c r="DW15" s="1"/>
      <c r="DX15" s="1"/>
      <c r="DY15" s="1"/>
      <c r="DZ15" s="1"/>
      <c r="EA15" s="129">
        <f>'[22]2. Distributional by deciles o'!B121</f>
        <v>10937209824.301193</v>
      </c>
      <c r="EB15" s="129">
        <f>'[22]2. Distributional by deciles o'!C121</f>
        <v>11211358080.811205</v>
      </c>
      <c r="EC15" s="129">
        <f>'[22]2. Distributional by deciles o'!D121</f>
        <v>11044091981.936386</v>
      </c>
      <c r="ED15" s="147"/>
      <c r="EE15" s="147"/>
      <c r="EF15" s="147"/>
      <c r="EG15" s="129"/>
      <c r="EH15" s="122"/>
      <c r="EI15" s="130" t="s">
        <v>113</v>
      </c>
      <c r="EJ15" s="130" t="s">
        <v>113</v>
      </c>
      <c r="EK15" s="130" t="s">
        <v>113</v>
      </c>
      <c r="EL15" s="130" t="s">
        <v>113</v>
      </c>
      <c r="EM15" s="131">
        <f t="shared" si="9"/>
        <v>2.4941901847347943</v>
      </c>
      <c r="EN15" s="129">
        <f>'[23]2. Distributional by deciles o'!B103</f>
        <v>156007983327.86771</v>
      </c>
      <c r="EO15" s="129">
        <f>'[23]2. Distributional by deciles o'!C103</f>
        <v>157565039563.06799</v>
      </c>
      <c r="EP15" s="131">
        <f t="shared" si="10"/>
        <v>0.99806189528646172</v>
      </c>
      <c r="EQ15" s="130" t="s">
        <v>113</v>
      </c>
      <c r="ER15" s="130" t="s">
        <v>113</v>
      </c>
      <c r="ES15" s="130" t="s">
        <v>113</v>
      </c>
      <c r="ET15" s="130" t="s">
        <v>113</v>
      </c>
      <c r="EU15" s="131">
        <f t="shared" si="24"/>
        <v>6.4137590798076838</v>
      </c>
      <c r="EV15" s="132">
        <f t="shared" si="25"/>
        <v>2.5114322639846063</v>
      </c>
      <c r="EW15" s="132">
        <f t="shared" si="26"/>
        <v>0.97913188486576885</v>
      </c>
      <c r="EX15" s="132"/>
      <c r="EY15" s="148">
        <f t="shared" si="11"/>
        <v>-0.39554041193059053</v>
      </c>
      <c r="EZ15" s="144">
        <f t="shared" si="27"/>
        <v>7.0186096241382394</v>
      </c>
      <c r="FA15" s="428">
        <f>'[23]2. Distributional by deciles o'!I31</f>
        <v>0.92981390375861761</v>
      </c>
      <c r="FB15" s="130" t="s">
        <v>113</v>
      </c>
      <c r="FC15" s="130" t="s">
        <v>113</v>
      </c>
      <c r="FD15" s="130" t="s">
        <v>113</v>
      </c>
      <c r="FE15" s="130" t="s">
        <v>113</v>
      </c>
      <c r="FF15" s="130" t="s">
        <v>113</v>
      </c>
      <c r="FG15" s="130" t="s">
        <v>113</v>
      </c>
      <c r="FH15" s="130" t="s">
        <v>113</v>
      </c>
      <c r="FI15" s="130" t="s">
        <v>113</v>
      </c>
      <c r="FJ15" s="1"/>
      <c r="FK15" s="1"/>
      <c r="FL15" s="1"/>
      <c r="FM15" s="1"/>
      <c r="FN15" s="1"/>
      <c r="FO15" s="1"/>
      <c r="FP15" s="1"/>
      <c r="FQ15" s="1"/>
    </row>
    <row r="16" spans="1:173" x14ac:dyDescent="0.3">
      <c r="A16" s="1"/>
      <c r="B16" s="28">
        <v>5</v>
      </c>
      <c r="C16" s="129">
        <f>'[20]2. Distributional by deciles o'!B122</f>
        <v>16968079401.860413</v>
      </c>
      <c r="D16" s="129">
        <f>'[20]2. Distributional by deciles o'!C122</f>
        <v>17387720136.400833</v>
      </c>
      <c r="E16" s="129">
        <f>'[20]2. Distributional by deciles o'!D122</f>
        <v>17135521905.429596</v>
      </c>
      <c r="F16" s="129">
        <f>'[20]2. Distributional by deciles o'!E122</f>
        <v>17234117402.0448</v>
      </c>
      <c r="G16" s="129">
        <f>'[20]2. Distributional by deciles o'!F122</f>
        <v>17169334048.541988</v>
      </c>
      <c r="H16" s="129">
        <f>'[20]2. Distributional by deciles o'!G122</f>
        <v>17151241626.855587</v>
      </c>
      <c r="I16" s="129">
        <f>'[20]2. Distributional by deciles o'!H122</f>
        <v>17146749962.878799</v>
      </c>
      <c r="J16" s="122"/>
      <c r="K16" s="130" t="s">
        <v>113</v>
      </c>
      <c r="L16" s="130" t="s">
        <v>113</v>
      </c>
      <c r="M16" s="130" t="s">
        <v>113</v>
      </c>
      <c r="N16" s="130" t="s">
        <v>113</v>
      </c>
      <c r="O16" s="131">
        <f t="shared" si="12"/>
        <v>4.2207728883075442</v>
      </c>
      <c r="P16" s="129">
        <f>'[21]2. Distributional by deciles o'!B104</f>
        <v>163618581983.23578</v>
      </c>
      <c r="Q16" s="129">
        <f>'[21]2. Distributional by deciles o'!C104</f>
        <v>165252003773.07959</v>
      </c>
      <c r="R16" s="131">
        <f t="shared" si="0"/>
        <v>0.99831068699225423</v>
      </c>
      <c r="S16" s="130" t="s">
        <v>113</v>
      </c>
      <c r="T16" s="130" t="s">
        <v>113</v>
      </c>
      <c r="U16" s="130" t="s">
        <v>113</v>
      </c>
      <c r="V16" s="130" t="s">
        <v>113</v>
      </c>
      <c r="W16" s="132">
        <f t="shared" si="13"/>
        <v>2.4773035811815651</v>
      </c>
      <c r="X16" s="132">
        <f t="shared" si="13"/>
        <v>0.98847866661045058</v>
      </c>
      <c r="Y16" s="132">
        <f t="shared" si="1"/>
        <v>1.5705264916880532</v>
      </c>
      <c r="Z16" s="132">
        <f t="shared" si="1"/>
        <v>1.1880849877448569</v>
      </c>
      <c r="AA16" s="132">
        <f t="shared" si="1"/>
        <v>1.0812783378016495</v>
      </c>
      <c r="AB16" s="132">
        <f t="shared" si="14"/>
        <v>1.0547622864765887</v>
      </c>
      <c r="AC16" s="132">
        <f t="shared" si="14"/>
        <v>1.0547622864765887</v>
      </c>
      <c r="AD16" s="130" t="s">
        <v>113</v>
      </c>
      <c r="AE16" s="130" t="s">
        <v>113</v>
      </c>
      <c r="AF16" s="130" t="s">
        <v>113</v>
      </c>
      <c r="AG16" s="130" t="s">
        <v>113</v>
      </c>
      <c r="AH16" s="133">
        <f t="shared" si="2"/>
        <v>1</v>
      </c>
      <c r="AI16" s="134">
        <f t="shared" si="15"/>
        <v>0</v>
      </c>
      <c r="AJ16" s="134">
        <f t="shared" si="3"/>
        <v>0.90677708949351188</v>
      </c>
      <c r="AK16" s="134">
        <f t="shared" si="4"/>
        <v>0.38244150394319631</v>
      </c>
      <c r="AL16" s="134">
        <f t="shared" si="16"/>
        <v>0.10680664994320743</v>
      </c>
      <c r="AM16" s="134">
        <f t="shared" si="17"/>
        <v>2.6516051325060852E-2</v>
      </c>
      <c r="AN16" s="135">
        <f t="shared" si="28"/>
        <v>0</v>
      </c>
      <c r="AO16" s="134">
        <f t="shared" si="18"/>
        <v>5.4762286476588651E-2</v>
      </c>
      <c r="AP16" s="134">
        <f t="shared" si="6"/>
        <v>5.4762286476588651E-2</v>
      </c>
      <c r="AQ16" s="136" t="s">
        <v>113</v>
      </c>
      <c r="AR16" s="137">
        <f t="shared" si="7"/>
        <v>0</v>
      </c>
      <c r="AS16" s="137">
        <f t="shared" si="7"/>
        <v>61.380551773133909</v>
      </c>
      <c r="AT16" s="137">
        <f t="shared" si="7"/>
        <v>25.8878072736624</v>
      </c>
      <c r="AU16" s="137">
        <f t="shared" si="7"/>
        <v>7.2298376111551956</v>
      </c>
      <c r="AV16" s="137">
        <f t="shared" si="7"/>
        <v>1.7948952173968871</v>
      </c>
      <c r="AW16" s="138">
        <f t="shared" si="7"/>
        <v>0</v>
      </c>
      <c r="AX16" s="137">
        <f t="shared" si="7"/>
        <v>3.7069081246516116</v>
      </c>
      <c r="AY16" s="137">
        <f t="shared" si="7"/>
        <v>3.7069081246516116</v>
      </c>
      <c r="AZ16" s="139" t="s">
        <v>113</v>
      </c>
      <c r="BA16" s="139" t="s">
        <v>113</v>
      </c>
      <c r="BB16" s="139" t="s">
        <v>113</v>
      </c>
      <c r="BC16" s="139" t="s">
        <v>113</v>
      </c>
      <c r="BD16" s="139" t="s">
        <v>113</v>
      </c>
      <c r="BE16" s="139" t="s">
        <v>113</v>
      </c>
      <c r="BF16" s="139" t="s">
        <v>113</v>
      </c>
      <c r="BG16" s="139" t="s">
        <v>113</v>
      </c>
      <c r="BH16" s="129">
        <f>'[21]2. Distributional by deciles o'!B140</f>
        <v>102931502153.7227</v>
      </c>
      <c r="BI16" s="129">
        <f>'[21]2. Distributional by deciles o'!B158</f>
        <v>48889908906.212425</v>
      </c>
      <c r="BJ16" s="129">
        <f>'[21]2. Distributional by deciles o'!B176</f>
        <v>8275668998.8607922</v>
      </c>
      <c r="BK16" s="129">
        <f>'[21]2. Distributional by deciles o'!B194</f>
        <v>2277518607.6672001</v>
      </c>
      <c r="BL16" s="141">
        <f t="shared" si="19"/>
        <v>0.63391382025926568</v>
      </c>
      <c r="BM16" s="141">
        <f t="shared" si="20"/>
        <v>0.3010933317632899</v>
      </c>
      <c r="BN16" s="141">
        <f t="shared" si="21"/>
        <v>5.0966524732479916E-2</v>
      </c>
      <c r="BO16" s="141">
        <f t="shared" si="21"/>
        <v>1.4026323244964542E-2</v>
      </c>
      <c r="BP16" s="139" t="s">
        <v>113</v>
      </c>
      <c r="BQ16" s="139" t="s">
        <v>113</v>
      </c>
      <c r="BR16" s="139" t="s">
        <v>113</v>
      </c>
      <c r="BS16" s="131">
        <f t="shared" si="22"/>
        <v>7.6753972008264215</v>
      </c>
      <c r="BT16" s="139"/>
      <c r="BU16" s="139"/>
      <c r="BV16" s="139"/>
      <c r="BW16" s="139"/>
      <c r="BX16" s="139"/>
      <c r="BY16" s="139"/>
      <c r="BZ16" s="139"/>
      <c r="CA16" s="139"/>
      <c r="CB16" s="139"/>
      <c r="CC16" s="142" t="s">
        <v>113</v>
      </c>
      <c r="CD16" s="142" t="s">
        <v>113</v>
      </c>
      <c r="CE16" s="142" t="s">
        <v>113</v>
      </c>
      <c r="CF16" s="142" t="s">
        <v>113</v>
      </c>
      <c r="CG16" s="142" t="s">
        <v>113</v>
      </c>
      <c r="CH16" s="142" t="s">
        <v>113</v>
      </c>
      <c r="CI16" s="142" t="s">
        <v>113</v>
      </c>
      <c r="CJ16" s="142"/>
      <c r="CK16" s="139" t="s">
        <v>113</v>
      </c>
      <c r="CL16" s="139" t="s">
        <v>113</v>
      </c>
      <c r="CM16" s="139" t="s">
        <v>113</v>
      </c>
      <c r="CN16" s="139" t="s">
        <v>113</v>
      </c>
      <c r="CO16" s="139" t="s">
        <v>113</v>
      </c>
      <c r="CP16" s="139" t="s">
        <v>113</v>
      </c>
      <c r="CQ16" s="139" t="s">
        <v>113</v>
      </c>
      <c r="CR16" s="139"/>
      <c r="CS16" s="143" t="s">
        <v>113</v>
      </c>
      <c r="CT16" s="143" t="s">
        <v>113</v>
      </c>
      <c r="CU16" s="143" t="s">
        <v>113</v>
      </c>
      <c r="CV16" s="143" t="s">
        <v>113</v>
      </c>
      <c r="CW16" s="143" t="s">
        <v>113</v>
      </c>
      <c r="CX16" s="143" t="s">
        <v>113</v>
      </c>
      <c r="CY16" s="143" t="s">
        <v>113</v>
      </c>
      <c r="CZ16" s="143"/>
      <c r="DA16" s="139" t="s">
        <v>113</v>
      </c>
      <c r="DB16" s="139" t="s">
        <v>113</v>
      </c>
      <c r="DC16" s="139" t="s">
        <v>113</v>
      </c>
      <c r="DD16" s="144">
        <f t="shared" si="23"/>
        <v>2.0880274442491298</v>
      </c>
      <c r="DE16" s="428">
        <f>'[21]2. Distributional by deciles o'!I32</f>
        <v>0.9791197255575087</v>
      </c>
      <c r="DF16" s="1"/>
      <c r="DG16" s="1"/>
      <c r="DH16" s="1"/>
      <c r="DI16" s="1"/>
      <c r="DJ16" s="1"/>
      <c r="DK16" s="1"/>
      <c r="DL16" s="1"/>
      <c r="DM16" s="1"/>
      <c r="DN16" s="1"/>
      <c r="DO16" s="1"/>
      <c r="DP16" s="1"/>
      <c r="DQ16" s="1"/>
      <c r="DR16" s="1"/>
      <c r="DS16" s="1"/>
      <c r="DT16" s="1"/>
      <c r="DU16" s="1"/>
      <c r="DV16" s="1"/>
      <c r="DW16" s="1"/>
      <c r="DX16" s="1"/>
      <c r="DY16" s="1"/>
      <c r="DZ16" s="1"/>
      <c r="EA16" s="129">
        <f>'[22]2. Distributional by deciles o'!B122</f>
        <v>17900642632.502365</v>
      </c>
      <c r="EB16" s="129">
        <f>'[22]2. Distributional by deciles o'!C122</f>
        <v>18301849950.875961</v>
      </c>
      <c r="EC16" s="129">
        <f>'[22]2. Distributional by deciles o'!D122</f>
        <v>18076718034.031189</v>
      </c>
      <c r="ED16" s="147"/>
      <c r="EE16" s="147"/>
      <c r="EF16" s="147"/>
      <c r="EG16" s="129"/>
      <c r="EH16" s="122"/>
      <c r="EI16" s="130" t="s">
        <v>113</v>
      </c>
      <c r="EJ16" s="130" t="s">
        <v>113</v>
      </c>
      <c r="EK16" s="130" t="s">
        <v>113</v>
      </c>
      <c r="EL16" s="130" t="s">
        <v>113</v>
      </c>
      <c r="EM16" s="131">
        <f t="shared" si="9"/>
        <v>4.0821752413701411</v>
      </c>
      <c r="EN16" s="129">
        <f>'[23]2. Distributional by deciles o'!B104</f>
        <v>187222398084.15366</v>
      </c>
      <c r="EO16" s="129">
        <f>'[23]2. Distributional by deciles o'!C104</f>
        <v>189091560976.50464</v>
      </c>
      <c r="EP16" s="131">
        <f t="shared" si="10"/>
        <v>0.99836499878118712</v>
      </c>
      <c r="EQ16" s="130" t="s">
        <v>113</v>
      </c>
      <c r="ER16" s="130" t="s">
        <v>113</v>
      </c>
      <c r="ES16" s="130" t="s">
        <v>113</v>
      </c>
      <c r="ET16" s="130" t="s">
        <v>113</v>
      </c>
      <c r="EU16" s="131">
        <f t="shared" si="24"/>
        <v>7.6970378697351602</v>
      </c>
      <c r="EV16" s="132">
        <f t="shared" si="25"/>
        <v>2.2449717328803556</v>
      </c>
      <c r="EW16" s="132">
        <f t="shared" si="26"/>
        <v>0.98523701135403352</v>
      </c>
      <c r="EX16" s="132"/>
      <c r="EY16" s="148">
        <f t="shared" si="11"/>
        <v>-0.23233184830120956</v>
      </c>
      <c r="EZ16" s="144">
        <f t="shared" si="27"/>
        <v>0.74342081518181669</v>
      </c>
      <c r="FA16" s="428">
        <f>'[23]2. Distributional by deciles o'!I32</f>
        <v>0.99256579184818183</v>
      </c>
      <c r="FB16" s="130" t="s">
        <v>113</v>
      </c>
      <c r="FC16" s="130" t="s">
        <v>113</v>
      </c>
      <c r="FD16" s="130" t="s">
        <v>113</v>
      </c>
      <c r="FE16" s="130" t="s">
        <v>113</v>
      </c>
      <c r="FF16" s="130" t="s">
        <v>113</v>
      </c>
      <c r="FG16" s="130" t="s">
        <v>113</v>
      </c>
      <c r="FH16" s="130" t="s">
        <v>113</v>
      </c>
      <c r="FI16" s="130" t="s">
        <v>113</v>
      </c>
      <c r="FJ16" s="1"/>
      <c r="FK16" s="1"/>
      <c r="FL16" s="1"/>
      <c r="FM16" s="1"/>
      <c r="FN16" s="1"/>
      <c r="FO16" s="1"/>
      <c r="FP16" s="1"/>
      <c r="FQ16" s="1"/>
    </row>
    <row r="17" spans="1:173" x14ac:dyDescent="0.3">
      <c r="A17" s="1"/>
      <c r="B17" s="28">
        <v>6</v>
      </c>
      <c r="C17" s="129">
        <f>'[20]2. Distributional by deciles o'!B123</f>
        <v>24963521731.123158</v>
      </c>
      <c r="D17" s="129">
        <f>'[20]2. Distributional by deciles o'!C123</f>
        <v>25487980552.716026</v>
      </c>
      <c r="E17" s="129">
        <f>'[20]2. Distributional by deciles o'!D123</f>
        <v>25211028438.454758</v>
      </c>
      <c r="F17" s="129">
        <f>'[20]2. Distributional by deciles o'!E123</f>
        <v>25293846138.813663</v>
      </c>
      <c r="G17" s="129">
        <f>'[20]2. Distributional by deciles o'!F123</f>
        <v>25240765580.27766</v>
      </c>
      <c r="H17" s="129">
        <f>'[20]2. Distributional by deciles o'!G123</f>
        <v>25229848014.906059</v>
      </c>
      <c r="I17" s="129">
        <f>'[20]2. Distributional by deciles o'!H123</f>
        <v>25220707110.327644</v>
      </c>
      <c r="J17" s="122"/>
      <c r="K17" s="130" t="s">
        <v>113</v>
      </c>
      <c r="L17" s="130" t="s">
        <v>113</v>
      </c>
      <c r="M17" s="130" t="s">
        <v>113</v>
      </c>
      <c r="N17" s="130" t="s">
        <v>113</v>
      </c>
      <c r="O17" s="131">
        <f t="shared" si="12"/>
        <v>6.2096217977297048</v>
      </c>
      <c r="P17" s="129">
        <f>'[21]2. Distributional by deciles o'!B105</f>
        <v>191947372703.28217</v>
      </c>
      <c r="Q17" s="129">
        <f>'[21]2. Distributional by deciles o'!C105</f>
        <v>193863903310.7952</v>
      </c>
      <c r="R17" s="131">
        <f t="shared" si="0"/>
        <v>0.99846670497316659</v>
      </c>
      <c r="S17" s="130" t="s">
        <v>113</v>
      </c>
      <c r="T17" s="130" t="s">
        <v>113</v>
      </c>
      <c r="U17" s="130" t="s">
        <v>113</v>
      </c>
      <c r="V17" s="130" t="s">
        <v>113</v>
      </c>
      <c r="W17" s="132">
        <f t="shared" si="13"/>
        <v>2.1041270228059767</v>
      </c>
      <c r="X17" s="132">
        <f t="shared" si="13"/>
        <v>0.99299607477368312</v>
      </c>
      <c r="Y17" s="132">
        <f t="shared" si="1"/>
        <v>1.3252604092023965</v>
      </c>
      <c r="Z17" s="132">
        <f t="shared" si="1"/>
        <v>1.1123013874396912</v>
      </c>
      <c r="AA17" s="132">
        <f t="shared" si="1"/>
        <v>1.0685001520026229</v>
      </c>
      <c r="AB17" s="132">
        <f t="shared" si="14"/>
        <v>1.0318268736737009</v>
      </c>
      <c r="AC17" s="132">
        <f t="shared" si="14"/>
        <v>1.0318268736737009</v>
      </c>
      <c r="AD17" s="130" t="s">
        <v>113</v>
      </c>
      <c r="AE17" s="130" t="s">
        <v>113</v>
      </c>
      <c r="AF17" s="130" t="s">
        <v>113</v>
      </c>
      <c r="AG17" s="130" t="s">
        <v>113</v>
      </c>
      <c r="AH17" s="133">
        <f t="shared" si="2"/>
        <v>1</v>
      </c>
      <c r="AI17" s="134">
        <f t="shared" si="15"/>
        <v>0</v>
      </c>
      <c r="AJ17" s="134">
        <f t="shared" si="3"/>
        <v>0.77886661360358023</v>
      </c>
      <c r="AK17" s="134">
        <f t="shared" si="4"/>
        <v>0.21295902176270531</v>
      </c>
      <c r="AL17" s="134">
        <f t="shared" si="16"/>
        <v>4.3801235437068264E-2</v>
      </c>
      <c r="AM17" s="134">
        <f t="shared" si="17"/>
        <v>3.6673278328922088E-2</v>
      </c>
      <c r="AN17" s="135">
        <f t="shared" si="28"/>
        <v>0</v>
      </c>
      <c r="AO17" s="134">
        <f t="shared" si="18"/>
        <v>3.1826873673700851E-2</v>
      </c>
      <c r="AP17" s="134">
        <f t="shared" si="6"/>
        <v>3.1826873673700851E-2</v>
      </c>
      <c r="AQ17" s="136" t="s">
        <v>113</v>
      </c>
      <c r="AR17" s="137">
        <f t="shared" si="7"/>
        <v>0</v>
      </c>
      <c r="AS17" s="137">
        <f t="shared" si="7"/>
        <v>70.541395828190588</v>
      </c>
      <c r="AT17" s="137">
        <f t="shared" si="7"/>
        <v>19.287547298815422</v>
      </c>
      <c r="AU17" s="137">
        <f t="shared" si="7"/>
        <v>3.967046773817188</v>
      </c>
      <c r="AV17" s="137">
        <f t="shared" si="7"/>
        <v>3.3214727627734657</v>
      </c>
      <c r="AW17" s="138">
        <f t="shared" si="7"/>
        <v>0</v>
      </c>
      <c r="AX17" s="137">
        <f t="shared" si="7"/>
        <v>2.8825373364033355</v>
      </c>
      <c r="AY17" s="137">
        <f t="shared" si="7"/>
        <v>2.8825373364033355</v>
      </c>
      <c r="AZ17" s="139" t="s">
        <v>113</v>
      </c>
      <c r="BA17" s="139" t="s">
        <v>113</v>
      </c>
      <c r="BB17" s="139" t="s">
        <v>113</v>
      </c>
      <c r="BC17" s="139" t="s">
        <v>113</v>
      </c>
      <c r="BD17" s="139" t="s">
        <v>113</v>
      </c>
      <c r="BE17" s="139" t="s">
        <v>113</v>
      </c>
      <c r="BF17" s="139" t="s">
        <v>113</v>
      </c>
      <c r="BG17" s="139" t="s">
        <v>113</v>
      </c>
      <c r="BH17" s="129">
        <f>'[21]2. Distributional by deciles o'!B141</f>
        <v>135250191710.04367</v>
      </c>
      <c r="BI17" s="129">
        <f>'[21]2. Distributional by deciles o'!B159</f>
        <v>42948887767.166443</v>
      </c>
      <c r="BJ17" s="129">
        <f>'[21]2. Distributional by deciles o'!B177</f>
        <v>9472999380.1187973</v>
      </c>
      <c r="BK17" s="129">
        <f>'[21]2. Distributional by deciles o'!B195</f>
        <v>3169002860.7083983</v>
      </c>
      <c r="BL17" s="141">
        <f t="shared" si="19"/>
        <v>0.70870585354296134</v>
      </c>
      <c r="BM17" s="141">
        <f t="shared" si="20"/>
        <v>0.2250505361870789</v>
      </c>
      <c r="BN17" s="141">
        <f t="shared" si="21"/>
        <v>4.9638155971652394E-2</v>
      </c>
      <c r="BO17" s="141">
        <f t="shared" si="21"/>
        <v>1.6605454298307305E-2</v>
      </c>
      <c r="BP17" s="139" t="s">
        <v>113</v>
      </c>
      <c r="BQ17" s="139" t="s">
        <v>113</v>
      </c>
      <c r="BR17" s="139" t="s">
        <v>113</v>
      </c>
      <c r="BS17" s="131">
        <f t="shared" si="22"/>
        <v>9.0043093473558411</v>
      </c>
      <c r="BT17" s="139"/>
      <c r="BU17" s="139"/>
      <c r="BV17" s="139"/>
      <c r="BW17" s="139"/>
      <c r="BX17" s="139"/>
      <c r="BY17" s="139"/>
      <c r="BZ17" s="139"/>
      <c r="CA17" s="139"/>
      <c r="CB17" s="139"/>
      <c r="CC17" s="142" t="s">
        <v>113</v>
      </c>
      <c r="CD17" s="142" t="s">
        <v>113</v>
      </c>
      <c r="CE17" s="142" t="s">
        <v>113</v>
      </c>
      <c r="CF17" s="142" t="s">
        <v>113</v>
      </c>
      <c r="CG17" s="142" t="s">
        <v>113</v>
      </c>
      <c r="CH17" s="142" t="s">
        <v>113</v>
      </c>
      <c r="CI17" s="142" t="s">
        <v>113</v>
      </c>
      <c r="CJ17" s="142"/>
      <c r="CK17" s="139" t="s">
        <v>113</v>
      </c>
      <c r="CL17" s="139" t="s">
        <v>113</v>
      </c>
      <c r="CM17" s="139" t="s">
        <v>113</v>
      </c>
      <c r="CN17" s="139" t="s">
        <v>113</v>
      </c>
      <c r="CO17" s="139" t="s">
        <v>113</v>
      </c>
      <c r="CP17" s="139" t="s">
        <v>113</v>
      </c>
      <c r="CQ17" s="139" t="s">
        <v>113</v>
      </c>
      <c r="CR17" s="139"/>
      <c r="CS17" s="143" t="s">
        <v>113</v>
      </c>
      <c r="CT17" s="143" t="s">
        <v>113</v>
      </c>
      <c r="CU17" s="143" t="s">
        <v>113</v>
      </c>
      <c r="CV17" s="143" t="s">
        <v>113</v>
      </c>
      <c r="CW17" s="143" t="s">
        <v>113</v>
      </c>
      <c r="CX17" s="143" t="s">
        <v>113</v>
      </c>
      <c r="CY17" s="143" t="s">
        <v>113</v>
      </c>
      <c r="CZ17" s="143"/>
      <c r="DA17" s="139" t="s">
        <v>113</v>
      </c>
      <c r="DB17" s="139" t="s">
        <v>113</v>
      </c>
      <c r="DC17" s="139" t="s">
        <v>113</v>
      </c>
      <c r="DD17" s="144">
        <f t="shared" si="23"/>
        <v>0.12151558182147415</v>
      </c>
      <c r="DE17" s="428">
        <f>'[21]2. Distributional by deciles o'!I33</f>
        <v>0.99878484418178526</v>
      </c>
      <c r="DF17" s="1"/>
      <c r="DG17" s="1"/>
      <c r="DH17" s="1"/>
      <c r="DI17" s="1"/>
      <c r="DJ17" s="1"/>
      <c r="DK17" s="1"/>
      <c r="DL17" s="1"/>
      <c r="DM17" s="1"/>
      <c r="DN17" s="1"/>
      <c r="DO17" s="1"/>
      <c r="DP17" s="1"/>
      <c r="DQ17" s="1"/>
      <c r="DR17" s="1"/>
      <c r="DS17" s="1"/>
      <c r="DT17" s="1"/>
      <c r="DU17" s="1"/>
      <c r="DV17" s="1"/>
      <c r="DW17" s="1"/>
      <c r="DX17" s="1"/>
      <c r="DY17" s="1"/>
      <c r="DZ17" s="1"/>
      <c r="EA17" s="129">
        <f>'[22]2. Distributional by deciles o'!B123</f>
        <v>26376385068.285568</v>
      </c>
      <c r="EB17" s="129">
        <f>'[22]2. Distributional by deciles o'!C123</f>
        <v>26893730237.81638</v>
      </c>
      <c r="EC17" s="129">
        <f>'[22]2. Distributional by deciles o'!D123</f>
        <v>26637325363.856422</v>
      </c>
      <c r="ED17" s="147"/>
      <c r="EE17" s="147"/>
      <c r="EF17" s="147"/>
      <c r="EG17" s="129"/>
      <c r="EH17" s="122"/>
      <c r="EI17" s="130" t="s">
        <v>113</v>
      </c>
      <c r="EJ17" s="130" t="s">
        <v>113</v>
      </c>
      <c r="EK17" s="130" t="s">
        <v>113</v>
      </c>
      <c r="EL17" s="130" t="s">
        <v>113</v>
      </c>
      <c r="EM17" s="131">
        <f t="shared" si="9"/>
        <v>6.0150369063900255</v>
      </c>
      <c r="EN17" s="129">
        <f>'[23]2. Distributional by deciles o'!B105</f>
        <v>218588870596.21899</v>
      </c>
      <c r="EO17" s="129">
        <f>'[23]2. Distributional by deciles o'!C105</f>
        <v>220771956035.56888</v>
      </c>
      <c r="EP17" s="131">
        <f t="shared" si="10"/>
        <v>0.99871756205855977</v>
      </c>
      <c r="EQ17" s="130" t="s">
        <v>113</v>
      </c>
      <c r="ER17" s="130" t="s">
        <v>113</v>
      </c>
      <c r="ES17" s="130" t="s">
        <v>113</v>
      </c>
      <c r="ET17" s="130" t="s">
        <v>113</v>
      </c>
      <c r="EU17" s="131">
        <f t="shared" si="24"/>
        <v>8.9865680180289296</v>
      </c>
      <c r="EV17" s="132">
        <f t="shared" si="25"/>
        <v>1.963913869193036</v>
      </c>
      <c r="EW17" s="132">
        <f t="shared" si="26"/>
        <v>0.99056547868745504</v>
      </c>
      <c r="EX17" s="132"/>
      <c r="EY17" s="148">
        <f t="shared" si="11"/>
        <v>-0.14021315361294073</v>
      </c>
      <c r="EZ17" s="144">
        <f t="shared" si="27"/>
        <v>5.7315882192343626E-2</v>
      </c>
      <c r="FA17" s="428">
        <f>'[23]2. Distributional by deciles o'!I33</f>
        <v>0.99942684117807656</v>
      </c>
      <c r="FB17" s="130" t="s">
        <v>113</v>
      </c>
      <c r="FC17" s="130" t="s">
        <v>113</v>
      </c>
      <c r="FD17" s="130" t="s">
        <v>113</v>
      </c>
      <c r="FE17" s="130" t="s">
        <v>113</v>
      </c>
      <c r="FF17" s="130" t="s">
        <v>113</v>
      </c>
      <c r="FG17" s="130" t="s">
        <v>113</v>
      </c>
      <c r="FH17" s="130" t="s">
        <v>113</v>
      </c>
      <c r="FI17" s="130" t="s">
        <v>113</v>
      </c>
      <c r="FJ17" s="1"/>
      <c r="FK17" s="1"/>
      <c r="FL17" s="1"/>
      <c r="FM17" s="1"/>
      <c r="FN17" s="1"/>
      <c r="FO17" s="1"/>
      <c r="FP17" s="1"/>
      <c r="FQ17" s="1"/>
    </row>
    <row r="18" spans="1:173" x14ac:dyDescent="0.3">
      <c r="A18" s="1"/>
      <c r="B18" s="28">
        <v>7</v>
      </c>
      <c r="C18" s="129">
        <f>'[20]2. Distributional by deciles o'!B124</f>
        <v>34533766222.237175</v>
      </c>
      <c r="D18" s="129">
        <f>'[20]2. Distributional by deciles o'!C124</f>
        <v>35205931818.27002</v>
      </c>
      <c r="E18" s="129">
        <f>'[20]2. Distributional by deciles o'!D124</f>
        <v>34877174646.389961</v>
      </c>
      <c r="F18" s="129">
        <f>'[20]2. Distributional by deciles o'!E124</f>
        <v>34970903428.957191</v>
      </c>
      <c r="G18" s="129">
        <f>'[20]2. Distributional by deciles o'!F124</f>
        <v>34907510036.868011</v>
      </c>
      <c r="H18" s="129">
        <f>'[20]2. Distributional by deciles o'!G124</f>
        <v>34900676915.001625</v>
      </c>
      <c r="I18" s="129">
        <f>'[20]2. Distributional by deciles o'!H124</f>
        <v>34871083006.474808</v>
      </c>
      <c r="J18" s="122"/>
      <c r="K18" s="130" t="s">
        <v>113</v>
      </c>
      <c r="L18" s="130" t="s">
        <v>113</v>
      </c>
      <c r="M18" s="130" t="s">
        <v>113</v>
      </c>
      <c r="N18" s="130" t="s">
        <v>113</v>
      </c>
      <c r="O18" s="131">
        <f t="shared" si="12"/>
        <v>8.5901993236776217</v>
      </c>
      <c r="P18" s="129">
        <f>'[21]2. Distributional by deciles o'!B106</f>
        <v>223779216955.53104</v>
      </c>
      <c r="Q18" s="129">
        <f>'[21]2. Distributional by deciles o'!C106</f>
        <v>226014284907.98517</v>
      </c>
      <c r="R18" s="131">
        <f t="shared" si="0"/>
        <v>0.99878263176613746</v>
      </c>
      <c r="S18" s="130" t="s">
        <v>113</v>
      </c>
      <c r="T18" s="130" t="s">
        <v>113</v>
      </c>
      <c r="U18" s="130" t="s">
        <v>113</v>
      </c>
      <c r="V18" s="130" t="s">
        <v>113</v>
      </c>
      <c r="W18" s="132">
        <f t="shared" si="13"/>
        <v>1.9487734471247906</v>
      </c>
      <c r="X18" s="132">
        <f t="shared" si="13"/>
        <v>0.99562551617892781</v>
      </c>
      <c r="Y18" s="132">
        <f t="shared" si="1"/>
        <v>1.2673683185127533</v>
      </c>
      <c r="Z18" s="132">
        <f t="shared" si="1"/>
        <v>1.0835752771019753</v>
      </c>
      <c r="AA18" s="132">
        <f t="shared" si="1"/>
        <v>1.0637643755432307</v>
      </c>
      <c r="AB18" s="132">
        <f t="shared" si="14"/>
        <v>0.97796435323610353</v>
      </c>
      <c r="AC18" s="132">
        <f t="shared" si="14"/>
        <v>0.97796435323610353</v>
      </c>
      <c r="AD18" s="130" t="s">
        <v>113</v>
      </c>
      <c r="AE18" s="130" t="s">
        <v>113</v>
      </c>
      <c r="AF18" s="130" t="s">
        <v>113</v>
      </c>
      <c r="AG18" s="130" t="s">
        <v>113</v>
      </c>
      <c r="AH18" s="133">
        <f t="shared" si="2"/>
        <v>1</v>
      </c>
      <c r="AI18" s="134">
        <f t="shared" si="15"/>
        <v>0</v>
      </c>
      <c r="AJ18" s="134">
        <f t="shared" si="3"/>
        <v>0.68140512861203728</v>
      </c>
      <c r="AK18" s="134">
        <f t="shared" si="4"/>
        <v>0.18379304141077801</v>
      </c>
      <c r="AL18" s="134">
        <f t="shared" si="16"/>
        <v>1.9810901558744654E-2</v>
      </c>
      <c r="AM18" s="134">
        <f t="shared" si="17"/>
        <v>6.3764375543230667E-2</v>
      </c>
      <c r="AN18" s="135">
        <f t="shared" si="28"/>
        <v>0</v>
      </c>
      <c r="AO18" s="134">
        <f t="shared" si="18"/>
        <v>0</v>
      </c>
      <c r="AP18" s="134">
        <f t="shared" si="6"/>
        <v>0</v>
      </c>
      <c r="AQ18" s="136" t="s">
        <v>113</v>
      </c>
      <c r="AR18" s="137">
        <f t="shared" si="7"/>
        <v>0</v>
      </c>
      <c r="AS18" s="137">
        <f t="shared" si="7"/>
        <v>71.819582501702655</v>
      </c>
      <c r="AT18" s="137">
        <f t="shared" si="7"/>
        <v>19.37164683178618</v>
      </c>
      <c r="AU18" s="137">
        <f t="shared" si="7"/>
        <v>2.0880539625956627</v>
      </c>
      <c r="AV18" s="137">
        <f t="shared" si="7"/>
        <v>6.7207167039154969</v>
      </c>
      <c r="AW18" s="138">
        <f t="shared" si="7"/>
        <v>0</v>
      </c>
      <c r="AX18" s="137">
        <f t="shared" si="7"/>
        <v>0</v>
      </c>
      <c r="AY18" s="137">
        <f t="shared" si="7"/>
        <v>0</v>
      </c>
      <c r="AZ18" s="139" t="s">
        <v>113</v>
      </c>
      <c r="BA18" s="139" t="s">
        <v>113</v>
      </c>
      <c r="BB18" s="139" t="s">
        <v>113</v>
      </c>
      <c r="BC18" s="139" t="s">
        <v>113</v>
      </c>
      <c r="BD18" s="139" t="s">
        <v>113</v>
      </c>
      <c r="BE18" s="139" t="s">
        <v>113</v>
      </c>
      <c r="BF18" s="139" t="s">
        <v>113</v>
      </c>
      <c r="BG18" s="139" t="s">
        <v>113</v>
      </c>
      <c r="BH18" s="129">
        <f>'[21]2. Distributional by deciles o'!B142</f>
        <v>167983416955.87671</v>
      </c>
      <c r="BI18" s="129">
        <f>'[21]2. Distributional by deciles o'!B160</f>
        <v>36705311858.7276</v>
      </c>
      <c r="BJ18" s="129">
        <f>'[21]2. Distributional by deciles o'!B178</f>
        <v>13138587386.375999</v>
      </c>
      <c r="BK18" s="129">
        <f>'[21]2. Distributional by deciles o'!B196</f>
        <v>4453526373.9384003</v>
      </c>
      <c r="BL18" s="141">
        <f t="shared" si="19"/>
        <v>0.7557260221346277</v>
      </c>
      <c r="BM18" s="141">
        <f t="shared" si="20"/>
        <v>0.16513034336891291</v>
      </c>
      <c r="BN18" s="141">
        <f t="shared" si="21"/>
        <v>5.9108051032097833E-2</v>
      </c>
      <c r="BO18" s="141">
        <f t="shared" si="21"/>
        <v>2.003558346436158E-2</v>
      </c>
      <c r="BP18" s="139" t="s">
        <v>113</v>
      </c>
      <c r="BQ18" s="139" t="s">
        <v>113</v>
      </c>
      <c r="BR18" s="139" t="s">
        <v>113</v>
      </c>
      <c r="BS18" s="131">
        <f t="shared" si="22"/>
        <v>10.497550795297778</v>
      </c>
      <c r="BT18" s="139"/>
      <c r="BU18" s="139"/>
      <c r="BV18" s="139"/>
      <c r="BW18" s="139"/>
      <c r="BX18" s="139"/>
      <c r="BY18" s="139"/>
      <c r="BZ18" s="139"/>
      <c r="CA18" s="139"/>
      <c r="CB18" s="139"/>
      <c r="CC18" s="142" t="s">
        <v>113</v>
      </c>
      <c r="CD18" s="142" t="s">
        <v>113</v>
      </c>
      <c r="CE18" s="142" t="s">
        <v>113</v>
      </c>
      <c r="CF18" s="142" t="s">
        <v>113</v>
      </c>
      <c r="CG18" s="142" t="s">
        <v>113</v>
      </c>
      <c r="CH18" s="142" t="s">
        <v>113</v>
      </c>
      <c r="CI18" s="142" t="s">
        <v>113</v>
      </c>
      <c r="CJ18" s="142"/>
      <c r="CK18" s="139" t="s">
        <v>113</v>
      </c>
      <c r="CL18" s="139" t="s">
        <v>113</v>
      </c>
      <c r="CM18" s="139" t="s">
        <v>113</v>
      </c>
      <c r="CN18" s="139" t="s">
        <v>113</v>
      </c>
      <c r="CO18" s="139" t="s">
        <v>113</v>
      </c>
      <c r="CP18" s="139" t="s">
        <v>113</v>
      </c>
      <c r="CQ18" s="139" t="s">
        <v>113</v>
      </c>
      <c r="CR18" s="139"/>
      <c r="CS18" s="143" t="s">
        <v>113</v>
      </c>
      <c r="CT18" s="143" t="s">
        <v>113</v>
      </c>
      <c r="CU18" s="143" t="s">
        <v>113</v>
      </c>
      <c r="CV18" s="143" t="s">
        <v>113</v>
      </c>
      <c r="CW18" s="143" t="s">
        <v>113</v>
      </c>
      <c r="CX18" s="143" t="s">
        <v>113</v>
      </c>
      <c r="CY18" s="143" t="s">
        <v>113</v>
      </c>
      <c r="CZ18" s="143"/>
      <c r="DA18" s="139" t="s">
        <v>113</v>
      </c>
      <c r="DB18" s="139" t="s">
        <v>113</v>
      </c>
      <c r="DC18" s="139" t="s">
        <v>113</v>
      </c>
      <c r="DD18" s="144">
        <f t="shared" si="23"/>
        <v>5.6202803105176447E-2</v>
      </c>
      <c r="DE18" s="428">
        <f>'[21]2. Distributional by deciles o'!I34</f>
        <v>0.99943797196894824</v>
      </c>
      <c r="DF18" s="1"/>
      <c r="DG18" s="1"/>
      <c r="DH18" s="1"/>
      <c r="DI18" s="1"/>
      <c r="DJ18" s="1"/>
      <c r="DK18" s="1"/>
      <c r="DL18" s="1"/>
      <c r="DM18" s="1"/>
      <c r="DN18" s="1"/>
      <c r="DO18" s="1"/>
      <c r="DP18" s="1"/>
      <c r="DQ18" s="1"/>
      <c r="DR18" s="1"/>
      <c r="DS18" s="1"/>
      <c r="DT18" s="1"/>
      <c r="DU18" s="1"/>
      <c r="DV18" s="1"/>
      <c r="DW18" s="1"/>
      <c r="DX18" s="1"/>
      <c r="DY18" s="1"/>
      <c r="DZ18" s="1"/>
      <c r="EA18" s="129">
        <f>'[22]2. Distributional by deciles o'!B124</f>
        <v>36738056113.509644</v>
      </c>
      <c r="EB18" s="129">
        <f>'[22]2. Distributional by deciles o'!C124</f>
        <v>37400614978.99678</v>
      </c>
      <c r="EC18" s="129">
        <f>'[22]2. Distributional by deciles o'!D124</f>
        <v>37102728441.896347</v>
      </c>
      <c r="ED18" s="147"/>
      <c r="EE18" s="147"/>
      <c r="EF18" s="147"/>
      <c r="EG18" s="129"/>
      <c r="EH18" s="122"/>
      <c r="EI18" s="130" t="s">
        <v>113</v>
      </c>
      <c r="EJ18" s="130" t="s">
        <v>113</v>
      </c>
      <c r="EK18" s="130" t="s">
        <v>113</v>
      </c>
      <c r="EL18" s="130" t="s">
        <v>113</v>
      </c>
      <c r="EM18" s="131">
        <f t="shared" si="9"/>
        <v>8.3779776045767171</v>
      </c>
      <c r="EN18" s="129">
        <f>'[23]2. Distributional by deciles o'!B106</f>
        <v>255838877536.3465</v>
      </c>
      <c r="EO18" s="129">
        <f>'[23]2. Distributional by deciles o'!C106</f>
        <v>258394023416.5321</v>
      </c>
      <c r="EP18" s="131">
        <f t="shared" si="10"/>
        <v>0.99873244629233859</v>
      </c>
      <c r="EQ18" s="130" t="s">
        <v>113</v>
      </c>
      <c r="ER18" s="130" t="s">
        <v>113</v>
      </c>
      <c r="ES18" s="130" t="s">
        <v>113</v>
      </c>
      <c r="ET18" s="130" t="s">
        <v>113</v>
      </c>
      <c r="EU18" s="131">
        <f t="shared" si="24"/>
        <v>10.517980482563141</v>
      </c>
      <c r="EV18" s="132">
        <f t="shared" si="25"/>
        <v>1.8057562933195912</v>
      </c>
      <c r="EW18" s="132">
        <f t="shared" si="26"/>
        <v>0.99388806985419931</v>
      </c>
      <c r="EX18" s="132"/>
      <c r="EY18" s="148">
        <f t="shared" si="11"/>
        <v>-0.14301715380519942</v>
      </c>
      <c r="EZ18" s="144">
        <f t="shared" si="27"/>
        <v>0</v>
      </c>
      <c r="FA18" s="428">
        <f>'[23]2. Distributional by deciles o'!I34</f>
        <v>1</v>
      </c>
      <c r="FB18" s="130" t="s">
        <v>113</v>
      </c>
      <c r="FC18" s="130" t="s">
        <v>113</v>
      </c>
      <c r="FD18" s="130" t="s">
        <v>113</v>
      </c>
      <c r="FE18" s="130" t="s">
        <v>113</v>
      </c>
      <c r="FF18" s="130" t="s">
        <v>113</v>
      </c>
      <c r="FG18" s="130" t="s">
        <v>113</v>
      </c>
      <c r="FH18" s="130" t="s">
        <v>113</v>
      </c>
      <c r="FI18" s="130" t="s">
        <v>113</v>
      </c>
      <c r="FJ18" s="1"/>
      <c r="FK18" s="1"/>
      <c r="FL18" s="1"/>
      <c r="FM18" s="1"/>
      <c r="FN18" s="1"/>
      <c r="FO18" s="1"/>
      <c r="FP18" s="1"/>
      <c r="FQ18" s="1"/>
    </row>
    <row r="19" spans="1:173" x14ac:dyDescent="0.3">
      <c r="A19" s="1"/>
      <c r="B19" s="28">
        <v>8</v>
      </c>
      <c r="C19" s="129">
        <f>'[20]2. Distributional by deciles o'!B125</f>
        <v>48941860604.733582</v>
      </c>
      <c r="D19" s="129">
        <f>'[20]2. Distributional by deciles o'!C125</f>
        <v>49846440625.093262</v>
      </c>
      <c r="E19" s="129">
        <f>'[20]2. Distributional by deciles o'!D125</f>
        <v>49429766077.458038</v>
      </c>
      <c r="F19" s="129">
        <f>'[20]2. Distributional by deciles o'!E125</f>
        <v>49544825279.410843</v>
      </c>
      <c r="G19" s="129">
        <f>'[20]2. Distributional by deciles o'!F125</f>
        <v>49465906676.020828</v>
      </c>
      <c r="H19" s="129">
        <f>'[20]2. Distributional by deciles o'!G125</f>
        <v>49459731386.144424</v>
      </c>
      <c r="I19" s="129">
        <f>'[20]2. Distributional by deciles o'!H125</f>
        <v>49424515594.080002</v>
      </c>
      <c r="J19" s="122"/>
      <c r="K19" s="130" t="s">
        <v>113</v>
      </c>
      <c r="L19" s="130" t="s">
        <v>113</v>
      </c>
      <c r="M19" s="130" t="s">
        <v>113</v>
      </c>
      <c r="N19" s="130" t="s">
        <v>113</v>
      </c>
      <c r="O19" s="131">
        <f t="shared" si="12"/>
        <v>12.174181499948517</v>
      </c>
      <c r="P19" s="129">
        <f>'[21]2. Distributional by deciles o'!B107</f>
        <v>268918201123.01062</v>
      </c>
      <c r="Q19" s="129">
        <f>'[21]2. Distributional by deciles o'!C107</f>
        <v>271605159738.4848</v>
      </c>
      <c r="R19" s="131">
        <f t="shared" si="0"/>
        <v>0.99917320741154114</v>
      </c>
      <c r="S19" s="130" t="s">
        <v>113</v>
      </c>
      <c r="T19" s="130" t="s">
        <v>113</v>
      </c>
      <c r="U19" s="130" t="s">
        <v>113</v>
      </c>
      <c r="V19" s="130" t="s">
        <v>113</v>
      </c>
      <c r="W19" s="132">
        <f t="shared" si="13"/>
        <v>1.8498040901994646</v>
      </c>
      <c r="X19" s="132">
        <f t="shared" si="13"/>
        <v>0.99773322289114741</v>
      </c>
      <c r="Y19" s="132">
        <f t="shared" si="1"/>
        <v>1.2330213981735902</v>
      </c>
      <c r="Z19" s="132">
        <f t="shared" si="1"/>
        <v>1.0716382678169944</v>
      </c>
      <c r="AA19" s="132">
        <f t="shared" si="1"/>
        <v>1.0590102236258381</v>
      </c>
      <c r="AB19" s="132">
        <f t="shared" si="14"/>
        <v>0.98699634455024143</v>
      </c>
      <c r="AC19" s="132">
        <f t="shared" si="14"/>
        <v>0.98699634455024143</v>
      </c>
      <c r="AD19" s="130" t="s">
        <v>113</v>
      </c>
      <c r="AE19" s="130" t="s">
        <v>113</v>
      </c>
      <c r="AF19" s="130" t="s">
        <v>113</v>
      </c>
      <c r="AG19" s="130" t="s">
        <v>113</v>
      </c>
      <c r="AH19" s="133">
        <f t="shared" si="2"/>
        <v>1</v>
      </c>
      <c r="AI19" s="134">
        <f t="shared" si="15"/>
        <v>0</v>
      </c>
      <c r="AJ19" s="134">
        <f t="shared" si="3"/>
        <v>0.61678269202587432</v>
      </c>
      <c r="AK19" s="134">
        <f t="shared" si="4"/>
        <v>0.16138313035659579</v>
      </c>
      <c r="AL19" s="134">
        <f t="shared" si="16"/>
        <v>1.2628044191156373E-2</v>
      </c>
      <c r="AM19" s="134">
        <f t="shared" si="17"/>
        <v>5.9010223625838076E-2</v>
      </c>
      <c r="AN19" s="135">
        <f t="shared" si="28"/>
        <v>0</v>
      </c>
      <c r="AO19" s="134">
        <f t="shared" si="18"/>
        <v>0</v>
      </c>
      <c r="AP19" s="134">
        <f t="shared" si="6"/>
        <v>0</v>
      </c>
      <c r="AQ19" s="136" t="s">
        <v>113</v>
      </c>
      <c r="AR19" s="137">
        <f t="shared" si="7"/>
        <v>0</v>
      </c>
      <c r="AS19" s="137">
        <f t="shared" si="7"/>
        <v>72.579397903474913</v>
      </c>
      <c r="AT19" s="137">
        <f t="shared" si="7"/>
        <v>18.990627630271376</v>
      </c>
      <c r="AU19" s="137">
        <f t="shared" si="7"/>
        <v>1.4859947530015229</v>
      </c>
      <c r="AV19" s="137">
        <f t="shared" si="7"/>
        <v>6.9439797132521797</v>
      </c>
      <c r="AW19" s="138">
        <f t="shared" si="7"/>
        <v>0</v>
      </c>
      <c r="AX19" s="137">
        <f t="shared" si="7"/>
        <v>0</v>
      </c>
      <c r="AY19" s="137">
        <f t="shared" si="7"/>
        <v>0</v>
      </c>
      <c r="AZ19" s="139" t="s">
        <v>113</v>
      </c>
      <c r="BA19" s="139" t="s">
        <v>113</v>
      </c>
      <c r="BB19" s="139" t="s">
        <v>113</v>
      </c>
      <c r="BC19" s="139" t="s">
        <v>113</v>
      </c>
      <c r="BD19" s="139" t="s">
        <v>113</v>
      </c>
      <c r="BE19" s="139" t="s">
        <v>113</v>
      </c>
      <c r="BF19" s="139" t="s">
        <v>113</v>
      </c>
      <c r="BG19" s="139" t="s">
        <v>113</v>
      </c>
      <c r="BH19" s="129">
        <f>'[21]2. Distributional by deciles o'!B143</f>
        <v>211363354536.29178</v>
      </c>
      <c r="BI19" s="129">
        <f>'[21]2. Distributional by deciles o'!B161</f>
        <v>33072836401.822807</v>
      </c>
      <c r="BJ19" s="129">
        <f>'[21]2. Distributional by deciles o'!B179</f>
        <v>17631496973.061607</v>
      </c>
      <c r="BK19" s="129">
        <f>'[21]2. Distributional by deciles o'!B197</f>
        <v>4757160530.1371975</v>
      </c>
      <c r="BL19" s="141">
        <f t="shared" si="19"/>
        <v>0.79214269499633927</v>
      </c>
      <c r="BM19" s="141">
        <f t="shared" si="20"/>
        <v>0.12394961187093857</v>
      </c>
      <c r="BN19" s="141">
        <f t="shared" si="21"/>
        <v>6.6078916847729624E-2</v>
      </c>
      <c r="BO19" s="141">
        <f t="shared" si="21"/>
        <v>1.7828776284992465E-2</v>
      </c>
      <c r="BP19" s="139" t="s">
        <v>113</v>
      </c>
      <c r="BQ19" s="139" t="s">
        <v>113</v>
      </c>
      <c r="BR19" s="139" t="s">
        <v>113</v>
      </c>
      <c r="BS19" s="131">
        <f t="shared" si="22"/>
        <v>12.615034204136505</v>
      </c>
      <c r="BT19" s="139"/>
      <c r="BU19" s="139"/>
      <c r="BV19" s="139"/>
      <c r="BW19" s="139"/>
      <c r="BX19" s="139"/>
      <c r="BY19" s="139"/>
      <c r="BZ19" s="139"/>
      <c r="CA19" s="139"/>
      <c r="CB19" s="139"/>
      <c r="CC19" s="142" t="s">
        <v>113</v>
      </c>
      <c r="CD19" s="142" t="s">
        <v>113</v>
      </c>
      <c r="CE19" s="142" t="s">
        <v>113</v>
      </c>
      <c r="CF19" s="142" t="s">
        <v>113</v>
      </c>
      <c r="CG19" s="142" t="s">
        <v>113</v>
      </c>
      <c r="CH19" s="142" t="s">
        <v>113</v>
      </c>
      <c r="CI19" s="142" t="s">
        <v>113</v>
      </c>
      <c r="CJ19" s="142"/>
      <c r="CK19" s="139" t="s">
        <v>113</v>
      </c>
      <c r="CL19" s="139" t="s">
        <v>113</v>
      </c>
      <c r="CM19" s="139" t="s">
        <v>113</v>
      </c>
      <c r="CN19" s="139" t="s">
        <v>113</v>
      </c>
      <c r="CO19" s="139" t="s">
        <v>113</v>
      </c>
      <c r="CP19" s="139" t="s">
        <v>113</v>
      </c>
      <c r="CQ19" s="139" t="s">
        <v>113</v>
      </c>
      <c r="CR19" s="139"/>
      <c r="CS19" s="143" t="s">
        <v>113</v>
      </c>
      <c r="CT19" s="143" t="s">
        <v>113</v>
      </c>
      <c r="CU19" s="143" t="s">
        <v>113</v>
      </c>
      <c r="CV19" s="143" t="s">
        <v>113</v>
      </c>
      <c r="CW19" s="143" t="s">
        <v>113</v>
      </c>
      <c r="CX19" s="143" t="s">
        <v>113</v>
      </c>
      <c r="CY19" s="143" t="s">
        <v>113</v>
      </c>
      <c r="CZ19" s="143"/>
      <c r="DA19" s="139" t="s">
        <v>113</v>
      </c>
      <c r="DB19" s="139" t="s">
        <v>113</v>
      </c>
      <c r="DC19" s="139" t="s">
        <v>113</v>
      </c>
      <c r="DD19" s="144">
        <f t="shared" si="23"/>
        <v>4.9144836953052273E-2</v>
      </c>
      <c r="DE19" s="428">
        <f>'[21]2. Distributional by deciles o'!I35</f>
        <v>0.99950855163046948</v>
      </c>
      <c r="DF19" s="1"/>
      <c r="DG19" s="1"/>
      <c r="DH19" s="1"/>
      <c r="DI19" s="1"/>
      <c r="DJ19" s="1"/>
      <c r="DK19" s="1"/>
      <c r="DL19" s="1"/>
      <c r="DM19" s="1"/>
      <c r="DN19" s="1"/>
      <c r="DO19" s="1"/>
      <c r="DP19" s="1"/>
      <c r="DQ19" s="1"/>
      <c r="DR19" s="1"/>
      <c r="DS19" s="1"/>
      <c r="DT19" s="1"/>
      <c r="DU19" s="1"/>
      <c r="DV19" s="1"/>
      <c r="DW19" s="1"/>
      <c r="DX19" s="1"/>
      <c r="DY19" s="1"/>
      <c r="DZ19" s="1"/>
      <c r="EA19" s="129">
        <f>'[22]2. Distributional by deciles o'!B125</f>
        <v>52224560061.532906</v>
      </c>
      <c r="EB19" s="129">
        <f>'[22]2. Distributional by deciles o'!C125</f>
        <v>53119509359.525955</v>
      </c>
      <c r="EC19" s="129">
        <f>'[22]2. Distributional by deciles o'!D125</f>
        <v>52744748087.120453</v>
      </c>
      <c r="ED19" s="147"/>
      <c r="EE19" s="147"/>
      <c r="EF19" s="147"/>
      <c r="EG19" s="129"/>
      <c r="EH19" s="122"/>
      <c r="EI19" s="130" t="s">
        <v>113</v>
      </c>
      <c r="EJ19" s="130" t="s">
        <v>113</v>
      </c>
      <c r="EK19" s="130" t="s">
        <v>113</v>
      </c>
      <c r="EL19" s="130" t="s">
        <v>113</v>
      </c>
      <c r="EM19" s="131">
        <f t="shared" si="9"/>
        <v>11.909617461864011</v>
      </c>
      <c r="EN19" s="129">
        <f>'[23]2. Distributional by deciles o'!B107</f>
        <v>307118613478.35529</v>
      </c>
      <c r="EO19" s="129">
        <f>'[23]2. Distributional by deciles o'!C107</f>
        <v>310187570691.69116</v>
      </c>
      <c r="EP19" s="131">
        <f t="shared" si="10"/>
        <v>0.99927424735921644</v>
      </c>
      <c r="EQ19" s="130" t="s">
        <v>113</v>
      </c>
      <c r="ER19" s="130" t="s">
        <v>113</v>
      </c>
      <c r="ES19" s="130" t="s">
        <v>113</v>
      </c>
      <c r="ET19" s="130" t="s">
        <v>113</v>
      </c>
      <c r="EU19" s="131">
        <f t="shared" si="24"/>
        <v>12.626179466950941</v>
      </c>
      <c r="EV19" s="132">
        <f t="shared" si="25"/>
        <v>1.714900576436605</v>
      </c>
      <c r="EW19" s="132">
        <f t="shared" si="26"/>
        <v>0.99678355738811053</v>
      </c>
      <c r="EX19" s="132"/>
      <c r="EY19" s="148">
        <f t="shared" si="11"/>
        <v>-0.13490351376285958</v>
      </c>
      <c r="EZ19" s="144">
        <f t="shared" si="27"/>
        <v>4.9213218306698447E-2</v>
      </c>
      <c r="FA19" s="428">
        <f>'[23]2. Distributional by deciles o'!I35</f>
        <v>0.99950786781693302</v>
      </c>
      <c r="FB19" s="130" t="s">
        <v>113</v>
      </c>
      <c r="FC19" s="130" t="s">
        <v>113</v>
      </c>
      <c r="FD19" s="130" t="s">
        <v>113</v>
      </c>
      <c r="FE19" s="130" t="s">
        <v>113</v>
      </c>
      <c r="FF19" s="130" t="s">
        <v>113</v>
      </c>
      <c r="FG19" s="130" t="s">
        <v>113</v>
      </c>
      <c r="FH19" s="130" t="s">
        <v>113</v>
      </c>
      <c r="FI19" s="130" t="s">
        <v>113</v>
      </c>
      <c r="FJ19" s="1"/>
      <c r="FK19" s="1"/>
      <c r="FL19" s="1"/>
      <c r="FM19" s="1"/>
      <c r="FN19" s="1"/>
      <c r="FO19" s="1"/>
      <c r="FP19" s="1"/>
      <c r="FQ19" s="1"/>
    </row>
    <row r="20" spans="1:173" x14ac:dyDescent="0.3">
      <c r="A20" s="1"/>
      <c r="B20" s="28">
        <v>9</v>
      </c>
      <c r="C20" s="129">
        <f>'[20]2. Distributional by deciles o'!B126</f>
        <v>72198259739.850067</v>
      </c>
      <c r="D20" s="129">
        <f>'[20]2. Distributional by deciles o'!C126</f>
        <v>73424280143.265671</v>
      </c>
      <c r="E20" s="129">
        <f>'[20]2. Distributional by deciles o'!D126</f>
        <v>72918732345.442856</v>
      </c>
      <c r="F20" s="129">
        <f>'[20]2. Distributional by deciles o'!E126</f>
        <v>73021855885.543259</v>
      </c>
      <c r="G20" s="129">
        <f>'[20]2. Distributional by deciles o'!F126</f>
        <v>72962375538.207672</v>
      </c>
      <c r="H20" s="129">
        <f>'[20]2. Distributional by deciles o'!G126</f>
        <v>72957211819.807281</v>
      </c>
      <c r="I20" s="129">
        <f>'[20]2. Distributional by deciles o'!H126</f>
        <v>72920635416.709137</v>
      </c>
      <c r="J20" s="122"/>
      <c r="K20" s="130" t="s">
        <v>113</v>
      </c>
      <c r="L20" s="130" t="s">
        <v>113</v>
      </c>
      <c r="M20" s="130" t="s">
        <v>113</v>
      </c>
      <c r="N20" s="130" t="s">
        <v>113</v>
      </c>
      <c r="O20" s="131">
        <f t="shared" si="12"/>
        <v>17.959160260620529</v>
      </c>
      <c r="P20" s="129">
        <f>'[21]2. Distributional by deciles o'!B108</f>
        <v>336638985734.38129</v>
      </c>
      <c r="Q20" s="129">
        <f>'[21]2. Distributional by deciles o'!C108</f>
        <v>340003235410.9248</v>
      </c>
      <c r="R20" s="131">
        <f t="shared" si="0"/>
        <v>0.99936425046087685</v>
      </c>
      <c r="S20" s="130" t="s">
        <v>113</v>
      </c>
      <c r="T20" s="130" t="s">
        <v>113</v>
      </c>
      <c r="U20" s="130" t="s">
        <v>113</v>
      </c>
      <c r="V20" s="130" t="s">
        <v>113</v>
      </c>
      <c r="W20" s="132">
        <f t="shared" si="13"/>
        <v>1.699210404222472</v>
      </c>
      <c r="X20" s="132">
        <f t="shared" si="13"/>
        <v>0.99854337168444507</v>
      </c>
      <c r="Y20" s="132">
        <f t="shared" si="1"/>
        <v>1.1414680667145469</v>
      </c>
      <c r="Z20" s="132">
        <f t="shared" si="1"/>
        <v>1.0590309190473284</v>
      </c>
      <c r="AA20" s="132">
        <f t="shared" si="1"/>
        <v>1.0518742322532306</v>
      </c>
      <c r="AB20" s="132">
        <f t="shared" si="14"/>
        <v>1.00118094483301</v>
      </c>
      <c r="AC20" s="132">
        <f t="shared" si="14"/>
        <v>1.00118094483301</v>
      </c>
      <c r="AD20" s="130" t="s">
        <v>113</v>
      </c>
      <c r="AE20" s="130" t="s">
        <v>113</v>
      </c>
      <c r="AF20" s="130" t="s">
        <v>113</v>
      </c>
      <c r="AG20" s="130" t="s">
        <v>113</v>
      </c>
      <c r="AH20" s="133">
        <f t="shared" si="2"/>
        <v>1</v>
      </c>
      <c r="AI20" s="134">
        <f t="shared" si="15"/>
        <v>0</v>
      </c>
      <c r="AJ20" s="134">
        <f t="shared" si="3"/>
        <v>0.55774233750792512</v>
      </c>
      <c r="AK20" s="134">
        <f t="shared" si="4"/>
        <v>8.2437147667218547E-2</v>
      </c>
      <c r="AL20" s="134">
        <f t="shared" si="16"/>
        <v>7.1566867940977552E-3</v>
      </c>
      <c r="AM20" s="134">
        <f t="shared" si="17"/>
        <v>5.0693287420220612E-2</v>
      </c>
      <c r="AN20" s="135">
        <f t="shared" si="28"/>
        <v>0</v>
      </c>
      <c r="AO20" s="134">
        <f t="shared" si="18"/>
        <v>1.1809448330100114E-3</v>
      </c>
      <c r="AP20" s="134">
        <f t="shared" si="6"/>
        <v>1.1809448330100114E-3</v>
      </c>
      <c r="AQ20" s="136" t="s">
        <v>113</v>
      </c>
      <c r="AR20" s="137">
        <f t="shared" si="7"/>
        <v>0</v>
      </c>
      <c r="AS20" s="137">
        <f t="shared" si="7"/>
        <v>79.767453993785935</v>
      </c>
      <c r="AT20" s="137">
        <f t="shared" si="7"/>
        <v>11.790034468793319</v>
      </c>
      <c r="AU20" s="137">
        <f t="shared" si="7"/>
        <v>1.023538372838724</v>
      </c>
      <c r="AV20" s="137">
        <f t="shared" si="7"/>
        <v>7.2500762451599936</v>
      </c>
      <c r="AW20" s="138">
        <f t="shared" si="7"/>
        <v>0</v>
      </c>
      <c r="AX20" s="137">
        <f t="shared" si="7"/>
        <v>0.16889691942202034</v>
      </c>
      <c r="AY20" s="137">
        <f t="shared" si="7"/>
        <v>0.16889691942202034</v>
      </c>
      <c r="AZ20" s="139" t="s">
        <v>113</v>
      </c>
      <c r="BA20" s="139" t="s">
        <v>113</v>
      </c>
      <c r="BB20" s="139" t="s">
        <v>113</v>
      </c>
      <c r="BC20" s="139" t="s">
        <v>113</v>
      </c>
      <c r="BD20" s="139" t="s">
        <v>113</v>
      </c>
      <c r="BE20" s="139" t="s">
        <v>113</v>
      </c>
      <c r="BF20" s="139" t="s">
        <v>113</v>
      </c>
      <c r="BG20" s="139" t="s">
        <v>113</v>
      </c>
      <c r="BH20" s="129">
        <f>'[21]2. Distributional by deciles o'!B144</f>
        <v>267187433387.58374</v>
      </c>
      <c r="BI20" s="129">
        <f>'[21]2. Distributional by deciles o'!B162</f>
        <v>32250754306.73999</v>
      </c>
      <c r="BJ20" s="129">
        <f>'[21]2. Distributional by deciles o'!B180</f>
        <v>26863601831.164803</v>
      </c>
      <c r="BK20" s="129">
        <f>'[21]2. Distributional by deciles o'!B198</f>
        <v>7728775512.6324005</v>
      </c>
      <c r="BL20" s="141">
        <f t="shared" si="19"/>
        <v>0.79988917588152819</v>
      </c>
      <c r="BM20" s="141">
        <f t="shared" si="20"/>
        <v>9.6550309110363608E-2</v>
      </c>
      <c r="BN20" s="141">
        <f t="shared" si="21"/>
        <v>8.0422585963350446E-2</v>
      </c>
      <c r="BO20" s="141">
        <f t="shared" si="21"/>
        <v>2.313792904475781E-2</v>
      </c>
      <c r="BP20" s="139" t="s">
        <v>113</v>
      </c>
      <c r="BQ20" s="139" t="s">
        <v>113</v>
      </c>
      <c r="BR20" s="139" t="s">
        <v>113</v>
      </c>
      <c r="BS20" s="131">
        <f t="shared" si="22"/>
        <v>15.791836706294482</v>
      </c>
      <c r="BT20" s="139"/>
      <c r="BU20" s="139"/>
      <c r="BV20" s="139"/>
      <c r="BW20" s="139"/>
      <c r="BX20" s="139"/>
      <c r="BY20" s="139"/>
      <c r="BZ20" s="139"/>
      <c r="CA20" s="139"/>
      <c r="CB20" s="139"/>
      <c r="CC20" s="142" t="s">
        <v>113</v>
      </c>
      <c r="CD20" s="142" t="s">
        <v>113</v>
      </c>
      <c r="CE20" s="142" t="s">
        <v>113</v>
      </c>
      <c r="CF20" s="142" t="s">
        <v>113</v>
      </c>
      <c r="CG20" s="142" t="s">
        <v>113</v>
      </c>
      <c r="CH20" s="142" t="s">
        <v>113</v>
      </c>
      <c r="CI20" s="142" t="s">
        <v>113</v>
      </c>
      <c r="CJ20" s="142"/>
      <c r="CK20" s="139" t="s">
        <v>113</v>
      </c>
      <c r="CL20" s="139" t="s">
        <v>113</v>
      </c>
      <c r="CM20" s="139" t="s">
        <v>113</v>
      </c>
      <c r="CN20" s="139" t="s">
        <v>113</v>
      </c>
      <c r="CO20" s="139" t="s">
        <v>113</v>
      </c>
      <c r="CP20" s="139" t="s">
        <v>113</v>
      </c>
      <c r="CQ20" s="139" t="s">
        <v>113</v>
      </c>
      <c r="CR20" s="139"/>
      <c r="CS20" s="143" t="s">
        <v>113</v>
      </c>
      <c r="CT20" s="143" t="s">
        <v>113</v>
      </c>
      <c r="CU20" s="143" t="s">
        <v>113</v>
      </c>
      <c r="CV20" s="143" t="s">
        <v>113</v>
      </c>
      <c r="CW20" s="143" t="s">
        <v>113</v>
      </c>
      <c r="CX20" s="143" t="s">
        <v>113</v>
      </c>
      <c r="CY20" s="143" t="s">
        <v>113</v>
      </c>
      <c r="CZ20" s="143"/>
      <c r="DA20" s="139" t="s">
        <v>113</v>
      </c>
      <c r="DB20" s="139" t="s">
        <v>113</v>
      </c>
      <c r="DC20" s="139" t="s">
        <v>113</v>
      </c>
      <c r="DD20" s="144">
        <f t="shared" si="23"/>
        <v>0</v>
      </c>
      <c r="DE20" s="428">
        <f>'[21]2. Distributional by deciles o'!I36</f>
        <v>1</v>
      </c>
      <c r="DF20" s="1"/>
      <c r="DG20" s="1"/>
      <c r="DH20" s="1"/>
      <c r="DI20" s="1"/>
      <c r="DJ20" s="1"/>
      <c r="DK20" s="1"/>
      <c r="DL20" s="1"/>
      <c r="DM20" s="1"/>
      <c r="DN20" s="1"/>
      <c r="DO20" s="1"/>
      <c r="DP20" s="1"/>
      <c r="DQ20" s="1"/>
      <c r="DR20" s="1"/>
      <c r="DS20" s="1"/>
      <c r="DT20" s="1"/>
      <c r="DU20" s="1"/>
      <c r="DV20" s="1"/>
      <c r="DW20" s="1"/>
      <c r="DX20" s="1"/>
      <c r="DY20" s="1"/>
      <c r="DZ20" s="1"/>
      <c r="EA20" s="129">
        <f>'[22]2. Distributional by deciles o'!B126</f>
        <v>78151446533.548767</v>
      </c>
      <c r="EB20" s="129">
        <f>'[22]2. Distributional by deciles o'!C126</f>
        <v>79453655339.357941</v>
      </c>
      <c r="EC20" s="129">
        <f>'[22]2. Distributional by deciles o'!D126</f>
        <v>78930822687.910797</v>
      </c>
      <c r="ED20" s="147"/>
      <c r="EE20" s="147"/>
      <c r="EF20" s="147"/>
      <c r="EG20" s="129"/>
      <c r="EH20" s="122"/>
      <c r="EI20" s="130" t="s">
        <v>113</v>
      </c>
      <c r="EJ20" s="130" t="s">
        <v>113</v>
      </c>
      <c r="EK20" s="130" t="s">
        <v>113</v>
      </c>
      <c r="EL20" s="130" t="s">
        <v>113</v>
      </c>
      <c r="EM20" s="131">
        <f t="shared" si="9"/>
        <v>17.822147878493098</v>
      </c>
      <c r="EN20" s="129">
        <f>'[23]2. Distributional by deciles o'!B108</f>
        <v>385130428703.5799</v>
      </c>
      <c r="EO20" s="129">
        <f>'[23]2. Distributional by deciles o'!C108</f>
        <v>388979235352.38306</v>
      </c>
      <c r="EP20" s="131">
        <f t="shared" si="10"/>
        <v>0.99935148249878925</v>
      </c>
      <c r="EQ20" s="130" t="s">
        <v>113</v>
      </c>
      <c r="ER20" s="130" t="s">
        <v>113</v>
      </c>
      <c r="ES20" s="130" t="s">
        <v>113</v>
      </c>
      <c r="ET20" s="130" t="s">
        <v>113</v>
      </c>
      <c r="EU20" s="131">
        <f t="shared" si="24"/>
        <v>15.833380647043921</v>
      </c>
      <c r="EV20" s="132">
        <f t="shared" si="25"/>
        <v>1.6673445173947083</v>
      </c>
      <c r="EW20" s="132">
        <f t="shared" si="26"/>
        <v>0.99791105095178612</v>
      </c>
      <c r="EX20" s="132"/>
      <c r="EY20" s="148">
        <f t="shared" si="11"/>
        <v>-3.1865886827763701E-2</v>
      </c>
      <c r="EZ20" s="144">
        <f t="shared" si="27"/>
        <v>0</v>
      </c>
      <c r="FA20" s="428">
        <f>'[23]2. Distributional by deciles o'!I36</f>
        <v>1</v>
      </c>
      <c r="FB20" s="130" t="s">
        <v>113</v>
      </c>
      <c r="FC20" s="130" t="s">
        <v>113</v>
      </c>
      <c r="FD20" s="130" t="s">
        <v>113</v>
      </c>
      <c r="FE20" s="130" t="s">
        <v>113</v>
      </c>
      <c r="FF20" s="130" t="s">
        <v>113</v>
      </c>
      <c r="FG20" s="130" t="s">
        <v>113</v>
      </c>
      <c r="FH20" s="130" t="s">
        <v>113</v>
      </c>
      <c r="FI20" s="130" t="s">
        <v>113</v>
      </c>
      <c r="FJ20" s="1"/>
      <c r="FK20" s="1"/>
      <c r="FL20" s="1"/>
      <c r="FM20" s="1"/>
      <c r="FN20" s="1"/>
      <c r="FO20" s="1"/>
      <c r="FP20" s="1"/>
      <c r="FQ20" s="1"/>
    </row>
    <row r="21" spans="1:173" x14ac:dyDescent="0.3">
      <c r="A21" s="1"/>
      <c r="B21" s="33">
        <v>10</v>
      </c>
      <c r="C21" s="129">
        <f>'[20]2. Distributional by deciles o'!B127</f>
        <v>186667383584.22919</v>
      </c>
      <c r="D21" s="129">
        <f>'[20]2. Distributional by deciles o'!C127</f>
        <v>189198935316.07544</v>
      </c>
      <c r="E21" s="129">
        <f>'[20]2. Distributional by deciles o'!D127</f>
        <v>188534231115.54642</v>
      </c>
      <c r="F21" s="129">
        <f>'[20]2. Distributional by deciles o'!E127</f>
        <v>188659001101.0813</v>
      </c>
      <c r="G21" s="129">
        <f>'[20]2. Distributional by deciles o'!F127</f>
        <v>188586470697.78732</v>
      </c>
      <c r="H21" s="129">
        <f>'[20]2. Distributional by deciles o'!G127</f>
        <v>188579589261.94946</v>
      </c>
      <c r="I21" s="129">
        <f>'[20]2. Distributional by deciles o'!H127</f>
        <v>188543044901.88489</v>
      </c>
      <c r="J21" s="122"/>
      <c r="K21" s="130" t="s">
        <v>113</v>
      </c>
      <c r="L21" s="130" t="s">
        <v>113</v>
      </c>
      <c r="M21" s="130" t="s">
        <v>113</v>
      </c>
      <c r="N21" s="130" t="s">
        <v>113</v>
      </c>
      <c r="O21" s="131">
        <f t="shared" si="12"/>
        <v>46.43310613440638</v>
      </c>
      <c r="P21" s="129">
        <f>'[21]2. Distributional by deciles o'!B109</f>
        <v>608277610767.69556</v>
      </c>
      <c r="Q21" s="129">
        <f>'[21]2. Distributional by deciles o'!C109</f>
        <v>614358188298.66089</v>
      </c>
      <c r="R21" s="131">
        <f t="shared" si="0"/>
        <v>0.99963855702187576</v>
      </c>
      <c r="S21" s="130" t="s">
        <v>113</v>
      </c>
      <c r="T21" s="130" t="s">
        <v>113</v>
      </c>
      <c r="U21" s="130" t="s">
        <v>113</v>
      </c>
      <c r="V21" s="130" t="s">
        <v>113</v>
      </c>
      <c r="W21" s="132">
        <f t="shared" si="13"/>
        <v>1.3566735793159437</v>
      </c>
      <c r="X21" s="132">
        <f t="shared" si="13"/>
        <v>1.0004546581010172</v>
      </c>
      <c r="Y21" s="132">
        <f t="shared" si="1"/>
        <v>1.0673196329452628</v>
      </c>
      <c r="Z21" s="132">
        <f t="shared" si="1"/>
        <v>1.0284501598832589</v>
      </c>
      <c r="AA21" s="132">
        <f t="shared" si="1"/>
        <v>1.0247623576268245</v>
      </c>
      <c r="AB21" s="132">
        <f t="shared" si="14"/>
        <v>1.0051780184450769</v>
      </c>
      <c r="AC21" s="132">
        <f t="shared" si="14"/>
        <v>1.0051780184450769</v>
      </c>
      <c r="AD21" s="130" t="s">
        <v>113</v>
      </c>
      <c r="AE21" s="130" t="s">
        <v>113</v>
      </c>
      <c r="AF21" s="130" t="s">
        <v>113</v>
      </c>
      <c r="AG21" s="130" t="s">
        <v>113</v>
      </c>
      <c r="AH21" s="133">
        <f t="shared" si="2"/>
        <v>1</v>
      </c>
      <c r="AI21" s="134">
        <f t="shared" si="15"/>
        <v>4.5465810101719129E-4</v>
      </c>
      <c r="AJ21" s="134">
        <f t="shared" si="3"/>
        <v>0.2893539463706809</v>
      </c>
      <c r="AK21" s="134">
        <f>IF(W21&gt;1,MAX(MIN(Y21-Z21,W21-AH21-AJ21),0),0)</f>
        <v>3.8869473062003834E-2</v>
      </c>
      <c r="AL21" s="134">
        <f t="shared" si="16"/>
        <v>3.6878022564343915E-3</v>
      </c>
      <c r="AM21" s="134">
        <f t="shared" si="17"/>
        <v>1.9584339181747623E-2</v>
      </c>
      <c r="AN21" s="135">
        <f t="shared" si="28"/>
        <v>0</v>
      </c>
      <c r="AO21" s="134">
        <f t="shared" si="18"/>
        <v>4.7233603440597349E-3</v>
      </c>
      <c r="AP21" s="134">
        <f t="shared" si="6"/>
        <v>5.1780184450769262E-3</v>
      </c>
      <c r="AQ21" s="136" t="s">
        <v>113</v>
      </c>
      <c r="AR21" s="137">
        <f t="shared" si="7"/>
        <v>0.12747176336670912</v>
      </c>
      <c r="AS21" s="137">
        <f t="shared" si="7"/>
        <v>81.125702365066232</v>
      </c>
      <c r="AT21" s="137">
        <f t="shared" si="7"/>
        <v>10.897771888949761</v>
      </c>
      <c r="AU21" s="137">
        <f t="shared" si="7"/>
        <v>1.033943210345758</v>
      </c>
      <c r="AV21" s="137">
        <f t="shared" si="7"/>
        <v>5.4908297999835005</v>
      </c>
      <c r="AW21" s="138">
        <f t="shared" si="7"/>
        <v>0</v>
      </c>
      <c r="AX21" s="137">
        <f t="shared" si="7"/>
        <v>1.3242809722880406</v>
      </c>
      <c r="AY21" s="137">
        <f t="shared" si="7"/>
        <v>1.4517527356547499</v>
      </c>
      <c r="AZ21" s="139" t="s">
        <v>113</v>
      </c>
      <c r="BA21" s="139" t="s">
        <v>113</v>
      </c>
      <c r="BB21" s="139" t="s">
        <v>113</v>
      </c>
      <c r="BC21" s="139" t="s">
        <v>113</v>
      </c>
      <c r="BD21" s="139" t="s">
        <v>113</v>
      </c>
      <c r="BE21" s="139" t="s">
        <v>113</v>
      </c>
      <c r="BF21" s="139" t="s">
        <v>113</v>
      </c>
      <c r="BG21" s="139" t="s">
        <v>113</v>
      </c>
      <c r="BH21" s="129">
        <f>'[21]2. Distributional by deciles o'!B145</f>
        <v>422451562314.70496</v>
      </c>
      <c r="BI21" s="129">
        <f>'[21]2. Distributional by deciles o'!B163</f>
        <v>32152030721.493587</v>
      </c>
      <c r="BJ21" s="129">
        <f>'[21]2. Distributional by deciles o'!B181</f>
        <v>123730339728.65273</v>
      </c>
      <c r="BK21" s="129">
        <f>'[21]2. Distributional by deciles o'!B199</f>
        <v>24072199765.70282</v>
      </c>
      <c r="BL21" s="141">
        <f t="shared" si="19"/>
        <v>0.70127367485469294</v>
      </c>
      <c r="BM21" s="141">
        <f t="shared" si="20"/>
        <v>5.3372681626647996E-2</v>
      </c>
      <c r="BN21" s="141">
        <f t="shared" si="21"/>
        <v>0.205393559339931</v>
      </c>
      <c r="BO21" s="141">
        <f t="shared" si="21"/>
        <v>3.9960084178727831E-2</v>
      </c>
      <c r="BP21" s="139" t="s">
        <v>113</v>
      </c>
      <c r="BQ21" s="139" t="s">
        <v>113</v>
      </c>
      <c r="BR21" s="139" t="s">
        <v>113</v>
      </c>
      <c r="BS21" s="131">
        <f t="shared" si="22"/>
        <v>28.534486819413413</v>
      </c>
      <c r="BT21" s="139"/>
      <c r="BU21" s="139"/>
      <c r="BV21" s="139"/>
      <c r="BW21" s="139"/>
      <c r="BX21" s="139"/>
      <c r="BY21" s="139"/>
      <c r="BZ21" s="139"/>
      <c r="CA21" s="139"/>
      <c r="CB21" s="139"/>
      <c r="CC21" s="142" t="s">
        <v>113</v>
      </c>
      <c r="CD21" s="142" t="s">
        <v>113</v>
      </c>
      <c r="CE21" s="142" t="s">
        <v>113</v>
      </c>
      <c r="CF21" s="142" t="s">
        <v>113</v>
      </c>
      <c r="CG21" s="142" t="s">
        <v>113</v>
      </c>
      <c r="CH21" s="142" t="s">
        <v>113</v>
      </c>
      <c r="CI21" s="142" t="s">
        <v>113</v>
      </c>
      <c r="CJ21" s="142"/>
      <c r="CK21" s="139" t="s">
        <v>113</v>
      </c>
      <c r="CL21" s="139" t="s">
        <v>113</v>
      </c>
      <c r="CM21" s="139" t="s">
        <v>113</v>
      </c>
      <c r="CN21" s="139" t="s">
        <v>113</v>
      </c>
      <c r="CO21" s="139" t="s">
        <v>113</v>
      </c>
      <c r="CP21" s="139" t="s">
        <v>113</v>
      </c>
      <c r="CQ21" s="139" t="s">
        <v>113</v>
      </c>
      <c r="CR21" s="139"/>
      <c r="CS21" s="143" t="s">
        <v>113</v>
      </c>
      <c r="CT21" s="143" t="s">
        <v>113</v>
      </c>
      <c r="CU21" s="143" t="s">
        <v>113</v>
      </c>
      <c r="CV21" s="143" t="s">
        <v>113</v>
      </c>
      <c r="CW21" s="143" t="s">
        <v>113</v>
      </c>
      <c r="CX21" s="143" t="s">
        <v>113</v>
      </c>
      <c r="CY21" s="143" t="s">
        <v>113</v>
      </c>
      <c r="CZ21" s="143"/>
      <c r="DA21" s="139" t="s">
        <v>113</v>
      </c>
      <c r="DB21" s="139" t="s">
        <v>113</v>
      </c>
      <c r="DC21" s="139" t="s">
        <v>113</v>
      </c>
      <c r="DD21" s="144">
        <f t="shared" si="23"/>
        <v>0</v>
      </c>
      <c r="DE21" s="428">
        <f>'[21]2. Distributional by deciles o'!I37</f>
        <v>1</v>
      </c>
      <c r="DF21" s="1"/>
      <c r="DG21" s="1"/>
      <c r="DH21" s="1"/>
      <c r="DI21" s="1"/>
      <c r="DJ21" s="1"/>
      <c r="DK21" s="1"/>
      <c r="DL21" s="1"/>
      <c r="DM21" s="1"/>
      <c r="DN21" s="1"/>
      <c r="DO21" s="1"/>
      <c r="DP21" s="1"/>
      <c r="DQ21" s="1"/>
      <c r="DR21" s="1"/>
      <c r="DS21" s="1"/>
      <c r="DT21" s="1"/>
      <c r="DU21" s="1"/>
      <c r="DV21" s="1"/>
      <c r="DW21" s="1"/>
      <c r="DX21" s="1"/>
      <c r="DY21" s="1"/>
      <c r="DZ21" s="1"/>
      <c r="EA21" s="129">
        <f>'[22]2. Distributional by deciles o'!B127</f>
        <v>208871611173.6106</v>
      </c>
      <c r="EB21" s="129">
        <f>'[22]2. Distributional by deciles o'!C127</f>
        <v>211697173479.71878</v>
      </c>
      <c r="EC21" s="129">
        <f>'[22]2. Distributional by deciles o'!D127</f>
        <v>210960036236.74429</v>
      </c>
      <c r="ED21" s="147"/>
      <c r="EE21" s="147"/>
      <c r="EF21" s="147"/>
      <c r="EG21" s="129"/>
      <c r="EH21" s="122"/>
      <c r="EI21" s="130" t="s">
        <v>113</v>
      </c>
      <c r="EJ21" s="130" t="s">
        <v>113</v>
      </c>
      <c r="EK21" s="130" t="s">
        <v>113</v>
      </c>
      <c r="EL21" s="130" t="s">
        <v>113</v>
      </c>
      <c r="EM21" s="131">
        <f t="shared" si="9"/>
        <v>47.632397186112108</v>
      </c>
      <c r="EN21" s="129">
        <f>'[23]2. Distributional by deciles o'!B109</f>
        <v>693701095229.49121</v>
      </c>
      <c r="EO21" s="129">
        <f>'[23]2. Distributional by deciles o'!C109</f>
        <v>700635543687.69971</v>
      </c>
      <c r="EP21" s="131">
        <f t="shared" si="10"/>
        <v>0.99963060544316917</v>
      </c>
      <c r="EQ21" s="130" t="s">
        <v>113</v>
      </c>
      <c r="ER21" s="130" t="s">
        <v>113</v>
      </c>
      <c r="ES21" s="130" t="s">
        <v>113</v>
      </c>
      <c r="ET21" s="130" t="s">
        <v>113</v>
      </c>
      <c r="EU21" s="131">
        <f t="shared" si="24"/>
        <v>28.519256536059061</v>
      </c>
      <c r="EV21" s="132">
        <f t="shared" si="25"/>
        <v>1.3532745897151521</v>
      </c>
      <c r="EW21" s="132">
        <f t="shared" si="26"/>
        <v>1.0002301362647372</v>
      </c>
      <c r="EX21" s="132"/>
      <c r="EY21" s="148">
        <f t="shared" si="11"/>
        <v>-3.3989896007915466E-3</v>
      </c>
      <c r="EZ21" s="144">
        <f t="shared" si="27"/>
        <v>0</v>
      </c>
      <c r="FA21" s="428">
        <f>'[23]2. Distributional by deciles o'!I37</f>
        <v>1</v>
      </c>
      <c r="FB21" s="130" t="s">
        <v>113</v>
      </c>
      <c r="FC21" s="130" t="s">
        <v>113</v>
      </c>
      <c r="FD21" s="130" t="s">
        <v>113</v>
      </c>
      <c r="FE21" s="130" t="s">
        <v>113</v>
      </c>
      <c r="FF21" s="130" t="s">
        <v>113</v>
      </c>
      <c r="FG21" s="130" t="s">
        <v>113</v>
      </c>
      <c r="FH21" s="130" t="s">
        <v>113</v>
      </c>
      <c r="FI21" s="130" t="s">
        <v>113</v>
      </c>
      <c r="FJ21" s="1"/>
      <c r="FK21" s="1"/>
      <c r="FL21" s="1"/>
      <c r="FM21" s="1"/>
      <c r="FN21" s="1"/>
      <c r="FO21" s="1"/>
      <c r="FP21" s="1"/>
      <c r="FQ21" s="1"/>
    </row>
    <row r="22" spans="1:173" ht="13.2" customHeight="1" x14ac:dyDescent="0.3">
      <c r="A22" s="1"/>
      <c r="B22" s="34" t="s">
        <v>114</v>
      </c>
      <c r="C22" s="150">
        <f>'[20]2. Distributional by deciles o'!B128</f>
        <v>402013561280.8183</v>
      </c>
      <c r="D22" s="150">
        <f>'[20]2. Distributional by deciles o'!C128</f>
        <v>408880139397.21057</v>
      </c>
      <c r="E22" s="150">
        <f>'[20]2. Distributional by deciles o'!D128</f>
        <v>406016926657.38635</v>
      </c>
      <c r="F22" s="150">
        <f>'[20]2. Distributional by deciles o'!E128</f>
        <v>406857305693.15326</v>
      </c>
      <c r="G22" s="150">
        <f>'[20]2. Distributional by deciles o'!F128</f>
        <v>406357857247.23474</v>
      </c>
      <c r="H22" s="150">
        <f>'[20]2. Distributional by deciles o'!G128</f>
        <v>406215412316.16785</v>
      </c>
      <c r="I22" s="150">
        <f>'[20]2. Distributional by deciles o'!H128</f>
        <v>406077632920.40082</v>
      </c>
      <c r="J22" s="122"/>
      <c r="K22" s="150">
        <f>'[21]2. Distributional by deciles o'!D128</f>
        <v>407148738233.20044</v>
      </c>
      <c r="L22" s="150">
        <f>'[21]2. Distributional by deciles o'!E128</f>
        <v>402607682250.41718</v>
      </c>
      <c r="M22" s="150">
        <f>'[21]2. Distributional by deciles o'!F128</f>
        <v>402851114843.83228</v>
      </c>
      <c r="N22" s="150">
        <f>'[21]2. Distributional by deciles o'!G128</f>
        <v>402191671240.19672</v>
      </c>
      <c r="O22" s="152" t="s">
        <v>113</v>
      </c>
      <c r="P22" s="150">
        <f>'[21]2. Distributional by deciles o'!B110</f>
        <v>2131727879380.8706</v>
      </c>
      <c r="Q22" s="150">
        <f>'[21]2. Distributional by deciles o'!C110</f>
        <v>2153016895020.8232</v>
      </c>
      <c r="R22" s="153">
        <f>(Q22/P22-1)*100</f>
        <v>0.99867416689862765</v>
      </c>
      <c r="S22" s="150">
        <f>'[21]2. Distributional by deciles o'!D110</f>
        <v>2146298653220.7104</v>
      </c>
      <c r="T22" s="150">
        <f>'[21]2. Distributional by deciles o'!E110</f>
        <v>2135487485025.6631</v>
      </c>
      <c r="U22" s="150">
        <f>'[21]2. Distributional by deciles o'!F110</f>
        <v>2133927113794.4644</v>
      </c>
      <c r="V22" s="150">
        <f>'[21]2. Distributional by deciles o'!G110</f>
        <v>2132259723156.4824</v>
      </c>
      <c r="W22" s="154">
        <f t="shared" si="13"/>
        <v>1.7103139797998415</v>
      </c>
      <c r="X22" s="154">
        <f t="shared" si="13"/>
        <v>0.99715049530208311</v>
      </c>
      <c r="Y22" s="154">
        <f t="shared" si="1"/>
        <v>1.2064704780998645</v>
      </c>
      <c r="Z22" s="154">
        <f t="shared" si="1"/>
        <v>1.0820688263944072</v>
      </c>
      <c r="AA22" s="154">
        <f t="shared" si="1"/>
        <v>1.0465889188151518</v>
      </c>
      <c r="AB22" s="154">
        <f t="shared" si="14"/>
        <v>1.0122710937333723</v>
      </c>
      <c r="AC22" s="154">
        <f t="shared" si="14"/>
        <v>1.0122710937333723</v>
      </c>
      <c r="AD22" s="155">
        <f>(K22/$C22-1) / (S22/$P22-1)</f>
        <v>1.8688044417274889</v>
      </c>
      <c r="AE22" s="155">
        <f>(L22/$C22-1) / (T22/$P22-1)</f>
        <v>0.83796069764858772</v>
      </c>
      <c r="AF22" s="155">
        <f>(M22/$C22-1) / (U22/$P22-1)</f>
        <v>2.019445463646294</v>
      </c>
      <c r="AG22" s="155">
        <f>(N22/$C22-1) / (V22/$P22-1)</f>
        <v>1.7758046351289409</v>
      </c>
      <c r="AH22" s="156">
        <f t="shared" si="2"/>
        <v>1</v>
      </c>
      <c r="AI22" s="155">
        <f t="shared" si="15"/>
        <v>0</v>
      </c>
      <c r="AJ22" s="155">
        <f t="shared" si="3"/>
        <v>0.50384350169997694</v>
      </c>
      <c r="AK22" s="155">
        <f>IF(W22&gt;1,MAX(MIN(Y22-Z22,W22-AH22-AJ22),0),0)</f>
        <v>0.12440165170545736</v>
      </c>
      <c r="AL22" s="155">
        <f t="shared" si="16"/>
        <v>3.5479907579255343E-2</v>
      </c>
      <c r="AM22" s="155">
        <f t="shared" si="17"/>
        <v>3.4317825081779496E-2</v>
      </c>
      <c r="AN22" s="157">
        <f t="shared" si="28"/>
        <v>0</v>
      </c>
      <c r="AO22" s="155">
        <f t="shared" si="18"/>
        <v>1.2271093733372318E-2</v>
      </c>
      <c r="AP22" s="155">
        <f t="shared" si="6"/>
        <v>1.2271093733372318E-2</v>
      </c>
      <c r="AQ22" s="136" t="s">
        <v>113</v>
      </c>
      <c r="AR22" s="137">
        <f>AI22/($W22-1)*100</f>
        <v>0</v>
      </c>
      <c r="AS22" s="137">
        <f t="shared" si="7"/>
        <v>70.93250534671364</v>
      </c>
      <c r="AT22" s="137">
        <f t="shared" si="7"/>
        <v>17.513614435761543</v>
      </c>
      <c r="AU22" s="137">
        <f t="shared" si="7"/>
        <v>4.9949611845247901</v>
      </c>
      <c r="AV22" s="137">
        <f t="shared" si="7"/>
        <v>4.8313599419020132</v>
      </c>
      <c r="AW22" s="138">
        <f t="shared" si="7"/>
        <v>0</v>
      </c>
      <c r="AX22" s="137">
        <f t="shared" si="7"/>
        <v>1.7275590910980205</v>
      </c>
      <c r="AY22" s="137">
        <f t="shared" si="7"/>
        <v>1.7275590910980205</v>
      </c>
      <c r="AZ22" s="158">
        <v>1.88</v>
      </c>
      <c r="BA22" s="158">
        <v>1.9</v>
      </c>
      <c r="BB22" s="158">
        <v>1.87</v>
      </c>
      <c r="BC22" s="158">
        <v>1.74</v>
      </c>
      <c r="BD22" s="159">
        <f>W22-AZ22</f>
        <v>-0.16968602020015844</v>
      </c>
      <c r="BE22" s="159">
        <f>AD22-BA22</f>
        <v>-3.119555827251097E-2</v>
      </c>
      <c r="BF22" s="159">
        <f>AF22-BB22</f>
        <v>0.14944546364629385</v>
      </c>
      <c r="BG22" s="159">
        <f>AG22-BC22</f>
        <v>3.5804635128940943E-2</v>
      </c>
      <c r="BH22" s="150">
        <f>'[21]2. Distributional by deciles o'!B146</f>
        <v>1457080527708.1646</v>
      </c>
      <c r="BI22" s="150">
        <f>'[21]2. Distributional by deciles o'!B164</f>
        <v>378784683493.92639</v>
      </c>
      <c r="BJ22" s="150">
        <f>'[21]2. Distributional by deciles o'!B182</f>
        <v>219922394938.68024</v>
      </c>
      <c r="BK22" s="150">
        <f>'[21]2. Distributional by deciles o'!B200</f>
        <v>53184414601.40271</v>
      </c>
      <c r="BL22" s="141">
        <f t="shared" si="19"/>
        <v>0.69089609220865789</v>
      </c>
      <c r="BM22" s="141">
        <f t="shared" si="20"/>
        <v>0.17960631045291311</v>
      </c>
      <c r="BN22" s="141">
        <f t="shared" si="21"/>
        <v>0.1042794275010281</v>
      </c>
      <c r="BO22" s="141">
        <f t="shared" si="21"/>
        <v>2.5218169837400897E-2</v>
      </c>
      <c r="BP22" s="159">
        <f>(AD22*BL22+AF22*BN22+AG22*BO22)/(BL22+BN22+BO22)</f>
        <v>1.8850935414322816</v>
      </c>
      <c r="BQ22" s="159">
        <f>W22-BP22</f>
        <v>-0.17477956163244013</v>
      </c>
      <c r="BR22" s="159">
        <f>BP22-AZ22</f>
        <v>5.0935414322816897E-3</v>
      </c>
      <c r="BS22" s="152" t="s">
        <v>113</v>
      </c>
      <c r="BT22" s="429"/>
      <c r="BU22" s="429"/>
      <c r="BV22" s="429"/>
      <c r="BW22" s="429"/>
      <c r="BX22" s="162"/>
      <c r="BY22" s="162"/>
      <c r="BZ22" s="163"/>
      <c r="CA22" s="164"/>
      <c r="CB22" s="165"/>
      <c r="CC22" s="166"/>
      <c r="CD22" s="166"/>
      <c r="CE22" s="166"/>
      <c r="CF22" s="166"/>
      <c r="CG22" s="167"/>
      <c r="CH22" s="167"/>
      <c r="CI22" s="168"/>
      <c r="CJ22" s="169"/>
      <c r="CK22" s="429">
        <f>'[21]3. Inequality and Poverty'!$B$7</f>
        <v>0.40386654065897898</v>
      </c>
      <c r="CL22" s="429">
        <f>'[21]3. Inequality and Poverty'!$B$8</f>
        <v>0.35139807493665598</v>
      </c>
      <c r="CM22" s="429">
        <f>'[21]3. Inequality and Poverty'!$C$7</f>
        <v>0.40387332250434699</v>
      </c>
      <c r="CN22" s="429">
        <f>'[21]3. Inequality and Poverty'!$C$8</f>
        <v>0.35135580044277398</v>
      </c>
      <c r="CO22" s="162">
        <f t="shared" ref="CO22" si="29">(CK22-CL22)/CK22</f>
        <v>0.12991535678274191</v>
      </c>
      <c r="CP22" s="162">
        <f>(CM22-CN22)/CM22</f>
        <v>0.13003463991115122</v>
      </c>
      <c r="CQ22" s="163">
        <f>(CP22-CO22)*100</f>
        <v>1.1928312840930877E-2</v>
      </c>
      <c r="CR22" s="165">
        <f>CN22-CL22</f>
        <v>-4.2274493881999664E-5</v>
      </c>
      <c r="CS22" s="170">
        <f>(SUM(P20:P21))/(SUM(P12:P13))</f>
        <v>10.362689201103633</v>
      </c>
      <c r="CT22" s="170">
        <f>(SUM(P20:P21)-SUM(C20:C21))/(SUM(P12:P13)-SUM(C12:C13))</f>
        <v>7.6930790477170383</v>
      </c>
      <c r="CU22" s="170">
        <f>(SUM(Q20:Q21))/(SUM(Q12:Q13))</f>
        <v>10.363491817926084</v>
      </c>
      <c r="CV22" s="170">
        <f>(SUM(Q20:Q21)-SUM(D20:D21))/(SUM(Q12:Q13)-SUM(D12:D13))</f>
        <v>7.6874652110569111</v>
      </c>
      <c r="CW22" s="162">
        <f>(CS22-CT22)/CS22</f>
        <v>0.25761750657370669</v>
      </c>
      <c r="CX22" s="162">
        <f>(CU22-CV22)/CU22</f>
        <v>0.25821669509502182</v>
      </c>
      <c r="CY22" s="163">
        <f>(CX22-CW22)*100</f>
        <v>5.9918852131513045E-2</v>
      </c>
      <c r="CZ22" s="165">
        <f>CV22-CT22</f>
        <v>-5.6138366601272693E-3</v>
      </c>
      <c r="DA22" s="429">
        <f>'[21]3. Inequality and Poverty'!$B$34</f>
        <v>0.226593369272481</v>
      </c>
      <c r="DB22" s="429">
        <f>'[21]3. Inequality and Poverty'!$C$34</f>
        <v>0.22488643797944799</v>
      </c>
      <c r="DC22" s="172">
        <f>DB22-DA22</f>
        <v>-1.7069312930330094E-3</v>
      </c>
      <c r="DD22" s="144">
        <f t="shared" si="23"/>
        <v>19.426861178228304</v>
      </c>
      <c r="DE22" s="430">
        <f>'[21]2. Distributional by deciles o'!I38</f>
        <v>0.80573138821771695</v>
      </c>
      <c r="DF22" s="1"/>
      <c r="DG22" s="1"/>
      <c r="DH22" s="1"/>
      <c r="DI22" s="1"/>
      <c r="DJ22" s="1"/>
      <c r="DK22" s="1"/>
      <c r="DL22" s="1"/>
      <c r="DM22" s="1"/>
      <c r="DN22" s="1"/>
      <c r="DO22" s="1"/>
      <c r="DP22" s="1"/>
      <c r="DQ22" s="1"/>
      <c r="DR22" s="1"/>
      <c r="DS22" s="1"/>
      <c r="DT22" s="1"/>
      <c r="DU22" s="1"/>
      <c r="DV22" s="1"/>
      <c r="DW22" s="1"/>
      <c r="DX22" s="1"/>
      <c r="DY22" s="1"/>
      <c r="DZ22" s="1"/>
      <c r="EA22" s="150">
        <f>'[22]2. Distributional by deciles o'!B128</f>
        <v>438507451887.20007</v>
      </c>
      <c r="EB22" s="150">
        <f>'[22]2. Distributional by deciles o'!C128</f>
        <v>445641807193.12262</v>
      </c>
      <c r="EC22" s="150">
        <f>'[22]2. Distributional by deciles o'!D128</f>
        <v>442869774812.43475</v>
      </c>
      <c r="ED22" s="173"/>
      <c r="EE22" s="173"/>
      <c r="EF22" s="173"/>
      <c r="EG22" s="150"/>
      <c r="EH22" s="123"/>
      <c r="EI22" s="150">
        <f>'[23]2. Distributional by deciles o'!D128</f>
        <v>443574432303.8681</v>
      </c>
      <c r="EJ22" s="150">
        <f>'[23]2. Distributional by deciles o'!E128</f>
        <v>439250758704.61359</v>
      </c>
      <c r="EK22" s="150">
        <f>'[23]2. Distributional by deciles o'!F128</f>
        <v>439456125989.58783</v>
      </c>
      <c r="EL22" s="150">
        <f>'[23]2. Distributional by deciles o'!G128</f>
        <v>438696419408.69623</v>
      </c>
      <c r="EM22" s="152" t="s">
        <v>113</v>
      </c>
      <c r="EN22" s="150">
        <f>'[23]2. Distributional by deciles o'!B110</f>
        <v>2432395439033.9463</v>
      </c>
      <c r="EO22" s="150">
        <f>'[23]2. Distributional by deciles o'!C110</f>
        <v>2456688540753.0225</v>
      </c>
      <c r="EP22" s="153">
        <f>(EO22/EN22-1)*100</f>
        <v>0.99873159311318904</v>
      </c>
      <c r="EQ22" s="150">
        <f>'[23]2. Distributional by deciles o'!D110</f>
        <v>2449026313867.4961</v>
      </c>
      <c r="ER22" s="150">
        <f>'[23]2. Distributional by deciles o'!E110</f>
        <v>2436730602020.7832</v>
      </c>
      <c r="ES22" s="150">
        <f>'[23]2. Distributional by deciles o'!F110</f>
        <v>2434885308854.4561</v>
      </c>
      <c r="ET22" s="150">
        <f>'[23]2. Distributional by deciles o'!G110</f>
        <v>2432966168715.4414</v>
      </c>
      <c r="EU22" s="152" t="s">
        <v>113</v>
      </c>
      <c r="EV22" s="154">
        <f t="shared" si="25"/>
        <v>1.6290295714042031</v>
      </c>
      <c r="EW22" s="154">
        <f t="shared" si="26"/>
        <v>0.99607501175649049</v>
      </c>
      <c r="EX22" s="174">
        <f>EW22-X22</f>
        <v>-1.0754835455926148E-3</v>
      </c>
      <c r="EY22" s="175">
        <f t="shared" si="11"/>
        <v>-8.128440839563833E-2</v>
      </c>
      <c r="EZ22" s="144">
        <f t="shared" si="27"/>
        <v>19.235905544009512</v>
      </c>
      <c r="FA22" s="430">
        <f>'[23]2. Distributional by deciles o'!I38</f>
        <v>0.80764094455990487</v>
      </c>
      <c r="FB22" s="155">
        <f>(EI22/$EA22-1) / (EQ22/$EN22-1)</f>
        <v>1.6900180113613701</v>
      </c>
      <c r="FC22" s="155">
        <f>(EJ22/$EA22-1) / (ER22/$EN22-1)</f>
        <v>0.95108621776153679</v>
      </c>
      <c r="FD22" s="155">
        <f>(EK22/$EA22-1) / (ES22/$EN22-1)</f>
        <v>2.1134773904806665</v>
      </c>
      <c r="FE22" s="155">
        <f>(EL22/$EA22-1) / (ET22/$EN22-1)</f>
        <v>1.8365971670246448</v>
      </c>
      <c r="FF22" s="75">
        <f>FB22-AD22</f>
        <v>-0.17878643036611885</v>
      </c>
      <c r="FG22" s="75">
        <f>FC22-AE22</f>
        <v>0.11312552011294907</v>
      </c>
      <c r="FH22" s="75">
        <f>FD22-AF22</f>
        <v>9.4031926834372559E-2</v>
      </c>
      <c r="FI22" s="75">
        <f>FE22-AG22</f>
        <v>6.0792531895703883E-2</v>
      </c>
      <c r="FJ22" s="1"/>
      <c r="FK22" s="1"/>
      <c r="FL22" s="1"/>
      <c r="FM22" s="1"/>
      <c r="FN22" s="1"/>
      <c r="FO22" s="1"/>
      <c r="FP22" s="1"/>
      <c r="FQ22" s="1"/>
    </row>
    <row r="23" spans="1:173" x14ac:dyDescent="0.3">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c r="ET23" s="1"/>
      <c r="EU23" s="1"/>
      <c r="EV23" s="1"/>
      <c r="EW23" s="1"/>
      <c r="EX23" s="1"/>
      <c r="EY23" s="1"/>
      <c r="EZ23" s="1"/>
      <c r="FA23" s="1"/>
      <c r="FB23" s="1"/>
      <c r="FC23" s="1"/>
      <c r="FD23" s="1"/>
      <c r="FE23" s="1"/>
      <c r="FF23" s="1"/>
      <c r="FG23" s="1"/>
      <c r="FH23" s="1"/>
      <c r="FI23" s="1"/>
      <c r="FJ23" s="1"/>
      <c r="FK23" s="1"/>
      <c r="FL23" s="1"/>
      <c r="FM23" s="1"/>
      <c r="FN23" s="1"/>
      <c r="FO23" s="1"/>
      <c r="FP23" s="1"/>
      <c r="FQ23" s="1"/>
    </row>
    <row r="24" spans="1:173" x14ac:dyDescent="0.3">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c r="EJ24" s="1"/>
      <c r="EK24" s="1"/>
      <c r="EL24" s="1"/>
      <c r="EM24" s="1"/>
      <c r="EN24" s="1"/>
      <c r="EO24" s="1"/>
      <c r="EP24" s="1"/>
      <c r="EQ24" s="1"/>
      <c r="ER24" s="1"/>
      <c r="ES24" s="1"/>
      <c r="ET24" s="1"/>
      <c r="EU24" s="1"/>
      <c r="EV24" s="1"/>
      <c r="EW24" s="1"/>
      <c r="EX24" s="1"/>
      <c r="EY24" s="1"/>
      <c r="EZ24" s="1"/>
      <c r="FA24" s="1"/>
      <c r="FB24" s="1"/>
      <c r="FC24" s="1"/>
      <c r="FD24" s="1"/>
      <c r="FE24" s="1"/>
      <c r="FF24" s="1"/>
      <c r="FG24" s="1"/>
      <c r="FH24" s="1"/>
      <c r="FI24" s="1"/>
      <c r="FJ24" s="1"/>
      <c r="FK24" s="1"/>
      <c r="FL24" s="1"/>
      <c r="FM24" s="1"/>
      <c r="FN24" s="1"/>
      <c r="FO24" s="1"/>
      <c r="FP24" s="1"/>
      <c r="FQ24" s="1"/>
    </row>
    <row r="25" spans="1:173" x14ac:dyDescent="0.3">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Q25" s="1"/>
    </row>
    <row r="26" spans="1:173" x14ac:dyDescent="0.3">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c r="ER26" s="1"/>
      <c r="ES26" s="1"/>
      <c r="ET26" s="1"/>
      <c r="EU26" s="1"/>
      <c r="EV26" s="1"/>
      <c r="EW26" s="1"/>
      <c r="EX26" s="1"/>
      <c r="EY26" s="1"/>
      <c r="EZ26" s="1"/>
      <c r="FA26" s="1"/>
      <c r="FB26" s="1"/>
      <c r="FC26" s="1"/>
      <c r="FD26" s="1"/>
      <c r="FE26" s="1"/>
      <c r="FF26" s="1"/>
      <c r="FG26" s="1"/>
      <c r="FH26" s="1"/>
      <c r="FI26" s="1"/>
      <c r="FJ26" s="1"/>
      <c r="FK26" s="1"/>
      <c r="FL26" s="1"/>
      <c r="FM26" s="1"/>
      <c r="FN26" s="1"/>
      <c r="FO26" s="1"/>
      <c r="FP26" s="1"/>
      <c r="FQ26" s="1"/>
    </row>
    <row r="27" spans="1:173" x14ac:dyDescent="0.3">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c r="CW27" s="1"/>
      <c r="CX27" s="1"/>
      <c r="CY27" s="1"/>
      <c r="CZ27" s="1"/>
      <c r="DA27" s="1"/>
      <c r="DB27" s="1"/>
      <c r="DC27" s="1"/>
      <c r="DD27" s="1"/>
      <c r="DE27" s="1"/>
      <c r="DF27" s="1"/>
      <c r="DG27" s="1"/>
      <c r="DH27" s="1"/>
      <c r="DI27" s="1"/>
      <c r="DJ27" s="1"/>
      <c r="DK27" s="1"/>
      <c r="DL27" s="1"/>
      <c r="DM27" s="1"/>
      <c r="DN27" s="1"/>
      <c r="DO27" s="1"/>
      <c r="DP27" s="1"/>
      <c r="DQ27" s="1"/>
      <c r="DR27" s="1"/>
      <c r="DS27" s="1"/>
      <c r="DT27" s="1"/>
      <c r="DU27" s="1"/>
      <c r="DV27" s="1"/>
      <c r="DW27" s="1"/>
      <c r="DX27" s="1"/>
      <c r="DY27" s="1"/>
      <c r="DZ27" s="1"/>
      <c r="EA27" s="1"/>
      <c r="EB27" s="1"/>
      <c r="EC27" s="1"/>
      <c r="ED27" s="1"/>
      <c r="EE27" s="1"/>
      <c r="EF27" s="1"/>
      <c r="EG27" s="1"/>
      <c r="EH27" s="1"/>
      <c r="EI27" s="1"/>
      <c r="EJ27" s="1"/>
      <c r="EK27" s="1"/>
      <c r="EL27" s="1"/>
      <c r="EM27" s="1"/>
      <c r="EN27" s="1"/>
      <c r="EO27" s="1"/>
      <c r="EP27" s="1"/>
      <c r="EQ27" s="1"/>
      <c r="ER27" s="1"/>
      <c r="ES27" s="1"/>
      <c r="ET27" s="1"/>
      <c r="EU27" s="1"/>
      <c r="EV27" s="1"/>
      <c r="EW27" s="1"/>
      <c r="EX27" s="1"/>
      <c r="EY27" s="1"/>
      <c r="EZ27" s="1"/>
      <c r="FA27" s="1"/>
      <c r="FB27" s="1"/>
      <c r="FC27" s="1"/>
      <c r="FD27" s="1"/>
      <c r="FE27" s="1"/>
      <c r="FF27" s="1"/>
      <c r="FG27" s="1"/>
      <c r="FH27" s="1"/>
      <c r="FI27" s="1"/>
      <c r="FJ27" s="1"/>
      <c r="FK27" s="1"/>
      <c r="FL27" s="1"/>
      <c r="FM27" s="1"/>
      <c r="FN27" s="1"/>
      <c r="FO27" s="1"/>
      <c r="FP27" s="1"/>
      <c r="FQ27" s="1"/>
    </row>
  </sheetData>
  <pageMargins left="0.7" right="0.7" top="0.75" bottom="0.75" header="0.3" footer="0.3"/>
  <pageSetup paperSize="9" orientation="portrait"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0A5864-AD23-47B3-B516-775E055B182C}">
  <dimension ref="A1:BN121"/>
  <sheetViews>
    <sheetView zoomScale="55" zoomScaleNormal="55" workbookViewId="0">
      <selection activeCell="B3" sqref="B3"/>
    </sheetView>
  </sheetViews>
  <sheetFormatPr baseColWidth="10" defaultColWidth="8.6640625" defaultRowHeight="14.4" x14ac:dyDescent="0.3"/>
  <cols>
    <col min="1" max="1" width="4.33203125" customWidth="1"/>
    <col min="3" max="3" width="17.44140625" customWidth="1"/>
    <col min="4" max="4" width="15.5546875" customWidth="1"/>
    <col min="5" max="5" width="16.33203125" customWidth="1"/>
    <col min="6" max="6" width="15.5546875" customWidth="1"/>
    <col min="7" max="7" width="16" customWidth="1"/>
    <col min="8" max="8" width="19" customWidth="1"/>
    <col min="9" max="12" width="17" customWidth="1"/>
    <col min="13" max="13" width="17.44140625" customWidth="1"/>
    <col min="14" max="17" width="16.44140625" customWidth="1"/>
    <col min="18" max="18" width="16.33203125" customWidth="1"/>
    <col min="19" max="19" width="17" customWidth="1"/>
    <col min="20" max="26" width="16.44140625" customWidth="1"/>
    <col min="27" max="33" width="16.33203125" customWidth="1"/>
    <col min="34" max="34" width="14.6640625" customWidth="1"/>
    <col min="35" max="36" width="12.5546875" customWidth="1"/>
    <col min="37" max="37" width="17.44140625" customWidth="1"/>
    <col min="38" max="38" width="12.33203125" customWidth="1"/>
    <col min="39" max="39" width="9.5546875" customWidth="1"/>
    <col min="40" max="41" width="19" customWidth="1"/>
    <col min="42" max="42" width="19.33203125" customWidth="1"/>
    <col min="43" max="50" width="9.5546875" customWidth="1"/>
    <col min="51" max="59" width="0.5546875" customWidth="1"/>
  </cols>
  <sheetData>
    <row r="1" spans="1:66" ht="15" thickBot="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row>
    <row r="2" spans="1:66" ht="18" customHeight="1" thickBot="1" x14ac:dyDescent="0.35">
      <c r="A2" s="1"/>
      <c r="B2" s="2" t="s">
        <v>655</v>
      </c>
      <c r="C2" s="3"/>
      <c r="D2" s="3"/>
      <c r="E2" s="3"/>
      <c r="F2" s="3"/>
      <c r="G2" s="3"/>
      <c r="H2" s="3"/>
      <c r="I2" s="3"/>
      <c r="J2" s="3"/>
      <c r="K2" s="3"/>
      <c r="L2" s="3"/>
      <c r="M2" s="4"/>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row>
    <row r="3" spans="1:66" ht="18" customHeight="1" x14ac:dyDescent="0.3">
      <c r="A3" s="1"/>
      <c r="B3" s="5" t="s">
        <v>115</v>
      </c>
      <c r="C3" s="6"/>
      <c r="D3" s="6"/>
      <c r="E3" s="6"/>
      <c r="F3" s="6"/>
      <c r="G3" s="6"/>
      <c r="H3" s="6"/>
      <c r="I3" s="6"/>
      <c r="J3" s="6"/>
      <c r="K3" s="6"/>
      <c r="L3" s="6"/>
      <c r="M3" s="7"/>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row>
    <row r="4" spans="1:66" ht="18" customHeight="1" x14ac:dyDescent="0.3">
      <c r="A4" s="1"/>
      <c r="B4" s="99" t="s">
        <v>1</v>
      </c>
      <c r="C4" s="296"/>
      <c r="D4" s="296"/>
      <c r="E4" s="296"/>
      <c r="F4" s="296"/>
      <c r="G4" s="296"/>
      <c r="H4" s="296"/>
      <c r="I4" s="296"/>
      <c r="J4" s="296"/>
      <c r="K4" s="296"/>
      <c r="L4" s="296"/>
      <c r="M4" s="100"/>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row>
    <row r="5" spans="1:66" ht="14.25" customHeight="1" x14ac:dyDescent="0.3">
      <c r="A5" s="1"/>
      <c r="B5" s="293" t="s">
        <v>116</v>
      </c>
      <c r="C5" s="294"/>
      <c r="D5" s="294"/>
      <c r="E5" s="294"/>
      <c r="F5" s="294"/>
      <c r="G5" s="294"/>
      <c r="H5" s="294"/>
      <c r="I5" s="294"/>
      <c r="J5" s="294"/>
      <c r="K5" s="294"/>
      <c r="L5" s="294"/>
      <c r="M5" s="295"/>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row>
    <row r="6" spans="1:66" ht="12.6" customHeight="1" x14ac:dyDescent="0.3">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row>
    <row r="7" spans="1:66" ht="12.6" customHeight="1" x14ac:dyDescent="0.3">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row>
    <row r="8" spans="1:66" ht="17.7" customHeight="1" x14ac:dyDescent="0.3">
      <c r="A8" s="1"/>
      <c r="B8" s="11" t="s">
        <v>2</v>
      </c>
      <c r="C8" s="12" t="s">
        <v>210</v>
      </c>
      <c r="D8" s="12" t="s">
        <v>211</v>
      </c>
      <c r="E8" s="124" t="s">
        <v>213</v>
      </c>
      <c r="F8" s="125"/>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row>
    <row r="9" spans="1:66" ht="10.35" customHeight="1" x14ac:dyDescent="0.3">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row>
    <row r="10" spans="1:66" x14ac:dyDescent="0.3">
      <c r="A10" s="1"/>
      <c r="B10" s="1"/>
      <c r="C10" s="13" t="s">
        <v>6</v>
      </c>
      <c r="D10" s="14"/>
      <c r="E10" s="14"/>
      <c r="F10" s="14"/>
      <c r="G10" s="14"/>
      <c r="H10" s="14"/>
      <c r="I10" s="14"/>
      <c r="J10" s="14"/>
      <c r="K10" s="14"/>
      <c r="L10" s="14"/>
      <c r="M10" s="14"/>
      <c r="N10" s="14"/>
      <c r="O10" s="14"/>
      <c r="P10" s="15" t="s">
        <v>596</v>
      </c>
      <c r="Q10" s="16"/>
      <c r="R10" s="16"/>
      <c r="S10" s="16"/>
      <c r="T10" s="16"/>
      <c r="U10" s="16"/>
      <c r="V10" s="16"/>
      <c r="W10" s="16"/>
      <c r="X10" s="13"/>
      <c r="Y10" s="17"/>
      <c r="Z10" s="17"/>
      <c r="AA10" s="17"/>
      <c r="AB10" s="17"/>
      <c r="AC10" s="17"/>
      <c r="AD10" s="17"/>
      <c r="AE10" s="19"/>
      <c r="AF10" s="16"/>
      <c r="AG10" s="16"/>
      <c r="AH10" s="16"/>
      <c r="AI10" s="16"/>
      <c r="AJ10" s="16"/>
      <c r="AK10" s="1"/>
      <c r="AL10" s="1"/>
      <c r="AM10" s="99" t="s">
        <v>562</v>
      </c>
      <c r="AN10" s="9"/>
      <c r="AO10" s="9"/>
      <c r="AP10" s="9"/>
      <c r="AQ10" s="9"/>
      <c r="AR10" s="9"/>
      <c r="AS10" s="10"/>
      <c r="AT10" s="1"/>
      <c r="AU10" s="1"/>
      <c r="AV10" s="1"/>
      <c r="AW10" s="1"/>
      <c r="AX10" s="1"/>
      <c r="AY10" s="1"/>
      <c r="AZ10" s="1"/>
      <c r="BA10" s="1"/>
      <c r="BB10" s="1"/>
      <c r="BC10" s="1"/>
      <c r="BD10" s="1"/>
      <c r="BE10" s="1"/>
      <c r="BF10" s="1"/>
      <c r="BG10" s="1"/>
      <c r="BH10" s="1"/>
      <c r="BI10" s="1"/>
      <c r="BJ10" s="1"/>
      <c r="BK10" s="1"/>
      <c r="BL10" s="1"/>
      <c r="BM10" s="1"/>
      <c r="BN10" s="1"/>
    </row>
    <row r="11" spans="1:66" ht="78.75" customHeight="1" x14ac:dyDescent="0.3">
      <c r="A11" s="1"/>
      <c r="B11" s="25" t="s">
        <v>20</v>
      </c>
      <c r="C11" s="26" t="s">
        <v>119</v>
      </c>
      <c r="D11" s="27" t="s">
        <v>120</v>
      </c>
      <c r="E11" s="26" t="s">
        <v>121</v>
      </c>
      <c r="F11" s="27" t="s">
        <v>122</v>
      </c>
      <c r="G11" s="27" t="s">
        <v>123</v>
      </c>
      <c r="H11" s="27" t="s">
        <v>124</v>
      </c>
      <c r="I11" s="27" t="s">
        <v>125</v>
      </c>
      <c r="J11" s="27" t="s">
        <v>126</v>
      </c>
      <c r="K11" s="27" t="s">
        <v>127</v>
      </c>
      <c r="L11" s="27"/>
      <c r="M11" s="27"/>
      <c r="N11" s="27"/>
      <c r="O11" s="27"/>
      <c r="P11" s="26" t="s">
        <v>119</v>
      </c>
      <c r="Q11" s="27" t="s">
        <v>120</v>
      </c>
      <c r="R11" s="27" t="s">
        <v>121</v>
      </c>
      <c r="S11" s="27" t="s">
        <v>122</v>
      </c>
      <c r="T11" s="27" t="s">
        <v>123</v>
      </c>
      <c r="U11" s="27" t="s">
        <v>130</v>
      </c>
      <c r="V11" s="27"/>
      <c r="W11" s="27"/>
      <c r="X11" s="27"/>
      <c r="Y11" s="27"/>
      <c r="Z11" s="27"/>
      <c r="AA11" s="27"/>
      <c r="AB11" s="27"/>
      <c r="AC11" s="27"/>
      <c r="AD11" s="27"/>
      <c r="AE11" s="27"/>
      <c r="AF11" s="27"/>
      <c r="AG11" s="27"/>
      <c r="AH11" s="27"/>
      <c r="AI11" s="27"/>
      <c r="AJ11" s="27"/>
      <c r="AK11" s="27" t="s">
        <v>150</v>
      </c>
      <c r="AL11" s="1"/>
      <c r="AM11" s="522" t="s">
        <v>563</v>
      </c>
      <c r="AN11" s="523" t="s">
        <v>568</v>
      </c>
      <c r="AO11" s="523" t="s">
        <v>569</v>
      </c>
      <c r="AP11" s="523" t="s">
        <v>570</v>
      </c>
      <c r="AQ11" s="523" t="s">
        <v>564</v>
      </c>
      <c r="AR11" s="523" t="s">
        <v>565</v>
      </c>
      <c r="AS11" s="523" t="s">
        <v>566</v>
      </c>
      <c r="AT11" s="1"/>
      <c r="AU11" s="1"/>
      <c r="AV11" s="1"/>
      <c r="AW11" s="1"/>
      <c r="AX11" s="1"/>
      <c r="AY11" s="1"/>
      <c r="AZ11" s="1"/>
      <c r="BA11" s="1"/>
      <c r="BB11" s="1"/>
      <c r="BC11" s="1"/>
      <c r="BD11" s="1"/>
      <c r="BE11" s="1"/>
      <c r="BF11" s="1"/>
      <c r="BG11" s="1"/>
      <c r="BH11" s="1"/>
      <c r="BI11" s="1"/>
      <c r="BJ11" s="1"/>
      <c r="BK11" s="1"/>
      <c r="BL11" s="1"/>
      <c r="BM11" s="1"/>
      <c r="BN11" s="1"/>
    </row>
    <row r="12" spans="1:66" x14ac:dyDescent="0.3">
      <c r="A12" s="1"/>
      <c r="B12" s="28">
        <v>1</v>
      </c>
      <c r="C12" s="129">
        <f>'[24]2. Distributional by deciles o'!B118</f>
        <v>121711868.98799995</v>
      </c>
      <c r="D12" s="129">
        <f>'[24]2. Distributional by deciles o'!C118</f>
        <v>106853021.79120004</v>
      </c>
      <c r="E12" s="129">
        <f>'[24]2. Distributional by deciles o'!D118</f>
        <v>104335634.65320003</v>
      </c>
      <c r="F12" s="129">
        <f>'[24]2. Distributional by deciles o'!E118</f>
        <v>123585802.62480001</v>
      </c>
      <c r="G12" s="383">
        <f>'[24]2. Distributional by deciles o'!F118-'[25]other-info'!$L6</f>
        <v>109707483.41478196</v>
      </c>
      <c r="H12" s="383">
        <f>'[24]2. Distributional by deciles o'!H118-'[25]other-info'!$L6</f>
        <v>195369438.43158185</v>
      </c>
      <c r="I12" s="383">
        <f>'[24]2. Distributional by deciles o'!I118-'[25]other-info'!$L6</f>
        <v>133908974.06718203</v>
      </c>
      <c r="J12" s="383">
        <f>'[24]2. Distributional by deciles o'!J118-'[25]other-info'!$L6</f>
        <v>133811282.09478208</v>
      </c>
      <c r="K12" s="383">
        <f>'[24]2. Distributional by deciles o'!K118-'[25]other-info'!$L6</f>
        <v>118565601.96438205</v>
      </c>
      <c r="L12" s="139"/>
      <c r="M12" s="139"/>
      <c r="N12" s="139"/>
      <c r="O12" s="139"/>
      <c r="P12" s="129">
        <f>'[24]2. Distributional by deciles o'!B100</f>
        <v>16960840068.538807</v>
      </c>
      <c r="Q12" s="129">
        <f>'[24]2. Distributional by deciles o'!C100</f>
        <v>17208219395.870392</v>
      </c>
      <c r="R12" s="129">
        <f>'[24]2. Distributional by deciles o'!D100</f>
        <v>17596160370.759617</v>
      </c>
      <c r="S12" s="129">
        <f>'[24]2. Distributional by deciles o'!E100</f>
        <v>18385905753.562817</v>
      </c>
      <c r="T12" s="383">
        <f>'[24]2. Distributional by deciles o'!F100-'[25]other-info'!M6</f>
        <v>18987986415.722881</v>
      </c>
      <c r="U12" s="209">
        <f t="shared" ref="U12:U22" si="0">T12/P12-1</f>
        <v>0.11951921832835932</v>
      </c>
      <c r="V12" s="139"/>
      <c r="W12" s="209"/>
      <c r="X12" s="132"/>
      <c r="Y12" s="132"/>
      <c r="Z12" s="132"/>
      <c r="AA12" s="132"/>
      <c r="AB12" s="132"/>
      <c r="AC12" s="132"/>
      <c r="AD12" s="132"/>
      <c r="AE12" s="139"/>
      <c r="AF12" s="139"/>
      <c r="AG12" s="139"/>
      <c r="AH12" s="139"/>
      <c r="AI12" s="139"/>
      <c r="AJ12" s="139"/>
      <c r="AK12" s="383">
        <f>'[24]2. Distributional by deciles o'!L118-'[25]other-info'!L6</f>
        <v>167265248.425982</v>
      </c>
      <c r="AL12" s="1"/>
      <c r="AM12" s="32" cm="1">
        <f t="array" aca="1" ref="AM12" ca="1">INDIRECT("'1"&amp;$C$8&amp;"'!W12")</f>
        <v>4.2214879824822802</v>
      </c>
      <c r="AN12" s="524">
        <f t="shared" ref="AN12:AN21" ca="1" si="1">C12+C12*U12*AM12</f>
        <v>183121463.93976429</v>
      </c>
      <c r="AO12" s="524">
        <f t="shared" ref="AO12:AO21" ca="1" si="2">C12+C12*U$22*AM12</f>
        <v>186227130.65864137</v>
      </c>
      <c r="AP12" s="524">
        <f t="shared" ref="AP12:AP21" ca="1" si="3">C12+C12*AR12*AM12</f>
        <v>183121463.93976429</v>
      </c>
      <c r="AQ12" s="525">
        <f t="shared" ref="AQ12:AQ21" si="4">U12</f>
        <v>0.11951921832835932</v>
      </c>
      <c r="AR12" s="344">
        <f>AQ12</f>
        <v>0.11951921832835932</v>
      </c>
      <c r="AS12" s="41">
        <f>P12/P$22</f>
        <v>7.9563814089933637E-3</v>
      </c>
      <c r="AT12" s="1"/>
      <c r="AU12" s="1"/>
      <c r="AV12" s="1"/>
      <c r="AW12" s="1"/>
      <c r="AX12" s="1"/>
      <c r="AY12" s="1"/>
      <c r="AZ12" s="1"/>
      <c r="BA12" s="1"/>
      <c r="BB12" s="1"/>
      <c r="BC12" s="1"/>
      <c r="BD12" s="1"/>
      <c r="BE12" s="1"/>
      <c r="BF12" s="1"/>
      <c r="BG12" s="1"/>
      <c r="BH12" s="1"/>
      <c r="BI12" s="1"/>
      <c r="BJ12" s="1"/>
      <c r="BK12" s="1"/>
      <c r="BL12" s="1"/>
      <c r="BM12" s="1"/>
      <c r="BN12" s="1"/>
    </row>
    <row r="13" spans="1:66" x14ac:dyDescent="0.3">
      <c r="A13" s="1"/>
      <c r="B13" s="28">
        <v>2</v>
      </c>
      <c r="C13" s="129">
        <f>'[24]2. Distributional by deciles o'!B119</f>
        <v>1885103050.9344013</v>
      </c>
      <c r="D13" s="129">
        <f>'[24]2. Distributional by deciles o'!C119</f>
        <v>1769657193.3719988</v>
      </c>
      <c r="E13" s="129">
        <f>'[24]2. Distributional by deciles o'!D119</f>
        <v>1730603084.8428016</v>
      </c>
      <c r="F13" s="129">
        <f>'[24]2. Distributional by deciles o'!E119</f>
        <v>1915638201.6599994</v>
      </c>
      <c r="G13" s="383">
        <f>'[24]2. Distributional by deciles o'!F119-'[25]other-info'!$L7</f>
        <v>1754072991.8558848</v>
      </c>
      <c r="H13" s="383">
        <f>'[24]2. Distributional by deciles o'!H119-'[25]other-info'!$L7</f>
        <v>2986181690.1554856</v>
      </c>
      <c r="I13" s="383">
        <f>'[24]2. Distributional by deciles o'!I119-'[25]other-info'!$L7</f>
        <v>2116277042.4086874</v>
      </c>
      <c r="J13" s="383">
        <f>'[24]2. Distributional by deciles o'!J119-'[25]other-info'!$L7</f>
        <v>2114720393.9114835</v>
      </c>
      <c r="K13" s="383">
        <f>'[24]2. Distributional by deciles o'!K119-'[25]other-info'!$L7</f>
        <v>1857514985.0798864</v>
      </c>
      <c r="L13" s="139"/>
      <c r="M13" s="139"/>
      <c r="N13" s="139"/>
      <c r="O13" s="139"/>
      <c r="P13" s="129">
        <f>'[24]2. Distributional by deciles o'!B101</f>
        <v>74223656365.209564</v>
      </c>
      <c r="Q13" s="129">
        <f>'[24]2. Distributional by deciles o'!C101</f>
        <v>75683970688.880493</v>
      </c>
      <c r="R13" s="129">
        <f>'[24]2. Distributional by deciles o'!D101</f>
        <v>77057084314.966721</v>
      </c>
      <c r="S13" s="129">
        <f>'[24]2. Distributional by deciles o'!E101</f>
        <v>80724723319.111145</v>
      </c>
      <c r="T13" s="383">
        <f>'[24]2. Distributional by deciles o'!F101-'[25]other-info'!M7</f>
        <v>83264218147.70372</v>
      </c>
      <c r="U13" s="209">
        <f t="shared" si="0"/>
        <v>0.12180162262569016</v>
      </c>
      <c r="V13" s="139"/>
      <c r="W13" s="209"/>
      <c r="X13" s="132"/>
      <c r="Y13" s="132"/>
      <c r="Z13" s="132"/>
      <c r="AA13" s="132"/>
      <c r="AB13" s="132"/>
      <c r="AC13" s="132"/>
      <c r="AD13" s="132"/>
      <c r="AE13" s="139"/>
      <c r="AF13" s="139"/>
      <c r="AG13" s="139"/>
      <c r="AH13" s="139"/>
      <c r="AI13" s="139"/>
      <c r="AJ13" s="139"/>
      <c r="AK13" s="383">
        <f>'[24]2. Distributional by deciles o'!L119-'[25]other-info'!L7</f>
        <v>2683559143.05509</v>
      </c>
      <c r="AL13" s="1"/>
      <c r="AM13" s="32" cm="1">
        <f t="array" aca="1" ref="AM13" ca="1">INDIRECT("'1"&amp;$C$8&amp;"'!W13")</f>
        <v>5.0300264705273428</v>
      </c>
      <c r="AN13" s="524">
        <f t="shared" ca="1" si="1"/>
        <v>3040040439.2102604</v>
      </c>
      <c r="AO13" s="524">
        <f t="shared" ca="1" si="2"/>
        <v>3075712544.6525078</v>
      </c>
      <c r="AP13" s="524">
        <f t="shared" ca="1" si="3"/>
        <v>3040040439.2102604</v>
      </c>
      <c r="AQ13" s="525">
        <f t="shared" si="4"/>
        <v>0.12180162262569016</v>
      </c>
      <c r="AR13" s="344">
        <f t="shared" ref="AR13:AR18" si="5">AQ13</f>
        <v>0.12180162262569016</v>
      </c>
      <c r="AS13" s="41">
        <f t="shared" ref="AS13:AS21" si="6">P13/P$22</f>
        <v>3.4818541842576427E-2</v>
      </c>
      <c r="AT13" s="1"/>
      <c r="AU13" s="1"/>
      <c r="AV13" s="1"/>
      <c r="AW13" s="1"/>
      <c r="AX13" s="1"/>
      <c r="AY13" s="1"/>
      <c r="AZ13" s="1"/>
      <c r="BA13" s="1"/>
      <c r="BB13" s="1"/>
      <c r="BC13" s="1"/>
      <c r="BD13" s="1"/>
      <c r="BE13" s="1"/>
      <c r="BF13" s="1"/>
      <c r="BG13" s="1"/>
      <c r="BH13" s="1"/>
      <c r="BI13" s="1"/>
      <c r="BJ13" s="1"/>
      <c r="BK13" s="1"/>
      <c r="BL13" s="1"/>
      <c r="BM13" s="1"/>
      <c r="BN13" s="1"/>
    </row>
    <row r="14" spans="1:66" x14ac:dyDescent="0.3">
      <c r="A14" s="1"/>
      <c r="B14" s="28">
        <v>3</v>
      </c>
      <c r="C14" s="129">
        <f>'[24]2. Distributional by deciles o'!B120</f>
        <v>5329331788.6919994</v>
      </c>
      <c r="D14" s="129">
        <f>'[24]2. Distributional by deciles o'!C120</f>
        <v>5174606957.8019962</v>
      </c>
      <c r="E14" s="129">
        <f>'[24]2. Distributional by deciles o'!D120</f>
        <v>5032861324.2216034</v>
      </c>
      <c r="F14" s="129">
        <f>'[24]2. Distributional by deciles o'!E120</f>
        <v>5622791721.6492033</v>
      </c>
      <c r="G14" s="383">
        <f>'[24]2. Distributional by deciles o'!F120-'[25]other-info'!$L8</f>
        <v>5309071379.2020359</v>
      </c>
      <c r="H14" s="383">
        <f>'[24]2. Distributional by deciles o'!H120-'[25]other-info'!$L8</f>
        <v>7575438296.0004425</v>
      </c>
      <c r="I14" s="383">
        <f>'[24]2. Distributional by deciles o'!I120-'[25]other-info'!$L8</f>
        <v>5942792770.0752335</v>
      </c>
      <c r="J14" s="383">
        <f>'[24]2. Distributional by deciles o'!J120-'[25]other-info'!$L8</f>
        <v>5939725589.6112299</v>
      </c>
      <c r="K14" s="383">
        <f>'[24]2. Distributional by deciles o'!K120-'[25]other-info'!$L8</f>
        <v>5403962714.8536358</v>
      </c>
      <c r="L14" s="139"/>
      <c r="M14" s="139"/>
      <c r="N14" s="139"/>
      <c r="O14" s="139"/>
      <c r="P14" s="129">
        <f>'[24]2. Distributional by deciles o'!B102</f>
        <v>109876478277.75864</v>
      </c>
      <c r="Q14" s="129">
        <f>'[24]2. Distributional by deciles o'!C102</f>
        <v>112077585265.19754</v>
      </c>
      <c r="R14" s="129">
        <f>'[24]2. Distributional by deciles o'!D102</f>
        <v>113974636160.46835</v>
      </c>
      <c r="S14" s="129">
        <f>'[24]2. Distributional by deciles o'!E102</f>
        <v>119579342262.23276</v>
      </c>
      <c r="T14" s="383">
        <f>'[24]2. Distributional by deciles o'!F102-'[25]other-info'!M8</f>
        <v>123283162008.99481</v>
      </c>
      <c r="U14" s="209">
        <f t="shared" si="0"/>
        <v>0.12201595774980323</v>
      </c>
      <c r="V14" s="139"/>
      <c r="W14" s="209"/>
      <c r="X14" s="132"/>
      <c r="Y14" s="132"/>
      <c r="Z14" s="132"/>
      <c r="AA14" s="132"/>
      <c r="AB14" s="132"/>
      <c r="AC14" s="132"/>
      <c r="AD14" s="132"/>
      <c r="AE14" s="139"/>
      <c r="AF14" s="139"/>
      <c r="AG14" s="139"/>
      <c r="AH14" s="139"/>
      <c r="AI14" s="139"/>
      <c r="AJ14" s="139"/>
      <c r="AK14" s="383">
        <f>'[24]2. Distributional by deciles o'!L120-'[25]other-info'!L8</f>
        <v>7091226322.489234</v>
      </c>
      <c r="AL14" s="1"/>
      <c r="AM14" s="32" cm="1">
        <f t="array" aca="1" ref="AM14" ca="1">INDIRECT("'1"&amp;$C$8&amp;"'!W14")</f>
        <v>3.5174475366260394</v>
      </c>
      <c r="AN14" s="524">
        <f t="shared" ca="1" si="1"/>
        <v>7616599613.5880604</v>
      </c>
      <c r="AO14" s="524">
        <f t="shared" ca="1" si="2"/>
        <v>7683103624.3518181</v>
      </c>
      <c r="AP14" s="524">
        <f t="shared" ca="1" si="3"/>
        <v>7616599613.5880604</v>
      </c>
      <c r="AQ14" s="525">
        <f t="shared" si="4"/>
        <v>0.12201595774980323</v>
      </c>
      <c r="AR14" s="344">
        <f t="shared" si="5"/>
        <v>0.12201595774980323</v>
      </c>
      <c r="AS14" s="41">
        <f t="shared" si="6"/>
        <v>5.1543388506825112E-2</v>
      </c>
      <c r="AT14" s="1"/>
      <c r="AU14" s="1"/>
      <c r="AV14" s="1"/>
      <c r="AW14" s="1"/>
      <c r="AX14" s="1"/>
      <c r="AY14" s="1"/>
      <c r="AZ14" s="1"/>
      <c r="BA14" s="1"/>
      <c r="BB14" s="1"/>
      <c r="BC14" s="1"/>
      <c r="BD14" s="1"/>
      <c r="BE14" s="1"/>
      <c r="BF14" s="1"/>
      <c r="BG14" s="1"/>
      <c r="BH14" s="1"/>
      <c r="BI14" s="1"/>
      <c r="BJ14" s="1"/>
      <c r="BK14" s="1"/>
      <c r="BL14" s="1"/>
      <c r="BM14" s="1"/>
      <c r="BN14" s="1"/>
    </row>
    <row r="15" spans="1:66" x14ac:dyDescent="0.3">
      <c r="A15" s="1"/>
      <c r="B15" s="28">
        <v>4</v>
      </c>
      <c r="C15" s="129">
        <f>'[24]2. Distributional by deciles o'!B121</f>
        <v>10404543288.167992</v>
      </c>
      <c r="D15" s="129">
        <f>'[24]2. Distributional by deciles o'!C121</f>
        <v>10295639583.526802</v>
      </c>
      <c r="E15" s="129">
        <f>'[24]2. Distributional by deciles o'!D121</f>
        <v>10042041970.48563</v>
      </c>
      <c r="F15" s="129">
        <f>'[24]2. Distributional by deciles o'!E121</f>
        <v>11063260354.934385</v>
      </c>
      <c r="G15" s="383">
        <f>'[24]2. Distributional by deciles o'!F121-'[25]other-info'!$L9</f>
        <v>10732329557.733381</v>
      </c>
      <c r="H15" s="383">
        <f>'[24]2. Distributional by deciles o'!H121-'[25]other-info'!$L9</f>
        <v>13892631571.410969</v>
      </c>
      <c r="I15" s="383">
        <f>'[24]2. Distributional by deciles o'!I121-'[25]other-info'!$L9</f>
        <v>11626362008.379372</v>
      </c>
      <c r="J15" s="383">
        <f>'[24]2. Distributional by deciles o'!J121-'[25]other-info'!$L9</f>
        <v>11622026136.700617</v>
      </c>
      <c r="K15" s="383">
        <f>'[24]2. Distributional by deciles o'!K121-'[25]other-info'!$L9</f>
        <v>10861971809.6686</v>
      </c>
      <c r="L15" s="139"/>
      <c r="M15" s="139"/>
      <c r="N15" s="139"/>
      <c r="O15" s="139"/>
      <c r="P15" s="129">
        <f>'[24]2. Distributional by deciles o'!B103</f>
        <v>137486935402.22742</v>
      </c>
      <c r="Q15" s="129">
        <f>'[24]2. Distributional by deciles o'!C103</f>
        <v>139861004226.38904</v>
      </c>
      <c r="R15" s="129">
        <f>'[24]2. Distributional by deciles o'!D103</f>
        <v>142625274786.27603</v>
      </c>
      <c r="S15" s="129">
        <f>'[24]2. Distributional by deciles o'!E103</f>
        <v>149579364875.41479</v>
      </c>
      <c r="T15" s="383">
        <f>'[24]2. Distributional by deciles o'!F103-'[25]other-info'!M9</f>
        <v>154516169723.15192</v>
      </c>
      <c r="U15" s="209">
        <f t="shared" si="0"/>
        <v>0.12386074553996207</v>
      </c>
      <c r="V15" s="139"/>
      <c r="W15" s="209"/>
      <c r="X15" s="132"/>
      <c r="Y15" s="132"/>
      <c r="Z15" s="132"/>
      <c r="AA15" s="132"/>
      <c r="AB15" s="132"/>
      <c r="AC15" s="132"/>
      <c r="AD15" s="132"/>
      <c r="AE15" s="139"/>
      <c r="AF15" s="139"/>
      <c r="AG15" s="139"/>
      <c r="AH15" s="139"/>
      <c r="AI15" s="139"/>
      <c r="AJ15" s="139"/>
      <c r="AK15" s="383">
        <f>'[24]2. Distributional by deciles o'!L121-'[25]other-info'!L9</f>
        <v>13096710052.4734</v>
      </c>
      <c r="AL15" s="1"/>
      <c r="AM15" s="32" cm="1">
        <f t="array" aca="1" ref="AM15" ca="1">INDIRECT("'1"&amp;$C$8&amp;"'!W15")</f>
        <v>2.9069726759151968</v>
      </c>
      <c r="AN15" s="524">
        <f t="shared" ca="1" si="1"/>
        <v>14150801093.803101</v>
      </c>
      <c r="AO15" s="524">
        <f t="shared" ca="1" si="2"/>
        <v>14202307043.785486</v>
      </c>
      <c r="AP15" s="524">
        <f t="shared" ca="1" si="3"/>
        <v>14150801093.803101</v>
      </c>
      <c r="AQ15" s="525">
        <f t="shared" si="4"/>
        <v>0.12386074553996207</v>
      </c>
      <c r="AR15" s="344">
        <f t="shared" si="5"/>
        <v>0.12386074553996207</v>
      </c>
      <c r="AS15" s="41">
        <f t="shared" si="6"/>
        <v>6.4495537508360817E-2</v>
      </c>
      <c r="AT15" s="1"/>
      <c r="AU15" s="1"/>
      <c r="AV15" s="1"/>
      <c r="AW15" s="1"/>
      <c r="AX15" s="1"/>
      <c r="AY15" s="1"/>
      <c r="AZ15" s="1"/>
      <c r="BA15" s="1"/>
      <c r="BB15" s="1"/>
      <c r="BC15" s="1"/>
      <c r="BD15" s="1"/>
      <c r="BE15" s="1"/>
      <c r="BF15" s="1"/>
      <c r="BG15" s="1"/>
      <c r="BH15" s="1"/>
      <c r="BI15" s="1"/>
      <c r="BJ15" s="1"/>
      <c r="BK15" s="1"/>
      <c r="BL15" s="1"/>
      <c r="BM15" s="1"/>
      <c r="BN15" s="1"/>
    </row>
    <row r="16" spans="1:66" x14ac:dyDescent="0.3">
      <c r="A16" s="1"/>
      <c r="B16" s="28">
        <v>5</v>
      </c>
      <c r="C16" s="129">
        <f>'[24]2. Distributional by deciles o'!B122</f>
        <v>16968079401.860413</v>
      </c>
      <c r="D16" s="129">
        <f>'[24]2. Distributional by deciles o'!C122</f>
        <v>16795994377.62121</v>
      </c>
      <c r="E16" s="129">
        <f>'[24]2. Distributional by deciles o'!D122</f>
        <v>16342977454.374004</v>
      </c>
      <c r="F16" s="129">
        <f>'[24]2. Distributional by deciles o'!E122</f>
        <v>17851173797.473198</v>
      </c>
      <c r="G16" s="383">
        <f>'[24]2. Distributional by deciles o'!F122-'[25]other-info'!$L10</f>
        <v>17488046749.968079</v>
      </c>
      <c r="H16" s="383">
        <f>'[24]2. Distributional by deciles o'!H122-'[25]other-info'!$L10</f>
        <v>21876599662.833698</v>
      </c>
      <c r="I16" s="383">
        <f>'[24]2. Distributional by deciles o'!I122-'[25]other-info'!$L10</f>
        <v>19022669614.659733</v>
      </c>
      <c r="J16" s="383">
        <f>'[24]2. Distributional by deciles o'!J122-'[25]other-info'!$L10</f>
        <v>19017070632.637268</v>
      </c>
      <c r="K16" s="383">
        <f>'[24]2. Distributional by deciles o'!K122-'[25]other-info'!$L10</f>
        <v>18027344466.909706</v>
      </c>
      <c r="L16" s="139"/>
      <c r="M16" s="139"/>
      <c r="N16" s="139"/>
      <c r="O16" s="139"/>
      <c r="P16" s="129">
        <f>'[24]2. Distributional by deciles o'!B104</f>
        <v>163618581983.23578</v>
      </c>
      <c r="Q16" s="129">
        <f>'[24]2. Distributional by deciles o'!C104</f>
        <v>165801906751.45856</v>
      </c>
      <c r="R16" s="129">
        <f>'[24]2. Distributional by deciles o'!D104</f>
        <v>169699650434.29541</v>
      </c>
      <c r="S16" s="129">
        <f>'[24]2. Distributional by deciles o'!E104</f>
        <v>177846241552.57214</v>
      </c>
      <c r="T16" s="383">
        <f>'[24]2. Distributional by deciles o'!F104-'[25]other-info'!M10</f>
        <v>184210879461.77817</v>
      </c>
      <c r="U16" s="209">
        <f t="shared" si="0"/>
        <v>0.12585549409450492</v>
      </c>
      <c r="V16" s="139"/>
      <c r="W16" s="209"/>
      <c r="X16" s="132"/>
      <c r="Y16" s="132"/>
      <c r="Z16" s="132"/>
      <c r="AA16" s="132"/>
      <c r="AB16" s="132"/>
      <c r="AC16" s="132"/>
      <c r="AD16" s="132"/>
      <c r="AE16" s="139"/>
      <c r="AF16" s="139"/>
      <c r="AG16" s="139"/>
      <c r="AH16" s="139"/>
      <c r="AI16" s="139"/>
      <c r="AJ16" s="139"/>
      <c r="AK16" s="383">
        <f>'[24]2. Distributional by deciles o'!L122-'[25]other-info'!L10</f>
        <v>20338935734.474499</v>
      </c>
      <c r="AL16" s="1"/>
      <c r="AM16" s="32" cm="1">
        <f t="array" aca="1" ref="AM16" ca="1">INDIRECT("'1"&amp;$C$8&amp;"'!W16")</f>
        <v>2.4773035811815651</v>
      </c>
      <c r="AN16" s="524">
        <f t="shared" ca="1" si="1"/>
        <v>22258425651.37175</v>
      </c>
      <c r="AO16" s="524">
        <f t="shared" ca="1" si="2"/>
        <v>22246158479.208813</v>
      </c>
      <c r="AP16" s="524">
        <f t="shared" ca="1" si="3"/>
        <v>22258425651.37175</v>
      </c>
      <c r="AQ16" s="525">
        <f t="shared" si="4"/>
        <v>0.12585549409450492</v>
      </c>
      <c r="AR16" s="344">
        <f t="shared" si="5"/>
        <v>0.12585549409450492</v>
      </c>
      <c r="AS16" s="41">
        <f t="shared" si="6"/>
        <v>7.6753972008264212E-2</v>
      </c>
      <c r="AT16" s="1"/>
      <c r="AU16" s="1"/>
      <c r="AV16" s="1"/>
      <c r="AW16" s="1"/>
      <c r="AX16" s="1"/>
      <c r="AY16" s="1"/>
      <c r="AZ16" s="1"/>
      <c r="BA16" s="1"/>
      <c r="BB16" s="1"/>
      <c r="BC16" s="1"/>
      <c r="BD16" s="1"/>
      <c r="BE16" s="1"/>
      <c r="BF16" s="1"/>
      <c r="BG16" s="1"/>
      <c r="BH16" s="1"/>
      <c r="BI16" s="1"/>
      <c r="BJ16" s="1"/>
      <c r="BK16" s="1"/>
      <c r="BL16" s="1"/>
      <c r="BM16" s="1"/>
      <c r="BN16" s="1"/>
    </row>
    <row r="17" spans="1:66" x14ac:dyDescent="0.3">
      <c r="A17" s="1"/>
      <c r="B17" s="28">
        <v>6</v>
      </c>
      <c r="C17" s="129">
        <f>'[24]2. Distributional by deciles o'!B123</f>
        <v>24963521731.123158</v>
      </c>
      <c r="D17" s="129">
        <f>'[24]2. Distributional by deciles o'!C123</f>
        <v>24728772937.088394</v>
      </c>
      <c r="E17" s="129">
        <f>'[24]2. Distributional by deciles o'!D123</f>
        <v>24123640970.607582</v>
      </c>
      <c r="F17" s="129">
        <f>'[24]2. Distributional by deciles o'!E123</f>
        <v>26144823964.178368</v>
      </c>
      <c r="G17" s="383">
        <f>'[24]2. Distributional by deciles o'!F123-'[25]other-info'!$L11</f>
        <v>25866039798.042988</v>
      </c>
      <c r="H17" s="383">
        <f>'[24]2. Distributional by deciles o'!H123-'[25]other-info'!$L11</f>
        <v>31411592877.39706</v>
      </c>
      <c r="I17" s="383">
        <f>'[24]2. Distributional by deciles o'!I123-'[25]other-info'!$L11</f>
        <v>28027556808.778706</v>
      </c>
      <c r="J17" s="383">
        <f>'[24]2. Distributional by deciles o'!J123-'[25]other-info'!$L11</f>
        <v>28020867541.971371</v>
      </c>
      <c r="K17" s="383">
        <f>'[24]2. Distributional by deciles o'!K123-'[25]other-info'!$L11</f>
        <v>26856835950.475025</v>
      </c>
      <c r="L17" s="139"/>
      <c r="M17" s="139"/>
      <c r="N17" s="139"/>
      <c r="O17" s="139"/>
      <c r="P17" s="129">
        <f>'[24]2. Distributional by deciles o'!B105</f>
        <v>191947372703.28217</v>
      </c>
      <c r="Q17" s="129">
        <f>'[24]2. Distributional by deciles o'!C105</f>
        <v>193989437065.64319</v>
      </c>
      <c r="R17" s="129">
        <f>'[24]2. Distributional by deciles o'!D105</f>
        <v>199024617348.61758</v>
      </c>
      <c r="S17" s="129">
        <f>'[24]2. Distributional by deciles o'!E105</f>
        <v>208529033196.86041</v>
      </c>
      <c r="T17" s="383">
        <f>'[24]2. Distributional by deciles o'!F105-'[25]other-info'!M11</f>
        <v>216340053068.26447</v>
      </c>
      <c r="U17" s="209">
        <f t="shared" si="0"/>
        <v>0.12708004293806718</v>
      </c>
      <c r="V17" s="139"/>
      <c r="W17" s="209"/>
      <c r="X17" s="132"/>
      <c r="Y17" s="132"/>
      <c r="Z17" s="132"/>
      <c r="AA17" s="132"/>
      <c r="AB17" s="132"/>
      <c r="AC17" s="132"/>
      <c r="AD17" s="132"/>
      <c r="AE17" s="139"/>
      <c r="AF17" s="139"/>
      <c r="AG17" s="139"/>
      <c r="AH17" s="139"/>
      <c r="AI17" s="139"/>
      <c r="AJ17" s="139"/>
      <c r="AK17" s="383">
        <f>'[24]2. Distributional by deciles o'!L123-'[25]other-info'!L11</f>
        <v>29030993094.137871</v>
      </c>
      <c r="AL17" s="1"/>
      <c r="AM17" s="32" cm="1">
        <f t="array" aca="1" ref="AM17" ca="1">INDIRECT("'1"&amp;$C$8&amp;"'!W17")</f>
        <v>2.1041270228059767</v>
      </c>
      <c r="AN17" s="524">
        <f t="shared" ca="1" si="1"/>
        <v>31638581523.834126</v>
      </c>
      <c r="AO17" s="524">
        <f t="shared" ca="1" si="2"/>
        <v>31558931478.802345</v>
      </c>
      <c r="AP17" s="524">
        <f t="shared" ca="1" si="3"/>
        <v>31638581523.834126</v>
      </c>
      <c r="AQ17" s="525">
        <f t="shared" si="4"/>
        <v>0.12708004293806718</v>
      </c>
      <c r="AR17" s="344">
        <f t="shared" si="5"/>
        <v>0.12708004293806718</v>
      </c>
      <c r="AS17" s="41">
        <f t="shared" si="6"/>
        <v>9.0043093473558405E-2</v>
      </c>
      <c r="AT17" s="1"/>
      <c r="AU17" s="1"/>
      <c r="AV17" s="1"/>
      <c r="AW17" s="1"/>
      <c r="AX17" s="1"/>
      <c r="AY17" s="1"/>
      <c r="AZ17" s="1"/>
      <c r="BA17" s="1"/>
      <c r="BB17" s="1"/>
      <c r="BC17" s="1"/>
      <c r="BD17" s="1"/>
      <c r="BE17" s="1"/>
      <c r="BF17" s="1"/>
      <c r="BG17" s="1"/>
      <c r="BH17" s="1"/>
      <c r="BI17" s="1"/>
      <c r="BJ17" s="1"/>
      <c r="BK17" s="1"/>
      <c r="BL17" s="1"/>
      <c r="BM17" s="1"/>
      <c r="BN17" s="1"/>
    </row>
    <row r="18" spans="1:66" x14ac:dyDescent="0.3">
      <c r="A18" s="1"/>
      <c r="B18" s="28">
        <v>7</v>
      </c>
      <c r="C18" s="129">
        <f>'[24]2. Distributional by deciles o'!B124</f>
        <v>34533766222.237175</v>
      </c>
      <c r="D18" s="129">
        <f>'[24]2. Distributional by deciles o'!C124</f>
        <v>34257275855.843941</v>
      </c>
      <c r="E18" s="129">
        <f>'[24]2. Distributional by deciles o'!D124</f>
        <v>33543497449.078682</v>
      </c>
      <c r="F18" s="129">
        <f>'[24]2. Distributional by deciles o'!E124</f>
        <v>36133711396.993118</v>
      </c>
      <c r="G18" s="383">
        <f>'[24]2. Distributional by deciles o'!F124-'[25]other-info'!$L12</f>
        <v>36035826628.970451</v>
      </c>
      <c r="H18" s="383">
        <f>'[24]2. Distributional by deciles o'!H124-'[25]other-info'!$L12</f>
        <v>42885312572.757561</v>
      </c>
      <c r="I18" s="383">
        <f>'[24]2. Distributional by deciles o'!I124-'[25]other-info'!$L12</f>
        <v>38863938326.404915</v>
      </c>
      <c r="J18" s="383">
        <f>'[24]2. Distributional by deciles o'!J124-'[25]other-info'!$L12</f>
        <v>38855991615.052849</v>
      </c>
      <c r="K18" s="383">
        <f>'[24]2. Distributional by deciles o'!K124-'[25]other-info'!$L12</f>
        <v>37484424342.508911</v>
      </c>
      <c r="L18" s="139"/>
      <c r="M18" s="139"/>
      <c r="N18" s="139"/>
      <c r="O18" s="139"/>
      <c r="P18" s="129">
        <f>'[24]2. Distributional by deciles o'!B106</f>
        <v>223779216955.53104</v>
      </c>
      <c r="Q18" s="129">
        <f>'[24]2. Distributional by deciles o'!C106</f>
        <v>225793937642.56555</v>
      </c>
      <c r="R18" s="129">
        <f>'[24]2. Distributional by deciles o'!D106</f>
        <v>232059187043.33026</v>
      </c>
      <c r="S18" s="129">
        <f>'[24]2. Distributional by deciles o'!E106</f>
        <v>242905790149.09174</v>
      </c>
      <c r="T18" s="383">
        <f>'[24]2. Distributional by deciles o'!F106-'[25]other-info'!M12</f>
        <v>252251493118.13257</v>
      </c>
      <c r="U18" s="209">
        <f t="shared" si="0"/>
        <v>0.12723378225181414</v>
      </c>
      <c r="V18" s="139"/>
      <c r="W18" s="209"/>
      <c r="X18" s="132"/>
      <c r="Y18" s="132"/>
      <c r="Z18" s="132"/>
      <c r="AA18" s="132"/>
      <c r="AB18" s="132"/>
      <c r="AC18" s="132"/>
      <c r="AD18" s="132"/>
      <c r="AE18" s="139"/>
      <c r="AF18" s="139"/>
      <c r="AG18" s="139"/>
      <c r="AH18" s="139"/>
      <c r="AI18" s="139"/>
      <c r="AJ18" s="139"/>
      <c r="AK18" s="383">
        <f>'[24]2. Distributional by deciles o'!L124-'[25]other-info'!L12</f>
        <v>39516137877.141609</v>
      </c>
      <c r="AL18" s="1"/>
      <c r="AM18" s="32" cm="1">
        <f t="array" aca="1" ref="AM18" ca="1">INDIRECT("'1"&amp;$C$8&amp;"'!W18")</f>
        <v>1.9487734471247906</v>
      </c>
      <c r="AN18" s="524">
        <f t="shared" ca="1" si="1"/>
        <v>43096407217.663361</v>
      </c>
      <c r="AO18" s="524">
        <f t="shared" ca="1" si="2"/>
        <v>42984010675.266693</v>
      </c>
      <c r="AP18" s="524">
        <f t="shared" ca="1" si="3"/>
        <v>43096407217.663361</v>
      </c>
      <c r="AQ18" s="525">
        <f t="shared" si="4"/>
        <v>0.12723378225181414</v>
      </c>
      <c r="AR18" s="344">
        <f t="shared" si="5"/>
        <v>0.12723378225181414</v>
      </c>
      <c r="AS18" s="41">
        <f t="shared" si="6"/>
        <v>0.10497550795297778</v>
      </c>
      <c r="AT18" s="1"/>
      <c r="AU18" s="1"/>
      <c r="AV18" s="1"/>
      <c r="AW18" s="1"/>
      <c r="AX18" s="1"/>
      <c r="AY18" s="1"/>
      <c r="AZ18" s="1"/>
      <c r="BA18" s="1"/>
      <c r="BB18" s="1"/>
      <c r="BC18" s="1"/>
      <c r="BD18" s="1"/>
      <c r="BE18" s="1"/>
      <c r="BF18" s="1"/>
      <c r="BG18" s="1"/>
      <c r="BH18" s="1"/>
      <c r="BI18" s="1"/>
      <c r="BJ18" s="1"/>
      <c r="BK18" s="1"/>
      <c r="BL18" s="1"/>
      <c r="BM18" s="1"/>
      <c r="BN18" s="1"/>
    </row>
    <row r="19" spans="1:66" x14ac:dyDescent="0.3">
      <c r="A19" s="1"/>
      <c r="B19" s="28">
        <v>8</v>
      </c>
      <c r="C19" s="129">
        <f>'[24]2. Distributional by deciles o'!B125</f>
        <v>48941860604.733582</v>
      </c>
      <c r="D19" s="129">
        <f>'[24]2. Distributional by deciles o'!C125</f>
        <v>48549338835.830399</v>
      </c>
      <c r="E19" s="129">
        <f>'[24]2. Distributional by deciles o'!D125</f>
        <v>47702288496.761917</v>
      </c>
      <c r="F19" s="129">
        <f>'[24]2. Distributional by deciles o'!E125</f>
        <v>51164286756.587982</v>
      </c>
      <c r="G19" s="383">
        <f>'[24]2. Distributional by deciles o'!F125-'[25]other-info'!$L13</f>
        <v>51305987088.871246</v>
      </c>
      <c r="H19" s="383">
        <f>'[24]2. Distributional by deciles o'!H125-'[25]other-info'!$L13</f>
        <v>60292819003.35714</v>
      </c>
      <c r="I19" s="383">
        <f>'[24]2. Distributional by deciles o'!I125-'[25]other-info'!$L13</f>
        <v>55139526862.983551</v>
      </c>
      <c r="J19" s="383">
        <f>'[24]2. Distributional by deciles o'!J125-'[25]other-info'!$L13</f>
        <v>55129405328.65799</v>
      </c>
      <c r="K19" s="383">
        <f>'[24]2. Distributional by deciles o'!K125-'[25]other-info'!$L13</f>
        <v>53416397801.462341</v>
      </c>
      <c r="L19" s="139"/>
      <c r="M19" s="139"/>
      <c r="N19" s="139"/>
      <c r="O19" s="139"/>
      <c r="P19" s="129">
        <f>'[24]2. Distributional by deciles o'!B107</f>
        <v>268918201123.01062</v>
      </c>
      <c r="Q19" s="129">
        <f>'[24]2. Distributional by deciles o'!C107</f>
        <v>271043319098.64706</v>
      </c>
      <c r="R19" s="129">
        <f>'[24]2. Distributional by deciles o'!D107</f>
        <v>278936937247.26208</v>
      </c>
      <c r="S19" s="129">
        <f>'[24]2. Distributional by deciles o'!E107</f>
        <v>291815996081.828</v>
      </c>
      <c r="T19" s="383">
        <f>'[24]2. Distributional by deciles o'!F107-'[25]other-info'!M13</f>
        <v>303324104074.41895</v>
      </c>
      <c r="U19" s="209">
        <f t="shared" si="0"/>
        <v>0.12794189016484658</v>
      </c>
      <c r="V19" s="139"/>
      <c r="W19" s="209"/>
      <c r="X19" s="132"/>
      <c r="Y19" s="132"/>
      <c r="Z19" s="132"/>
      <c r="AA19" s="132"/>
      <c r="AB19" s="132"/>
      <c r="AC19" s="132"/>
      <c r="AD19" s="132"/>
      <c r="AE19" s="139"/>
      <c r="AF19" s="139"/>
      <c r="AG19" s="139"/>
      <c r="AH19" s="139"/>
      <c r="AI19" s="139"/>
      <c r="AJ19" s="139"/>
      <c r="AK19" s="383">
        <f>'[24]2. Distributional by deciles o'!L125-'[25]other-info'!L13</f>
        <v>55553877861.833878</v>
      </c>
      <c r="AL19" s="1"/>
      <c r="AM19" s="32" cm="1">
        <f t="array" aca="1" ref="AM19" ca="1">INDIRECT("'1"&amp;$C$8&amp;"'!W19")</f>
        <v>1.8498040901994646</v>
      </c>
      <c r="AN19" s="524">
        <f t="shared" ca="1" si="1"/>
        <v>60524805058.37767</v>
      </c>
      <c r="AO19" s="524">
        <f t="shared" ca="1" si="2"/>
        <v>60309497306.345306</v>
      </c>
      <c r="AP19" s="524">
        <f t="shared" ca="1" si="3"/>
        <v>55977826731.734238</v>
      </c>
      <c r="AQ19" s="525">
        <f t="shared" si="4"/>
        <v>0.12794189016484658</v>
      </c>
      <c r="AR19" s="526">
        <f>U19-AP31*AS21/SUM(AS19:AS20)</f>
        <v>7.7717268612221502E-2</v>
      </c>
      <c r="AS19" s="41">
        <f t="shared" si="6"/>
        <v>0.12615034204136505</v>
      </c>
      <c r="AT19" s="1"/>
      <c r="AU19" s="1"/>
      <c r="AV19" s="1"/>
      <c r="AW19" s="1"/>
      <c r="AX19" s="1"/>
      <c r="AY19" s="1"/>
      <c r="AZ19" s="1"/>
      <c r="BA19" s="1"/>
      <c r="BB19" s="1"/>
      <c r="BC19" s="1"/>
      <c r="BD19" s="1"/>
      <c r="BE19" s="1"/>
      <c r="BF19" s="1"/>
      <c r="BG19" s="1"/>
      <c r="BH19" s="1"/>
      <c r="BI19" s="1"/>
      <c r="BJ19" s="1"/>
      <c r="BK19" s="1"/>
      <c r="BL19" s="1"/>
      <c r="BM19" s="1"/>
      <c r="BN19" s="1"/>
    </row>
    <row r="20" spans="1:66" x14ac:dyDescent="0.3">
      <c r="A20" s="1"/>
      <c r="B20" s="28">
        <v>9</v>
      </c>
      <c r="C20" s="129">
        <f>'[24]2. Distributional by deciles o'!B126</f>
        <v>72198259739.850067</v>
      </c>
      <c r="D20" s="129">
        <f>'[24]2. Distributional by deciles o'!C126</f>
        <v>71655582398.676102</v>
      </c>
      <c r="E20" s="129">
        <f>'[24]2. Distributional by deciles o'!D126</f>
        <v>70717860528.70549</v>
      </c>
      <c r="F20" s="129">
        <f>'[24]2. Distributional by deciles o'!E126</f>
        <v>75774471864.981689</v>
      </c>
      <c r="G20" s="383">
        <f>'[24]2. Distributional by deciles o'!F126-'[25]other-info'!$L14</f>
        <v>76293016026.744919</v>
      </c>
      <c r="H20" s="383">
        <f>'[24]2. Distributional by deciles o'!H126-'[25]other-info'!$L14</f>
        <v>88014262634.734619</v>
      </c>
      <c r="I20" s="383">
        <f>'[24]2. Distributional by deciles o'!I126-'[25]other-info'!$L14</f>
        <v>81329594101.134766</v>
      </c>
      <c r="J20" s="383">
        <f>'[24]2. Distributional by deciles o'!J126-'[25]other-info'!$L14</f>
        <v>81316212278.583298</v>
      </c>
      <c r="K20" s="383">
        <f>'[24]2. Distributional by deciles o'!K126-'[25]other-info'!$L14</f>
        <v>79043384559.220551</v>
      </c>
      <c r="L20" s="139"/>
      <c r="M20" s="139"/>
      <c r="N20" s="139"/>
      <c r="O20" s="139"/>
      <c r="P20" s="129">
        <f>'[24]2. Distributional by deciles o'!B108</f>
        <v>336638985734.38129</v>
      </c>
      <c r="Q20" s="129">
        <f>'[24]2. Distributional by deciles o'!C108</f>
        <v>339102754576.29517</v>
      </c>
      <c r="R20" s="129">
        <f>'[24]2. Distributional by deciles o'!D108</f>
        <v>349265279125.25952</v>
      </c>
      <c r="S20" s="129">
        <f>'[24]2. Distributional by deciles o'!E108</f>
        <v>365041756236.21332</v>
      </c>
      <c r="T20" s="383">
        <f>'[24]2. Distributional by deciles o'!F108-'[25]other-info'!M14</f>
        <v>379536440546.19458</v>
      </c>
      <c r="U20" s="209">
        <f t="shared" si="0"/>
        <v>0.12742865986906438</v>
      </c>
      <c r="V20" s="139"/>
      <c r="W20" s="209"/>
      <c r="X20" s="132"/>
      <c r="Y20" s="132"/>
      <c r="Z20" s="132"/>
      <c r="AA20" s="132"/>
      <c r="AB20" s="132"/>
      <c r="AC20" s="132"/>
      <c r="AD20" s="132"/>
      <c r="AE20" s="139"/>
      <c r="AF20" s="139"/>
      <c r="AG20" s="139"/>
      <c r="AH20" s="139"/>
      <c r="AI20" s="139"/>
      <c r="AJ20" s="139"/>
      <c r="AK20" s="383">
        <f>'[24]2. Distributional by deciles o'!L126-'[25]other-info'!L14</f>
        <v>81955887536.753616</v>
      </c>
      <c r="AL20" s="1"/>
      <c r="AM20" s="32" cm="1">
        <f t="array" aca="1" ref="AM20" ca="1">INDIRECT("'1"&amp;$C$8&amp;"'!W20")</f>
        <v>1.699210404222472</v>
      </c>
      <c r="AN20" s="524">
        <f t="shared" ca="1" si="1"/>
        <v>87831212080.033478</v>
      </c>
      <c r="AO20" s="524">
        <f t="shared" ca="1" si="2"/>
        <v>87602414119.870132</v>
      </c>
      <c r="AP20" s="524">
        <f t="shared" ca="1" si="3"/>
        <v>81669653794.458603</v>
      </c>
      <c r="AQ20" s="525">
        <f t="shared" si="4"/>
        <v>0.12742865986906438</v>
      </c>
      <c r="AR20" s="526">
        <f>U20-AP31*AS21/SUM(AS19:AS20)</f>
        <v>7.7204038316439294E-2</v>
      </c>
      <c r="AS20" s="41">
        <f t="shared" si="6"/>
        <v>0.15791836706294482</v>
      </c>
      <c r="AT20" s="1"/>
      <c r="AU20" s="1"/>
      <c r="AV20" s="1"/>
      <c r="AW20" s="1"/>
      <c r="AX20" s="1"/>
      <c r="AY20" s="1"/>
      <c r="AZ20" s="1"/>
      <c r="BA20" s="1"/>
      <c r="BB20" s="1"/>
      <c r="BC20" s="1"/>
      <c r="BD20" s="1"/>
      <c r="BE20" s="1"/>
      <c r="BF20" s="1"/>
      <c r="BG20" s="1"/>
      <c r="BH20" s="1"/>
      <c r="BI20" s="1"/>
      <c r="BJ20" s="1"/>
      <c r="BK20" s="1"/>
      <c r="BL20" s="1"/>
      <c r="BM20" s="1"/>
      <c r="BN20" s="1"/>
    </row>
    <row r="21" spans="1:66" x14ac:dyDescent="0.3">
      <c r="A21" s="1"/>
      <c r="B21" s="33">
        <v>10</v>
      </c>
      <c r="C21" s="129">
        <f>'[24]2. Distributional by deciles o'!B127</f>
        <v>186667383584.22919</v>
      </c>
      <c r="D21" s="129">
        <f>'[24]2. Distributional by deciles o'!C127</f>
        <v>187046104875.60144</v>
      </c>
      <c r="E21" s="129">
        <f>'[24]2. Distributional by deciles o'!D127</f>
        <v>191127007008.58862</v>
      </c>
      <c r="F21" s="129">
        <f>'[24]2. Distributional by deciles o'!E127</f>
        <v>200649242838.78741</v>
      </c>
      <c r="G21" s="383">
        <f>'[24]2. Distributional by deciles o'!F127-'[25]other-info'!$L15</f>
        <v>204613354182.3988</v>
      </c>
      <c r="H21" s="383">
        <f>'[24]2. Distributional by deciles o'!H127-'[25]other-info'!$L15</f>
        <v>217196011644.87195</v>
      </c>
      <c r="I21" s="383">
        <f>'[24]2. Distributional by deciles o'!I127-'[25]other-info'!$L15</f>
        <v>208701166224.9071</v>
      </c>
      <c r="J21" s="383">
        <f>'[24]2. Distributional by deciles o'!J127-'[25]other-info'!$L15</f>
        <v>208683366535.49506</v>
      </c>
      <c r="K21" s="383">
        <f>'[24]2. Distributional by deciles o'!K127-'[25]other-info'!$L15</f>
        <v>205614363215.39795</v>
      </c>
      <c r="L21" s="139"/>
      <c r="M21" s="139"/>
      <c r="N21" s="139"/>
      <c r="O21" s="139"/>
      <c r="P21" s="129">
        <f>'[24]2. Distributional by deciles o'!B109</f>
        <v>608277610767.69556</v>
      </c>
      <c r="Q21" s="129">
        <f>'[24]2. Distributional by deciles o'!C109</f>
        <v>613708355985.69812</v>
      </c>
      <c r="R21" s="129">
        <f>'[24]2. Distributional by deciles o'!D109</f>
        <v>633451005469.49023</v>
      </c>
      <c r="S21" s="129">
        <f>'[24]2. Distributional by deciles o'!E109</f>
        <v>657722260941.521</v>
      </c>
      <c r="T21" s="383">
        <f>'[24]2. Distributional by deciles o'!F109-'[25]other-info'!M15</f>
        <v>683680932469.58704</v>
      </c>
      <c r="U21" s="209">
        <f t="shared" si="0"/>
        <v>0.12396202057597749</v>
      </c>
      <c r="V21" s="139"/>
      <c r="W21" s="209"/>
      <c r="X21" s="132"/>
      <c r="Y21" s="132"/>
      <c r="Z21" s="132"/>
      <c r="AA21" s="132"/>
      <c r="AB21" s="132"/>
      <c r="AC21" s="132"/>
      <c r="AD21" s="132"/>
      <c r="AE21" s="139"/>
      <c r="AF21" s="139"/>
      <c r="AG21" s="139"/>
      <c r="AH21" s="139"/>
      <c r="AI21" s="139"/>
      <c r="AJ21" s="139"/>
      <c r="AK21" s="383">
        <f>'[24]2. Distributional by deciles o'!L127-'[25]other-info'!L15</f>
        <v>211997395671.80157</v>
      </c>
      <c r="AL21" s="1"/>
      <c r="AM21" s="32" cm="1">
        <f t="array" aca="1" ref="AM21" ca="1">INDIRECT("'1"&amp;$C$8&amp;"'!W21")</f>
        <v>1.3566735793159437</v>
      </c>
      <c r="AN21" s="524">
        <f t="shared" ca="1" si="1"/>
        <v>218060357141.31149</v>
      </c>
      <c r="AO21" s="524">
        <f t="shared" ca="1" si="2"/>
        <v>218465967645.21152</v>
      </c>
      <c r="AP21" s="524">
        <f t="shared" ca="1" si="3"/>
        <v>230722692512.74942</v>
      </c>
      <c r="AQ21" s="525">
        <f t="shared" si="4"/>
        <v>0.12396202057597749</v>
      </c>
      <c r="AR21" s="527">
        <f>U21+AP31</f>
        <v>0.17396202057597748</v>
      </c>
      <c r="AS21" s="41">
        <f t="shared" si="6"/>
        <v>0.28534486819413413</v>
      </c>
      <c r="AT21" s="1"/>
      <c r="AU21" s="1"/>
      <c r="AV21" s="1"/>
      <c r="AW21" s="1"/>
      <c r="AX21" s="1"/>
      <c r="AY21" s="1"/>
      <c r="AZ21" s="1"/>
      <c r="BA21" s="1"/>
      <c r="BB21" s="1"/>
      <c r="BC21" s="1"/>
      <c r="BD21" s="1"/>
      <c r="BE21" s="1"/>
      <c r="BF21" s="1"/>
      <c r="BG21" s="1"/>
      <c r="BH21" s="1"/>
      <c r="BI21" s="1"/>
      <c r="BJ21" s="1"/>
      <c r="BK21" s="1"/>
      <c r="BL21" s="1"/>
      <c r="BM21" s="1"/>
      <c r="BN21" s="1"/>
    </row>
    <row r="22" spans="1:66" ht="13.35" customHeight="1" x14ac:dyDescent="0.3">
      <c r="A22" s="1"/>
      <c r="B22" s="34" t="s">
        <v>114</v>
      </c>
      <c r="C22" s="150">
        <f>'[24]2. Distributional by deciles o'!B128</f>
        <v>402013561280.8183</v>
      </c>
      <c r="D22" s="150">
        <f>'[24]2. Distributional by deciles o'!C128</f>
        <v>400379826037.15259</v>
      </c>
      <c r="E22" s="150">
        <f>'[24]2. Distributional by deciles o'!D128</f>
        <v>400467113922.31909</v>
      </c>
      <c r="F22" s="150">
        <f>'[24]2. Distributional by deciles o'!E128</f>
        <v>426442986699.86633</v>
      </c>
      <c r="G22" s="384">
        <f>'[24]2. Distributional by deciles o'!F128-'[25]other-info'!$L16</f>
        <v>429507451887.20007</v>
      </c>
      <c r="H22" s="384">
        <f>'[24]2. Distributional by deciles o'!H128-'[25]other-info'!$L16</f>
        <v>486326219391.95142</v>
      </c>
      <c r="I22" s="384">
        <f>'[24]2. Distributional by deciles o'!I128-'[25]other-info'!$L16</f>
        <v>450903792733.79919</v>
      </c>
      <c r="J22" s="384">
        <f>'[24]2. Distributional by deciles o'!J128-'[25]other-info'!$L16</f>
        <v>450833197334.71252</v>
      </c>
      <c r="K22" s="384">
        <f>'[24]2. Distributional by deciles o'!K128-'[25]other-info'!$L16</f>
        <v>438684765447.54144</v>
      </c>
      <c r="L22" s="139"/>
      <c r="M22" s="139"/>
      <c r="N22" s="139"/>
      <c r="O22" s="139"/>
      <c r="P22" s="150">
        <f>'[24]2. Distributional by deciles o'!B110</f>
        <v>2131727879380.8706</v>
      </c>
      <c r="Q22" s="150">
        <f>'[24]2. Distributional by deciles o'!C110</f>
        <v>2154270490696.6714</v>
      </c>
      <c r="R22" s="150">
        <f>'[24]2. Distributional by deciles o'!D110</f>
        <v>2213689832300.7202</v>
      </c>
      <c r="S22" s="150">
        <f>'[24]2. Distributional by deciles o'!E110</f>
        <v>2312130414368.418</v>
      </c>
      <c r="T22" s="384">
        <f>'[24]2. Distributional by deciles o'!F110-'[25]other-info'!M16</f>
        <v>2399395439033.9463</v>
      </c>
      <c r="U22" s="210">
        <f t="shared" si="0"/>
        <v>0.12556366234268879</v>
      </c>
      <c r="V22" s="139"/>
      <c r="W22" s="210"/>
      <c r="X22" s="154"/>
      <c r="Y22" s="154"/>
      <c r="Z22" s="154"/>
      <c r="AA22" s="154"/>
      <c r="AB22" s="154"/>
      <c r="AC22" s="154"/>
      <c r="AD22" s="154"/>
      <c r="AE22" s="429"/>
      <c r="AF22" s="429"/>
      <c r="AG22" s="429"/>
      <c r="AH22" s="429"/>
      <c r="AI22" s="162"/>
      <c r="AJ22" s="162"/>
      <c r="AK22" s="384">
        <f>'[24]2. Distributional by deciles o'!L128-'[25]other-info'!L16</f>
        <v>461431988542.58374</v>
      </c>
      <c r="AL22" s="1"/>
      <c r="AM22" s="534" cm="1">
        <f t="array" aca="1" ref="AM22" ca="1">INDIRECT("'1"&amp;$C$8&amp;"'!W22")</f>
        <v>1.7103139797998415</v>
      </c>
      <c r="AN22" s="528">
        <f ca="1">SUM(AN12:AN21)</f>
        <v>488400351283.13306</v>
      </c>
      <c r="AO22" s="528">
        <f ca="1">SUM(AO12:AO21)</f>
        <v>488314330048.15332</v>
      </c>
      <c r="AP22" s="528">
        <f ca="1">SUM(AP12:AP21)</f>
        <v>490354150042.35266</v>
      </c>
      <c r="AQ22" s="529">
        <f>SUMPRODUCT(AQ12:AQ21,AS12:AS21)</f>
        <v>0.12556366234269001</v>
      </c>
      <c r="AR22" s="529">
        <f>SUMPRODUCT(AR12:AR21,AS12:AS21)</f>
        <v>0.12556366234268998</v>
      </c>
      <c r="AS22" s="530"/>
      <c r="AT22" s="1"/>
      <c r="AU22" s="1"/>
      <c r="AV22" s="1"/>
      <c r="AW22" s="1"/>
      <c r="AX22" s="1"/>
      <c r="AY22" s="1"/>
      <c r="AZ22" s="1"/>
      <c r="BA22" s="1"/>
      <c r="BB22" s="1"/>
      <c r="BC22" s="1"/>
      <c r="BD22" s="1"/>
      <c r="BE22" s="1"/>
      <c r="BF22" s="1"/>
      <c r="BG22" s="1"/>
      <c r="BH22" s="1"/>
      <c r="BI22" s="1"/>
      <c r="BJ22" s="1"/>
      <c r="BK22" s="1"/>
      <c r="BL22" s="1"/>
      <c r="BM22" s="1"/>
      <c r="BN22" s="1"/>
    </row>
    <row r="23" spans="1:66" ht="12.6" customHeight="1" x14ac:dyDescent="0.3">
      <c r="A23" s="1"/>
      <c r="B23" s="1"/>
      <c r="C23" s="1"/>
      <c r="D23" s="1"/>
      <c r="E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531"/>
      <c r="AO23" s="531"/>
      <c r="AP23" s="1"/>
      <c r="AQ23" s="1"/>
      <c r="AR23" s="525">
        <f>U22</f>
        <v>0.12556366234268879</v>
      </c>
      <c r="AS23" s="1"/>
      <c r="AT23" s="1"/>
      <c r="AU23" s="1"/>
      <c r="AV23" s="1"/>
      <c r="AW23" s="1"/>
      <c r="AX23" s="1"/>
      <c r="AY23" s="1"/>
      <c r="AZ23" s="1"/>
      <c r="BA23" s="1"/>
      <c r="BB23" s="1"/>
      <c r="BC23" s="1"/>
      <c r="BD23" s="1"/>
      <c r="BE23" s="1"/>
      <c r="BF23" s="1"/>
      <c r="BG23" s="1"/>
      <c r="BH23" s="1"/>
      <c r="BI23" s="1"/>
      <c r="BJ23" s="1"/>
      <c r="BK23" s="1"/>
      <c r="BL23" s="1"/>
      <c r="BM23" s="1"/>
      <c r="BN23" s="1"/>
    </row>
    <row r="24" spans="1:66" ht="14.1" customHeight="1" x14ac:dyDescent="0.3">
      <c r="A24" s="1"/>
      <c r="B24" s="1"/>
      <c r="C24" s="1"/>
      <c r="D24" s="1"/>
      <c r="E24" s="1"/>
      <c r="F24" s="1"/>
      <c r="G24" s="11" t="s">
        <v>151</v>
      </c>
      <c r="H24" s="212">
        <f>U22</f>
        <v>0.12556366234268879</v>
      </c>
      <c r="I24" s="1"/>
      <c r="J24" s="1"/>
      <c r="K24" s="11" t="s">
        <v>151</v>
      </c>
      <c r="L24" s="212"/>
      <c r="M24" s="1"/>
      <c r="O24" s="1"/>
      <c r="P24" s="1"/>
      <c r="Q24" s="1"/>
      <c r="R24" s="1"/>
      <c r="S24" s="1"/>
      <c r="T24" s="1"/>
      <c r="U24" s="1"/>
      <c r="V24" s="1"/>
      <c r="W24" s="1"/>
      <c r="X24" s="1"/>
      <c r="Y24" s="55"/>
      <c r="Z24" s="55"/>
      <c r="AA24" s="55"/>
      <c r="AB24" s="55"/>
      <c r="AC24" s="55"/>
      <c r="AD24" s="55"/>
      <c r="AE24" s="55"/>
      <c r="AF24" s="55"/>
      <c r="AG24" s="55"/>
      <c r="AH24" s="1"/>
      <c r="AI24" s="1"/>
      <c r="AJ24" s="1"/>
      <c r="AK24" s="1"/>
      <c r="AL24" s="1"/>
      <c r="AM24" s="1"/>
      <c r="AN24" s="531">
        <f ca="1">AN22/G22-1</f>
        <v>0.13711729362823677</v>
      </c>
      <c r="AO24" s="531"/>
      <c r="AP24" s="1"/>
      <c r="AQ24" s="1"/>
      <c r="AR24" s="532" t="str">
        <f>IF(AR23-AR22&lt;0.0000000001,"ok","wrong")</f>
        <v>ok</v>
      </c>
      <c r="AS24" s="1"/>
      <c r="AT24" s="1"/>
      <c r="AU24" s="1"/>
      <c r="AV24" s="1"/>
      <c r="AW24" s="1"/>
      <c r="AX24" s="1"/>
      <c r="AY24" s="1"/>
      <c r="AZ24" s="1"/>
      <c r="BA24" s="1"/>
      <c r="BB24" s="1"/>
      <c r="BC24" s="1"/>
      <c r="BD24" s="1"/>
      <c r="BE24" s="1"/>
      <c r="BF24" s="1"/>
      <c r="BG24" s="1"/>
      <c r="BH24" s="1"/>
      <c r="BI24" s="1"/>
      <c r="BJ24" s="1"/>
      <c r="BK24" s="1"/>
      <c r="BL24" s="1"/>
      <c r="BM24" s="1"/>
      <c r="BN24" s="1"/>
    </row>
    <row r="25" spans="1:66" ht="14.1" customHeight="1" x14ac:dyDescent="0.3">
      <c r="A25" s="1"/>
      <c r="B25" s="1"/>
      <c r="C25" s="1"/>
      <c r="D25" s="1"/>
      <c r="E25" s="1"/>
      <c r="F25" s="1"/>
      <c r="G25" s="11" t="s">
        <v>152</v>
      </c>
      <c r="H25" s="213">
        <v>0.14130000000000001</v>
      </c>
      <c r="I25" s="1"/>
      <c r="J25" s="1"/>
      <c r="K25" s="11" t="s">
        <v>152</v>
      </c>
      <c r="L25" s="139"/>
      <c r="M25" s="1"/>
      <c r="N25" s="1"/>
      <c r="O25" s="1"/>
      <c r="P25" s="1"/>
      <c r="Q25" s="1"/>
      <c r="R25" s="1"/>
      <c r="S25" s="1"/>
      <c r="T25" s="1"/>
      <c r="U25" s="1"/>
      <c r="V25" s="1"/>
      <c r="W25" s="1"/>
      <c r="X25" s="1"/>
      <c r="Y25" s="55"/>
      <c r="Z25" s="55"/>
      <c r="AA25" s="55"/>
      <c r="AB25" s="55"/>
      <c r="AC25" s="55"/>
      <c r="AD25" s="55"/>
      <c r="AE25" s="55"/>
      <c r="AF25" s="55"/>
      <c r="AG25" s="55"/>
      <c r="AH25" s="1"/>
      <c r="AI25" s="1"/>
      <c r="AJ25" s="1"/>
      <c r="AK25" s="1"/>
      <c r="AL25" s="1"/>
      <c r="AM25" s="1"/>
      <c r="AN25" s="1"/>
      <c r="AO25" s="531"/>
      <c r="AP25" s="1"/>
      <c r="AQ25" s="1"/>
      <c r="AR25" s="532" t="str">
        <f>IF(AQ22-AR22&lt;0.0000000001,"ok","wrong")</f>
        <v>ok</v>
      </c>
      <c r="AS25" s="1"/>
      <c r="AT25" s="1"/>
      <c r="AU25" s="1"/>
      <c r="AV25" s="1"/>
      <c r="AW25" s="1"/>
      <c r="AX25" s="1"/>
      <c r="AY25" s="1"/>
      <c r="AZ25" s="1"/>
      <c r="BA25" s="1"/>
      <c r="BB25" s="1"/>
      <c r="BC25" s="1"/>
      <c r="BD25" s="1"/>
      <c r="BE25" s="1"/>
      <c r="BF25" s="1"/>
      <c r="BG25" s="1"/>
      <c r="BH25" s="1"/>
      <c r="BI25" s="1"/>
      <c r="BJ25" s="1"/>
      <c r="BK25" s="1"/>
      <c r="BL25" s="1"/>
      <c r="BM25" s="1"/>
      <c r="BN25" s="1"/>
    </row>
    <row r="26" spans="1:66" ht="14.1" customHeight="1" x14ac:dyDescent="0.3">
      <c r="A26" s="1"/>
      <c r="B26" s="1"/>
      <c r="C26" s="1"/>
      <c r="D26" s="1"/>
      <c r="E26" s="1"/>
      <c r="F26" s="1"/>
      <c r="G26" s="11" t="s">
        <v>153</v>
      </c>
      <c r="H26" s="213">
        <v>0.19339999999999999</v>
      </c>
      <c r="I26" s="1"/>
      <c r="J26" s="1"/>
      <c r="K26" s="11" t="s">
        <v>153</v>
      </c>
      <c r="L26" s="139"/>
      <c r="M26" s="1"/>
      <c r="N26" s="1"/>
      <c r="O26" s="1"/>
      <c r="P26" s="1"/>
      <c r="Q26" s="1"/>
      <c r="R26" s="1"/>
      <c r="S26" s="1"/>
      <c r="T26" s="1"/>
      <c r="U26" s="1"/>
      <c r="V26" s="1"/>
      <c r="W26" s="1"/>
      <c r="X26" s="1"/>
      <c r="Y26" s="55"/>
      <c r="Z26" s="55"/>
      <c r="AA26" s="55"/>
      <c r="AB26" s="55"/>
      <c r="AC26" s="55"/>
      <c r="AD26" s="55"/>
      <c r="AE26" s="55"/>
      <c r="AF26" s="55"/>
      <c r="AG26" s="55"/>
      <c r="AH26" s="1"/>
      <c r="AI26" s="1"/>
      <c r="AJ26" s="1"/>
      <c r="AK26" s="1"/>
      <c r="AL26" s="1"/>
      <c r="AM26" s="8" t="s">
        <v>571</v>
      </c>
      <c r="AN26" s="533"/>
      <c r="AO26" s="535">
        <f ca="1">AO22/$AN22-1</f>
        <v>-1.761285280686975E-4</v>
      </c>
      <c r="AP26" s="536">
        <f ca="1">AP22/$AN22-1</f>
        <v>4.0004040826067122E-3</v>
      </c>
      <c r="AQ26" s="1"/>
      <c r="AR26" s="1"/>
      <c r="AS26" s="1"/>
      <c r="AT26" s="1"/>
      <c r="AU26" s="1"/>
      <c r="AV26" s="1"/>
      <c r="AW26" s="1"/>
      <c r="AX26" s="1"/>
      <c r="AY26" s="1"/>
      <c r="AZ26" s="1"/>
      <c r="BA26" s="1"/>
      <c r="BB26" s="1"/>
      <c r="BC26" s="1"/>
      <c r="BD26" s="1"/>
      <c r="BE26" s="1"/>
      <c r="BF26" s="1"/>
      <c r="BG26" s="1"/>
      <c r="BH26" s="1"/>
      <c r="BI26" s="1"/>
      <c r="BJ26" s="1"/>
      <c r="BK26" s="1"/>
      <c r="BL26" s="1"/>
      <c r="BM26" s="1"/>
      <c r="BN26" s="1"/>
    </row>
    <row r="27" spans="1:66" ht="9" customHeight="1" x14ac:dyDescent="0.3">
      <c r="A27" s="1"/>
      <c r="B27" s="1"/>
      <c r="C27" s="1"/>
      <c r="D27" s="1"/>
      <c r="E27" s="1"/>
      <c r="F27" s="1"/>
      <c r="G27" s="1"/>
      <c r="H27" s="1"/>
      <c r="I27" s="1"/>
      <c r="J27" s="1"/>
      <c r="K27" s="1"/>
      <c r="L27" s="1"/>
      <c r="M27" s="1"/>
      <c r="N27" s="1"/>
      <c r="O27" s="1"/>
      <c r="P27" s="1"/>
      <c r="Q27" s="1"/>
      <c r="R27" s="1"/>
      <c r="S27" s="1"/>
      <c r="T27" s="55"/>
      <c r="U27" s="55"/>
      <c r="V27" s="55"/>
      <c r="W27" s="55"/>
      <c r="X27" s="55"/>
      <c r="Y27" s="55"/>
      <c r="Z27" s="55"/>
      <c r="AA27" s="55"/>
      <c r="AB27" s="55"/>
      <c r="AC27" s="55"/>
      <c r="AD27" s="55"/>
      <c r="AE27" s="55"/>
      <c r="AF27" s="55"/>
      <c r="AG27" s="55"/>
      <c r="AH27" s="1"/>
      <c r="AI27" s="1"/>
      <c r="AJ27" s="1"/>
      <c r="AK27" s="1"/>
      <c r="AL27" s="1"/>
      <c r="AM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row>
    <row r="28" spans="1:66" ht="12" customHeight="1" thickBot="1" x14ac:dyDescent="0.35">
      <c r="A28" s="214"/>
      <c r="B28" s="214"/>
      <c r="C28" s="214"/>
      <c r="D28" s="214"/>
      <c r="E28" s="214"/>
      <c r="F28" s="214"/>
      <c r="G28" s="214"/>
      <c r="H28" s="214"/>
      <c r="I28" s="214"/>
      <c r="J28" s="214"/>
      <c r="K28" s="214"/>
      <c r="L28" s="214"/>
      <c r="M28" s="214"/>
      <c r="N28" s="214"/>
      <c r="O28" s="214"/>
      <c r="P28" s="214"/>
      <c r="Q28" s="214"/>
      <c r="R28" s="214"/>
      <c r="S28" s="214"/>
      <c r="T28" s="215"/>
      <c r="U28" s="215"/>
      <c r="V28" s="215"/>
      <c r="W28" s="215"/>
      <c r="X28" s="215"/>
      <c r="Y28" s="215"/>
      <c r="Z28" s="215"/>
      <c r="AA28" s="214"/>
      <c r="AB28" s="214"/>
      <c r="AC28" s="214"/>
      <c r="AD28" s="214"/>
      <c r="AE28" s="214"/>
      <c r="AF28" s="214"/>
      <c r="AG28" s="214"/>
      <c r="AH28" s="214"/>
      <c r="AI28" s="214"/>
      <c r="AJ28" s="1"/>
      <c r="AK28" s="1"/>
      <c r="AL28" s="1"/>
      <c r="AM28" s="8" t="s">
        <v>572</v>
      </c>
      <c r="AN28" s="8"/>
      <c r="AO28" s="535">
        <f ca="1">(AO22-$AN22)/($W$37*1000000)</f>
        <v>-2.4942429931433365E-3</v>
      </c>
      <c r="AP28" s="536">
        <f ca="1">(AP22-$AN22)/($W$37*1000000)</f>
        <v>5.6651696134606938E-2</v>
      </c>
      <c r="AQ28" s="1"/>
      <c r="AR28" s="1"/>
      <c r="AS28" s="1"/>
      <c r="AT28" s="1"/>
      <c r="AU28" s="1"/>
      <c r="AV28" s="1"/>
      <c r="AW28" s="1"/>
      <c r="AX28" s="1"/>
      <c r="AY28" s="1"/>
      <c r="AZ28" s="1"/>
      <c r="BA28" s="1"/>
      <c r="BB28" s="1"/>
      <c r="BC28" s="1"/>
      <c r="BD28" s="1"/>
      <c r="BE28" s="1"/>
      <c r="BF28" s="1"/>
      <c r="BG28" s="1"/>
      <c r="BH28" s="1"/>
      <c r="BI28" s="1"/>
      <c r="BJ28" s="1"/>
      <c r="BK28" s="1"/>
      <c r="BL28" s="1"/>
      <c r="BM28" s="1"/>
      <c r="BN28" s="1"/>
    </row>
    <row r="29" spans="1:66" ht="12" customHeight="1" thickBot="1" x14ac:dyDescent="0.35">
      <c r="A29" s="214"/>
      <c r="B29" s="216" t="s">
        <v>154</v>
      </c>
      <c r="C29" s="217"/>
      <c r="D29" s="217"/>
      <c r="E29" s="217"/>
      <c r="F29" s="217"/>
      <c r="G29" s="217"/>
      <c r="H29" s="217"/>
      <c r="I29" s="217"/>
      <c r="J29" s="217"/>
      <c r="K29" s="217"/>
      <c r="L29" s="217"/>
      <c r="M29" s="217"/>
      <c r="N29" s="217"/>
      <c r="O29" s="217"/>
      <c r="P29" s="217"/>
      <c r="Q29" s="217"/>
      <c r="R29" s="217"/>
      <c r="S29" s="217"/>
      <c r="T29" s="218"/>
      <c r="U29" s="218"/>
      <c r="V29" s="219"/>
      <c r="W29" s="215"/>
      <c r="X29" s="215"/>
      <c r="Y29" s="215"/>
      <c r="Z29" s="215"/>
      <c r="AA29" s="214"/>
      <c r="AB29" s="214"/>
      <c r="AC29" s="214"/>
      <c r="AD29" s="214"/>
      <c r="AE29" s="214"/>
      <c r="AF29" s="214"/>
      <c r="AG29" s="214"/>
      <c r="AH29" s="214"/>
      <c r="AI29" s="214"/>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row>
    <row r="30" spans="1:66" ht="21.6" customHeight="1" thickBot="1" x14ac:dyDescent="0.35">
      <c r="A30" s="214"/>
      <c r="B30" s="220"/>
      <c r="C30" s="214"/>
      <c r="D30" s="214"/>
      <c r="E30" s="214"/>
      <c r="F30" s="214"/>
      <c r="G30" s="214"/>
      <c r="H30" s="214"/>
      <c r="I30" s="214"/>
      <c r="J30" s="214"/>
      <c r="K30" s="214"/>
      <c r="L30" s="214"/>
      <c r="M30" s="214"/>
      <c r="N30" s="214"/>
      <c r="O30" s="214"/>
      <c r="P30" s="214"/>
      <c r="Q30" s="214"/>
      <c r="R30" s="214"/>
      <c r="S30" s="214"/>
      <c r="T30" s="214"/>
      <c r="U30" s="214"/>
      <c r="V30" s="214"/>
      <c r="W30" s="214"/>
      <c r="X30" s="214"/>
      <c r="Y30" s="214"/>
      <c r="Z30" s="214"/>
      <c r="AA30" s="214"/>
      <c r="AB30" s="214"/>
      <c r="AC30" s="216" t="s">
        <v>158</v>
      </c>
      <c r="AD30" s="221"/>
      <c r="AE30" s="214"/>
      <c r="AF30" s="214"/>
      <c r="AG30" s="214"/>
      <c r="AH30" s="214"/>
      <c r="AI30" s="214"/>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row>
    <row r="31" spans="1:66" ht="21" customHeight="1" thickBot="1" x14ac:dyDescent="0.35">
      <c r="A31" s="214"/>
      <c r="B31" s="216" t="s">
        <v>159</v>
      </c>
      <c r="C31" s="221"/>
      <c r="D31" s="223"/>
      <c r="E31" s="222" t="s">
        <v>160</v>
      </c>
      <c r="F31" s="222" t="s">
        <v>160</v>
      </c>
      <c r="G31" s="223"/>
      <c r="H31" s="224" t="s">
        <v>161</v>
      </c>
      <c r="I31" s="222"/>
      <c r="J31" s="222"/>
      <c r="K31" s="222"/>
      <c r="L31" s="222"/>
      <c r="M31" s="223"/>
      <c r="N31" s="216" t="s">
        <v>162</v>
      </c>
      <c r="O31" s="221"/>
      <c r="P31" s="222" t="s">
        <v>163</v>
      </c>
      <c r="Q31" s="222"/>
      <c r="R31" s="222"/>
      <c r="S31" s="223"/>
      <c r="T31" s="224" t="s">
        <v>164</v>
      </c>
      <c r="U31" s="222"/>
      <c r="V31" s="222"/>
      <c r="W31" s="223"/>
      <c r="X31" s="225" t="s">
        <v>165</v>
      </c>
      <c r="Y31" s="222"/>
      <c r="Z31" s="222"/>
      <c r="AA31" s="223"/>
      <c r="AB31" s="214"/>
      <c r="AC31" s="347" t="s">
        <v>163</v>
      </c>
      <c r="AD31" s="348"/>
      <c r="AE31" s="223"/>
      <c r="AF31" s="224" t="s">
        <v>164</v>
      </c>
      <c r="AG31" s="222"/>
      <c r="AH31" s="223"/>
      <c r="AI31" s="214"/>
      <c r="AJ31" s="1"/>
      <c r="AK31" s="1"/>
      <c r="AL31" s="1"/>
      <c r="AM31" s="1"/>
      <c r="AN31" s="1"/>
      <c r="AO31" s="8" t="s">
        <v>567</v>
      </c>
      <c r="AP31" s="10">
        <v>0.05</v>
      </c>
      <c r="AQ31" s="1"/>
      <c r="AR31" s="1"/>
      <c r="AS31" s="1"/>
      <c r="AT31" s="1"/>
      <c r="AU31" s="1"/>
      <c r="AV31" s="1"/>
      <c r="AW31" s="1"/>
      <c r="AX31" s="1"/>
      <c r="AY31" s="1"/>
      <c r="AZ31" s="1"/>
      <c r="BA31" s="1"/>
      <c r="BB31" s="1"/>
      <c r="BC31" s="1"/>
      <c r="BD31" s="1"/>
      <c r="BE31" s="1"/>
      <c r="BF31" s="1"/>
      <c r="BG31" s="1"/>
      <c r="BH31" s="1"/>
      <c r="BI31" s="1"/>
      <c r="BJ31" s="1"/>
      <c r="BK31" s="1"/>
      <c r="BL31" s="1"/>
      <c r="BM31" s="1"/>
      <c r="BN31" s="1"/>
    </row>
    <row r="32" spans="1:66" ht="51" customHeight="1" x14ac:dyDescent="0.3">
      <c r="A32" s="214"/>
      <c r="B32" s="226"/>
      <c r="C32" s="227" t="s">
        <v>166</v>
      </c>
      <c r="D32" s="228" t="s">
        <v>167</v>
      </c>
      <c r="E32" s="228" t="s">
        <v>168</v>
      </c>
      <c r="F32" s="410" t="s">
        <v>169</v>
      </c>
      <c r="G32" s="228" t="s">
        <v>170</v>
      </c>
      <c r="H32" s="228" t="s">
        <v>171</v>
      </c>
      <c r="I32" s="229" t="s">
        <v>172</v>
      </c>
      <c r="J32" s="229" t="s">
        <v>173</v>
      </c>
      <c r="K32" s="230" t="s">
        <v>174</v>
      </c>
      <c r="L32" s="229" t="s">
        <v>175</v>
      </c>
      <c r="M32" s="411" t="s">
        <v>176</v>
      </c>
      <c r="N32" s="227"/>
      <c r="O32" s="227" t="s">
        <v>177</v>
      </c>
      <c r="P32" s="231" t="s">
        <v>178</v>
      </c>
      <c r="Q32" s="231" t="s">
        <v>179</v>
      </c>
      <c r="R32" s="231" t="s">
        <v>180</v>
      </c>
      <c r="S32" s="231" t="s">
        <v>181</v>
      </c>
      <c r="T32" s="231" t="s">
        <v>182</v>
      </c>
      <c r="U32" s="231" t="s">
        <v>183</v>
      </c>
      <c r="V32" s="231" t="s">
        <v>184</v>
      </c>
      <c r="W32" s="231" t="s">
        <v>185</v>
      </c>
      <c r="X32" s="231" t="s">
        <v>186</v>
      </c>
      <c r="Y32" s="231" t="s">
        <v>187</v>
      </c>
      <c r="Z32" s="231" t="s">
        <v>188</v>
      </c>
      <c r="AA32" s="231" t="s">
        <v>189</v>
      </c>
      <c r="AB32" s="214"/>
      <c r="AC32" s="231" t="s">
        <v>178</v>
      </c>
      <c r="AD32" s="231" t="s">
        <v>179</v>
      </c>
      <c r="AE32" s="231" t="s">
        <v>180</v>
      </c>
      <c r="AF32" s="231" t="s">
        <v>182</v>
      </c>
      <c r="AG32" s="231" t="s">
        <v>183</v>
      </c>
      <c r="AH32" s="231" t="s">
        <v>184</v>
      </c>
      <c r="AI32" s="214"/>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row>
    <row r="33" spans="1:66" ht="15.6" customHeight="1" x14ac:dyDescent="0.3">
      <c r="A33" s="214"/>
      <c r="B33" s="232">
        <v>2019</v>
      </c>
      <c r="C33" s="233">
        <f>C22</f>
        <v>402013561280.8183</v>
      </c>
      <c r="D33" s="146">
        <f>'[26]Sheet 1'!$P$18</f>
        <v>3534880</v>
      </c>
      <c r="E33" s="259">
        <f>(F33/1000000/D33)*100</f>
        <v>9.5953752319739287</v>
      </c>
      <c r="F33" s="146">
        <f>'[27]Sheet 1'!$M$84*1000000</f>
        <v>339185000000</v>
      </c>
      <c r="G33" s="234">
        <f>F33/C33</f>
        <v>0.84371531875530259</v>
      </c>
      <c r="H33" s="235">
        <f>C33*G33</f>
        <v>339185000000</v>
      </c>
      <c r="I33" s="235" t="s">
        <v>113</v>
      </c>
      <c r="J33" s="235" t="s">
        <v>113</v>
      </c>
      <c r="K33" s="235" t="s">
        <v>113</v>
      </c>
      <c r="L33" s="235" t="s">
        <v>113</v>
      </c>
      <c r="M33" s="214"/>
      <c r="N33" s="232">
        <v>2019</v>
      </c>
      <c r="O33" s="236">
        <f>G33</f>
        <v>0.84371531875530259</v>
      </c>
      <c r="P33" s="237"/>
      <c r="Q33" s="237"/>
      <c r="R33" s="237"/>
      <c r="S33" s="237"/>
      <c r="T33" s="237"/>
      <c r="U33" s="237"/>
      <c r="V33" s="238"/>
      <c r="W33" s="238"/>
      <c r="X33" s="238"/>
      <c r="Y33" s="238"/>
      <c r="Z33" s="238"/>
      <c r="AA33" s="238"/>
      <c r="AB33" s="214"/>
      <c r="AC33" s="237"/>
      <c r="AD33" s="237"/>
      <c r="AE33" s="237"/>
      <c r="AF33" s="237"/>
      <c r="AG33" s="237"/>
      <c r="AH33" s="238"/>
      <c r="AI33" s="214"/>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row>
    <row r="34" spans="1:66" s="51" customFormat="1" ht="15.6" customHeight="1" x14ac:dyDescent="0.3">
      <c r="A34" s="239"/>
      <c r="B34" s="240">
        <v>2020</v>
      </c>
      <c r="C34" s="241">
        <f>D22</f>
        <v>400379826037.15259</v>
      </c>
      <c r="D34" s="146">
        <f>'[26]Sheet 1'!$R$18</f>
        <v>3449620</v>
      </c>
      <c r="E34" s="259">
        <f t="shared" ref="E34:E36" si="7">(F34/1000000/D34)*100</f>
        <v>9.5069311982189344</v>
      </c>
      <c r="F34" s="146">
        <f>'[27]Sheet 1'!$O$84*1000000</f>
        <v>327953000000</v>
      </c>
      <c r="G34" s="234">
        <f>F34/C34</f>
        <v>0.81910470676304292</v>
      </c>
      <c r="H34" s="242">
        <f>C34*G34</f>
        <v>327953000000</v>
      </c>
      <c r="I34" s="243"/>
      <c r="J34" s="243"/>
      <c r="K34" s="243"/>
      <c r="L34" s="243"/>
      <c r="M34" s="214"/>
      <c r="N34" s="240">
        <v>2020</v>
      </c>
      <c r="O34" s="244"/>
      <c r="P34" s="245"/>
      <c r="Q34" s="245"/>
      <c r="R34" s="245"/>
      <c r="S34" s="245"/>
      <c r="T34" s="245"/>
      <c r="U34" s="245"/>
      <c r="V34" s="245"/>
      <c r="W34" s="245"/>
      <c r="X34" s="245"/>
      <c r="Y34" s="245"/>
      <c r="Z34" s="245"/>
      <c r="AA34" s="245"/>
      <c r="AB34" s="239"/>
      <c r="AC34" s="245"/>
      <c r="AD34" s="245"/>
      <c r="AE34" s="245"/>
      <c r="AF34" s="245"/>
      <c r="AG34" s="245"/>
      <c r="AH34" s="245"/>
      <c r="AI34" s="239"/>
      <c r="AJ34" s="47"/>
      <c r="AK34" s="47"/>
      <c r="AL34" s="47"/>
      <c r="AM34" s="47"/>
      <c r="AN34" s="47"/>
      <c r="AO34" s="47"/>
      <c r="AP34" s="47"/>
      <c r="AQ34" s="47"/>
      <c r="AR34" s="47"/>
      <c r="AS34" s="47"/>
      <c r="AT34" s="47"/>
      <c r="AU34" s="47"/>
      <c r="AV34" s="47"/>
      <c r="AW34" s="47"/>
      <c r="AX34" s="47"/>
      <c r="AY34" s="47"/>
      <c r="AZ34" s="47"/>
      <c r="BA34" s="47"/>
      <c r="BB34" s="47"/>
      <c r="BC34" s="47"/>
      <c r="BD34" s="47"/>
      <c r="BE34" s="47"/>
      <c r="BF34" s="47"/>
      <c r="BG34" s="47"/>
      <c r="BH34" s="47"/>
      <c r="BI34" s="47"/>
      <c r="BJ34" s="47"/>
      <c r="BK34" s="47"/>
      <c r="BL34" s="47"/>
      <c r="BM34" s="47"/>
      <c r="BN34" s="47"/>
    </row>
    <row r="35" spans="1:66" ht="15.6" customHeight="1" x14ac:dyDescent="0.3">
      <c r="A35" s="214"/>
      <c r="B35" s="232">
        <v>2021</v>
      </c>
      <c r="C35" s="241">
        <f>E22</f>
        <v>400467113922.31909</v>
      </c>
      <c r="D35" s="146">
        <f>'[26]Sheet 1'!$T$18</f>
        <v>3676460</v>
      </c>
      <c r="E35" s="259">
        <f t="shared" si="7"/>
        <v>9.4743584861524397</v>
      </c>
      <c r="F35" s="146">
        <f>'[27]Sheet 1'!$Q$84*1000000</f>
        <v>348321000000</v>
      </c>
      <c r="G35" s="234">
        <f>F35/C35</f>
        <v>0.86978677621844835</v>
      </c>
      <c r="H35" s="242">
        <f>C35*G35</f>
        <v>348321000000</v>
      </c>
      <c r="I35" s="243"/>
      <c r="J35" s="243"/>
      <c r="K35" s="243"/>
      <c r="L35" s="243"/>
      <c r="M35" s="214"/>
      <c r="N35" s="232">
        <v>2021</v>
      </c>
      <c r="O35" s="244"/>
      <c r="P35" s="246"/>
      <c r="Q35" s="246"/>
      <c r="R35" s="246"/>
      <c r="S35" s="246"/>
      <c r="T35" s="246"/>
      <c r="U35" s="246"/>
      <c r="V35" s="247"/>
      <c r="W35" s="247"/>
      <c r="X35" s="247"/>
      <c r="Y35" s="247"/>
      <c r="Z35" s="247"/>
      <c r="AA35" s="247"/>
      <c r="AB35" s="214"/>
      <c r="AC35" s="246"/>
      <c r="AD35" s="246"/>
      <c r="AE35" s="246"/>
      <c r="AF35" s="246"/>
      <c r="AG35" s="246"/>
      <c r="AH35" s="247"/>
      <c r="AI35" s="214"/>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row>
    <row r="36" spans="1:66" ht="15.6" customHeight="1" x14ac:dyDescent="0.3">
      <c r="A36" s="214"/>
      <c r="B36" s="240">
        <v>2022</v>
      </c>
      <c r="C36" s="248">
        <f>F22</f>
        <v>426442986699.86633</v>
      </c>
      <c r="D36" s="146">
        <f>'[26]Sheet 1'!$V$18</f>
        <v>3953850</v>
      </c>
      <c r="E36" s="259">
        <f t="shared" si="7"/>
        <v>9.5293701076166268</v>
      </c>
      <c r="F36" s="146">
        <f>'[27]Sheet 1'!$S$84*1000000</f>
        <v>376777000000</v>
      </c>
      <c r="G36" s="234">
        <f>F36/C36</f>
        <v>0.88353428653096455</v>
      </c>
      <c r="H36" s="242">
        <f>C36*G36</f>
        <v>376777000000</v>
      </c>
      <c r="I36" s="249"/>
      <c r="J36" s="249"/>
      <c r="K36" s="249"/>
      <c r="L36" s="249"/>
      <c r="M36" s="214"/>
      <c r="N36" s="240">
        <v>2022</v>
      </c>
      <c r="O36" s="250"/>
      <c r="P36" s="225"/>
      <c r="Q36" s="225"/>
      <c r="R36" s="225"/>
      <c r="S36" s="225"/>
      <c r="T36" s="225"/>
      <c r="U36" s="225"/>
      <c r="V36" s="225"/>
      <c r="W36" s="225"/>
      <c r="X36" s="225"/>
      <c r="Y36" s="225"/>
      <c r="Z36" s="225"/>
      <c r="AA36" s="225"/>
      <c r="AB36" s="214"/>
      <c r="AC36" s="225"/>
      <c r="AD36" s="225"/>
      <c r="AE36" s="225"/>
      <c r="AF36" s="225"/>
      <c r="AG36" s="225"/>
      <c r="AH36" s="225"/>
      <c r="AI36" s="214"/>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row>
    <row r="37" spans="1:66" ht="15.6" customHeight="1" x14ac:dyDescent="0.3">
      <c r="A37" s="214"/>
      <c r="B37" s="232">
        <v>2023</v>
      </c>
      <c r="C37" s="431">
        <f>G22</f>
        <v>429507451887.20007</v>
      </c>
      <c r="D37" s="146">
        <f>'[26]Sheet 1'!$X$18</f>
        <v>4185550</v>
      </c>
      <c r="E37" s="259">
        <f>(F37/1000000/D37)*100</f>
        <v>8.9552866409432461</v>
      </c>
      <c r="F37" s="146">
        <f>'[27]Sheet 1'!$U$84*1000000</f>
        <v>374828000000</v>
      </c>
      <c r="G37" s="234">
        <f>F37/C37</f>
        <v>0.87269265842316435</v>
      </c>
      <c r="H37" s="242">
        <f>C37*G37</f>
        <v>374828000000</v>
      </c>
      <c r="I37" s="235">
        <f>H22*$G37</f>
        <v>424413321262.04913</v>
      </c>
      <c r="J37" s="235">
        <f>I22*$G37</f>
        <v>393500429573.94672</v>
      </c>
      <c r="K37" s="235">
        <f>J22*$G37</f>
        <v>393438821487.44531</v>
      </c>
      <c r="L37" s="235">
        <f>K22*$G37</f>
        <v>382836974168.15723</v>
      </c>
      <c r="M37" s="412">
        <f>AK22*$G37</f>
        <v>402688308762.71454</v>
      </c>
      <c r="N37" s="232">
        <v>2023</v>
      </c>
      <c r="O37" s="252">
        <f>G37</f>
        <v>0.87269265842316435</v>
      </c>
      <c r="P37" s="253">
        <f>($H37-J37)/1000000</f>
        <v>-18672.429573946716</v>
      </c>
      <c r="Q37" s="253">
        <f>($H37-K37)/1000000</f>
        <v>-18610.821487445312</v>
      </c>
      <c r="R37" s="253">
        <f>($H37-L37)/1000000</f>
        <v>-8008.9741681572268</v>
      </c>
      <c r="S37" s="253">
        <f>AVERAGE(P37:R37)</f>
        <v>-15097.408409849753</v>
      </c>
      <c r="T37" s="253">
        <f>($I37-J37)/1000000</f>
        <v>30912.891688102416</v>
      </c>
      <c r="U37" s="253">
        <f t="shared" ref="U37:V37" si="8">($I37-K37)/1000000</f>
        <v>30974.499774603821</v>
      </c>
      <c r="V37" s="253">
        <f t="shared" si="8"/>
        <v>41576.347093891905</v>
      </c>
      <c r="W37" s="253">
        <f>AVERAGE(T37:V37)</f>
        <v>34487.912852199377</v>
      </c>
      <c r="X37" s="254">
        <f>(T37-P37)/T37</f>
        <v>1.604033739785439</v>
      </c>
      <c r="Y37" s="254">
        <f>(U37-Q37)/U37</f>
        <v>1.6008433267001276</v>
      </c>
      <c r="Z37" s="254">
        <f>(V37-R37)/V37</f>
        <v>1.1926329446420714</v>
      </c>
      <c r="AA37" s="254">
        <f>AVERAGE(X37:Z37)</f>
        <v>1.4658366703758794</v>
      </c>
      <c r="AB37" s="214"/>
      <c r="AC37" s="351">
        <f>P37/$D37</f>
        <v>-4.4611650975252279E-3</v>
      </c>
      <c r="AD37" s="351">
        <f>Q37/$D37</f>
        <v>-4.4464458643297322E-3</v>
      </c>
      <c r="AE37" s="351">
        <f>R37/$D37</f>
        <v>-1.9134819003851888E-3</v>
      </c>
      <c r="AF37" s="351">
        <f>T37/$D37</f>
        <v>7.3856223645882655E-3</v>
      </c>
      <c r="AG37" s="351">
        <f>U37/$D37</f>
        <v>7.4003415977837612E-3</v>
      </c>
      <c r="AH37" s="351">
        <f>V37/$D37</f>
        <v>9.9333055617283044E-3</v>
      </c>
      <c r="AI37" s="214"/>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row>
    <row r="38" spans="1:66" ht="15.6" customHeight="1" x14ac:dyDescent="0.3">
      <c r="A38" s="214"/>
      <c r="B38" s="240">
        <v>2024</v>
      </c>
      <c r="C38" s="255"/>
      <c r="D38" s="256"/>
      <c r="E38" s="256"/>
      <c r="F38" s="256"/>
      <c r="G38" s="257"/>
      <c r="H38" s="256"/>
      <c r="I38" s="249"/>
      <c r="J38" s="249"/>
      <c r="K38" s="249"/>
      <c r="L38" s="249"/>
      <c r="M38" s="214"/>
      <c r="N38" s="240">
        <v>2024</v>
      </c>
      <c r="O38" s="250"/>
      <c r="P38" s="225"/>
      <c r="Q38" s="225"/>
      <c r="R38" s="225"/>
      <c r="S38" s="225"/>
      <c r="T38" s="258"/>
      <c r="U38" s="258"/>
      <c r="V38" s="258"/>
      <c r="W38" s="258"/>
      <c r="X38" s="225"/>
      <c r="Y38" s="225"/>
      <c r="Z38" s="225"/>
      <c r="AA38" s="225"/>
      <c r="AB38" s="214"/>
      <c r="AC38" s="353"/>
      <c r="AD38" s="353"/>
      <c r="AE38" s="353"/>
      <c r="AF38" s="354"/>
      <c r="AG38" s="354"/>
      <c r="AH38" s="354"/>
      <c r="AI38" s="214"/>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row>
    <row r="39" spans="1:66" ht="15.6" customHeight="1" x14ac:dyDescent="0.3">
      <c r="A39" s="214"/>
      <c r="B39" s="232">
        <v>2025</v>
      </c>
      <c r="C39" s="255"/>
      <c r="D39" s="256"/>
      <c r="E39" s="256"/>
      <c r="F39" s="256"/>
      <c r="G39" s="257"/>
      <c r="H39" s="256"/>
      <c r="I39" s="249"/>
      <c r="J39" s="249"/>
      <c r="K39" s="249"/>
      <c r="L39" s="249"/>
      <c r="M39" s="214"/>
      <c r="N39" s="232">
        <v>2025</v>
      </c>
      <c r="O39" s="250"/>
      <c r="P39" s="225"/>
      <c r="Q39" s="225"/>
      <c r="R39" s="225"/>
      <c r="S39" s="225"/>
      <c r="T39" s="258"/>
      <c r="U39" s="258"/>
      <c r="V39" s="258"/>
      <c r="W39" s="258"/>
      <c r="X39" s="225"/>
      <c r="Y39" s="225"/>
      <c r="Z39" s="225"/>
      <c r="AA39" s="225"/>
      <c r="AB39" s="214"/>
      <c r="AC39" s="353"/>
      <c r="AD39" s="353"/>
      <c r="AE39" s="353"/>
      <c r="AF39" s="354"/>
      <c r="AG39" s="354"/>
      <c r="AH39" s="354"/>
      <c r="AI39" s="214"/>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row>
    <row r="40" spans="1:66" ht="15.6" customHeight="1" x14ac:dyDescent="0.3">
      <c r="A40" s="214"/>
      <c r="B40" s="240">
        <v>2026</v>
      </c>
      <c r="C40" s="251"/>
      <c r="D40" s="256"/>
      <c r="E40" s="256"/>
      <c r="F40" s="256"/>
      <c r="G40" s="259"/>
      <c r="H40" s="256"/>
      <c r="I40" s="235"/>
      <c r="J40" s="235"/>
      <c r="K40" s="235"/>
      <c r="L40" s="235"/>
      <c r="M40" s="214"/>
      <c r="N40" s="240">
        <v>2026</v>
      </c>
      <c r="O40" s="252"/>
      <c r="P40" s="225"/>
      <c r="Q40" s="225"/>
      <c r="R40" s="225"/>
      <c r="S40" s="225"/>
      <c r="T40" s="253"/>
      <c r="U40" s="253"/>
      <c r="V40" s="253"/>
      <c r="W40" s="253"/>
      <c r="X40" s="225"/>
      <c r="Y40" s="225"/>
      <c r="Z40" s="225"/>
      <c r="AA40" s="225"/>
      <c r="AB40" s="214"/>
      <c r="AC40" s="353"/>
      <c r="AD40" s="353"/>
      <c r="AE40" s="353"/>
      <c r="AF40" s="351"/>
      <c r="AG40" s="351"/>
      <c r="AH40" s="351"/>
      <c r="AI40" s="214"/>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row>
    <row r="41" spans="1:66" ht="12.6" customHeight="1" x14ac:dyDescent="0.3">
      <c r="A41" s="214"/>
      <c r="B41" s="214"/>
      <c r="C41" s="214"/>
      <c r="D41" s="214"/>
      <c r="E41" s="214"/>
      <c r="F41" s="214"/>
      <c r="G41" s="214"/>
      <c r="H41" s="214"/>
      <c r="I41" s="260"/>
      <c r="J41" s="214"/>
      <c r="K41" s="214"/>
      <c r="L41" s="214"/>
      <c r="M41" s="214"/>
      <c r="N41" s="214"/>
      <c r="O41" s="214"/>
      <c r="P41" s="214"/>
      <c r="Q41" s="214"/>
      <c r="R41" s="214"/>
      <c r="S41" s="214"/>
      <c r="T41" s="260"/>
      <c r="U41" s="214"/>
      <c r="V41" s="214"/>
      <c r="W41" s="214"/>
      <c r="X41" s="413" t="s">
        <v>190</v>
      </c>
      <c r="Y41" s="414"/>
      <c r="Z41" s="414"/>
      <c r="AA41" s="415"/>
      <c r="AB41" s="214"/>
      <c r="AC41" s="214"/>
      <c r="AD41" s="214"/>
      <c r="AE41" s="214"/>
      <c r="AF41" s="260"/>
      <c r="AG41" s="214"/>
      <c r="AH41" s="214"/>
      <c r="AI41" s="214"/>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row>
    <row r="42" spans="1:66" ht="12.6" customHeight="1" x14ac:dyDescent="0.3">
      <c r="A42" s="214"/>
      <c r="B42" s="214"/>
      <c r="C42" s="214"/>
      <c r="D42" s="214"/>
      <c r="E42" s="214"/>
      <c r="F42" s="214"/>
      <c r="G42" s="214"/>
      <c r="H42" s="214"/>
      <c r="I42" s="214"/>
      <c r="J42" s="214"/>
      <c r="K42" s="214"/>
      <c r="L42" s="214"/>
      <c r="M42" s="214"/>
      <c r="N42" s="214"/>
      <c r="O42" s="214"/>
      <c r="P42" s="214"/>
      <c r="Q42" s="214"/>
      <c r="R42" s="214"/>
      <c r="S42" s="214"/>
      <c r="T42" s="214"/>
      <c r="U42" s="214"/>
      <c r="V42" s="214"/>
      <c r="W42" s="416">
        <v>2023</v>
      </c>
      <c r="X42" s="417">
        <f>(($M37-$H37)/1000000)/T37</f>
        <v>0.90125210684955959</v>
      </c>
      <c r="Y42" s="417">
        <f>(($M37-$H37)/1000000)/U37</f>
        <v>0.89945952204068769</v>
      </c>
      <c r="Z42" s="417">
        <f t="shared" ref="Z42" si="9">(($M37-$H37)/1000000)/V37</f>
        <v>0.67009996572805153</v>
      </c>
      <c r="AA42" s="417">
        <f>AVERAGE(X42:Z42)</f>
        <v>0.82360386487276627</v>
      </c>
      <c r="AB42" s="214"/>
      <c r="AC42" s="214"/>
      <c r="AD42" s="214"/>
      <c r="AE42" s="214"/>
      <c r="AF42" s="214"/>
      <c r="AG42" s="214"/>
      <c r="AH42" s="214"/>
      <c r="AI42" s="214"/>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row>
    <row r="43" spans="1:66" ht="12.6" customHeight="1" thickBot="1" x14ac:dyDescent="0.35">
      <c r="A43" s="214"/>
      <c r="B43" s="214"/>
      <c r="C43" s="214"/>
      <c r="D43" s="214"/>
      <c r="E43" s="214"/>
      <c r="F43" s="214"/>
      <c r="G43" s="214"/>
      <c r="H43" s="214"/>
      <c r="I43" s="214"/>
      <c r="J43" s="214"/>
      <c r="K43" s="214"/>
      <c r="L43" s="214"/>
      <c r="M43" s="214"/>
      <c r="N43" s="214"/>
      <c r="O43" s="214"/>
      <c r="P43" s="214"/>
      <c r="Q43" s="214"/>
      <c r="R43" s="214"/>
      <c r="S43" s="214"/>
      <c r="T43" s="214"/>
      <c r="U43" s="214"/>
      <c r="V43" s="214"/>
      <c r="W43" s="214"/>
      <c r="X43" s="214"/>
      <c r="Y43" s="214"/>
      <c r="Z43" s="214"/>
      <c r="AA43" s="214"/>
      <c r="AB43" s="214"/>
      <c r="AC43" s="214"/>
      <c r="AD43" s="214"/>
      <c r="AE43" s="214"/>
      <c r="AF43" s="214"/>
      <c r="AG43" s="214"/>
      <c r="AH43" s="214"/>
      <c r="AI43" s="214"/>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row>
    <row r="44" spans="1:66" ht="18" customHeight="1" thickBot="1" x14ac:dyDescent="0.35">
      <c r="A44" s="214"/>
      <c r="B44" s="216" t="s">
        <v>191</v>
      </c>
      <c r="C44" s="221"/>
      <c r="D44" s="222" t="s">
        <v>160</v>
      </c>
      <c r="E44" s="223"/>
      <c r="F44" s="224" t="s">
        <v>161</v>
      </c>
      <c r="G44" s="222"/>
      <c r="H44" s="222"/>
      <c r="I44" s="222"/>
      <c r="J44" s="223"/>
      <c r="K44" s="214"/>
      <c r="L44" s="214"/>
      <c r="M44" s="214"/>
      <c r="N44" s="214"/>
      <c r="O44" s="214"/>
      <c r="P44" s="214"/>
      <c r="Q44" s="214"/>
      <c r="R44" s="214"/>
      <c r="S44" s="214"/>
      <c r="T44" s="214"/>
      <c r="U44" s="216" t="s">
        <v>192</v>
      </c>
      <c r="V44" s="221"/>
      <c r="W44" s="222" t="s">
        <v>160</v>
      </c>
      <c r="X44" s="223"/>
      <c r="Y44" s="224" t="s">
        <v>161</v>
      </c>
      <c r="Z44" s="222"/>
      <c r="AA44" s="222"/>
      <c r="AB44" s="222"/>
      <c r="AC44" s="223"/>
      <c r="AD44" s="214"/>
      <c r="AE44" s="214"/>
      <c r="AF44" s="214"/>
      <c r="AG44" s="214"/>
      <c r="AH44" s="214"/>
      <c r="AI44" s="214"/>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row>
    <row r="45" spans="1:66" ht="42" customHeight="1" x14ac:dyDescent="0.3">
      <c r="A45" s="214"/>
      <c r="B45" s="227"/>
      <c r="C45" s="231" t="s">
        <v>193</v>
      </c>
      <c r="D45" s="228" t="s">
        <v>194</v>
      </c>
      <c r="E45" s="228" t="s">
        <v>170</v>
      </c>
      <c r="F45" s="229" t="s">
        <v>195</v>
      </c>
      <c r="G45" s="229" t="s">
        <v>196</v>
      </c>
      <c r="H45" s="261" t="s">
        <v>197</v>
      </c>
      <c r="I45" s="261" t="s">
        <v>198</v>
      </c>
      <c r="J45" s="261" t="s">
        <v>199</v>
      </c>
      <c r="K45" s="411" t="s">
        <v>176</v>
      </c>
      <c r="L45" s="214"/>
      <c r="M45" s="214"/>
      <c r="N45" s="214"/>
      <c r="O45" s="214"/>
      <c r="P45" s="214"/>
      <c r="Q45" s="214"/>
      <c r="R45" s="214"/>
      <c r="S45" s="214"/>
      <c r="T45" s="214"/>
      <c r="U45" s="227"/>
      <c r="V45" s="231" t="s">
        <v>193</v>
      </c>
      <c r="W45" s="228" t="s">
        <v>194</v>
      </c>
      <c r="X45" s="228" t="s">
        <v>170</v>
      </c>
      <c r="Y45" s="229" t="s">
        <v>195</v>
      </c>
      <c r="Z45" s="229" t="s">
        <v>196</v>
      </c>
      <c r="AA45" s="261" t="s">
        <v>197</v>
      </c>
      <c r="AB45" s="261" t="s">
        <v>198</v>
      </c>
      <c r="AC45" s="261" t="s">
        <v>199</v>
      </c>
      <c r="AD45" s="214"/>
      <c r="AE45" s="214"/>
      <c r="AF45" s="214"/>
      <c r="AG45" s="214"/>
      <c r="AH45" s="214"/>
      <c r="AI45" s="214"/>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row>
    <row r="46" spans="1:66" ht="15" customHeight="1" x14ac:dyDescent="0.3">
      <c r="A46" s="214"/>
      <c r="B46" s="232">
        <v>2019</v>
      </c>
      <c r="C46" s="262">
        <f>C33/1000000</f>
        <v>402013.56128081831</v>
      </c>
      <c r="D46" s="263">
        <f>F33/1000000</f>
        <v>339185</v>
      </c>
      <c r="E46" s="264"/>
      <c r="F46" s="262">
        <f>H33/1000000</f>
        <v>339185</v>
      </c>
      <c r="G46" s="264"/>
      <c r="H46" s="264"/>
      <c r="I46" s="264"/>
      <c r="J46" s="264"/>
      <c r="K46" s="214"/>
      <c r="L46" s="214"/>
      <c r="M46" s="214"/>
      <c r="N46" s="214"/>
      <c r="O46" s="214"/>
      <c r="P46" s="214"/>
      <c r="Q46" s="214"/>
      <c r="R46" s="214"/>
      <c r="S46" s="214"/>
      <c r="T46" s="214"/>
      <c r="U46" s="232">
        <v>2019</v>
      </c>
      <c r="V46" s="355">
        <f>C33/1000000/D33</f>
        <v>0.11372764033880027</v>
      </c>
      <c r="W46" s="355">
        <f>F33/(D33*1000000)</f>
        <v>9.595375231973928E-2</v>
      </c>
      <c r="X46" s="264"/>
      <c r="Y46" s="355">
        <f>H33/($D33*1000000)</f>
        <v>9.595375231973928E-2</v>
      </c>
      <c r="Z46" s="355"/>
      <c r="AA46" s="355"/>
      <c r="AB46" s="355"/>
      <c r="AC46" s="355"/>
      <c r="AD46" s="214"/>
      <c r="AE46" s="214"/>
      <c r="AF46" s="214"/>
      <c r="AG46" s="214"/>
      <c r="AH46" s="214"/>
      <c r="AI46" s="214"/>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row>
    <row r="47" spans="1:66" ht="15" customHeight="1" x14ac:dyDescent="0.3">
      <c r="A47" s="214"/>
      <c r="B47" s="240">
        <v>2020</v>
      </c>
      <c r="C47" s="262">
        <f t="shared" ref="C47:C49" si="10">C34/1000000</f>
        <v>400379.82603715261</v>
      </c>
      <c r="D47" s="263">
        <f>F34/1000000</f>
        <v>327953</v>
      </c>
      <c r="E47" s="264"/>
      <c r="F47" s="264"/>
      <c r="G47" s="264"/>
      <c r="H47" s="264"/>
      <c r="I47" s="264"/>
      <c r="J47" s="264"/>
      <c r="K47" s="214"/>
      <c r="L47" s="214"/>
      <c r="M47" s="214"/>
      <c r="N47" s="214"/>
      <c r="O47" s="214"/>
      <c r="P47" s="214"/>
      <c r="Q47" s="214"/>
      <c r="R47" s="214"/>
      <c r="S47" s="214"/>
      <c r="T47" s="214"/>
      <c r="U47" s="240">
        <v>2020</v>
      </c>
      <c r="V47" s="355">
        <f t="shared" ref="V47:V50" si="11">C34/1000000/D34</f>
        <v>0.1160649074498503</v>
      </c>
      <c r="W47" s="355">
        <f t="shared" ref="W47:W50" si="12">F34/(D34*1000000)</f>
        <v>9.5069311982189347E-2</v>
      </c>
      <c r="X47" s="264"/>
      <c r="Y47" s="355"/>
      <c r="Z47" s="355"/>
      <c r="AA47" s="355"/>
      <c r="AB47" s="355"/>
      <c r="AC47" s="355"/>
      <c r="AD47" s="214"/>
      <c r="AE47" s="214"/>
      <c r="AF47" s="214"/>
      <c r="AG47" s="214"/>
      <c r="AH47" s="214"/>
      <c r="AI47" s="214"/>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row>
    <row r="48" spans="1:66" ht="15" customHeight="1" x14ac:dyDescent="0.3">
      <c r="A48" s="214"/>
      <c r="B48" s="232">
        <v>2021</v>
      </c>
      <c r="C48" s="262">
        <f t="shared" si="10"/>
        <v>400467.11392231908</v>
      </c>
      <c r="D48" s="263">
        <f>F35/1000000</f>
        <v>348321</v>
      </c>
      <c r="E48" s="264"/>
      <c r="F48" s="264"/>
      <c r="G48" s="264"/>
      <c r="H48" s="264"/>
      <c r="I48" s="264"/>
      <c r="J48" s="264"/>
      <c r="K48" s="214"/>
      <c r="L48" s="214"/>
      <c r="M48" s="214"/>
      <c r="N48" s="214"/>
      <c r="O48" s="214"/>
      <c r="P48" s="214"/>
      <c r="Q48" s="214"/>
      <c r="R48" s="214"/>
      <c r="S48" s="214"/>
      <c r="T48" s="214"/>
      <c r="U48" s="232">
        <v>2021</v>
      </c>
      <c r="V48" s="355">
        <f t="shared" si="11"/>
        <v>0.10892736869769264</v>
      </c>
      <c r="W48" s="355">
        <f t="shared" si="12"/>
        <v>9.4743584861524399E-2</v>
      </c>
      <c r="X48" s="264"/>
      <c r="Y48" s="355"/>
      <c r="Z48" s="355"/>
      <c r="AA48" s="355"/>
      <c r="AB48" s="355"/>
      <c r="AC48" s="355"/>
      <c r="AD48" s="214"/>
      <c r="AE48" s="214"/>
      <c r="AF48" s="214"/>
      <c r="AG48" s="214"/>
      <c r="AH48" s="214"/>
      <c r="AI48" s="214"/>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row>
    <row r="49" spans="1:66" ht="15" customHeight="1" x14ac:dyDescent="0.3">
      <c r="A49" s="214"/>
      <c r="B49" s="240">
        <v>2022</v>
      </c>
      <c r="C49" s="262">
        <f t="shared" si="10"/>
        <v>426442.98669986631</v>
      </c>
      <c r="D49" s="263">
        <f>F36/1000000</f>
        <v>376777</v>
      </c>
      <c r="E49" s="264"/>
      <c r="F49" s="264"/>
      <c r="G49" s="264"/>
      <c r="H49" s="264"/>
      <c r="I49" s="264"/>
      <c r="J49" s="264"/>
      <c r="K49" s="214"/>
      <c r="L49" s="214"/>
      <c r="M49" s="214"/>
      <c r="N49" s="214"/>
      <c r="O49" s="214"/>
      <c r="P49" s="214"/>
      <c r="Q49" s="214"/>
      <c r="R49" s="214"/>
      <c r="S49" s="214"/>
      <c r="T49" s="214"/>
      <c r="U49" s="240">
        <v>2022</v>
      </c>
      <c r="V49" s="355">
        <f t="shared" si="11"/>
        <v>0.10785512518175103</v>
      </c>
      <c r="W49" s="355">
        <f t="shared" si="12"/>
        <v>9.5293701076166262E-2</v>
      </c>
      <c r="X49" s="264"/>
      <c r="Y49" s="355"/>
      <c r="Z49" s="355"/>
      <c r="AA49" s="355"/>
      <c r="AB49" s="355"/>
      <c r="AC49" s="355"/>
      <c r="AD49" s="214"/>
      <c r="AE49" s="214"/>
      <c r="AF49" s="214"/>
      <c r="AG49" s="214"/>
      <c r="AH49" s="214"/>
      <c r="AI49" s="214"/>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row>
    <row r="50" spans="1:66" ht="15" customHeight="1" x14ac:dyDescent="0.3">
      <c r="A50" s="214"/>
      <c r="B50" s="232">
        <v>2023</v>
      </c>
      <c r="C50" s="262">
        <f>C37/1000000</f>
        <v>429507.45188720006</v>
      </c>
      <c r="D50" s="263">
        <f>F37/1000000</f>
        <v>374828</v>
      </c>
      <c r="E50" s="264"/>
      <c r="F50" s="262">
        <f t="shared" ref="F50:J50" si="13">H37/1000000</f>
        <v>374828</v>
      </c>
      <c r="G50" s="262">
        <f t="shared" si="13"/>
        <v>424413.32126204914</v>
      </c>
      <c r="H50" s="262">
        <f t="shared" si="13"/>
        <v>393500.42957394669</v>
      </c>
      <c r="I50" s="262">
        <f t="shared" si="13"/>
        <v>393438.82148744533</v>
      </c>
      <c r="J50" s="262">
        <f t="shared" si="13"/>
        <v>382836.9741681572</v>
      </c>
      <c r="K50" s="418">
        <f>M37/1000000</f>
        <v>402688.30876271456</v>
      </c>
      <c r="L50" s="214"/>
      <c r="M50" s="214"/>
      <c r="N50" s="214"/>
      <c r="O50" s="214"/>
      <c r="P50" s="214"/>
      <c r="Q50" s="214"/>
      <c r="R50" s="214"/>
      <c r="S50" s="214"/>
      <c r="T50" s="214"/>
      <c r="U50" s="232">
        <v>2023</v>
      </c>
      <c r="V50" s="355">
        <f t="shared" si="11"/>
        <v>0.10261672943512802</v>
      </c>
      <c r="W50" s="355">
        <f t="shared" si="12"/>
        <v>8.9552866409432455E-2</v>
      </c>
      <c r="X50" s="264"/>
      <c r="Y50" s="355">
        <f>H37/($D37*1000000)</f>
        <v>8.9552866409432455E-2</v>
      </c>
      <c r="Z50" s="355">
        <f t="shared" ref="Z50:AC50" si="14">I37/($D37*1000000)</f>
        <v>0.10139965387154594</v>
      </c>
      <c r="AA50" s="355">
        <f t="shared" si="14"/>
        <v>9.4014031506957682E-2</v>
      </c>
      <c r="AB50" s="355">
        <f t="shared" si="14"/>
        <v>9.3999312273762181E-2</v>
      </c>
      <c r="AC50" s="355">
        <f t="shared" si="14"/>
        <v>9.1466348309817647E-2</v>
      </c>
      <c r="AD50" s="214"/>
      <c r="AE50" s="214"/>
      <c r="AF50" s="214"/>
      <c r="AG50" s="214"/>
      <c r="AH50" s="214"/>
      <c r="AI50" s="214"/>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row>
    <row r="51" spans="1:66" ht="15" customHeight="1" x14ac:dyDescent="0.3">
      <c r="A51" s="214"/>
      <c r="B51" s="240">
        <v>2024</v>
      </c>
      <c r="C51" s="264"/>
      <c r="D51" s="264"/>
      <c r="E51" s="264"/>
      <c r="F51" s="264"/>
      <c r="G51" s="264"/>
      <c r="H51" s="264"/>
      <c r="I51" s="264"/>
      <c r="J51" s="264"/>
      <c r="K51" s="214"/>
      <c r="L51" s="214"/>
      <c r="M51" s="214"/>
      <c r="N51" s="214"/>
      <c r="O51" s="214"/>
      <c r="P51" s="214"/>
      <c r="Q51" s="214"/>
      <c r="R51" s="214"/>
      <c r="S51" s="214"/>
      <c r="T51" s="214"/>
      <c r="U51" s="240">
        <v>2024</v>
      </c>
      <c r="V51" s="264"/>
      <c r="W51" s="264"/>
      <c r="X51" s="264"/>
      <c r="Y51" s="355"/>
      <c r="Z51" s="355"/>
      <c r="AA51" s="355"/>
      <c r="AB51" s="355"/>
      <c r="AC51" s="355"/>
      <c r="AD51" s="214"/>
      <c r="AE51" s="214"/>
      <c r="AF51" s="214"/>
      <c r="AG51" s="214"/>
      <c r="AH51" s="214"/>
      <c r="AI51" s="214"/>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row>
    <row r="52" spans="1:66" ht="15" customHeight="1" x14ac:dyDescent="0.3">
      <c r="A52" s="214"/>
      <c r="B52" s="232">
        <v>2025</v>
      </c>
      <c r="C52" s="264"/>
      <c r="D52" s="264"/>
      <c r="E52" s="264"/>
      <c r="F52" s="264"/>
      <c r="G52" s="264"/>
      <c r="H52" s="264"/>
      <c r="I52" s="264"/>
      <c r="J52" s="264"/>
      <c r="K52" s="214"/>
      <c r="L52" s="214"/>
      <c r="M52" s="214"/>
      <c r="N52" s="214"/>
      <c r="O52" s="214"/>
      <c r="P52" s="214"/>
      <c r="Q52" s="214"/>
      <c r="R52" s="214"/>
      <c r="S52" s="214"/>
      <c r="T52" s="214"/>
      <c r="U52" s="232">
        <v>2025</v>
      </c>
      <c r="V52" s="264"/>
      <c r="W52" s="264"/>
      <c r="X52" s="264"/>
      <c r="Y52" s="355"/>
      <c r="Z52" s="355"/>
      <c r="AA52" s="355"/>
      <c r="AB52" s="355"/>
      <c r="AC52" s="355"/>
      <c r="AD52" s="214"/>
      <c r="AE52" s="214"/>
      <c r="AF52" s="214"/>
      <c r="AG52" s="214"/>
      <c r="AH52" s="214"/>
      <c r="AI52" s="214"/>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row>
    <row r="53" spans="1:66" ht="15" customHeight="1" x14ac:dyDescent="0.3">
      <c r="A53" s="214"/>
      <c r="B53" s="240">
        <v>2026</v>
      </c>
      <c r="C53" s="262"/>
      <c r="D53" s="264"/>
      <c r="E53" s="264"/>
      <c r="F53" s="264"/>
      <c r="G53" s="262"/>
      <c r="H53" s="262"/>
      <c r="I53" s="262"/>
      <c r="J53" s="262"/>
      <c r="K53" s="214"/>
      <c r="L53" s="214"/>
      <c r="M53" s="214"/>
      <c r="N53" s="214"/>
      <c r="O53" s="214"/>
      <c r="P53" s="214"/>
      <c r="Q53" s="214"/>
      <c r="R53" s="214"/>
      <c r="S53" s="214"/>
      <c r="T53" s="214"/>
      <c r="U53" s="240">
        <v>2026</v>
      </c>
      <c r="V53" s="262"/>
      <c r="W53" s="264"/>
      <c r="X53" s="264"/>
      <c r="Y53" s="355"/>
      <c r="Z53" s="355"/>
      <c r="AA53" s="355"/>
      <c r="AB53" s="355"/>
      <c r="AC53" s="355"/>
      <c r="AD53" s="214"/>
      <c r="AE53" s="214"/>
      <c r="AF53" s="214"/>
      <c r="AG53" s="214"/>
      <c r="AH53" s="214"/>
      <c r="AI53" s="214"/>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row>
    <row r="54" spans="1:66" ht="12.6" customHeight="1" x14ac:dyDescent="0.3">
      <c r="A54" s="214"/>
      <c r="B54" s="214"/>
      <c r="C54" s="214"/>
      <c r="D54" s="214"/>
      <c r="E54" s="214"/>
      <c r="F54" s="214"/>
      <c r="G54" s="214"/>
      <c r="H54" s="214"/>
      <c r="I54" s="214"/>
      <c r="J54" s="214"/>
      <c r="K54" s="214"/>
      <c r="L54" s="214"/>
      <c r="M54" s="214"/>
      <c r="N54" s="214"/>
      <c r="O54" s="214"/>
      <c r="P54" s="214"/>
      <c r="Q54" s="214"/>
      <c r="R54" s="214"/>
      <c r="S54" s="214"/>
      <c r="T54" s="214"/>
      <c r="U54" s="214"/>
      <c r="V54" s="214"/>
      <c r="W54" s="214"/>
      <c r="X54" s="214"/>
      <c r="Y54" s="214"/>
      <c r="Z54" s="214"/>
      <c r="AA54" s="214"/>
      <c r="AB54" s="214"/>
      <c r="AC54" s="214"/>
      <c r="AD54" s="214"/>
      <c r="AE54" s="214"/>
      <c r="AF54" s="214"/>
      <c r="AG54" s="214"/>
      <c r="AH54" s="214"/>
      <c r="AI54" s="214"/>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row>
    <row r="55" spans="1:66" ht="12.6" customHeight="1" x14ac:dyDescent="0.3">
      <c r="A55" s="214"/>
      <c r="B55" s="214"/>
      <c r="C55" s="214"/>
      <c r="D55" s="214"/>
      <c r="E55" s="214"/>
      <c r="F55" s="214"/>
      <c r="G55" s="214"/>
      <c r="H55" s="214"/>
      <c r="I55" s="214"/>
      <c r="J55" s="214"/>
      <c r="K55" s="214"/>
      <c r="L55" s="214"/>
      <c r="M55" s="214"/>
      <c r="N55" s="214"/>
      <c r="O55" s="214"/>
      <c r="P55" s="214"/>
      <c r="Q55" s="214"/>
      <c r="R55" s="214"/>
      <c r="S55" s="214"/>
      <c r="T55" s="214"/>
      <c r="U55" s="214"/>
      <c r="V55" s="214"/>
      <c r="W55" s="214"/>
      <c r="X55" s="214"/>
      <c r="Y55" s="214"/>
      <c r="Z55" s="214"/>
      <c r="AA55" s="214"/>
      <c r="AB55" s="214"/>
      <c r="AC55" s="214"/>
      <c r="AD55" s="214"/>
      <c r="AE55" s="214"/>
      <c r="AF55" s="214"/>
      <c r="AG55" s="214"/>
      <c r="AH55" s="214"/>
      <c r="AI55" s="214"/>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row>
    <row r="56" spans="1:66" ht="12.6" customHeight="1" x14ac:dyDescent="0.3">
      <c r="A56" s="214"/>
      <c r="B56" s="214"/>
      <c r="C56" s="214"/>
      <c r="D56" s="214"/>
      <c r="E56" s="214"/>
      <c r="F56" s="214"/>
      <c r="G56" s="214"/>
      <c r="H56" s="214"/>
      <c r="I56" s="214"/>
      <c r="J56" s="214"/>
      <c r="K56" s="214"/>
      <c r="L56" s="214"/>
      <c r="M56" s="214"/>
      <c r="N56" s="214"/>
      <c r="O56" s="214"/>
      <c r="P56" s="214"/>
      <c r="Q56" s="214"/>
      <c r="R56" s="214"/>
      <c r="S56" s="214"/>
      <c r="T56" s="214"/>
      <c r="U56" s="214"/>
      <c r="V56" s="214"/>
      <c r="W56" s="214"/>
      <c r="X56" s="214"/>
      <c r="Y56" s="214"/>
      <c r="Z56" s="214"/>
      <c r="AA56" s="214"/>
      <c r="AB56" s="214"/>
      <c r="AC56" s="214"/>
      <c r="AD56" s="214"/>
      <c r="AE56" s="214"/>
      <c r="AF56" s="214"/>
      <c r="AG56" s="214"/>
      <c r="AH56" s="214"/>
      <c r="AI56" s="214"/>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row>
    <row r="57" spans="1:66" ht="12.6" customHeight="1" x14ac:dyDescent="0.3">
      <c r="A57" s="214"/>
      <c r="B57" s="214"/>
      <c r="C57" s="214"/>
      <c r="D57" s="214"/>
      <c r="E57" s="214"/>
      <c r="F57" s="214"/>
      <c r="G57" s="214"/>
      <c r="H57" s="214"/>
      <c r="I57" s="214"/>
      <c r="J57" s="214"/>
      <c r="K57" s="214"/>
      <c r="L57" s="214"/>
      <c r="M57" s="214"/>
      <c r="N57" s="214"/>
      <c r="O57" s="214"/>
      <c r="P57" s="214"/>
      <c r="Q57" s="214"/>
      <c r="R57" s="214"/>
      <c r="S57" s="214"/>
      <c r="T57" s="214"/>
      <c r="U57" s="214"/>
      <c r="V57" s="214"/>
      <c r="W57" s="214"/>
      <c r="X57" s="214"/>
      <c r="Y57" s="214"/>
      <c r="Z57" s="214"/>
      <c r="AA57" s="214"/>
      <c r="AB57" s="214"/>
      <c r="AC57" s="214"/>
      <c r="AD57" s="214"/>
      <c r="AE57" s="214"/>
      <c r="AF57" s="214"/>
      <c r="AG57" s="214"/>
      <c r="AH57" s="214"/>
      <c r="AI57" s="214"/>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row>
    <row r="58" spans="1:66" ht="12.6" customHeight="1" x14ac:dyDescent="0.3">
      <c r="A58" s="214"/>
      <c r="B58" s="214"/>
      <c r="C58" s="214"/>
      <c r="D58" s="214"/>
      <c r="E58" s="214"/>
      <c r="F58" s="214"/>
      <c r="G58" s="214"/>
      <c r="H58" s="214"/>
      <c r="I58" s="214"/>
      <c r="J58" s="214"/>
      <c r="K58" s="214"/>
      <c r="L58" s="214"/>
      <c r="M58" s="214"/>
      <c r="N58" s="214"/>
      <c r="O58" s="214"/>
      <c r="P58" s="214"/>
      <c r="Q58" s="214"/>
      <c r="R58" s="214"/>
      <c r="S58" s="214"/>
      <c r="T58" s="214"/>
      <c r="U58" s="214"/>
      <c r="V58" s="214"/>
      <c r="W58" s="214"/>
      <c r="X58" s="214"/>
      <c r="Y58" s="214"/>
      <c r="Z58" s="214"/>
      <c r="AA58" s="214"/>
      <c r="AB58" s="214"/>
      <c r="AC58" s="214"/>
      <c r="AD58" s="214"/>
      <c r="AE58" s="214"/>
      <c r="AF58" s="214"/>
      <c r="AG58" s="214"/>
      <c r="AH58" s="214"/>
      <c r="AI58" s="214"/>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row>
    <row r="59" spans="1:66" ht="12.6"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row>
    <row r="60" spans="1:66" ht="12" customHeight="1" thickBot="1" x14ac:dyDescent="0.35">
      <c r="A60" s="98"/>
      <c r="B60" s="98"/>
      <c r="C60" s="98"/>
      <c r="D60" s="98"/>
      <c r="E60" s="98"/>
      <c r="F60" s="98"/>
      <c r="G60" s="98"/>
      <c r="H60" s="98"/>
      <c r="I60" s="98"/>
      <c r="J60" s="98"/>
      <c r="K60" s="98"/>
      <c r="L60" s="98"/>
      <c r="M60" s="98"/>
      <c r="N60" s="98"/>
      <c r="O60" s="98"/>
      <c r="P60" s="98"/>
      <c r="Q60" s="98"/>
      <c r="R60" s="98"/>
      <c r="S60" s="98"/>
      <c r="T60" s="265"/>
      <c r="U60" s="265"/>
      <c r="V60" s="265"/>
      <c r="W60" s="265"/>
      <c r="X60" s="55"/>
      <c r="Y60" s="55"/>
      <c r="Z60" s="55"/>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row>
    <row r="61" spans="1:66" ht="12" customHeight="1" thickBot="1" x14ac:dyDescent="0.35">
      <c r="A61" s="98"/>
      <c r="B61" s="266" t="s">
        <v>200</v>
      </c>
      <c r="C61" s="267"/>
      <c r="D61" s="267"/>
      <c r="E61" s="267"/>
      <c r="F61" s="267"/>
      <c r="G61" s="267"/>
      <c r="H61" s="267"/>
      <c r="I61" s="267"/>
      <c r="J61" s="267"/>
      <c r="K61" s="267"/>
      <c r="L61" s="267"/>
      <c r="M61" s="267"/>
      <c r="N61" s="267"/>
      <c r="O61" s="267"/>
      <c r="P61" s="267"/>
      <c r="Q61" s="267"/>
      <c r="R61" s="267"/>
      <c r="S61" s="267"/>
      <c r="T61" s="268"/>
      <c r="U61" s="268"/>
      <c r="V61" s="269"/>
      <c r="W61" s="265"/>
      <c r="X61" s="55"/>
      <c r="Y61" s="55"/>
      <c r="Z61" s="55"/>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row>
    <row r="62" spans="1:66" ht="21.6" customHeight="1" x14ac:dyDescent="0.3">
      <c r="A62" s="98"/>
      <c r="B62" s="270"/>
      <c r="C62" s="98"/>
      <c r="D62" s="98"/>
      <c r="E62" s="98"/>
      <c r="F62" s="98"/>
      <c r="G62" s="98"/>
      <c r="H62" s="98"/>
      <c r="I62" s="98"/>
      <c r="J62" s="98"/>
      <c r="K62" s="98"/>
      <c r="L62" s="98"/>
      <c r="M62" s="98"/>
      <c r="N62" s="98"/>
      <c r="O62" s="98"/>
      <c r="P62" s="98"/>
      <c r="Q62" s="98"/>
      <c r="R62" s="98"/>
      <c r="S62" s="98"/>
      <c r="T62" s="98"/>
      <c r="U62" s="98"/>
      <c r="V62" s="98"/>
      <c r="W62" s="98"/>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row>
    <row r="63" spans="1:66" ht="21" customHeight="1" x14ac:dyDescent="0.3">
      <c r="A63" s="98"/>
      <c r="B63" s="98"/>
      <c r="C63" s="98"/>
      <c r="D63" s="98"/>
      <c r="E63" s="98"/>
      <c r="F63" s="98"/>
      <c r="G63" s="98"/>
      <c r="H63" s="98"/>
      <c r="I63" s="98"/>
      <c r="J63" s="98"/>
      <c r="K63" s="98"/>
      <c r="L63" s="98"/>
      <c r="M63" s="98"/>
      <c r="N63" s="98"/>
      <c r="O63" s="98"/>
      <c r="P63" s="98"/>
      <c r="Q63" s="98"/>
      <c r="R63" s="98"/>
      <c r="S63" s="98"/>
      <c r="T63" s="98"/>
      <c r="U63" s="98"/>
      <c r="V63" s="98"/>
      <c r="W63" s="98"/>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row>
    <row r="64" spans="1:66" ht="42.6" customHeight="1" x14ac:dyDescent="0.3">
      <c r="A64" s="98"/>
      <c r="B64" s="356" t="s">
        <v>201</v>
      </c>
      <c r="C64" s="271" t="s">
        <v>202</v>
      </c>
      <c r="D64" s="272" t="s">
        <v>172</v>
      </c>
      <c r="E64" s="272" t="s">
        <v>173</v>
      </c>
      <c r="F64" s="273" t="s">
        <v>174</v>
      </c>
      <c r="G64" s="272" t="s">
        <v>175</v>
      </c>
      <c r="H64" s="274"/>
      <c r="I64" s="274"/>
      <c r="J64" s="274"/>
      <c r="K64" s="274"/>
      <c r="L64" s="274"/>
      <c r="M64" s="274"/>
      <c r="N64" s="274"/>
      <c r="O64" s="274"/>
      <c r="P64" s="274"/>
      <c r="Q64" s="274"/>
      <c r="R64" s="274"/>
      <c r="S64" s="274"/>
      <c r="T64" s="274"/>
      <c r="U64" s="274"/>
      <c r="V64" s="274"/>
      <c r="W64" s="98"/>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row>
    <row r="65" spans="1:66" ht="15.6" customHeight="1" x14ac:dyDescent="0.3">
      <c r="A65" s="98"/>
      <c r="B65" s="275">
        <v>2019</v>
      </c>
      <c r="C65" s="357">
        <f>C22/P22*100</f>
        <v>18.858577831124361</v>
      </c>
      <c r="D65" s="276"/>
      <c r="E65" s="276"/>
      <c r="F65" s="276"/>
      <c r="G65" s="276"/>
      <c r="H65" s="277"/>
      <c r="I65" s="277"/>
      <c r="J65" s="277"/>
      <c r="K65" s="277"/>
      <c r="L65" s="277"/>
      <c r="M65" s="277"/>
      <c r="N65" s="277"/>
      <c r="O65" s="277"/>
      <c r="P65" s="277"/>
      <c r="Q65" s="277"/>
      <c r="R65" s="277"/>
      <c r="S65" s="277"/>
      <c r="T65" s="277"/>
      <c r="U65" s="277"/>
      <c r="V65" s="277"/>
      <c r="W65" s="278"/>
      <c r="X65" s="44"/>
      <c r="Y65" s="44"/>
      <c r="Z65" s="44"/>
      <c r="AA65" s="46"/>
      <c r="AB65" s="46"/>
      <c r="AC65" s="46"/>
      <c r="AD65" s="46"/>
      <c r="AE65" s="46"/>
      <c r="AF65" s="46"/>
      <c r="AG65" s="44"/>
      <c r="AH65" s="44"/>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row>
    <row r="66" spans="1:66" s="51" customFormat="1" ht="15.6" customHeight="1" x14ac:dyDescent="0.3">
      <c r="A66" s="279"/>
      <c r="B66" s="280">
        <v>2020</v>
      </c>
      <c r="C66" s="357">
        <f>D22/Q22*100</f>
        <v>18.585401775970734</v>
      </c>
      <c r="D66" s="276"/>
      <c r="E66" s="276"/>
      <c r="F66" s="276"/>
      <c r="G66" s="276"/>
      <c r="H66" s="281"/>
      <c r="I66" s="281"/>
      <c r="J66" s="281"/>
      <c r="K66" s="281"/>
      <c r="L66" s="281"/>
      <c r="M66" s="281"/>
      <c r="N66" s="281"/>
      <c r="O66" s="281"/>
      <c r="P66" s="281"/>
      <c r="Q66" s="281"/>
      <c r="R66" s="281"/>
      <c r="S66" s="281"/>
      <c r="T66" s="281"/>
      <c r="U66" s="281"/>
      <c r="V66" s="281"/>
      <c r="W66" s="282"/>
      <c r="X66" s="48"/>
      <c r="Y66" s="48"/>
      <c r="Z66" s="48"/>
      <c r="AA66" s="48"/>
      <c r="AB66" s="48"/>
      <c r="AC66" s="48"/>
      <c r="AD66" s="48"/>
      <c r="AE66" s="48"/>
      <c r="AF66" s="48"/>
      <c r="AG66" s="48"/>
      <c r="AH66" s="48"/>
      <c r="AI66" s="47"/>
      <c r="AJ66" s="47"/>
      <c r="AK66" s="47"/>
      <c r="AL66" s="47"/>
      <c r="AM66" s="47"/>
      <c r="AN66" s="47"/>
      <c r="AO66" s="47"/>
      <c r="AP66" s="47"/>
      <c r="AQ66" s="47"/>
      <c r="AR66" s="47"/>
      <c r="AS66" s="47"/>
      <c r="AT66" s="47"/>
      <c r="AU66" s="47"/>
      <c r="AV66" s="47"/>
      <c r="AW66" s="47"/>
      <c r="AX66" s="47"/>
      <c r="AY66" s="47"/>
      <c r="AZ66" s="47"/>
      <c r="BA66" s="47"/>
      <c r="BB66" s="47"/>
      <c r="BC66" s="47"/>
      <c r="BD66" s="47"/>
      <c r="BE66" s="47"/>
      <c r="BF66" s="47"/>
      <c r="BG66" s="47"/>
      <c r="BH66" s="47"/>
      <c r="BI66" s="47"/>
      <c r="BJ66" s="47"/>
      <c r="BK66" s="47"/>
      <c r="BL66" s="47"/>
      <c r="BM66" s="47"/>
      <c r="BN66" s="47"/>
    </row>
    <row r="67" spans="1:66" ht="15.6" customHeight="1" x14ac:dyDescent="0.3">
      <c r="A67" s="98"/>
      <c r="B67" s="275">
        <v>2021</v>
      </c>
      <c r="C67" s="357">
        <f>E22/R22*100</f>
        <v>18.090479889231265</v>
      </c>
      <c r="D67" s="276"/>
      <c r="E67" s="276"/>
      <c r="F67" s="276"/>
      <c r="G67" s="276"/>
      <c r="H67" s="281"/>
      <c r="I67" s="281"/>
      <c r="J67" s="281"/>
      <c r="K67" s="281"/>
      <c r="L67" s="281"/>
      <c r="M67" s="281"/>
      <c r="N67" s="281"/>
      <c r="O67" s="281"/>
      <c r="P67" s="281"/>
      <c r="Q67" s="281"/>
      <c r="R67" s="281"/>
      <c r="S67" s="281"/>
      <c r="T67" s="281"/>
      <c r="U67" s="281"/>
      <c r="V67" s="281"/>
      <c r="W67" s="283"/>
      <c r="X67" s="52"/>
      <c r="Y67" s="52"/>
      <c r="Z67" s="52"/>
      <c r="AA67" s="43"/>
      <c r="AB67" s="43"/>
      <c r="AC67" s="43"/>
      <c r="AD67" s="43"/>
      <c r="AE67" s="43"/>
      <c r="AF67" s="43"/>
      <c r="AG67" s="43"/>
      <c r="AH67" s="43"/>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row>
    <row r="68" spans="1:66" ht="15.6" customHeight="1" x14ac:dyDescent="0.3">
      <c r="A68" s="98"/>
      <c r="B68" s="280">
        <v>2022</v>
      </c>
      <c r="C68" s="357">
        <f>F22/S22*100</f>
        <v>18.443725494452853</v>
      </c>
      <c r="D68" s="276"/>
      <c r="E68" s="276"/>
      <c r="F68" s="276"/>
      <c r="G68" s="276"/>
      <c r="H68" s="284"/>
      <c r="I68" s="284"/>
      <c r="J68" s="284"/>
      <c r="K68" s="284"/>
      <c r="L68" s="284"/>
      <c r="M68" s="284"/>
      <c r="N68" s="284"/>
      <c r="O68" s="284"/>
      <c r="P68" s="284"/>
      <c r="Q68" s="284"/>
      <c r="R68" s="284"/>
      <c r="S68" s="284"/>
      <c r="T68" s="284"/>
      <c r="U68" s="284"/>
      <c r="V68" s="284"/>
      <c r="W68" s="98"/>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row>
    <row r="69" spans="1:66" ht="15.6" customHeight="1" x14ac:dyDescent="0.3">
      <c r="A69" s="98"/>
      <c r="B69" s="275">
        <v>2023</v>
      </c>
      <c r="C69" s="357">
        <f>G22/$T22*100</f>
        <v>17.90065301033205</v>
      </c>
      <c r="D69" s="357">
        <f>H22/$T22*100</f>
        <v>20.268698167891738</v>
      </c>
      <c r="E69" s="357">
        <f>I22/$T22*100</f>
        <v>18.792391841644235</v>
      </c>
      <c r="F69" s="357">
        <f>J22/$T22*100</f>
        <v>18.789449625536868</v>
      </c>
      <c r="G69" s="357">
        <f>K22/$T22*100</f>
        <v>18.283137423323868</v>
      </c>
      <c r="H69" s="277"/>
      <c r="I69" s="277"/>
      <c r="J69" s="277"/>
      <c r="K69" s="277"/>
      <c r="L69" s="277"/>
      <c r="M69" s="277"/>
      <c r="N69" s="277"/>
      <c r="O69" s="277"/>
      <c r="P69" s="277"/>
      <c r="Q69" s="277"/>
      <c r="R69" s="277"/>
      <c r="S69" s="277"/>
      <c r="T69" s="277"/>
      <c r="U69" s="277"/>
      <c r="V69" s="277"/>
      <c r="W69" s="98"/>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row>
    <row r="70" spans="1:66" ht="15.6" customHeight="1" x14ac:dyDescent="0.3">
      <c r="A70" s="98"/>
      <c r="B70" s="280">
        <v>2024</v>
      </c>
      <c r="C70" s="276"/>
      <c r="D70" s="358"/>
      <c r="E70" s="357"/>
      <c r="F70" s="357"/>
      <c r="G70" s="357"/>
      <c r="H70" s="284"/>
      <c r="I70" s="284"/>
      <c r="J70" s="284"/>
      <c r="K70" s="284"/>
      <c r="L70" s="284"/>
      <c r="M70" s="284"/>
      <c r="N70" s="284"/>
      <c r="O70" s="284"/>
      <c r="P70" s="284"/>
      <c r="Q70" s="284"/>
      <c r="R70" s="284"/>
      <c r="S70" s="284"/>
      <c r="T70" s="284"/>
      <c r="U70" s="284"/>
      <c r="V70" s="284"/>
      <c r="W70" s="98"/>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row>
    <row r="71" spans="1:66" ht="15.6" customHeight="1" x14ac:dyDescent="0.3">
      <c r="A71" s="98"/>
      <c r="B71" s="275">
        <v>2025</v>
      </c>
      <c r="C71" s="276"/>
      <c r="D71" s="358"/>
      <c r="E71" s="357"/>
      <c r="F71" s="357"/>
      <c r="G71" s="357"/>
      <c r="H71" s="284"/>
      <c r="I71" s="284"/>
      <c r="J71" s="284"/>
      <c r="K71" s="284"/>
      <c r="L71" s="284"/>
      <c r="M71" s="284"/>
      <c r="N71" s="284"/>
      <c r="O71" s="284"/>
      <c r="P71" s="284"/>
      <c r="Q71" s="284"/>
      <c r="R71" s="284"/>
      <c r="S71" s="284"/>
      <c r="T71" s="284"/>
      <c r="U71" s="284"/>
      <c r="V71" s="284"/>
      <c r="W71" s="98"/>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row>
    <row r="72" spans="1:66" ht="15.6" customHeight="1" x14ac:dyDescent="0.3">
      <c r="A72" s="98"/>
      <c r="B72" s="280">
        <v>2026</v>
      </c>
      <c r="C72" s="276"/>
      <c r="D72" s="357"/>
      <c r="E72" s="357"/>
      <c r="F72" s="357"/>
      <c r="G72" s="357"/>
      <c r="H72" s="277"/>
      <c r="I72" s="277"/>
      <c r="J72" s="277"/>
      <c r="K72" s="277"/>
      <c r="L72" s="277"/>
      <c r="M72" s="277"/>
      <c r="N72" s="277"/>
      <c r="O72" s="277"/>
      <c r="P72" s="277"/>
      <c r="Q72" s="277"/>
      <c r="R72" s="277"/>
      <c r="S72" s="277"/>
      <c r="T72" s="277"/>
      <c r="U72" s="277"/>
      <c r="V72" s="277"/>
      <c r="W72" s="98"/>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row>
    <row r="73" spans="1:66" ht="12.6" customHeight="1" x14ac:dyDescent="0.3">
      <c r="A73" s="98"/>
      <c r="B73" s="98"/>
      <c r="C73" s="98"/>
      <c r="D73" s="98"/>
      <c r="E73" s="98"/>
      <c r="F73" s="98"/>
      <c r="G73" s="98"/>
      <c r="H73" s="98"/>
      <c r="I73" s="98"/>
      <c r="J73" s="98"/>
      <c r="K73" s="98"/>
      <c r="L73" s="98"/>
      <c r="M73" s="98"/>
      <c r="N73" s="98"/>
      <c r="O73" s="98"/>
      <c r="P73" s="98"/>
      <c r="Q73" s="98"/>
      <c r="R73" s="98"/>
      <c r="S73" s="98"/>
      <c r="T73" s="98"/>
      <c r="U73" s="98"/>
      <c r="V73" s="98"/>
      <c r="W73" s="98"/>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row>
    <row r="74" spans="1:66" ht="12.6" customHeight="1" x14ac:dyDescent="0.3">
      <c r="A74" s="98"/>
      <c r="B74" s="98"/>
      <c r="C74" s="285"/>
      <c r="D74" s="98"/>
      <c r="E74" s="98"/>
      <c r="F74" s="98"/>
      <c r="G74" s="98"/>
      <c r="H74" s="98"/>
      <c r="I74" s="98"/>
      <c r="J74" s="98"/>
      <c r="K74" s="98"/>
      <c r="L74" s="98"/>
      <c r="M74" s="98"/>
      <c r="N74" s="98"/>
      <c r="O74" s="98"/>
      <c r="P74" s="98"/>
      <c r="Q74" s="98"/>
      <c r="R74" s="98"/>
      <c r="S74" s="98"/>
      <c r="T74" s="98"/>
      <c r="U74" s="98"/>
      <c r="V74" s="98"/>
      <c r="W74" s="98"/>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row>
    <row r="75" spans="1:66" ht="12.6" customHeight="1" x14ac:dyDescent="0.3">
      <c r="A75" s="98"/>
      <c r="B75" s="98"/>
      <c r="C75" s="98"/>
      <c r="D75" s="98"/>
      <c r="E75" s="98"/>
      <c r="F75" s="98"/>
      <c r="G75" s="98"/>
      <c r="H75" s="98"/>
      <c r="I75" s="98"/>
      <c r="J75" s="98"/>
      <c r="K75" s="98"/>
      <c r="L75" s="98"/>
      <c r="M75" s="98"/>
      <c r="N75" s="98"/>
      <c r="O75" s="98"/>
      <c r="P75" s="98"/>
      <c r="Q75" s="98"/>
      <c r="R75" s="98"/>
      <c r="S75" s="98"/>
      <c r="T75" s="98"/>
      <c r="U75" s="98"/>
      <c r="V75" s="98"/>
      <c r="W75" s="98"/>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row>
    <row r="76" spans="1:66" ht="18" customHeight="1" x14ac:dyDescent="0.3">
      <c r="A76" s="98"/>
      <c r="B76" s="98"/>
      <c r="C76" s="98"/>
      <c r="D76" s="98"/>
      <c r="E76" s="98"/>
      <c r="F76" s="98"/>
      <c r="G76" s="98"/>
      <c r="H76" s="98"/>
      <c r="I76" s="98"/>
      <c r="J76" s="98"/>
      <c r="K76" s="98"/>
      <c r="L76" s="98"/>
      <c r="M76" s="98"/>
      <c r="N76" s="98"/>
      <c r="O76" s="98"/>
      <c r="P76" s="98"/>
      <c r="Q76" s="98"/>
      <c r="R76" s="98"/>
      <c r="S76" s="98"/>
      <c r="T76" s="98"/>
      <c r="U76" s="98"/>
      <c r="V76" s="98"/>
      <c r="W76" s="98"/>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row>
    <row r="77" spans="1:66" ht="42" customHeight="1" x14ac:dyDescent="0.3">
      <c r="A77" s="98"/>
      <c r="B77" s="356" t="s">
        <v>203</v>
      </c>
      <c r="C77" s="271" t="s">
        <v>202</v>
      </c>
      <c r="D77" s="272" t="s">
        <v>172</v>
      </c>
      <c r="E77" s="272" t="s">
        <v>173</v>
      </c>
      <c r="F77" s="273" t="s">
        <v>174</v>
      </c>
      <c r="G77" s="272" t="s">
        <v>175</v>
      </c>
      <c r="H77" s="98"/>
      <c r="I77" s="98"/>
      <c r="J77" s="98"/>
      <c r="K77" s="98"/>
      <c r="L77" s="98"/>
      <c r="M77" s="98"/>
      <c r="N77" s="98"/>
      <c r="O77" s="98"/>
      <c r="P77" s="98"/>
      <c r="Q77" s="98"/>
      <c r="R77" s="98"/>
      <c r="S77" s="98"/>
      <c r="T77" s="98"/>
      <c r="U77" s="98"/>
      <c r="V77" s="98"/>
      <c r="W77" s="98"/>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row>
    <row r="78" spans="1:66" ht="15.6" customHeight="1" x14ac:dyDescent="0.3">
      <c r="A78" s="98"/>
      <c r="B78" s="275">
        <v>2019</v>
      </c>
      <c r="C78" s="357">
        <f>C65</f>
        <v>18.858577831124361</v>
      </c>
      <c r="D78" s="276"/>
      <c r="E78" s="276"/>
      <c r="F78" s="276"/>
      <c r="G78" s="276"/>
      <c r="H78" s="98"/>
      <c r="I78" s="98"/>
      <c r="J78" s="98"/>
      <c r="K78" s="98"/>
      <c r="L78" s="98"/>
      <c r="M78" s="98"/>
      <c r="N78" s="98"/>
      <c r="O78" s="98"/>
      <c r="P78" s="98"/>
      <c r="Q78" s="98"/>
      <c r="R78" s="98"/>
      <c r="S78" s="98"/>
      <c r="T78" s="98"/>
      <c r="U78" s="98"/>
      <c r="V78" s="98"/>
      <c r="W78" s="98"/>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row>
    <row r="79" spans="1:66" s="1" customFormat="1" ht="15" customHeight="1" x14ac:dyDescent="0.3">
      <c r="A79" s="98"/>
      <c r="B79" s="280">
        <v>2020</v>
      </c>
      <c r="C79" s="357">
        <f>C66</f>
        <v>18.585401775970734</v>
      </c>
      <c r="D79" s="276"/>
      <c r="E79" s="276"/>
      <c r="F79" s="276"/>
      <c r="G79" s="276"/>
      <c r="H79" s="98"/>
      <c r="I79" s="98"/>
      <c r="J79" s="98"/>
      <c r="K79" s="98"/>
      <c r="L79" s="98"/>
      <c r="M79" s="98"/>
      <c r="N79" s="98"/>
      <c r="O79" s="98"/>
      <c r="P79" s="98"/>
      <c r="Q79" s="98"/>
      <c r="R79" s="98"/>
      <c r="S79" s="98"/>
      <c r="T79" s="98"/>
      <c r="U79" s="98"/>
      <c r="V79" s="98"/>
      <c r="W79" s="98"/>
    </row>
    <row r="80" spans="1:66" s="1" customFormat="1" ht="15" customHeight="1" x14ac:dyDescent="0.3">
      <c r="A80" s="98"/>
      <c r="B80" s="275">
        <v>2021</v>
      </c>
      <c r="C80" s="357">
        <f>C67</f>
        <v>18.090479889231265</v>
      </c>
      <c r="D80" s="276"/>
      <c r="E80" s="276"/>
      <c r="F80" s="276"/>
      <c r="G80" s="276"/>
      <c r="H80" s="98"/>
      <c r="I80" s="98"/>
      <c r="J80" s="98"/>
      <c r="K80" s="98"/>
      <c r="L80" s="98"/>
      <c r="M80" s="98"/>
      <c r="N80" s="98"/>
      <c r="O80" s="98"/>
      <c r="P80" s="98"/>
      <c r="Q80" s="98"/>
      <c r="R80" s="98"/>
      <c r="S80" s="98"/>
      <c r="T80" s="98"/>
      <c r="U80" s="98"/>
      <c r="V80" s="98"/>
      <c r="W80" s="98"/>
    </row>
    <row r="81" spans="1:23" s="1" customFormat="1" ht="15" customHeight="1" x14ac:dyDescent="0.3">
      <c r="A81" s="98"/>
      <c r="B81" s="280">
        <v>2022</v>
      </c>
      <c r="C81" s="357">
        <f>C68</f>
        <v>18.443725494452853</v>
      </c>
      <c r="D81" s="276"/>
      <c r="E81" s="276"/>
      <c r="F81" s="276"/>
      <c r="G81" s="276"/>
      <c r="H81" s="98"/>
      <c r="I81" s="98"/>
      <c r="J81" s="98"/>
      <c r="K81" s="98"/>
      <c r="L81" s="98"/>
      <c r="M81" s="98"/>
      <c r="N81" s="98"/>
      <c r="O81" s="98"/>
      <c r="P81" s="98"/>
      <c r="Q81" s="98"/>
      <c r="R81" s="98"/>
      <c r="S81" s="98"/>
      <c r="T81" s="98"/>
      <c r="U81" s="98"/>
      <c r="V81" s="98"/>
      <c r="W81" s="98"/>
    </row>
    <row r="82" spans="1:23" s="1" customFormat="1" ht="15" customHeight="1" x14ac:dyDescent="0.3">
      <c r="A82" s="98"/>
      <c r="B82" s="275">
        <v>2023</v>
      </c>
      <c r="C82" s="357">
        <f>C69</f>
        <v>17.90065301033205</v>
      </c>
      <c r="D82" s="357">
        <f>D69</f>
        <v>20.268698167891738</v>
      </c>
      <c r="E82" s="357">
        <f>E69</f>
        <v>18.792391841644235</v>
      </c>
      <c r="F82" s="357">
        <f>F69</f>
        <v>18.789449625536868</v>
      </c>
      <c r="G82" s="357">
        <f>G69</f>
        <v>18.283137423323868</v>
      </c>
      <c r="H82" s="98"/>
      <c r="I82" s="98"/>
      <c r="J82" s="98"/>
      <c r="K82" s="98"/>
      <c r="L82" s="98"/>
      <c r="M82" s="98"/>
      <c r="N82" s="98"/>
      <c r="O82" s="98"/>
      <c r="P82" s="98"/>
      <c r="Q82" s="98"/>
      <c r="R82" s="98"/>
      <c r="S82" s="98"/>
      <c r="T82" s="98"/>
      <c r="U82" s="98"/>
      <c r="V82" s="98"/>
      <c r="W82" s="98"/>
    </row>
    <row r="83" spans="1:23" s="1" customFormat="1" ht="15" customHeight="1" x14ac:dyDescent="0.3">
      <c r="A83" s="98"/>
      <c r="B83" s="280">
        <v>2024</v>
      </c>
      <c r="C83" s="357"/>
      <c r="D83" s="358"/>
      <c r="E83" s="358"/>
      <c r="F83" s="358"/>
      <c r="G83" s="358"/>
      <c r="H83" s="98"/>
      <c r="I83" s="98"/>
      <c r="J83" s="98"/>
      <c r="K83" s="98"/>
      <c r="L83" s="98"/>
      <c r="M83" s="98"/>
      <c r="N83" s="98"/>
      <c r="O83" s="98"/>
      <c r="P83" s="98"/>
      <c r="Q83" s="98"/>
      <c r="R83" s="98"/>
      <c r="S83" s="98"/>
      <c r="T83" s="98"/>
      <c r="U83" s="98"/>
      <c r="V83" s="98"/>
      <c r="W83" s="98"/>
    </row>
    <row r="84" spans="1:23" s="1" customFormat="1" ht="15" customHeight="1" x14ac:dyDescent="0.3">
      <c r="A84" s="98"/>
      <c r="B84" s="275">
        <v>2025</v>
      </c>
      <c r="C84" s="357"/>
      <c r="D84" s="358"/>
      <c r="E84" s="358"/>
      <c r="F84" s="358"/>
      <c r="G84" s="358"/>
      <c r="H84" s="98"/>
      <c r="I84" s="98"/>
      <c r="J84" s="98"/>
      <c r="K84" s="98"/>
      <c r="L84" s="98"/>
      <c r="M84" s="98"/>
      <c r="N84" s="98"/>
      <c r="O84" s="98"/>
      <c r="P84" s="98"/>
      <c r="Q84" s="98"/>
      <c r="R84" s="98"/>
      <c r="S84" s="98"/>
      <c r="T84" s="98"/>
      <c r="U84" s="98"/>
      <c r="V84" s="98"/>
      <c r="W84" s="98"/>
    </row>
    <row r="85" spans="1:23" s="1" customFormat="1" ht="15" customHeight="1" x14ac:dyDescent="0.3">
      <c r="A85" s="98"/>
      <c r="B85" s="280">
        <v>2026</v>
      </c>
      <c r="C85" s="357"/>
      <c r="D85" s="357"/>
      <c r="E85" s="357"/>
      <c r="F85" s="357"/>
      <c r="G85" s="357"/>
      <c r="H85" s="98"/>
      <c r="I85" s="98"/>
      <c r="J85" s="98"/>
      <c r="K85" s="98"/>
      <c r="L85" s="98"/>
      <c r="M85" s="98"/>
      <c r="N85" s="98"/>
      <c r="O85" s="98"/>
      <c r="P85" s="98"/>
      <c r="Q85" s="98"/>
      <c r="R85" s="98"/>
      <c r="S85" s="98"/>
      <c r="T85" s="98"/>
      <c r="U85" s="98"/>
      <c r="V85" s="98"/>
      <c r="W85" s="98"/>
    </row>
    <row r="86" spans="1:23" s="1" customFormat="1" ht="12.6" customHeight="1" x14ac:dyDescent="0.3">
      <c r="A86" s="98"/>
      <c r="B86" s="98"/>
      <c r="C86" s="98"/>
      <c r="D86" s="285"/>
      <c r="E86" s="98"/>
      <c r="F86" s="98"/>
      <c r="G86" s="98"/>
      <c r="H86" s="98"/>
      <c r="I86" s="98"/>
      <c r="J86" s="98"/>
      <c r="K86" s="98"/>
      <c r="L86" s="98"/>
      <c r="M86" s="98"/>
      <c r="N86" s="98"/>
      <c r="O86" s="98"/>
      <c r="P86" s="98"/>
      <c r="Q86" s="98"/>
      <c r="R86" s="98"/>
      <c r="S86" s="98"/>
      <c r="T86" s="98"/>
      <c r="U86" s="98"/>
      <c r="V86" s="98"/>
      <c r="W86" s="98"/>
    </row>
    <row r="87" spans="1:23" s="1" customFormat="1" ht="12.6" customHeight="1" x14ac:dyDescent="0.3">
      <c r="A87" s="98"/>
      <c r="B87" s="98"/>
      <c r="C87" s="98"/>
      <c r="D87" s="98"/>
      <c r="E87" s="98"/>
      <c r="F87" s="98"/>
      <c r="G87" s="98"/>
      <c r="H87" s="98"/>
      <c r="I87" s="98"/>
      <c r="J87" s="98"/>
      <c r="K87" s="98"/>
      <c r="L87" s="98"/>
      <c r="M87" s="98"/>
      <c r="N87" s="98"/>
      <c r="O87" s="98"/>
      <c r="P87" s="98"/>
      <c r="Q87" s="98"/>
      <c r="R87" s="98"/>
      <c r="S87" s="98"/>
      <c r="T87" s="98"/>
      <c r="U87" s="98"/>
      <c r="V87" s="98"/>
      <c r="W87" s="98"/>
    </row>
    <row r="88" spans="1:23" s="1" customFormat="1" ht="12.6" customHeight="1" x14ac:dyDescent="0.3">
      <c r="A88" s="98"/>
      <c r="B88" s="98"/>
      <c r="C88" s="98"/>
      <c r="D88" s="98"/>
      <c r="E88" s="98"/>
      <c r="F88" s="98"/>
      <c r="G88" s="98"/>
      <c r="H88" s="98"/>
      <c r="I88" s="98"/>
      <c r="J88" s="98"/>
      <c r="K88" s="98"/>
      <c r="L88" s="98"/>
      <c r="M88" s="98"/>
      <c r="N88" s="98"/>
      <c r="O88" s="98"/>
      <c r="P88" s="98"/>
      <c r="Q88" s="98"/>
      <c r="R88" s="98"/>
      <c r="S88" s="98"/>
      <c r="T88" s="98"/>
      <c r="U88" s="98"/>
      <c r="V88" s="98"/>
      <c r="W88" s="98"/>
    </row>
    <row r="89" spans="1:23" s="1" customFormat="1" ht="12.6" customHeight="1" x14ac:dyDescent="0.3"/>
    <row r="90" spans="1:23" s="1" customFormat="1" ht="12.6" customHeight="1" x14ac:dyDescent="0.3"/>
    <row r="91" spans="1:23" s="1" customFormat="1" x14ac:dyDescent="0.3"/>
    <row r="92" spans="1:23" s="1" customFormat="1" x14ac:dyDescent="0.3"/>
    <row r="93" spans="1:23" s="1" customFormat="1" x14ac:dyDescent="0.3"/>
    <row r="94" spans="1:23" s="1" customFormat="1" x14ac:dyDescent="0.3"/>
    <row r="95" spans="1:23" s="1" customFormat="1" x14ac:dyDescent="0.3"/>
    <row r="96" spans="1:23" s="1" customFormat="1" x14ac:dyDescent="0.3"/>
    <row r="97" s="1" customFormat="1" x14ac:dyDescent="0.3"/>
    <row r="98" s="1" customFormat="1" x14ac:dyDescent="0.3"/>
    <row r="99" s="1" customFormat="1" x14ac:dyDescent="0.3"/>
    <row r="100" s="1" customFormat="1" x14ac:dyDescent="0.3"/>
    <row r="101" s="1" customFormat="1" x14ac:dyDescent="0.3"/>
    <row r="102" s="1" customFormat="1" x14ac:dyDescent="0.3"/>
    <row r="103" s="1" customFormat="1" x14ac:dyDescent="0.3"/>
    <row r="104" s="1" customFormat="1" x14ac:dyDescent="0.3"/>
    <row r="105" s="1" customFormat="1" x14ac:dyDescent="0.3"/>
    <row r="106" s="1" customFormat="1" x14ac:dyDescent="0.3"/>
    <row r="107" s="1" customFormat="1" x14ac:dyDescent="0.3"/>
    <row r="108" s="1" customFormat="1" x14ac:dyDescent="0.3"/>
    <row r="109" s="1" customFormat="1" x14ac:dyDescent="0.3"/>
    <row r="110" s="1" customFormat="1" x14ac:dyDescent="0.3"/>
    <row r="111" s="1" customFormat="1" x14ac:dyDescent="0.3"/>
    <row r="112" s="1" customFormat="1" x14ac:dyDescent="0.3"/>
    <row r="113" s="1" customFormat="1" x14ac:dyDescent="0.3"/>
    <row r="114" s="1" customFormat="1" x14ac:dyDescent="0.3"/>
    <row r="115" s="1" customFormat="1" x14ac:dyDescent="0.3"/>
    <row r="116" s="1" customFormat="1" x14ac:dyDescent="0.3"/>
    <row r="117" s="1" customFormat="1" x14ac:dyDescent="0.3"/>
    <row r="118" s="1" customFormat="1" x14ac:dyDescent="0.3"/>
    <row r="119" s="1" customFormat="1" x14ac:dyDescent="0.3"/>
    <row r="120" s="1" customFormat="1" x14ac:dyDescent="0.3"/>
    <row r="121" s="1" customFormat="1" x14ac:dyDescent="0.3"/>
  </sheetData>
  <pageMargins left="0.7" right="0.7" top="0.75" bottom="0.75" header="0.3" footer="0.3"/>
  <pageSetup paperSize="9" orientation="portrait" r:id="rId1"/>
  <headerFooter>
    <oddHeader>&amp;R&amp;"Arial"&amp;10&amp;K000000 ECB-RESTRICTED&amp;1#_x000D_</oddHeader>
  </headerFooter>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A84EAD-9025-43C5-B6D8-E60C5F87D3F2}">
  <dimension ref="A1:FQ27"/>
  <sheetViews>
    <sheetView zoomScale="130" zoomScaleNormal="130" workbookViewId="0">
      <selection activeCell="AH35" sqref="AH35"/>
    </sheetView>
  </sheetViews>
  <sheetFormatPr baseColWidth="10" defaultColWidth="8.6640625" defaultRowHeight="14.4" x14ac:dyDescent="0.3"/>
  <cols>
    <col min="1" max="1" width="4.33203125" customWidth="1"/>
    <col min="3" max="3" width="15.6640625" customWidth="1"/>
    <col min="4" max="7" width="14.5546875" customWidth="1"/>
    <col min="8" max="15" width="18" customWidth="1"/>
    <col min="16" max="17" width="18.6640625" customWidth="1"/>
    <col min="18" max="18" width="15.33203125" customWidth="1"/>
    <col min="19" max="22" width="18" customWidth="1"/>
    <col min="23" max="31" width="14.6640625" customWidth="1"/>
    <col min="32" max="32" width="15.33203125" customWidth="1"/>
    <col min="33" max="33" width="14.6640625" customWidth="1"/>
    <col min="34" max="41" width="13.5546875" customWidth="1"/>
    <col min="42" max="42" width="15.5546875" customWidth="1"/>
    <col min="43" max="43" width="13" customWidth="1"/>
    <col min="44" max="44" width="11.33203125" customWidth="1"/>
    <col min="45" max="45" width="12.33203125" customWidth="1"/>
    <col min="46" max="50" width="11.33203125" customWidth="1"/>
    <col min="51" max="51" width="13.44140625" customWidth="1"/>
    <col min="56" max="56" width="9.6640625" customWidth="1"/>
    <col min="60" max="60" width="16.44140625" customWidth="1"/>
    <col min="61" max="61" width="16.33203125" customWidth="1"/>
    <col min="62" max="63" width="15.33203125" customWidth="1"/>
    <col min="68" max="68" width="11.44140625" bestFit="1" customWidth="1"/>
    <col min="69" max="69" width="13.5546875" customWidth="1"/>
    <col min="70" max="70" width="13.6640625" customWidth="1"/>
    <col min="71" max="71" width="12.44140625" customWidth="1"/>
    <col min="72" max="77" width="12.6640625" customWidth="1"/>
    <col min="78" max="80" width="11.33203125" customWidth="1"/>
    <col min="81" max="85" width="11.6640625" hidden="1" customWidth="1"/>
    <col min="86" max="86" width="13.33203125" hidden="1" customWidth="1"/>
    <col min="87" max="88" width="11.6640625" hidden="1" customWidth="1"/>
    <col min="89" max="94" width="12.6640625" customWidth="1"/>
    <col min="95" max="96" width="11.33203125" customWidth="1"/>
    <col min="97" max="104" width="11.6640625" customWidth="1"/>
    <col min="105" max="108" width="13.44140625" customWidth="1"/>
    <col min="110" max="130" width="0.5546875" customWidth="1"/>
    <col min="131" max="132" width="15.5546875" customWidth="1"/>
    <col min="133" max="133" width="15.33203125" customWidth="1"/>
    <col min="134" max="134" width="14.5546875" customWidth="1"/>
    <col min="135" max="135" width="16.5546875" customWidth="1"/>
    <col min="136" max="138" width="18" customWidth="1"/>
    <col min="139" max="142" width="15.33203125" customWidth="1"/>
    <col min="143" max="143" width="11" customWidth="1"/>
    <col min="144" max="145" width="16" customWidth="1"/>
    <col min="146" max="146" width="9.33203125" customWidth="1"/>
    <col min="147" max="150" width="17" customWidth="1"/>
    <col min="153" max="153" width="10.6640625" customWidth="1"/>
    <col min="156" max="157" width="11.33203125" customWidth="1"/>
    <col min="158" max="161" width="9.6640625" customWidth="1"/>
    <col min="162" max="165" width="11.5546875" customWidth="1"/>
  </cols>
  <sheetData>
    <row r="1" spans="1:173" ht="15" thickBot="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ht="18" customHeight="1" thickBot="1" x14ac:dyDescent="0.35">
      <c r="A2" s="1"/>
      <c r="B2" s="2" t="s">
        <v>579</v>
      </c>
      <c r="C2" s="3"/>
      <c r="D2" s="3"/>
      <c r="E2" s="3"/>
      <c r="F2" s="3"/>
      <c r="G2" s="3"/>
      <c r="H2" s="4"/>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18" customHeight="1" x14ac:dyDescent="0.3">
      <c r="A3" s="1"/>
      <c r="B3" s="5" t="s">
        <v>0</v>
      </c>
      <c r="C3" s="6"/>
      <c r="D3" s="6"/>
      <c r="E3" s="6"/>
      <c r="F3" s="6"/>
      <c r="G3" s="6"/>
      <c r="H3" s="7"/>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18" customHeight="1" x14ac:dyDescent="0.3">
      <c r="A4" s="1"/>
      <c r="B4" s="8" t="s">
        <v>1</v>
      </c>
      <c r="C4" s="9"/>
      <c r="D4" s="9"/>
      <c r="E4" s="9"/>
      <c r="F4" s="9"/>
      <c r="G4" s="9"/>
      <c r="H4" s="10"/>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12.6" customHeight="1" x14ac:dyDescent="0.3">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row>
    <row r="6" spans="1:173" ht="12.6" customHeight="1" x14ac:dyDescent="0.3">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row>
    <row r="7" spans="1:173" ht="12.6" customHeight="1" x14ac:dyDescent="0.3">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c r="EU7" s="1"/>
      <c r="EV7" s="1"/>
      <c r="EW7" s="1"/>
      <c r="EX7" s="1"/>
      <c r="EY7" s="1"/>
      <c r="EZ7" s="1"/>
      <c r="FA7" s="1"/>
      <c r="FB7" s="1"/>
      <c r="FC7" s="1"/>
      <c r="FD7" s="1"/>
      <c r="FE7" s="1"/>
      <c r="FF7" s="1"/>
      <c r="FG7" s="1"/>
      <c r="FH7" s="1"/>
      <c r="FI7" s="1"/>
      <c r="FJ7" s="1"/>
      <c r="FK7" s="1"/>
      <c r="FL7" s="1"/>
      <c r="FM7" s="1"/>
      <c r="FN7" s="1"/>
      <c r="FO7" s="1"/>
      <c r="FP7" s="1"/>
      <c r="FQ7" s="1"/>
    </row>
    <row r="8" spans="1:173" ht="17.7" customHeight="1" x14ac:dyDescent="0.3">
      <c r="A8" s="1"/>
      <c r="B8" s="11" t="s">
        <v>2</v>
      </c>
      <c r="C8" s="12" t="s">
        <v>214</v>
      </c>
      <c r="D8" s="12" t="s">
        <v>215</v>
      </c>
      <c r="E8" s="124" t="s">
        <v>216</v>
      </c>
      <c r="F8" s="125"/>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56"/>
      <c r="CD8" s="56"/>
      <c r="CE8" s="56"/>
      <c r="CF8" s="56"/>
      <c r="CG8" s="56"/>
      <c r="CH8" s="56"/>
      <c r="CI8" s="56"/>
      <c r="CJ8" s="56"/>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row>
    <row r="9" spans="1:173" ht="10.35" customHeight="1" x14ac:dyDescent="0.3">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56"/>
      <c r="CD9" s="56"/>
      <c r="CE9" s="56"/>
      <c r="CF9" s="56"/>
      <c r="CG9" s="56"/>
      <c r="CH9" s="56"/>
      <c r="CI9" s="56"/>
      <c r="CJ9" s="56"/>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row>
    <row r="10" spans="1:173" x14ac:dyDescent="0.3">
      <c r="A10" s="1"/>
      <c r="B10" s="1"/>
      <c r="C10" s="13" t="s">
        <v>6</v>
      </c>
      <c r="D10" s="14"/>
      <c r="E10" s="14"/>
      <c r="F10" s="14"/>
      <c r="G10" s="14"/>
      <c r="H10" s="14"/>
      <c r="I10" s="14"/>
      <c r="J10" s="14"/>
      <c r="K10" s="14"/>
      <c r="L10" s="14"/>
      <c r="M10" s="14"/>
      <c r="N10" s="14"/>
      <c r="O10" s="14"/>
      <c r="P10" s="15" t="s">
        <v>580</v>
      </c>
      <c r="Q10" s="16"/>
      <c r="R10" s="16"/>
      <c r="S10" s="16"/>
      <c r="T10" s="16"/>
      <c r="U10" s="16"/>
      <c r="V10" s="16"/>
      <c r="W10" s="13" t="s">
        <v>628</v>
      </c>
      <c r="X10" s="17"/>
      <c r="Y10" s="17"/>
      <c r="Z10" s="17"/>
      <c r="AA10" s="17"/>
      <c r="AB10" s="17"/>
      <c r="AC10" s="17"/>
      <c r="AD10" s="13" t="s">
        <v>629</v>
      </c>
      <c r="AE10" s="17"/>
      <c r="AF10" s="17"/>
      <c r="AG10" s="18"/>
      <c r="AH10" s="19" t="s">
        <v>630</v>
      </c>
      <c r="AI10" s="20"/>
      <c r="AJ10" s="16"/>
      <c r="AK10" s="16"/>
      <c r="AL10" s="16"/>
      <c r="AM10" s="16"/>
      <c r="AN10" s="16"/>
      <c r="AO10" s="16"/>
      <c r="AP10" s="21"/>
      <c r="AQ10" s="19" t="s">
        <v>9</v>
      </c>
      <c r="AR10" s="16"/>
      <c r="AS10" s="16"/>
      <c r="AT10" s="16"/>
      <c r="AU10" s="16"/>
      <c r="AV10" s="16"/>
      <c r="AW10" s="16"/>
      <c r="AX10" s="16"/>
      <c r="AY10" s="21"/>
      <c r="AZ10" s="22" t="s">
        <v>10</v>
      </c>
      <c r="BA10" s="23"/>
      <c r="BB10" s="23"/>
      <c r="BC10" s="23"/>
      <c r="BD10" s="23"/>
      <c r="BE10" s="23"/>
      <c r="BF10" s="23"/>
      <c r="BG10" s="23"/>
      <c r="BH10" s="23"/>
      <c r="BI10" s="23"/>
      <c r="BJ10" s="23"/>
      <c r="BK10" s="23"/>
      <c r="BL10" s="23"/>
      <c r="BM10" s="23"/>
      <c r="BN10" s="23"/>
      <c r="BO10" s="23"/>
      <c r="BP10" s="23"/>
      <c r="BQ10" s="23"/>
      <c r="BR10" s="24"/>
      <c r="BS10" s="11"/>
      <c r="BT10" s="19"/>
      <c r="BU10" s="16"/>
      <c r="BV10" s="16"/>
      <c r="BW10" s="16"/>
      <c r="BX10" s="16"/>
      <c r="BY10" s="16"/>
      <c r="BZ10" s="16"/>
      <c r="CA10" s="16"/>
      <c r="CB10" s="16"/>
      <c r="CC10" s="58" t="s">
        <v>12</v>
      </c>
      <c r="CD10" s="59"/>
      <c r="CE10" s="59"/>
      <c r="CF10" s="59"/>
      <c r="CG10" s="59"/>
      <c r="CH10" s="59"/>
      <c r="CI10" s="59"/>
      <c r="CJ10" s="59"/>
      <c r="CK10" s="19" t="s">
        <v>581</v>
      </c>
      <c r="CL10" s="16"/>
      <c r="CM10" s="16"/>
      <c r="CN10" s="16"/>
      <c r="CO10" s="16"/>
      <c r="CP10" s="16"/>
      <c r="CQ10" s="16"/>
      <c r="CR10" s="16"/>
      <c r="CS10" s="19" t="s">
        <v>582</v>
      </c>
      <c r="CT10" s="127"/>
      <c r="CU10" s="59"/>
      <c r="CV10" s="59"/>
      <c r="CW10" s="59"/>
      <c r="CX10" s="59"/>
      <c r="CY10" s="59"/>
      <c r="CZ10" s="59"/>
      <c r="DA10" s="15" t="s">
        <v>15</v>
      </c>
      <c r="DB10" s="60"/>
      <c r="DC10" s="60"/>
      <c r="DD10" s="8" t="s">
        <v>16</v>
      </c>
      <c r="DE10" s="10"/>
      <c r="DF10" s="1"/>
      <c r="DG10" s="1"/>
      <c r="DH10" s="1"/>
      <c r="DI10" s="1"/>
      <c r="DJ10" s="1"/>
      <c r="DK10" s="1"/>
      <c r="DL10" s="1"/>
      <c r="DM10" s="1"/>
      <c r="DN10" s="1"/>
      <c r="DO10" s="1"/>
      <c r="DP10" s="1"/>
      <c r="DQ10" s="1"/>
      <c r="DR10" s="1"/>
      <c r="DS10" s="1"/>
      <c r="DT10" s="1"/>
      <c r="DU10" s="1"/>
      <c r="DV10" s="1"/>
      <c r="DW10" s="1"/>
      <c r="DX10" s="1"/>
      <c r="DY10" s="1"/>
      <c r="DZ10" s="1"/>
      <c r="EA10" s="13" t="s">
        <v>17</v>
      </c>
      <c r="EB10" s="14"/>
      <c r="EC10" s="14"/>
      <c r="ED10" s="14"/>
      <c r="EE10" s="14"/>
      <c r="EF10" s="14"/>
      <c r="EG10" s="14"/>
      <c r="EH10" s="14"/>
      <c r="EI10" s="14"/>
      <c r="EJ10" s="14"/>
      <c r="EK10" s="14"/>
      <c r="EL10" s="14"/>
      <c r="EM10" s="14"/>
      <c r="EN10" s="15" t="s">
        <v>583</v>
      </c>
      <c r="EO10" s="16"/>
      <c r="EP10" s="16"/>
      <c r="EQ10" s="16"/>
      <c r="ER10" s="16"/>
      <c r="ES10" s="16"/>
      <c r="ET10" s="16"/>
      <c r="EU10" s="16"/>
      <c r="EV10" s="13" t="s">
        <v>631</v>
      </c>
      <c r="EW10" s="14"/>
      <c r="EX10" s="14"/>
      <c r="EY10" s="61"/>
      <c r="EZ10" s="62" t="s">
        <v>19</v>
      </c>
      <c r="FA10" s="10"/>
      <c r="FB10" s="14" t="s">
        <v>632</v>
      </c>
      <c r="FC10" s="17"/>
      <c r="FD10" s="17"/>
      <c r="FE10" s="17"/>
      <c r="FF10" s="17"/>
      <c r="FG10" s="17"/>
      <c r="FH10" s="17"/>
      <c r="FI10" s="18"/>
      <c r="FJ10" s="1"/>
      <c r="FK10" s="1"/>
      <c r="FL10" s="1"/>
      <c r="FM10" s="1"/>
      <c r="FN10" s="1"/>
      <c r="FO10" s="1"/>
      <c r="FP10" s="1"/>
      <c r="FQ10" s="1"/>
    </row>
    <row r="11" spans="1:173" ht="78.75" customHeight="1" x14ac:dyDescent="0.3">
      <c r="A11" s="1"/>
      <c r="B11" s="25" t="s">
        <v>20</v>
      </c>
      <c r="C11" s="26" t="s">
        <v>21</v>
      </c>
      <c r="D11" s="27" t="s">
        <v>22</v>
      </c>
      <c r="E11" s="27" t="s">
        <v>23</v>
      </c>
      <c r="F11" s="27" t="s">
        <v>24</v>
      </c>
      <c r="G11" s="27" t="s">
        <v>25</v>
      </c>
      <c r="H11" s="27" t="s">
        <v>26</v>
      </c>
      <c r="I11" s="27" t="s">
        <v>27</v>
      </c>
      <c r="J11" s="121"/>
      <c r="K11" s="27" t="s">
        <v>29</v>
      </c>
      <c r="L11" s="27" t="s">
        <v>30</v>
      </c>
      <c r="M11" s="27" t="s">
        <v>31</v>
      </c>
      <c r="N11" s="27" t="s">
        <v>32</v>
      </c>
      <c r="O11" s="27" t="s">
        <v>33</v>
      </c>
      <c r="P11" s="26" t="s">
        <v>21</v>
      </c>
      <c r="Q11" s="27" t="s">
        <v>22</v>
      </c>
      <c r="R11" s="27" t="s">
        <v>34</v>
      </c>
      <c r="S11" s="27" t="s">
        <v>29</v>
      </c>
      <c r="T11" s="27" t="s">
        <v>30</v>
      </c>
      <c r="U11" s="27" t="s">
        <v>31</v>
      </c>
      <c r="V11" s="27" t="s">
        <v>32</v>
      </c>
      <c r="W11" s="27" t="s">
        <v>22</v>
      </c>
      <c r="X11" s="27" t="s">
        <v>23</v>
      </c>
      <c r="Y11" s="27" t="s">
        <v>35</v>
      </c>
      <c r="Z11" s="27" t="s">
        <v>36</v>
      </c>
      <c r="AA11" s="27" t="s">
        <v>26</v>
      </c>
      <c r="AB11" s="27" t="s">
        <v>27</v>
      </c>
      <c r="AC11" s="27" t="s">
        <v>28</v>
      </c>
      <c r="AD11" s="27" t="s">
        <v>29</v>
      </c>
      <c r="AE11" s="27" t="s">
        <v>30</v>
      </c>
      <c r="AF11" s="27" t="s">
        <v>31</v>
      </c>
      <c r="AG11" s="27" t="s">
        <v>32</v>
      </c>
      <c r="AH11" s="27" t="s">
        <v>37</v>
      </c>
      <c r="AI11" s="27" t="s">
        <v>38</v>
      </c>
      <c r="AJ11" s="27" t="s">
        <v>39</v>
      </c>
      <c r="AK11" s="27" t="s">
        <v>40</v>
      </c>
      <c r="AL11" s="27" t="s">
        <v>41</v>
      </c>
      <c r="AM11" s="27" t="s">
        <v>42</v>
      </c>
      <c r="AN11" s="121" t="s">
        <v>43</v>
      </c>
      <c r="AO11" s="27" t="s">
        <v>44</v>
      </c>
      <c r="AP11" s="27" t="s">
        <v>45</v>
      </c>
      <c r="AQ11" s="27" t="s">
        <v>37</v>
      </c>
      <c r="AR11" s="27" t="s">
        <v>38</v>
      </c>
      <c r="AS11" s="27" t="s">
        <v>39</v>
      </c>
      <c r="AT11" s="27" t="s">
        <v>40</v>
      </c>
      <c r="AU11" s="27" t="s">
        <v>41</v>
      </c>
      <c r="AV11" s="27" t="s">
        <v>42</v>
      </c>
      <c r="AW11" s="121"/>
      <c r="AX11" s="27" t="s">
        <v>44</v>
      </c>
      <c r="AY11" s="27" t="s">
        <v>45</v>
      </c>
      <c r="AZ11" s="27" t="s">
        <v>633</v>
      </c>
      <c r="BA11" s="27" t="s">
        <v>634</v>
      </c>
      <c r="BB11" s="27" t="s">
        <v>635</v>
      </c>
      <c r="BC11" s="27" t="s">
        <v>636</v>
      </c>
      <c r="BD11" s="27" t="s">
        <v>46</v>
      </c>
      <c r="BE11" s="27" t="s">
        <v>47</v>
      </c>
      <c r="BF11" s="27" t="s">
        <v>48</v>
      </c>
      <c r="BG11" s="27" t="s">
        <v>49</v>
      </c>
      <c r="BH11" s="27" t="s">
        <v>50</v>
      </c>
      <c r="BI11" s="27" t="s">
        <v>51</v>
      </c>
      <c r="BJ11" s="27" t="s">
        <v>52</v>
      </c>
      <c r="BK11" s="27" t="s">
        <v>53</v>
      </c>
      <c r="BL11" s="27" t="s">
        <v>54</v>
      </c>
      <c r="BM11" s="27" t="s">
        <v>55</v>
      </c>
      <c r="BN11" s="27" t="s">
        <v>56</v>
      </c>
      <c r="BO11" s="27" t="s">
        <v>57</v>
      </c>
      <c r="BP11" s="27" t="s">
        <v>637</v>
      </c>
      <c r="BQ11" s="27" t="s">
        <v>638</v>
      </c>
      <c r="BR11" s="27" t="s">
        <v>273</v>
      </c>
      <c r="BS11" s="27" t="s">
        <v>584</v>
      </c>
      <c r="BT11" s="27"/>
      <c r="BU11" s="27"/>
      <c r="BV11" s="27"/>
      <c r="BW11" s="27"/>
      <c r="BX11" s="27"/>
      <c r="BY11" s="27"/>
      <c r="BZ11" s="27"/>
      <c r="CA11" s="27"/>
      <c r="CB11" s="27"/>
      <c r="CC11" s="63" t="s">
        <v>68</v>
      </c>
      <c r="CD11" s="63" t="s">
        <v>69</v>
      </c>
      <c r="CE11" s="63" t="s">
        <v>70</v>
      </c>
      <c r="CF11" s="63" t="s">
        <v>71</v>
      </c>
      <c r="CG11" s="63" t="s">
        <v>72</v>
      </c>
      <c r="CH11" s="63" t="s">
        <v>73</v>
      </c>
      <c r="CI11" s="63" t="s">
        <v>74</v>
      </c>
      <c r="CJ11" s="63" t="s">
        <v>75</v>
      </c>
      <c r="CK11" s="27" t="s">
        <v>585</v>
      </c>
      <c r="CL11" s="27" t="s">
        <v>586</v>
      </c>
      <c r="CM11" s="27" t="s">
        <v>587</v>
      </c>
      <c r="CN11" s="27" t="s">
        <v>588</v>
      </c>
      <c r="CO11" s="27" t="s">
        <v>80</v>
      </c>
      <c r="CP11" s="27" t="s">
        <v>81</v>
      </c>
      <c r="CQ11" s="27" t="s">
        <v>82</v>
      </c>
      <c r="CR11" s="27" t="s">
        <v>589</v>
      </c>
      <c r="CS11" s="128" t="s">
        <v>590</v>
      </c>
      <c r="CT11" s="128" t="s">
        <v>591</v>
      </c>
      <c r="CU11" s="128" t="s">
        <v>592</v>
      </c>
      <c r="CV11" s="128" t="s">
        <v>593</v>
      </c>
      <c r="CW11" s="128" t="s">
        <v>88</v>
      </c>
      <c r="CX11" s="128" t="s">
        <v>89</v>
      </c>
      <c r="CY11" s="128" t="s">
        <v>90</v>
      </c>
      <c r="CZ11" s="128" t="s">
        <v>91</v>
      </c>
      <c r="DA11" s="64" t="s">
        <v>92</v>
      </c>
      <c r="DB11" s="64" t="s">
        <v>93</v>
      </c>
      <c r="DC11" s="64" t="s">
        <v>94</v>
      </c>
      <c r="DD11" s="64" t="s">
        <v>95</v>
      </c>
      <c r="DE11" s="64" t="s">
        <v>96</v>
      </c>
      <c r="DF11" s="1"/>
      <c r="DG11" s="1"/>
      <c r="DH11" s="1"/>
      <c r="DI11" s="1"/>
      <c r="DJ11" s="1"/>
      <c r="DK11" s="1"/>
      <c r="DL11" s="1"/>
      <c r="DM11" s="1"/>
      <c r="DN11" s="1"/>
      <c r="DO11" s="1"/>
      <c r="DP11" s="1"/>
      <c r="DQ11" s="1"/>
      <c r="DR11" s="1"/>
      <c r="DS11" s="1"/>
      <c r="DT11" s="1"/>
      <c r="DU11" s="1"/>
      <c r="DV11" s="1"/>
      <c r="DW11" s="1"/>
      <c r="DX11" s="1"/>
      <c r="DY11" s="1"/>
      <c r="DZ11" s="1"/>
      <c r="EA11" s="26" t="s">
        <v>97</v>
      </c>
      <c r="EB11" s="27" t="s">
        <v>98</v>
      </c>
      <c r="EC11" s="27" t="s">
        <v>99</v>
      </c>
      <c r="ED11" s="27" t="s">
        <v>100</v>
      </c>
      <c r="EE11" s="27" t="s">
        <v>101</v>
      </c>
      <c r="EF11" s="27" t="s">
        <v>102</v>
      </c>
      <c r="EG11" s="27" t="s">
        <v>103</v>
      </c>
      <c r="EH11" s="121"/>
      <c r="EI11" s="27" t="s">
        <v>104</v>
      </c>
      <c r="EJ11" s="27" t="s">
        <v>105</v>
      </c>
      <c r="EK11" s="27" t="s">
        <v>106</v>
      </c>
      <c r="EL11" s="27" t="s">
        <v>107</v>
      </c>
      <c r="EM11" s="27" t="s">
        <v>33</v>
      </c>
      <c r="EN11" s="27" t="s">
        <v>97</v>
      </c>
      <c r="EO11" s="27" t="s">
        <v>98</v>
      </c>
      <c r="EP11" s="27" t="s">
        <v>108</v>
      </c>
      <c r="EQ11" s="27" t="s">
        <v>104</v>
      </c>
      <c r="ER11" s="27" t="s">
        <v>105</v>
      </c>
      <c r="ES11" s="27" t="s">
        <v>106</v>
      </c>
      <c r="ET11" s="27" t="s">
        <v>107</v>
      </c>
      <c r="EU11" s="27" t="s">
        <v>594</v>
      </c>
      <c r="EV11" s="64" t="s">
        <v>639</v>
      </c>
      <c r="EW11" s="27" t="s">
        <v>99</v>
      </c>
      <c r="EX11" s="64" t="s">
        <v>110</v>
      </c>
      <c r="EY11" s="64" t="s">
        <v>640</v>
      </c>
      <c r="EZ11" s="64" t="s">
        <v>111</v>
      </c>
      <c r="FA11" s="64" t="s">
        <v>112</v>
      </c>
      <c r="FB11" s="27" t="s">
        <v>641</v>
      </c>
      <c r="FC11" s="27" t="s">
        <v>642</v>
      </c>
      <c r="FD11" s="27" t="s">
        <v>643</v>
      </c>
      <c r="FE11" s="27" t="s">
        <v>644</v>
      </c>
      <c r="FF11" s="27" t="s">
        <v>645</v>
      </c>
      <c r="FG11" s="27" t="s">
        <v>646</v>
      </c>
      <c r="FH11" s="27" t="s">
        <v>647</v>
      </c>
      <c r="FI11" s="27" t="s">
        <v>648</v>
      </c>
      <c r="FJ11" s="1"/>
      <c r="FK11" s="1"/>
      <c r="FL11" s="1"/>
      <c r="FM11" s="1"/>
      <c r="FN11" s="1"/>
      <c r="FO11" s="1"/>
      <c r="FP11" s="1"/>
      <c r="FQ11" s="1"/>
    </row>
    <row r="12" spans="1:173" s="318" customFormat="1" x14ac:dyDescent="0.3">
      <c r="A12" s="304"/>
      <c r="B12" s="305">
        <v>1</v>
      </c>
      <c r="C12" s="129">
        <f>'[28]2. Distributional by deciles o'!B64</f>
        <v>1104010.0547999996</v>
      </c>
      <c r="D12" s="129">
        <f>'[28]2. Distributional by deciles o'!C64</f>
        <v>1194073.1160000004</v>
      </c>
      <c r="E12" s="129">
        <f>'[28]2. Distributional by deciles o'!D64</f>
        <v>1115047.9607999995</v>
      </c>
      <c r="F12" s="129">
        <f t="shared" ref="F12:F22" si="0">D12</f>
        <v>1194073.1160000004</v>
      </c>
      <c r="G12" s="129">
        <f>'[28]2. Distributional by deciles o'!E64</f>
        <v>1122134.9699999997</v>
      </c>
      <c r="H12" s="129">
        <f>'[28]2. Distributional by deciles o'!F64</f>
        <v>1118654.9495999997</v>
      </c>
      <c r="I12" s="129">
        <f>'[28]2. Distributional by deciles o'!G64</f>
        <v>1115324.1539999996</v>
      </c>
      <c r="J12" s="122"/>
      <c r="K12" s="130" t="s">
        <v>113</v>
      </c>
      <c r="L12" s="130" t="s">
        <v>113</v>
      </c>
      <c r="M12" s="130" t="s">
        <v>113</v>
      </c>
      <c r="N12" s="130" t="s">
        <v>113</v>
      </c>
      <c r="O12" s="131">
        <f t="shared" ref="O12:O21" si="1">C12/C$22*100</f>
        <v>6.2155539150514631E-2</v>
      </c>
      <c r="P12" s="129">
        <f>'[28]2. Distributional by deciles o'!B154</f>
        <v>261745533.33600006</v>
      </c>
      <c r="Q12" s="129">
        <f>'[28]2. Distributional by deciles o'!C154</f>
        <v>264362570.23080015</v>
      </c>
      <c r="R12" s="131">
        <f t="shared" ref="R12:R22" si="2">(Q12/P12-1)*100</f>
        <v>0.99984013535796556</v>
      </c>
      <c r="S12" s="130" t="s">
        <v>113</v>
      </c>
      <c r="T12" s="130" t="s">
        <v>113</v>
      </c>
      <c r="U12" s="130" t="s">
        <v>113</v>
      </c>
      <c r="V12" s="130" t="s">
        <v>113</v>
      </c>
      <c r="W12" s="132">
        <f t="shared" ref="W12:W22" si="3">IF(D12&lt;&gt;0,((D12-$C12)/ABS($C12)) / ($Q12/$P12-1),0)</f>
        <v>8.1591160342684876</v>
      </c>
      <c r="X12" s="132">
        <f t="shared" ref="X12:X22" si="4">IF(E12&lt;&gt;0,((E12-$C12)/ABS($C12)) / ($Q12/$P12-1),0)</f>
        <v>0.99996107870856155</v>
      </c>
      <c r="Y12" s="132">
        <f t="shared" ref="Y12:Y22" si="5">IF(F12&lt;&gt;0,MAX(((F12-$C12)/ABS($C12)) / ($Q12/$P12-1),0),0)</f>
        <v>8.1591160342684876</v>
      </c>
      <c r="Z12" s="132">
        <f t="shared" ref="Z12:Z22" si="6">IF(G12&lt;&gt;0,MAX(((G12-$C12)/ABS($C12)) / ($Q12/$P12-1),0),0)</f>
        <v>1.6419971102212172</v>
      </c>
      <c r="AA12" s="132">
        <f t="shared" ref="AA12:AA22" si="7">IF(H12&lt;&gt;0,MAX(((H12-$C12)/ABS($C12)) / ($Q12/$P12-1),0),0)</f>
        <v>1.3267303419490601</v>
      </c>
      <c r="AB12" s="132">
        <f t="shared" ref="AB12:AB22" si="8">IF(I12&lt;&gt;0,MAX(((I12-$C12)/ABS($C12)) / ($Q12/$P12-1),0),AA12)</f>
        <v>1.0249823508777633</v>
      </c>
      <c r="AC12" s="132">
        <f t="shared" ref="AC12:AC22" si="9">IF(J12&lt;&gt;0,MAX(((J12-$C12)/ABS($C12)) / ($Q12/$P12-1),0),AB12)</f>
        <v>1.0249823508777633</v>
      </c>
      <c r="AD12" s="130" t="s">
        <v>113</v>
      </c>
      <c r="AE12" s="130" t="s">
        <v>113</v>
      </c>
      <c r="AF12" s="130" t="s">
        <v>113</v>
      </c>
      <c r="AG12" s="130" t="s">
        <v>113</v>
      </c>
      <c r="AH12" s="133">
        <f t="shared" ref="AH12:AH22" si="10">MIN(W12,1)</f>
        <v>1</v>
      </c>
      <c r="AI12" s="134">
        <f t="shared" ref="AI12:AI22" si="11">IF(W12&gt;1,MAX(W12-SUM(AH12,AJ12:AO12),0),0)</f>
        <v>0</v>
      </c>
      <c r="AJ12" s="134">
        <f t="shared" ref="AJ12:AJ22" si="12">IF(W12&gt;1,MIN($W12-Y12,W12-AH12),0)</f>
        <v>0</v>
      </c>
      <c r="AK12" s="134">
        <f t="shared" ref="AK12:AK22" si="13">IF(W12&gt;1,MAX(MIN(Y12-Z12,W12-AH12-AJ12),0),0)</f>
        <v>6.5171189240472707</v>
      </c>
      <c r="AL12" s="134">
        <f t="shared" ref="AL12:AL22" si="14">IF(W12&gt;1,MAX(MIN(Z12-AA12,W12-AH12-AJ12-AK12),0),0)</f>
        <v>0.31526676827215705</v>
      </c>
      <c r="AM12" s="134">
        <f t="shared" ref="AM12:AM22" si="15">IF(I12&lt;&gt;0,IF(W12&gt;1,MAX(MIN(AA12-AB12,W12-AH12-AJ12-AK12-AL12),0),0),0)</f>
        <v>0.30174799107129679</v>
      </c>
      <c r="AN12" s="135">
        <f t="shared" ref="AN12:AN22" si="16">IF(J12&lt;&gt;0,IF(W12&gt;1,MAX(MIN(AB12-AC12,W12-AH12-AJ12-AK12-AL12-AM12),0),0),0)</f>
        <v>0</v>
      </c>
      <c r="AO12" s="134">
        <f t="shared" ref="AO12:AO22" si="17">IF(W12&gt;1,MAX(0,MIN(W12-AH12-AJ12-AK12-AL12-AM12,W12-AH12-AJ12-AK12-AL12-AM12-X12+1)),0)</f>
        <v>2.4982350877763126E-2</v>
      </c>
      <c r="AP12" s="134">
        <f t="shared" ref="AP12:AP22" si="18">AI12+AO12</f>
        <v>2.4982350877763126E-2</v>
      </c>
      <c r="AQ12" s="307" t="s">
        <v>113</v>
      </c>
      <c r="AR12" s="308">
        <f t="shared" ref="AR12:AR22" si="19">AI12/($W12-1)*100</f>
        <v>0</v>
      </c>
      <c r="AS12" s="308">
        <f t="shared" ref="AS12:AS22" si="20">AJ12/($W12-1)*100</f>
        <v>0</v>
      </c>
      <c r="AT12" s="308">
        <f t="shared" ref="AT12:AT22" si="21">AK12/($W12-1)*100</f>
        <v>91.032452789587794</v>
      </c>
      <c r="AU12" s="308">
        <f t="shared" ref="AU12:AU22" si="22">AL12/($W12-1)*100</f>
        <v>4.4037108319389144</v>
      </c>
      <c r="AV12" s="308">
        <f t="shared" ref="AV12:AV22" si="23">AM12/($W12-1)*100</f>
        <v>4.2148777813758285</v>
      </c>
      <c r="AW12" s="309">
        <f t="shared" ref="AW12:AW22" si="24">AN12/($W12-1)*100</f>
        <v>0</v>
      </c>
      <c r="AX12" s="308">
        <f t="shared" ref="AX12:AX22" si="25">AO12/($W12-1)*100</f>
        <v>0.34895859709746696</v>
      </c>
      <c r="AY12" s="308">
        <f t="shared" ref="AY12:AY22" si="26">AP12/($W12-1)*100</f>
        <v>0.34895859709746696</v>
      </c>
      <c r="AZ12" s="310" t="s">
        <v>113</v>
      </c>
      <c r="BA12" s="310" t="s">
        <v>113</v>
      </c>
      <c r="BB12" s="310" t="s">
        <v>113</v>
      </c>
      <c r="BC12" s="310" t="s">
        <v>113</v>
      </c>
      <c r="BD12" s="310" t="s">
        <v>113</v>
      </c>
      <c r="BE12" s="310" t="s">
        <v>113</v>
      </c>
      <c r="BF12" s="310" t="s">
        <v>113</v>
      </c>
      <c r="BG12" s="310" t="s">
        <v>113</v>
      </c>
      <c r="BH12" s="311">
        <f>'[28]2. Distributional by deciles o'!$B82</f>
        <v>123811150.98839998</v>
      </c>
      <c r="BI12" s="311">
        <f>'[28]2. Distributional by deciles o'!$B100</f>
        <v>126412663.46879995</v>
      </c>
      <c r="BJ12" s="311">
        <f>'[28]2. Distributional by deciles o'!$B118</f>
        <v>9796441.4267999995</v>
      </c>
      <c r="BK12" s="311">
        <f>'[28]2. Distributional by deciles o'!$B136</f>
        <v>1725249.8760000006</v>
      </c>
      <c r="BL12" s="312">
        <f t="shared" ref="BL12:BL22" si="27">BH12/SUM($BH12:$BK12)</f>
        <v>0.47302111502890554</v>
      </c>
      <c r="BM12" s="312">
        <f t="shared" ref="BM12:BM22" si="28">BI12/SUM($BH12:$BK12)</f>
        <v>0.4829602063338212</v>
      </c>
      <c r="BN12" s="312">
        <f t="shared" ref="BN12:BN22" si="29">BJ12/SUM($BH12:$BK12)</f>
        <v>3.7427352948640753E-2</v>
      </c>
      <c r="BO12" s="312">
        <f t="shared" ref="BO12:BO22" si="30">BK12/SUM($BH12:$BK12)</f>
        <v>6.5913256886325272E-3</v>
      </c>
      <c r="BP12" s="310" t="s">
        <v>113</v>
      </c>
      <c r="BQ12" s="310" t="s">
        <v>113</v>
      </c>
      <c r="BR12" s="310" t="s">
        <v>113</v>
      </c>
      <c r="BS12" s="131">
        <f t="shared" ref="BS12:BS21" si="31">P12/P$22*100</f>
        <v>1.9038072208017072</v>
      </c>
      <c r="BT12" s="310"/>
      <c r="BU12" s="310"/>
      <c r="BV12" s="310"/>
      <c r="BW12" s="310"/>
      <c r="BX12" s="310"/>
      <c r="BY12" s="310"/>
      <c r="BZ12" s="310"/>
      <c r="CA12" s="310"/>
      <c r="CB12" s="310"/>
      <c r="CC12" s="313" t="s">
        <v>113</v>
      </c>
      <c r="CD12" s="313" t="s">
        <v>113</v>
      </c>
      <c r="CE12" s="313" t="s">
        <v>113</v>
      </c>
      <c r="CF12" s="313" t="s">
        <v>113</v>
      </c>
      <c r="CG12" s="313" t="s">
        <v>113</v>
      </c>
      <c r="CH12" s="313" t="s">
        <v>113</v>
      </c>
      <c r="CI12" s="313" t="s">
        <v>113</v>
      </c>
      <c r="CJ12" s="313"/>
      <c r="CK12" s="310" t="s">
        <v>113</v>
      </c>
      <c r="CL12" s="310" t="s">
        <v>113</v>
      </c>
      <c r="CM12" s="310" t="s">
        <v>113</v>
      </c>
      <c r="CN12" s="310" t="s">
        <v>113</v>
      </c>
      <c r="CO12" s="310" t="s">
        <v>113</v>
      </c>
      <c r="CP12" s="310" t="s">
        <v>113</v>
      </c>
      <c r="CQ12" s="310" t="s">
        <v>113</v>
      </c>
      <c r="CR12" s="310"/>
      <c r="CS12" s="314" t="s">
        <v>113</v>
      </c>
      <c r="CT12" s="314" t="s">
        <v>113</v>
      </c>
      <c r="CU12" s="314" t="s">
        <v>113</v>
      </c>
      <c r="CV12" s="314" t="s">
        <v>113</v>
      </c>
      <c r="CW12" s="314" t="s">
        <v>113</v>
      </c>
      <c r="CX12" s="314" t="s">
        <v>113</v>
      </c>
      <c r="CY12" s="314" t="s">
        <v>113</v>
      </c>
      <c r="CZ12" s="314"/>
      <c r="DA12" s="310" t="s">
        <v>113</v>
      </c>
      <c r="DB12" s="310" t="s">
        <v>113</v>
      </c>
      <c r="DC12" s="310" t="s">
        <v>113</v>
      </c>
      <c r="DD12" s="315">
        <f t="shared" ref="DD12:DD22" si="32">(1-DE12)*100</f>
        <v>91.29620516683778</v>
      </c>
      <c r="DE12" s="316">
        <f>'[28]2. Distributional by deciles o'!$I28</f>
        <v>8.7037948331622123E-2</v>
      </c>
      <c r="DF12" s="304"/>
      <c r="DG12" s="304"/>
      <c r="DH12" s="304"/>
      <c r="DI12" s="304"/>
      <c r="DJ12" s="304"/>
      <c r="DK12" s="304"/>
      <c r="DL12" s="304"/>
      <c r="DM12" s="304"/>
      <c r="DN12" s="304"/>
      <c r="DO12" s="304"/>
      <c r="DP12" s="304"/>
      <c r="DQ12" s="304"/>
      <c r="DR12" s="304"/>
      <c r="DS12" s="304"/>
      <c r="DT12" s="304"/>
      <c r="DU12" s="304"/>
      <c r="DV12" s="304"/>
      <c r="DW12" s="304"/>
      <c r="DX12" s="304"/>
      <c r="DY12" s="304"/>
      <c r="DZ12" s="304"/>
      <c r="EA12" s="129">
        <f>'[29]2. Distributional by deciles o'!B64</f>
        <v>2540229.3720000004</v>
      </c>
      <c r="EB12" s="129">
        <f>'[29]2. Distributional by deciles o'!C64</f>
        <v>2676423.2256</v>
      </c>
      <c r="EC12" s="129">
        <f>'[29]2. Distributional by deciles o'!D64</f>
        <v>2547379.6056000004</v>
      </c>
      <c r="ED12" s="129">
        <f t="shared" ref="ED12:ED22" si="33">EB12</f>
        <v>2676423.2256</v>
      </c>
      <c r="EE12" s="129">
        <f>'[29]2. Distributional by deciles o'!E64</f>
        <v>2576211.5543999998</v>
      </c>
      <c r="EF12" s="129">
        <f>'[29]2. Distributional by deciles o'!F64</f>
        <v>2572241.9844000004</v>
      </c>
      <c r="EG12" s="129"/>
      <c r="EH12" s="122"/>
      <c r="EI12" s="130" t="s">
        <v>113</v>
      </c>
      <c r="EJ12" s="130" t="s">
        <v>113</v>
      </c>
      <c r="EK12" s="130" t="s">
        <v>113</v>
      </c>
      <c r="EL12" s="130" t="s">
        <v>113</v>
      </c>
      <c r="EM12" s="131">
        <f t="shared" ref="EM12:EM21" si="34">EA12/EA$22*100</f>
        <v>9.5599347251996383E-2</v>
      </c>
      <c r="EN12" s="146">
        <f>'[30]2. Distributional by deciles o'!B154</f>
        <v>362715371.51759982</v>
      </c>
      <c r="EO12" s="146">
        <f>'[30]2. Distributional by deciles o'!C154</f>
        <v>366342863.17560023</v>
      </c>
      <c r="EP12" s="131">
        <f t="shared" ref="EP12:EP22" si="35">(EO12/EN12-1)*100</f>
        <v>1.000093170251648</v>
      </c>
      <c r="EQ12" s="130" t="s">
        <v>113</v>
      </c>
      <c r="ER12" s="130" t="s">
        <v>113</v>
      </c>
      <c r="ES12" s="130" t="s">
        <v>113</v>
      </c>
      <c r="ET12" s="130" t="s">
        <v>113</v>
      </c>
      <c r="EU12" s="131">
        <f t="shared" ref="EU12:EU21" si="36">EN12/EN$22*100</f>
        <v>1.9111609741770703</v>
      </c>
      <c r="EV12" s="306">
        <f t="shared" ref="EV12:EV22" si="37">((EB12-$EA12)/ABS($EA12)) / ($EO12/$EN12-1)</f>
        <v>5.3609790937624826</v>
      </c>
      <c r="EW12" s="306">
        <f t="shared" ref="EW12:EW22" si="38">IF(EC12&lt;&gt;0,((EC12-$EA12)/ABS($EA12)) / ($EO12/$EN12-1),0)</f>
        <v>0.28145361800026003</v>
      </c>
      <c r="EX12" s="306"/>
      <c r="EY12" s="317">
        <f t="shared" ref="EY12:EY22" si="39">EV12-W12</f>
        <v>-2.798136940506005</v>
      </c>
      <c r="EZ12" s="315">
        <f t="shared" ref="EZ12:EZ22" si="40">(1-FA12)*100</f>
        <v>90.879233829197929</v>
      </c>
      <c r="FA12" s="316">
        <f>'[31]2. Distributional by deciles o'!$I28</f>
        <v>9.1207661708020749E-2</v>
      </c>
      <c r="FB12" s="130" t="s">
        <v>113</v>
      </c>
      <c r="FC12" s="130" t="s">
        <v>113</v>
      </c>
      <c r="FD12" s="130" t="s">
        <v>113</v>
      </c>
      <c r="FE12" s="130" t="s">
        <v>113</v>
      </c>
      <c r="FF12" s="130" t="s">
        <v>113</v>
      </c>
      <c r="FG12" s="130" t="s">
        <v>113</v>
      </c>
      <c r="FH12" s="130" t="s">
        <v>113</v>
      </c>
      <c r="FI12" s="130" t="s">
        <v>113</v>
      </c>
      <c r="FJ12" s="304"/>
      <c r="FK12" s="304"/>
      <c r="FL12" s="304"/>
      <c r="FM12" s="304"/>
      <c r="FN12" s="304"/>
      <c r="FO12" s="304"/>
      <c r="FP12" s="304"/>
      <c r="FQ12" s="304"/>
    </row>
    <row r="13" spans="1:173" s="318" customFormat="1" x14ac:dyDescent="0.3">
      <c r="A13" s="304"/>
      <c r="B13" s="305">
        <v>2</v>
      </c>
      <c r="C13" s="129">
        <f>'[28]2. Distributional by deciles o'!B65</f>
        <v>6562276.0596000021</v>
      </c>
      <c r="D13" s="129">
        <f>'[28]2. Distributional by deciles o'!C65</f>
        <v>7192143.2735999962</v>
      </c>
      <c r="E13" s="129">
        <f>'[28]2. Distributional by deciles o'!D65</f>
        <v>6628483.174800002</v>
      </c>
      <c r="F13" s="129">
        <f t="shared" si="0"/>
        <v>7192143.2735999962</v>
      </c>
      <c r="G13" s="129">
        <f>'[28]2. Distributional by deciles o'!E65</f>
        <v>6657965.5656000031</v>
      </c>
      <c r="H13" s="129">
        <f>'[28]2. Distributional by deciles o'!F65</f>
        <v>6636236.4804000016</v>
      </c>
      <c r="I13" s="129">
        <f>'[28]2. Distributional by deciles o'!G65</f>
        <v>6628745.8164000018</v>
      </c>
      <c r="J13" s="122"/>
      <c r="K13" s="130" t="s">
        <v>113</v>
      </c>
      <c r="L13" s="130" t="s">
        <v>113</v>
      </c>
      <c r="M13" s="130" t="s">
        <v>113</v>
      </c>
      <c r="N13" s="130" t="s">
        <v>113</v>
      </c>
      <c r="O13" s="131">
        <f t="shared" si="1"/>
        <v>0.36945479324719005</v>
      </c>
      <c r="P13" s="129">
        <f>'[28]2. Distributional by deciles o'!B155</f>
        <v>629332381.62360072</v>
      </c>
      <c r="Q13" s="129">
        <f>'[28]2. Distributional by deciles o'!C155</f>
        <v>635625439.53839922</v>
      </c>
      <c r="R13" s="131">
        <f t="shared" si="2"/>
        <v>0.99995774864836129</v>
      </c>
      <c r="S13" s="130" t="s">
        <v>113</v>
      </c>
      <c r="T13" s="130" t="s">
        <v>113</v>
      </c>
      <c r="U13" s="130" t="s">
        <v>113</v>
      </c>
      <c r="V13" s="130" t="s">
        <v>113</v>
      </c>
      <c r="W13" s="132">
        <f t="shared" si="3"/>
        <v>9.5987096876873075</v>
      </c>
      <c r="X13" s="132">
        <f t="shared" si="4"/>
        <v>1.0089473843673888</v>
      </c>
      <c r="Y13" s="132">
        <f t="shared" si="5"/>
        <v>9.5987096876873075</v>
      </c>
      <c r="Z13" s="132">
        <f t="shared" si="6"/>
        <v>1.4582371773556557</v>
      </c>
      <c r="AA13" s="132">
        <f t="shared" si="7"/>
        <v>1.1271020174712438</v>
      </c>
      <c r="AB13" s="132">
        <f t="shared" si="8"/>
        <v>1.0129498477664558</v>
      </c>
      <c r="AC13" s="132">
        <f t="shared" si="9"/>
        <v>1.0129498477664558</v>
      </c>
      <c r="AD13" s="130" t="s">
        <v>113</v>
      </c>
      <c r="AE13" s="130" t="s">
        <v>113</v>
      </c>
      <c r="AF13" s="130" t="s">
        <v>113</v>
      </c>
      <c r="AG13" s="130" t="s">
        <v>113</v>
      </c>
      <c r="AH13" s="133">
        <f t="shared" si="10"/>
        <v>1</v>
      </c>
      <c r="AI13" s="134">
        <f t="shared" si="11"/>
        <v>8.9473843673903986E-3</v>
      </c>
      <c r="AJ13" s="134">
        <f t="shared" si="12"/>
        <v>0</v>
      </c>
      <c r="AK13" s="134">
        <f t="shared" si="13"/>
        <v>8.1404725103316515</v>
      </c>
      <c r="AL13" s="134">
        <f t="shared" si="14"/>
        <v>0.33113515988441189</v>
      </c>
      <c r="AM13" s="134">
        <f t="shared" si="15"/>
        <v>0.11415216970478803</v>
      </c>
      <c r="AN13" s="135">
        <f t="shared" si="16"/>
        <v>0</v>
      </c>
      <c r="AO13" s="134">
        <f t="shared" si="17"/>
        <v>4.0024633990671799E-3</v>
      </c>
      <c r="AP13" s="134">
        <f t="shared" si="18"/>
        <v>1.2949847766457578E-2</v>
      </c>
      <c r="AQ13" s="307" t="s">
        <v>113</v>
      </c>
      <c r="AR13" s="308">
        <f t="shared" si="19"/>
        <v>0.10405496513276133</v>
      </c>
      <c r="AS13" s="308">
        <f t="shared" si="20"/>
        <v>0</v>
      </c>
      <c r="AT13" s="308">
        <f t="shared" si="21"/>
        <v>94.670861164067261</v>
      </c>
      <c r="AU13" s="308">
        <f t="shared" si="22"/>
        <v>3.8509866237090433</v>
      </c>
      <c r="AV13" s="308">
        <f t="shared" si="23"/>
        <v>1.3275499912300235</v>
      </c>
      <c r="AW13" s="309">
        <f t="shared" si="24"/>
        <v>0</v>
      </c>
      <c r="AX13" s="308">
        <f t="shared" si="25"/>
        <v>4.6547255860939232E-2</v>
      </c>
      <c r="AY13" s="308">
        <f t="shared" si="26"/>
        <v>0.15060222099370055</v>
      </c>
      <c r="AZ13" s="310" t="s">
        <v>113</v>
      </c>
      <c r="BA13" s="310" t="s">
        <v>113</v>
      </c>
      <c r="BB13" s="310" t="s">
        <v>113</v>
      </c>
      <c r="BC13" s="310" t="s">
        <v>113</v>
      </c>
      <c r="BD13" s="310" t="s">
        <v>113</v>
      </c>
      <c r="BE13" s="310" t="s">
        <v>113</v>
      </c>
      <c r="BF13" s="310" t="s">
        <v>113</v>
      </c>
      <c r="BG13" s="310" t="s">
        <v>113</v>
      </c>
      <c r="BH13" s="311">
        <f>'[28]2. Distributional by deciles o'!$B83</f>
        <v>188764872.36960003</v>
      </c>
      <c r="BI13" s="311">
        <f>'[28]2. Distributional by deciles o'!$B101</f>
        <v>433293472.35239929</v>
      </c>
      <c r="BJ13" s="311">
        <f>'[28]2. Distributional by deciles o'!$B119</f>
        <v>4653546.5328000002</v>
      </c>
      <c r="BK13" s="311">
        <f>'[28]2. Distributional by deciles o'!$B137</f>
        <v>2620606.2863999996</v>
      </c>
      <c r="BL13" s="312">
        <f t="shared" si="27"/>
        <v>0.29994458113493899</v>
      </c>
      <c r="BM13" s="312">
        <f t="shared" si="28"/>
        <v>0.68849689797567426</v>
      </c>
      <c r="BN13" s="312">
        <f t="shared" si="29"/>
        <v>7.3944163871743429E-3</v>
      </c>
      <c r="BO13" s="312">
        <f t="shared" si="30"/>
        <v>4.1641045022125876E-3</v>
      </c>
      <c r="BP13" s="310" t="s">
        <v>113</v>
      </c>
      <c r="BQ13" s="310" t="s">
        <v>113</v>
      </c>
      <c r="BR13" s="310" t="s">
        <v>113</v>
      </c>
      <c r="BS13" s="131">
        <f t="shared" si="31"/>
        <v>4.5774516842712369</v>
      </c>
      <c r="BT13" s="310"/>
      <c r="BU13" s="310"/>
      <c r="BV13" s="310"/>
      <c r="BW13" s="310"/>
      <c r="BX13" s="310"/>
      <c r="BY13" s="310"/>
      <c r="BZ13" s="310"/>
      <c r="CA13" s="310"/>
      <c r="CB13" s="310"/>
      <c r="CC13" s="313" t="s">
        <v>113</v>
      </c>
      <c r="CD13" s="313" t="s">
        <v>113</v>
      </c>
      <c r="CE13" s="313" t="s">
        <v>113</v>
      </c>
      <c r="CF13" s="313" t="s">
        <v>113</v>
      </c>
      <c r="CG13" s="313" t="s">
        <v>113</v>
      </c>
      <c r="CH13" s="313" t="s">
        <v>113</v>
      </c>
      <c r="CI13" s="313" t="s">
        <v>113</v>
      </c>
      <c r="CJ13" s="313"/>
      <c r="CK13" s="310" t="s">
        <v>113</v>
      </c>
      <c r="CL13" s="310" t="s">
        <v>113</v>
      </c>
      <c r="CM13" s="310" t="s">
        <v>113</v>
      </c>
      <c r="CN13" s="310" t="s">
        <v>113</v>
      </c>
      <c r="CO13" s="310" t="s">
        <v>113</v>
      </c>
      <c r="CP13" s="310" t="s">
        <v>113</v>
      </c>
      <c r="CQ13" s="310" t="s">
        <v>113</v>
      </c>
      <c r="CR13" s="310"/>
      <c r="CS13" s="314" t="s">
        <v>113</v>
      </c>
      <c r="CT13" s="314" t="s">
        <v>113</v>
      </c>
      <c r="CU13" s="314" t="s">
        <v>113</v>
      </c>
      <c r="CV13" s="314" t="s">
        <v>113</v>
      </c>
      <c r="CW13" s="314" t="s">
        <v>113</v>
      </c>
      <c r="CX13" s="314" t="s">
        <v>113</v>
      </c>
      <c r="CY13" s="314" t="s">
        <v>113</v>
      </c>
      <c r="CZ13" s="314"/>
      <c r="DA13" s="310" t="s">
        <v>113</v>
      </c>
      <c r="DB13" s="310" t="s">
        <v>113</v>
      </c>
      <c r="DC13" s="310" t="s">
        <v>113</v>
      </c>
      <c r="DD13" s="315">
        <f t="shared" si="32"/>
        <v>53.441297485679328</v>
      </c>
      <c r="DE13" s="316">
        <f>'[28]2. Distributional by deciles o'!$I29</f>
        <v>0.46558702514320671</v>
      </c>
      <c r="DF13" s="304"/>
      <c r="DG13" s="304"/>
      <c r="DH13" s="304"/>
      <c r="DI13" s="304"/>
      <c r="DJ13" s="304"/>
      <c r="DK13" s="304"/>
      <c r="DL13" s="304"/>
      <c r="DM13" s="304"/>
      <c r="DN13" s="304"/>
      <c r="DO13" s="304"/>
      <c r="DP13" s="304"/>
      <c r="DQ13" s="304"/>
      <c r="DR13" s="304"/>
      <c r="DS13" s="304"/>
      <c r="DT13" s="304"/>
      <c r="DU13" s="304"/>
      <c r="DV13" s="304"/>
      <c r="DW13" s="304"/>
      <c r="DX13" s="304"/>
      <c r="DY13" s="304"/>
      <c r="DZ13" s="304"/>
      <c r="EA13" s="129">
        <f>'[29]2. Distributional by deciles o'!B65</f>
        <v>11144118.446400005</v>
      </c>
      <c r="EB13" s="129">
        <f>'[29]2. Distributional by deciles o'!C65</f>
        <v>11962046.323200002</v>
      </c>
      <c r="EC13" s="129">
        <f>'[29]2. Distributional by deciles o'!D65</f>
        <v>11237956.873200001</v>
      </c>
      <c r="ED13" s="129">
        <f t="shared" si="33"/>
        <v>11962046.323200002</v>
      </c>
      <c r="EE13" s="129">
        <f>'[29]2. Distributional by deciles o'!E65</f>
        <v>11614446.326399989</v>
      </c>
      <c r="EF13" s="129">
        <f>'[29]2. Distributional by deciles o'!F65</f>
        <v>11598128.893199995</v>
      </c>
      <c r="EG13" s="129"/>
      <c r="EH13" s="122"/>
      <c r="EI13" s="130" t="s">
        <v>113</v>
      </c>
      <c r="EJ13" s="130" t="s">
        <v>113</v>
      </c>
      <c r="EK13" s="130" t="s">
        <v>113</v>
      </c>
      <c r="EL13" s="130" t="s">
        <v>113</v>
      </c>
      <c r="EM13" s="131">
        <f t="shared" si="34"/>
        <v>0.41939931130548808</v>
      </c>
      <c r="EN13" s="146">
        <f>'[30]2. Distributional by deciles o'!B155</f>
        <v>866987347.74599957</v>
      </c>
      <c r="EO13" s="146">
        <f>'[30]2. Distributional by deciles o'!C155</f>
        <v>875657472.23040032</v>
      </c>
      <c r="EP13" s="131">
        <f t="shared" si="35"/>
        <v>1.0000289516267413</v>
      </c>
      <c r="EQ13" s="130" t="s">
        <v>113</v>
      </c>
      <c r="ER13" s="130" t="s">
        <v>113</v>
      </c>
      <c r="ES13" s="130" t="s">
        <v>113</v>
      </c>
      <c r="ET13" s="130" t="s">
        <v>113</v>
      </c>
      <c r="EU13" s="131">
        <f t="shared" si="36"/>
        <v>4.5681890381010222</v>
      </c>
      <c r="EV13" s="306">
        <f t="shared" si="37"/>
        <v>7.3393351037756309</v>
      </c>
      <c r="EW13" s="306">
        <f t="shared" si="38"/>
        <v>0.84202003554488947</v>
      </c>
      <c r="EX13" s="306"/>
      <c r="EY13" s="317">
        <f t="shared" si="39"/>
        <v>-2.2593745839116766</v>
      </c>
      <c r="EZ13" s="315">
        <f t="shared" si="40"/>
        <v>57.869446460276208</v>
      </c>
      <c r="FA13" s="316">
        <f>'[31]2. Distributional by deciles o'!$I29</f>
        <v>0.42130553539723797</v>
      </c>
      <c r="FB13" s="130" t="s">
        <v>113</v>
      </c>
      <c r="FC13" s="130" t="s">
        <v>113</v>
      </c>
      <c r="FD13" s="130" t="s">
        <v>113</v>
      </c>
      <c r="FE13" s="130" t="s">
        <v>113</v>
      </c>
      <c r="FF13" s="130" t="s">
        <v>113</v>
      </c>
      <c r="FG13" s="130" t="s">
        <v>113</v>
      </c>
      <c r="FH13" s="130" t="s">
        <v>113</v>
      </c>
      <c r="FI13" s="130" t="s">
        <v>113</v>
      </c>
      <c r="FJ13" s="304"/>
      <c r="FK13" s="304"/>
      <c r="FL13" s="304"/>
      <c r="FM13" s="304"/>
      <c r="FN13" s="304"/>
      <c r="FO13" s="304"/>
      <c r="FP13" s="304"/>
      <c r="FQ13" s="304"/>
    </row>
    <row r="14" spans="1:173" s="318" customFormat="1" x14ac:dyDescent="0.3">
      <c r="A14" s="304"/>
      <c r="B14" s="305">
        <v>3</v>
      </c>
      <c r="C14" s="129">
        <f>'[28]2. Distributional by deciles o'!B66</f>
        <v>22046461.009199977</v>
      </c>
      <c r="D14" s="129">
        <f>'[28]2. Distributional by deciles o'!C66</f>
        <v>23150379.535199981</v>
      </c>
      <c r="E14" s="129">
        <f>'[28]2. Distributional by deciles o'!D66</f>
        <v>22269022.535999998</v>
      </c>
      <c r="F14" s="129">
        <f t="shared" si="0"/>
        <v>23150379.535199981</v>
      </c>
      <c r="G14" s="129">
        <f>'[28]2. Distributional by deciles o'!E66</f>
        <v>22311056.873999998</v>
      </c>
      <c r="H14" s="129">
        <f>'[28]2. Distributional by deciles o'!F66</f>
        <v>22280898.731999997</v>
      </c>
      <c r="I14" s="129">
        <f>'[28]2. Distributional by deciles o'!G66</f>
        <v>22269728.680799998</v>
      </c>
      <c r="J14" s="122"/>
      <c r="K14" s="130" t="s">
        <v>113</v>
      </c>
      <c r="L14" s="130" t="s">
        <v>113</v>
      </c>
      <c r="M14" s="130" t="s">
        <v>113</v>
      </c>
      <c r="N14" s="130" t="s">
        <v>113</v>
      </c>
      <c r="O14" s="131">
        <f t="shared" si="1"/>
        <v>1.2412112230588936</v>
      </c>
      <c r="P14" s="129">
        <f>'[28]2. Distributional by deciles o'!B156</f>
        <v>715122449.48399973</v>
      </c>
      <c r="Q14" s="129">
        <f>'[28]2. Distributional by deciles o'!C156</f>
        <v>722272937.90040028</v>
      </c>
      <c r="R14" s="131">
        <f t="shared" si="2"/>
        <v>0.99989706959415781</v>
      </c>
      <c r="S14" s="130" t="s">
        <v>113</v>
      </c>
      <c r="T14" s="130" t="s">
        <v>113</v>
      </c>
      <c r="U14" s="130" t="s">
        <v>113</v>
      </c>
      <c r="V14" s="130" t="s">
        <v>113</v>
      </c>
      <c r="W14" s="132">
        <f t="shared" si="3"/>
        <v>5.0077523282219527</v>
      </c>
      <c r="X14" s="132">
        <f t="shared" si="4"/>
        <v>1.0096152730074177</v>
      </c>
      <c r="Y14" s="132">
        <f t="shared" si="5"/>
        <v>5.0077523282219527</v>
      </c>
      <c r="Z14" s="132">
        <f t="shared" si="6"/>
        <v>1.2002974194041212</v>
      </c>
      <c r="AA14" s="132">
        <f t="shared" si="7"/>
        <v>1.0634897635324667</v>
      </c>
      <c r="AB14" s="132">
        <f t="shared" si="8"/>
        <v>1.0128185875482782</v>
      </c>
      <c r="AC14" s="132">
        <f t="shared" si="9"/>
        <v>1.0128185875482782</v>
      </c>
      <c r="AD14" s="130" t="s">
        <v>113</v>
      </c>
      <c r="AE14" s="130" t="s">
        <v>113</v>
      </c>
      <c r="AF14" s="130" t="s">
        <v>113</v>
      </c>
      <c r="AG14" s="130" t="s">
        <v>113</v>
      </c>
      <c r="AH14" s="133">
        <f t="shared" si="10"/>
        <v>1</v>
      </c>
      <c r="AI14" s="134">
        <f t="shared" si="11"/>
        <v>9.6152730074177128E-3</v>
      </c>
      <c r="AJ14" s="134">
        <f t="shared" si="12"/>
        <v>0</v>
      </c>
      <c r="AK14" s="134">
        <f t="shared" si="13"/>
        <v>3.8074549088178316</v>
      </c>
      <c r="AL14" s="134">
        <f t="shared" si="14"/>
        <v>0.13680765587165444</v>
      </c>
      <c r="AM14" s="134">
        <f t="shared" si="15"/>
        <v>5.0671175984188466E-2</v>
      </c>
      <c r="AN14" s="135">
        <f t="shared" si="16"/>
        <v>0</v>
      </c>
      <c r="AO14" s="134">
        <f t="shared" si="17"/>
        <v>3.2033145408605357E-3</v>
      </c>
      <c r="AP14" s="134">
        <f t="shared" si="18"/>
        <v>1.2818587548278249E-2</v>
      </c>
      <c r="AQ14" s="307" t="s">
        <v>113</v>
      </c>
      <c r="AR14" s="308">
        <f t="shared" si="19"/>
        <v>0.23991684665014087</v>
      </c>
      <c r="AS14" s="308">
        <f t="shared" si="20"/>
        <v>0</v>
      </c>
      <c r="AT14" s="308">
        <f t="shared" si="21"/>
        <v>95.002250563397865</v>
      </c>
      <c r="AU14" s="308">
        <f t="shared" si="22"/>
        <v>3.413575607162068</v>
      </c>
      <c r="AV14" s="308">
        <f t="shared" si="23"/>
        <v>1.2643290262067874</v>
      </c>
      <c r="AW14" s="309">
        <f t="shared" si="24"/>
        <v>0</v>
      </c>
      <c r="AX14" s="308">
        <f t="shared" si="25"/>
        <v>7.9927956583127791E-2</v>
      </c>
      <c r="AY14" s="308">
        <f t="shared" si="26"/>
        <v>0.31984480323326869</v>
      </c>
      <c r="AZ14" s="310" t="s">
        <v>113</v>
      </c>
      <c r="BA14" s="310" t="s">
        <v>113</v>
      </c>
      <c r="BB14" s="310" t="s">
        <v>113</v>
      </c>
      <c r="BC14" s="310" t="s">
        <v>113</v>
      </c>
      <c r="BD14" s="310" t="s">
        <v>113</v>
      </c>
      <c r="BE14" s="310" t="s">
        <v>113</v>
      </c>
      <c r="BF14" s="310" t="s">
        <v>113</v>
      </c>
      <c r="BG14" s="310" t="s">
        <v>113</v>
      </c>
      <c r="BH14" s="311">
        <f>'[28]2. Distributional by deciles o'!$B84</f>
        <v>306222312.87839979</v>
      </c>
      <c r="BI14" s="311">
        <f>'[28]2. Distributional by deciles o'!$B102</f>
        <v>392735477.22119999</v>
      </c>
      <c r="BJ14" s="311">
        <f>'[28]2. Distributional by deciles o'!$B120</f>
        <v>9343143.502799999</v>
      </c>
      <c r="BK14" s="311">
        <f>'[28]2. Distributional by deciles o'!$B138</f>
        <v>6821862.5004000068</v>
      </c>
      <c r="BL14" s="312">
        <f t="shared" si="27"/>
        <v>0.42820941319059824</v>
      </c>
      <c r="BM14" s="312">
        <f t="shared" si="28"/>
        <v>0.54918606896813804</v>
      </c>
      <c r="BN14" s="312">
        <f t="shared" si="29"/>
        <v>1.3065089735241651E-2</v>
      </c>
      <c r="BO14" s="312">
        <f t="shared" si="30"/>
        <v>9.5394281060218848E-3</v>
      </c>
      <c r="BP14" s="310" t="s">
        <v>113</v>
      </c>
      <c r="BQ14" s="310" t="s">
        <v>113</v>
      </c>
      <c r="BR14" s="310" t="s">
        <v>113</v>
      </c>
      <c r="BS14" s="131">
        <f t="shared" si="31"/>
        <v>5.2014460981741246</v>
      </c>
      <c r="BT14" s="310"/>
      <c r="BU14" s="310"/>
      <c r="BV14" s="310"/>
      <c r="BW14" s="310"/>
      <c r="BX14" s="310"/>
      <c r="BY14" s="310"/>
      <c r="BZ14" s="310"/>
      <c r="CA14" s="310"/>
      <c r="CB14" s="310"/>
      <c r="CC14" s="313" t="s">
        <v>113</v>
      </c>
      <c r="CD14" s="313" t="s">
        <v>113</v>
      </c>
      <c r="CE14" s="313" t="s">
        <v>113</v>
      </c>
      <c r="CF14" s="313" t="s">
        <v>113</v>
      </c>
      <c r="CG14" s="313" t="s">
        <v>113</v>
      </c>
      <c r="CH14" s="313" t="s">
        <v>113</v>
      </c>
      <c r="CI14" s="313" t="s">
        <v>113</v>
      </c>
      <c r="CJ14" s="313"/>
      <c r="CK14" s="310" t="s">
        <v>113</v>
      </c>
      <c r="CL14" s="310" t="s">
        <v>113</v>
      </c>
      <c r="CM14" s="310" t="s">
        <v>113</v>
      </c>
      <c r="CN14" s="310" t="s">
        <v>113</v>
      </c>
      <c r="CO14" s="310" t="s">
        <v>113</v>
      </c>
      <c r="CP14" s="310" t="s">
        <v>113</v>
      </c>
      <c r="CQ14" s="310" t="s">
        <v>113</v>
      </c>
      <c r="CR14" s="310"/>
      <c r="CS14" s="314" t="s">
        <v>113</v>
      </c>
      <c r="CT14" s="314" t="s">
        <v>113</v>
      </c>
      <c r="CU14" s="314" t="s">
        <v>113</v>
      </c>
      <c r="CV14" s="314" t="s">
        <v>113</v>
      </c>
      <c r="CW14" s="314" t="s">
        <v>113</v>
      </c>
      <c r="CX14" s="314" t="s">
        <v>113</v>
      </c>
      <c r="CY14" s="314" t="s">
        <v>113</v>
      </c>
      <c r="CZ14" s="314"/>
      <c r="DA14" s="310" t="s">
        <v>113</v>
      </c>
      <c r="DB14" s="310" t="s">
        <v>113</v>
      </c>
      <c r="DC14" s="310" t="s">
        <v>113</v>
      </c>
      <c r="DD14" s="315">
        <f t="shared" si="32"/>
        <v>10.248820903517331</v>
      </c>
      <c r="DE14" s="316">
        <f>'[28]2. Distributional by deciles o'!$I30</f>
        <v>0.89751179096482669</v>
      </c>
      <c r="DF14" s="304"/>
      <c r="DG14" s="304"/>
      <c r="DH14" s="304"/>
      <c r="DI14" s="304"/>
      <c r="DJ14" s="304"/>
      <c r="DK14" s="304"/>
      <c r="DL14" s="304"/>
      <c r="DM14" s="304"/>
      <c r="DN14" s="304"/>
      <c r="DO14" s="304"/>
      <c r="DP14" s="304"/>
      <c r="DQ14" s="304"/>
      <c r="DR14" s="304"/>
      <c r="DS14" s="304"/>
      <c r="DT14" s="304"/>
      <c r="DU14" s="304"/>
      <c r="DV14" s="304"/>
      <c r="DW14" s="304"/>
      <c r="DX14" s="304"/>
      <c r="DY14" s="304"/>
      <c r="DZ14" s="304"/>
      <c r="EA14" s="129">
        <f>'[29]2. Distributional by deciles o'!B66</f>
        <v>35313138.298799984</v>
      </c>
      <c r="EB14" s="129">
        <f>'[29]2. Distributional by deciles o'!C66</f>
        <v>36867283.881599985</v>
      </c>
      <c r="EC14" s="129">
        <f>'[29]2. Distributional by deciles o'!D66</f>
        <v>35652738.553200029</v>
      </c>
      <c r="ED14" s="129">
        <f t="shared" si="33"/>
        <v>36867283.881599985</v>
      </c>
      <c r="EE14" s="129">
        <f>'[29]2. Distributional by deciles o'!E66</f>
        <v>36138930.696000032</v>
      </c>
      <c r="EF14" s="129">
        <f>'[29]2. Distributional by deciles o'!F66</f>
        <v>36116221.290000007</v>
      </c>
      <c r="EG14" s="129"/>
      <c r="EH14" s="122"/>
      <c r="EI14" s="130" t="s">
        <v>113</v>
      </c>
      <c r="EJ14" s="130" t="s">
        <v>113</v>
      </c>
      <c r="EK14" s="130" t="s">
        <v>113</v>
      </c>
      <c r="EL14" s="130" t="s">
        <v>113</v>
      </c>
      <c r="EM14" s="131">
        <f t="shared" si="34"/>
        <v>1.3289795827086248</v>
      </c>
      <c r="EN14" s="146">
        <f>'[30]2. Distributional by deciles o'!B156</f>
        <v>979638517.33560038</v>
      </c>
      <c r="EO14" s="146">
        <f>'[30]2. Distributional by deciles o'!C156</f>
        <v>989434855.47960067</v>
      </c>
      <c r="EP14" s="131">
        <f t="shared" si="35"/>
        <v>0.99999519931537328</v>
      </c>
      <c r="EQ14" s="130" t="s">
        <v>113</v>
      </c>
      <c r="ER14" s="130" t="s">
        <v>113</v>
      </c>
      <c r="ES14" s="130" t="s">
        <v>113</v>
      </c>
      <c r="ET14" s="130" t="s">
        <v>113</v>
      </c>
      <c r="EU14" s="131">
        <f t="shared" si="36"/>
        <v>5.1617522998791383</v>
      </c>
      <c r="EV14" s="306">
        <f t="shared" si="37"/>
        <v>4.4010618106163601</v>
      </c>
      <c r="EW14" s="306">
        <f t="shared" si="38"/>
        <v>0.96168706912444601</v>
      </c>
      <c r="EX14" s="306"/>
      <c r="EY14" s="317">
        <f t="shared" si="39"/>
        <v>-0.60669051760559256</v>
      </c>
      <c r="EZ14" s="315">
        <f t="shared" si="40"/>
        <v>15.557065882803977</v>
      </c>
      <c r="FA14" s="316">
        <f>'[31]2. Distributional by deciles o'!$I30</f>
        <v>0.84442934117196022</v>
      </c>
      <c r="FB14" s="130" t="s">
        <v>113</v>
      </c>
      <c r="FC14" s="130" t="s">
        <v>113</v>
      </c>
      <c r="FD14" s="130" t="s">
        <v>113</v>
      </c>
      <c r="FE14" s="130" t="s">
        <v>113</v>
      </c>
      <c r="FF14" s="130" t="s">
        <v>113</v>
      </c>
      <c r="FG14" s="130" t="s">
        <v>113</v>
      </c>
      <c r="FH14" s="130" t="s">
        <v>113</v>
      </c>
      <c r="FI14" s="130" t="s">
        <v>113</v>
      </c>
      <c r="FJ14" s="304"/>
      <c r="FK14" s="304"/>
      <c r="FL14" s="304"/>
      <c r="FM14" s="304"/>
      <c r="FN14" s="304"/>
      <c r="FO14" s="304"/>
      <c r="FP14" s="304"/>
      <c r="FQ14" s="304"/>
    </row>
    <row r="15" spans="1:173" s="318" customFormat="1" x14ac:dyDescent="0.3">
      <c r="A15" s="304"/>
      <c r="B15" s="305">
        <v>4</v>
      </c>
      <c r="C15" s="129">
        <f>'[28]2. Distributional by deciles o'!B67</f>
        <v>51565953.213599965</v>
      </c>
      <c r="D15" s="129">
        <f>'[28]2. Distributional by deciles o'!C67</f>
        <v>53179781.383199997</v>
      </c>
      <c r="E15" s="129">
        <f>'[28]2. Distributional by deciles o'!D67</f>
        <v>52085839.49279999</v>
      </c>
      <c r="F15" s="129">
        <f t="shared" si="0"/>
        <v>53179781.383199997</v>
      </c>
      <c r="G15" s="129">
        <f>'[28]2. Distributional by deciles o'!E67</f>
        <v>52141788.261600003</v>
      </c>
      <c r="H15" s="129">
        <f>'[28]2. Distributional by deciles o'!F67</f>
        <v>52102743.342</v>
      </c>
      <c r="I15" s="129">
        <f>'[28]2. Distributional by deciles o'!G67</f>
        <v>52088184.812399998</v>
      </c>
      <c r="J15" s="122"/>
      <c r="K15" s="130" t="s">
        <v>113</v>
      </c>
      <c r="L15" s="130" t="s">
        <v>113</v>
      </c>
      <c r="M15" s="130" t="s">
        <v>113</v>
      </c>
      <c r="N15" s="130" t="s">
        <v>113</v>
      </c>
      <c r="O15" s="131">
        <f t="shared" si="1"/>
        <v>2.9031525662890365</v>
      </c>
      <c r="P15" s="129">
        <f>'[28]2. Distributional by deciles o'!B157</f>
        <v>837272297.86199999</v>
      </c>
      <c r="Q15" s="129">
        <f>'[28]2. Distributional by deciles o'!C157</f>
        <v>845644724.97119999</v>
      </c>
      <c r="R15" s="131">
        <f t="shared" si="2"/>
        <v>0.9999646627004477</v>
      </c>
      <c r="S15" s="130" t="s">
        <v>113</v>
      </c>
      <c r="T15" s="130" t="s">
        <v>113</v>
      </c>
      <c r="U15" s="130" t="s">
        <v>113</v>
      </c>
      <c r="V15" s="130" t="s">
        <v>113</v>
      </c>
      <c r="W15" s="132">
        <f t="shared" si="3"/>
        <v>3.129749571892217</v>
      </c>
      <c r="X15" s="132">
        <f t="shared" si="4"/>
        <v>1.0082324069000332</v>
      </c>
      <c r="Y15" s="132">
        <f t="shared" si="5"/>
        <v>3.129749571892217</v>
      </c>
      <c r="Z15" s="132">
        <f t="shared" si="6"/>
        <v>1.1167356778790831</v>
      </c>
      <c r="AA15" s="132">
        <f t="shared" si="7"/>
        <v>1.0410145926330872</v>
      </c>
      <c r="AB15" s="132">
        <f t="shared" si="8"/>
        <v>1.0127807616458151</v>
      </c>
      <c r="AC15" s="132">
        <f t="shared" si="9"/>
        <v>1.0127807616458151</v>
      </c>
      <c r="AD15" s="130" t="s">
        <v>113</v>
      </c>
      <c r="AE15" s="130" t="s">
        <v>113</v>
      </c>
      <c r="AF15" s="130" t="s">
        <v>113</v>
      </c>
      <c r="AG15" s="130" t="s">
        <v>113</v>
      </c>
      <c r="AH15" s="133">
        <f t="shared" si="10"/>
        <v>1</v>
      </c>
      <c r="AI15" s="134">
        <f t="shared" si="11"/>
        <v>8.2324069000336841E-3</v>
      </c>
      <c r="AJ15" s="134">
        <f t="shared" si="12"/>
        <v>0</v>
      </c>
      <c r="AK15" s="134">
        <f t="shared" si="13"/>
        <v>2.0130138940131337</v>
      </c>
      <c r="AL15" s="134">
        <f t="shared" si="14"/>
        <v>7.5721085245995967E-2</v>
      </c>
      <c r="AM15" s="134">
        <f t="shared" si="15"/>
        <v>2.8233830987272057E-2</v>
      </c>
      <c r="AN15" s="135">
        <f t="shared" si="16"/>
        <v>0</v>
      </c>
      <c r="AO15" s="134">
        <f t="shared" si="17"/>
        <v>4.5483547457820794E-3</v>
      </c>
      <c r="AP15" s="134">
        <f t="shared" si="18"/>
        <v>1.2780761645815764E-2</v>
      </c>
      <c r="AQ15" s="307" t="s">
        <v>113</v>
      </c>
      <c r="AR15" s="308">
        <f t="shared" si="19"/>
        <v>0.38654342316498008</v>
      </c>
      <c r="AS15" s="308">
        <f t="shared" si="20"/>
        <v>0</v>
      </c>
      <c r="AT15" s="308">
        <f t="shared" si="21"/>
        <v>94.51880730862797</v>
      </c>
      <c r="AU15" s="308">
        <f t="shared" si="22"/>
        <v>3.5553985428775139</v>
      </c>
      <c r="AV15" s="308">
        <f t="shared" si="23"/>
        <v>1.3256878348465715</v>
      </c>
      <c r="AW15" s="309">
        <f t="shared" si="24"/>
        <v>0</v>
      </c>
      <c r="AX15" s="308">
        <f t="shared" si="25"/>
        <v>0.2135628904829879</v>
      </c>
      <c r="AY15" s="308">
        <f t="shared" si="26"/>
        <v>0.60010631364796796</v>
      </c>
      <c r="AZ15" s="310" t="s">
        <v>113</v>
      </c>
      <c r="BA15" s="310" t="s">
        <v>113</v>
      </c>
      <c r="BB15" s="310" t="s">
        <v>113</v>
      </c>
      <c r="BC15" s="310" t="s">
        <v>113</v>
      </c>
      <c r="BD15" s="310" t="s">
        <v>113</v>
      </c>
      <c r="BE15" s="310" t="s">
        <v>113</v>
      </c>
      <c r="BF15" s="310" t="s">
        <v>113</v>
      </c>
      <c r="BG15" s="310" t="s">
        <v>113</v>
      </c>
      <c r="BH15" s="311">
        <f>'[28]2. Distributional by deciles o'!$B85</f>
        <v>519892976.44440055</v>
      </c>
      <c r="BI15" s="311">
        <f>'[28]2. Distributional by deciles o'!$B103</f>
        <v>291163334.36280018</v>
      </c>
      <c r="BJ15" s="311">
        <f>'[28]2. Distributional by deciles o'!$B121</f>
        <v>11513411.392799998</v>
      </c>
      <c r="BK15" s="311">
        <f>'[28]2. Distributional by deciles o'!$B139</f>
        <v>14702872.707600001</v>
      </c>
      <c r="BL15" s="312">
        <f t="shared" si="27"/>
        <v>0.62093633496003131</v>
      </c>
      <c r="BM15" s="312">
        <f t="shared" si="28"/>
        <v>0.34775213727726545</v>
      </c>
      <c r="BN15" s="312">
        <f t="shared" si="29"/>
        <v>1.3751090699523719E-2</v>
      </c>
      <c r="BO15" s="312">
        <f t="shared" si="30"/>
        <v>1.7560437063179613E-2</v>
      </c>
      <c r="BP15" s="310" t="s">
        <v>113</v>
      </c>
      <c r="BQ15" s="310" t="s">
        <v>113</v>
      </c>
      <c r="BR15" s="310" t="s">
        <v>113</v>
      </c>
      <c r="BS15" s="131">
        <f t="shared" si="31"/>
        <v>6.0899035262645933</v>
      </c>
      <c r="BT15" s="310"/>
      <c r="BU15" s="310"/>
      <c r="BV15" s="310"/>
      <c r="BW15" s="310"/>
      <c r="BX15" s="310"/>
      <c r="BY15" s="310"/>
      <c r="BZ15" s="310"/>
      <c r="CA15" s="310"/>
      <c r="CB15" s="310"/>
      <c r="CC15" s="313" t="s">
        <v>113</v>
      </c>
      <c r="CD15" s="313" t="s">
        <v>113</v>
      </c>
      <c r="CE15" s="313" t="s">
        <v>113</v>
      </c>
      <c r="CF15" s="313" t="s">
        <v>113</v>
      </c>
      <c r="CG15" s="313" t="s">
        <v>113</v>
      </c>
      <c r="CH15" s="313" t="s">
        <v>113</v>
      </c>
      <c r="CI15" s="313" t="s">
        <v>113</v>
      </c>
      <c r="CJ15" s="313"/>
      <c r="CK15" s="310" t="s">
        <v>113</v>
      </c>
      <c r="CL15" s="310" t="s">
        <v>113</v>
      </c>
      <c r="CM15" s="310" t="s">
        <v>113</v>
      </c>
      <c r="CN15" s="310" t="s">
        <v>113</v>
      </c>
      <c r="CO15" s="310" t="s">
        <v>113</v>
      </c>
      <c r="CP15" s="310" t="s">
        <v>113</v>
      </c>
      <c r="CQ15" s="310" t="s">
        <v>113</v>
      </c>
      <c r="CR15" s="310"/>
      <c r="CS15" s="314" t="s">
        <v>113</v>
      </c>
      <c r="CT15" s="314" t="s">
        <v>113</v>
      </c>
      <c r="CU15" s="314" t="s">
        <v>113</v>
      </c>
      <c r="CV15" s="314" t="s">
        <v>113</v>
      </c>
      <c r="CW15" s="314" t="s">
        <v>113</v>
      </c>
      <c r="CX15" s="314" t="s">
        <v>113</v>
      </c>
      <c r="CY15" s="314" t="s">
        <v>113</v>
      </c>
      <c r="CZ15" s="314"/>
      <c r="DA15" s="310" t="s">
        <v>113</v>
      </c>
      <c r="DB15" s="310" t="s">
        <v>113</v>
      </c>
      <c r="DC15" s="310" t="s">
        <v>113</v>
      </c>
      <c r="DD15" s="315">
        <f t="shared" si="32"/>
        <v>0</v>
      </c>
      <c r="DE15" s="316">
        <f>'[28]2. Distributional by deciles o'!$I31</f>
        <v>1</v>
      </c>
      <c r="DF15" s="304"/>
      <c r="DG15" s="304"/>
      <c r="DH15" s="304"/>
      <c r="DI15" s="304"/>
      <c r="DJ15" s="304"/>
      <c r="DK15" s="304"/>
      <c r="DL15" s="304"/>
      <c r="DM15" s="304"/>
      <c r="DN15" s="304"/>
      <c r="DO15" s="304"/>
      <c r="DP15" s="304"/>
      <c r="DQ15" s="304"/>
      <c r="DR15" s="304"/>
      <c r="DS15" s="304"/>
      <c r="DT15" s="304"/>
      <c r="DU15" s="304"/>
      <c r="DV15" s="304"/>
      <c r="DW15" s="304"/>
      <c r="DX15" s="304"/>
      <c r="DY15" s="304"/>
      <c r="DZ15" s="304"/>
      <c r="EA15" s="129">
        <f>'[29]2. Distributional by deciles o'!B67</f>
        <v>84846308.469599932</v>
      </c>
      <c r="EB15" s="129">
        <f>'[29]2. Distributional by deciles o'!C67</f>
        <v>87276799.268399984</v>
      </c>
      <c r="EC15" s="129">
        <f>'[29]2. Distributional by deciles o'!D67</f>
        <v>85687139.37120001</v>
      </c>
      <c r="ED15" s="129">
        <f t="shared" si="33"/>
        <v>87276799.268399984</v>
      </c>
      <c r="EE15" s="129">
        <f>'[29]2. Distributional by deciles o'!E67</f>
        <v>86187318.623999968</v>
      </c>
      <c r="EF15" s="129">
        <f>'[29]2. Distributional by deciles o'!F67</f>
        <v>86159830.84800002</v>
      </c>
      <c r="EG15" s="129"/>
      <c r="EH15" s="122"/>
      <c r="EI15" s="130" t="s">
        <v>113</v>
      </c>
      <c r="EJ15" s="130" t="s">
        <v>113</v>
      </c>
      <c r="EK15" s="130" t="s">
        <v>113</v>
      </c>
      <c r="EL15" s="130" t="s">
        <v>113</v>
      </c>
      <c r="EM15" s="131">
        <f t="shared" si="34"/>
        <v>3.1931178325243317</v>
      </c>
      <c r="EN15" s="146">
        <f>'[30]2. Distributional by deciles o'!B157</f>
        <v>1150305305.4360003</v>
      </c>
      <c r="EO15" s="146">
        <f>'[30]2. Distributional by deciles o'!C157</f>
        <v>1161808270.9920001</v>
      </c>
      <c r="EP15" s="131">
        <f t="shared" si="35"/>
        <v>0.99999239346633129</v>
      </c>
      <c r="EQ15" s="130" t="s">
        <v>113</v>
      </c>
      <c r="ER15" s="130" t="s">
        <v>113</v>
      </c>
      <c r="ES15" s="130" t="s">
        <v>113</v>
      </c>
      <c r="ET15" s="130" t="s">
        <v>113</v>
      </c>
      <c r="EU15" s="131">
        <f t="shared" si="36"/>
        <v>6.0610020439441072</v>
      </c>
      <c r="EV15" s="306">
        <f t="shared" si="37"/>
        <v>2.8646022795695498</v>
      </c>
      <c r="EW15" s="306">
        <f t="shared" si="38"/>
        <v>0.99101223450229325</v>
      </c>
      <c r="EX15" s="306"/>
      <c r="EY15" s="317">
        <f t="shared" si="39"/>
        <v>-0.26514729232266721</v>
      </c>
      <c r="EZ15" s="315">
        <f t="shared" si="40"/>
        <v>0.49938466786867419</v>
      </c>
      <c r="FA15" s="316">
        <f>'[31]2. Distributional by deciles o'!$I31</f>
        <v>0.99500615332131326</v>
      </c>
      <c r="FB15" s="130" t="s">
        <v>113</v>
      </c>
      <c r="FC15" s="130" t="s">
        <v>113</v>
      </c>
      <c r="FD15" s="130" t="s">
        <v>113</v>
      </c>
      <c r="FE15" s="130" t="s">
        <v>113</v>
      </c>
      <c r="FF15" s="130" t="s">
        <v>113</v>
      </c>
      <c r="FG15" s="130" t="s">
        <v>113</v>
      </c>
      <c r="FH15" s="130" t="s">
        <v>113</v>
      </c>
      <c r="FI15" s="130" t="s">
        <v>113</v>
      </c>
      <c r="FJ15" s="304"/>
      <c r="FK15" s="304"/>
      <c r="FL15" s="304"/>
      <c r="FM15" s="304"/>
      <c r="FN15" s="304"/>
      <c r="FO15" s="304"/>
      <c r="FP15" s="304"/>
      <c r="FQ15" s="304"/>
    </row>
    <row r="16" spans="1:173" s="318" customFormat="1" x14ac:dyDescent="0.3">
      <c r="A16" s="304"/>
      <c r="B16" s="305">
        <v>5</v>
      </c>
      <c r="C16" s="129">
        <f>'[28]2. Distributional by deciles o'!B68</f>
        <v>93567266.296799928</v>
      </c>
      <c r="D16" s="129">
        <f>'[28]2. Distributional by deciles o'!C68</f>
        <v>95771175.004800111</v>
      </c>
      <c r="E16" s="129">
        <f>'[28]2. Distributional by deciles o'!D68</f>
        <v>94509660.608400002</v>
      </c>
      <c r="F16" s="129">
        <f t="shared" si="0"/>
        <v>95771175.004800111</v>
      </c>
      <c r="G16" s="129">
        <f>'[28]2. Distributional by deciles o'!E68</f>
        <v>94565794.39320001</v>
      </c>
      <c r="H16" s="129">
        <f>'[28]2. Distributional by deciles o'!F68</f>
        <v>94524267.782400042</v>
      </c>
      <c r="I16" s="129">
        <f>'[28]2. Distributional by deciles o'!G68</f>
        <v>94514807.630400032</v>
      </c>
      <c r="J16" s="122"/>
      <c r="K16" s="130" t="s">
        <v>113</v>
      </c>
      <c r="L16" s="130" t="s">
        <v>113</v>
      </c>
      <c r="M16" s="130" t="s">
        <v>113</v>
      </c>
      <c r="N16" s="130" t="s">
        <v>113</v>
      </c>
      <c r="O16" s="131">
        <f t="shared" si="1"/>
        <v>5.2678178592956222</v>
      </c>
      <c r="P16" s="129">
        <f>'[28]2. Distributional by deciles o'!B158</f>
        <v>1042827124.2372003</v>
      </c>
      <c r="Q16" s="129">
        <f>'[28]2. Distributional by deciles o'!C158</f>
        <v>1053255444.6876007</v>
      </c>
      <c r="R16" s="131">
        <f t="shared" si="2"/>
        <v>1.0000047187139094</v>
      </c>
      <c r="S16" s="130" t="s">
        <v>113</v>
      </c>
      <c r="T16" s="130" t="s">
        <v>113</v>
      </c>
      <c r="U16" s="130" t="s">
        <v>113</v>
      </c>
      <c r="V16" s="130" t="s">
        <v>113</v>
      </c>
      <c r="W16" s="132">
        <f t="shared" si="3"/>
        <v>2.3554159436952098</v>
      </c>
      <c r="X16" s="132">
        <f t="shared" si="4"/>
        <v>1.0071790082469705</v>
      </c>
      <c r="Y16" s="132">
        <f t="shared" si="5"/>
        <v>2.3554159436952098</v>
      </c>
      <c r="Z16" s="132">
        <f t="shared" si="6"/>
        <v>1.0671716981519299</v>
      </c>
      <c r="AA16" s="132">
        <f t="shared" si="7"/>
        <v>1.022790349318917</v>
      </c>
      <c r="AB16" s="132">
        <f t="shared" si="8"/>
        <v>1.0126798611804029</v>
      </c>
      <c r="AC16" s="132">
        <f t="shared" si="9"/>
        <v>1.0126798611804029</v>
      </c>
      <c r="AD16" s="130" t="s">
        <v>113</v>
      </c>
      <c r="AE16" s="130" t="s">
        <v>113</v>
      </c>
      <c r="AF16" s="130" t="s">
        <v>113</v>
      </c>
      <c r="AG16" s="130" t="s">
        <v>113</v>
      </c>
      <c r="AH16" s="133">
        <f t="shared" si="10"/>
        <v>1</v>
      </c>
      <c r="AI16" s="134">
        <f t="shared" si="11"/>
        <v>7.1790082469709304E-3</v>
      </c>
      <c r="AJ16" s="134">
        <f t="shared" si="12"/>
        <v>0</v>
      </c>
      <c r="AK16" s="134">
        <f t="shared" si="13"/>
        <v>1.2882442455432799</v>
      </c>
      <c r="AL16" s="134">
        <f t="shared" si="14"/>
        <v>4.4381348833012924E-2</v>
      </c>
      <c r="AM16" s="134">
        <f t="shared" si="15"/>
        <v>1.0110488138514118E-2</v>
      </c>
      <c r="AN16" s="135">
        <f t="shared" si="16"/>
        <v>0</v>
      </c>
      <c r="AO16" s="134">
        <f t="shared" si="17"/>
        <v>5.5008529334323875E-3</v>
      </c>
      <c r="AP16" s="134">
        <f t="shared" si="18"/>
        <v>1.2679861180403318E-2</v>
      </c>
      <c r="AQ16" s="307" t="s">
        <v>113</v>
      </c>
      <c r="AR16" s="308">
        <f t="shared" si="19"/>
        <v>0.52965351930265203</v>
      </c>
      <c r="AS16" s="308">
        <f t="shared" si="20"/>
        <v>0</v>
      </c>
      <c r="AT16" s="308">
        <f t="shared" si="21"/>
        <v>95.044200382592308</v>
      </c>
      <c r="AU16" s="308">
        <f t="shared" si="22"/>
        <v>3.2743711655049621</v>
      </c>
      <c r="AV16" s="308">
        <f t="shared" si="23"/>
        <v>0.74593250769578123</v>
      </c>
      <c r="AW16" s="309">
        <f t="shared" si="24"/>
        <v>0</v>
      </c>
      <c r="AX16" s="308">
        <f t="shared" si="25"/>
        <v>0.40584242490431816</v>
      </c>
      <c r="AY16" s="308">
        <f t="shared" si="26"/>
        <v>0.93549594420697013</v>
      </c>
      <c r="AZ16" s="310" t="s">
        <v>113</v>
      </c>
      <c r="BA16" s="310" t="s">
        <v>113</v>
      </c>
      <c r="BB16" s="310" t="s">
        <v>113</v>
      </c>
      <c r="BC16" s="310" t="s">
        <v>113</v>
      </c>
      <c r="BD16" s="310" t="s">
        <v>113</v>
      </c>
      <c r="BE16" s="310" t="s">
        <v>113</v>
      </c>
      <c r="BF16" s="310" t="s">
        <v>113</v>
      </c>
      <c r="BG16" s="310" t="s">
        <v>113</v>
      </c>
      <c r="BH16" s="311">
        <f>'[28]2. Distributional by deciles o'!$B86</f>
        <v>814538631.12479961</v>
      </c>
      <c r="BI16" s="311">
        <f>'[28]2. Distributional by deciles o'!$B104</f>
        <v>204397914.52680007</v>
      </c>
      <c r="BJ16" s="311">
        <f>'[28]2. Distributional by deciles o'!$B122</f>
        <v>8571148.1316000037</v>
      </c>
      <c r="BK16" s="311">
        <f>'[28]2. Distributional by deciles o'!$B140</f>
        <v>15319936.277999997</v>
      </c>
      <c r="BL16" s="312">
        <f t="shared" si="27"/>
        <v>0.78108654550800249</v>
      </c>
      <c r="BM16" s="312">
        <f t="shared" si="28"/>
        <v>0.19600354712005924</v>
      </c>
      <c r="BN16" s="312">
        <f t="shared" si="29"/>
        <v>8.2191417685173861E-3</v>
      </c>
      <c r="BO16" s="312">
        <f t="shared" si="30"/>
        <v>1.4690765603420891E-2</v>
      </c>
      <c r="BP16" s="310" t="s">
        <v>113</v>
      </c>
      <c r="BQ16" s="310" t="s">
        <v>113</v>
      </c>
      <c r="BR16" s="310" t="s">
        <v>113</v>
      </c>
      <c r="BS16" s="131">
        <f t="shared" si="31"/>
        <v>7.5850074072595461</v>
      </c>
      <c r="BT16" s="310"/>
      <c r="BU16" s="310"/>
      <c r="BV16" s="310"/>
      <c r="BW16" s="310"/>
      <c r="BX16" s="310"/>
      <c r="BY16" s="310"/>
      <c r="BZ16" s="310"/>
      <c r="CA16" s="310"/>
      <c r="CB16" s="310"/>
      <c r="CC16" s="313" t="s">
        <v>113</v>
      </c>
      <c r="CD16" s="313" t="s">
        <v>113</v>
      </c>
      <c r="CE16" s="313" t="s">
        <v>113</v>
      </c>
      <c r="CF16" s="313" t="s">
        <v>113</v>
      </c>
      <c r="CG16" s="313" t="s">
        <v>113</v>
      </c>
      <c r="CH16" s="313" t="s">
        <v>113</v>
      </c>
      <c r="CI16" s="313" t="s">
        <v>113</v>
      </c>
      <c r="CJ16" s="313"/>
      <c r="CK16" s="310" t="s">
        <v>113</v>
      </c>
      <c r="CL16" s="310" t="s">
        <v>113</v>
      </c>
      <c r="CM16" s="310" t="s">
        <v>113</v>
      </c>
      <c r="CN16" s="310" t="s">
        <v>113</v>
      </c>
      <c r="CO16" s="310" t="s">
        <v>113</v>
      </c>
      <c r="CP16" s="310" t="s">
        <v>113</v>
      </c>
      <c r="CQ16" s="310" t="s">
        <v>113</v>
      </c>
      <c r="CR16" s="310"/>
      <c r="CS16" s="314" t="s">
        <v>113</v>
      </c>
      <c r="CT16" s="314" t="s">
        <v>113</v>
      </c>
      <c r="CU16" s="314" t="s">
        <v>113</v>
      </c>
      <c r="CV16" s="314" t="s">
        <v>113</v>
      </c>
      <c r="CW16" s="314" t="s">
        <v>113</v>
      </c>
      <c r="CX16" s="314" t="s">
        <v>113</v>
      </c>
      <c r="CY16" s="314" t="s">
        <v>113</v>
      </c>
      <c r="CZ16" s="314"/>
      <c r="DA16" s="310" t="s">
        <v>113</v>
      </c>
      <c r="DB16" s="310" t="s">
        <v>113</v>
      </c>
      <c r="DC16" s="310" t="s">
        <v>113</v>
      </c>
      <c r="DD16" s="315">
        <f t="shared" si="32"/>
        <v>0</v>
      </c>
      <c r="DE16" s="316">
        <f>'[28]2. Distributional by deciles o'!$I32</f>
        <v>1</v>
      </c>
      <c r="DF16" s="304"/>
      <c r="DG16" s="304"/>
      <c r="DH16" s="304"/>
      <c r="DI16" s="304"/>
      <c r="DJ16" s="304"/>
      <c r="DK16" s="304"/>
      <c r="DL16" s="304"/>
      <c r="DM16" s="304"/>
      <c r="DN16" s="304"/>
      <c r="DO16" s="304"/>
      <c r="DP16" s="304"/>
      <c r="DQ16" s="304"/>
      <c r="DR16" s="304"/>
      <c r="DS16" s="304"/>
      <c r="DT16" s="304"/>
      <c r="DU16" s="304"/>
      <c r="DV16" s="304"/>
      <c r="DW16" s="304"/>
      <c r="DX16" s="304"/>
      <c r="DY16" s="304"/>
      <c r="DZ16" s="304"/>
      <c r="EA16" s="129">
        <f>'[29]2. Distributional by deciles o'!B68</f>
        <v>155243645.75040019</v>
      </c>
      <c r="EB16" s="129">
        <f>'[29]2. Distributional by deciles o'!C68</f>
        <v>158816973.09480008</v>
      </c>
      <c r="EC16" s="129">
        <f>'[29]2. Distributional by deciles o'!D68</f>
        <v>156793172.44680017</v>
      </c>
      <c r="ED16" s="129">
        <f t="shared" si="33"/>
        <v>158816973.09480008</v>
      </c>
      <c r="EE16" s="129">
        <f>'[29]2. Distributional by deciles o'!E68</f>
        <v>157084631.67120025</v>
      </c>
      <c r="EF16" s="129">
        <f>'[29]2. Distributional by deciles o'!F68</f>
        <v>157056840.00120014</v>
      </c>
      <c r="EG16" s="129"/>
      <c r="EH16" s="122"/>
      <c r="EI16" s="130" t="s">
        <v>113</v>
      </c>
      <c r="EJ16" s="130" t="s">
        <v>113</v>
      </c>
      <c r="EK16" s="130" t="s">
        <v>113</v>
      </c>
      <c r="EL16" s="130" t="s">
        <v>113</v>
      </c>
      <c r="EM16" s="131">
        <f t="shared" si="34"/>
        <v>5.8424610636926442</v>
      </c>
      <c r="EN16" s="146">
        <f>'[30]2. Distributional by deciles o'!B158</f>
        <v>1449962135.4287982</v>
      </c>
      <c r="EO16" s="146">
        <f>'[30]2. Distributional by deciles o'!C158</f>
        <v>1464461872.2024007</v>
      </c>
      <c r="EP16" s="131">
        <f t="shared" si="35"/>
        <v>1.0000079601605982</v>
      </c>
      <c r="EQ16" s="130" t="s">
        <v>113</v>
      </c>
      <c r="ER16" s="130" t="s">
        <v>113</v>
      </c>
      <c r="ES16" s="130" t="s">
        <v>113</v>
      </c>
      <c r="ET16" s="130" t="s">
        <v>113</v>
      </c>
      <c r="EU16" s="131">
        <f t="shared" si="36"/>
        <v>7.6399051842541112</v>
      </c>
      <c r="EV16" s="306">
        <f t="shared" si="37"/>
        <v>2.3017360118635164</v>
      </c>
      <c r="EW16" s="306">
        <f t="shared" si="38"/>
        <v>0.99811773585124108</v>
      </c>
      <c r="EX16" s="306"/>
      <c r="EY16" s="317">
        <f t="shared" si="39"/>
        <v>-5.3679931831693395E-2</v>
      </c>
      <c r="EZ16" s="315">
        <f t="shared" si="40"/>
        <v>0</v>
      </c>
      <c r="FA16" s="316">
        <f>'[31]2. Distributional by deciles o'!$I32</f>
        <v>1</v>
      </c>
      <c r="FB16" s="130" t="s">
        <v>113</v>
      </c>
      <c r="FC16" s="130" t="s">
        <v>113</v>
      </c>
      <c r="FD16" s="130" t="s">
        <v>113</v>
      </c>
      <c r="FE16" s="130" t="s">
        <v>113</v>
      </c>
      <c r="FF16" s="130" t="s">
        <v>113</v>
      </c>
      <c r="FG16" s="130" t="s">
        <v>113</v>
      </c>
      <c r="FH16" s="130" t="s">
        <v>113</v>
      </c>
      <c r="FI16" s="130" t="s">
        <v>113</v>
      </c>
      <c r="FJ16" s="304"/>
      <c r="FK16" s="304"/>
      <c r="FL16" s="304"/>
      <c r="FM16" s="304"/>
      <c r="FN16" s="304"/>
      <c r="FO16" s="304"/>
      <c r="FP16" s="304"/>
      <c r="FQ16" s="304"/>
    </row>
    <row r="17" spans="1:173" s="318" customFormat="1" x14ac:dyDescent="0.3">
      <c r="A17" s="304"/>
      <c r="B17" s="305">
        <v>6</v>
      </c>
      <c r="C17" s="129">
        <f>'[28]2. Distributional by deciles o'!B69</f>
        <v>133922767.94760002</v>
      </c>
      <c r="D17" s="129">
        <f>'[28]2. Distributional by deciles o'!C69</f>
        <v>136709561.52960002</v>
      </c>
      <c r="E17" s="129">
        <f>'[28]2. Distributional by deciles o'!D69</f>
        <v>135267988.28999981</v>
      </c>
      <c r="F17" s="129">
        <f t="shared" si="0"/>
        <v>136709561.52960002</v>
      </c>
      <c r="G17" s="129">
        <f>'[28]2. Distributional by deciles o'!E69</f>
        <v>135320857.40399981</v>
      </c>
      <c r="H17" s="129">
        <f>'[28]2. Distributional by deciles o'!F69</f>
        <v>135281734.82399988</v>
      </c>
      <c r="I17" s="129">
        <f>'[28]2. Distributional by deciles o'!G69</f>
        <v>135274849.5647999</v>
      </c>
      <c r="J17" s="122"/>
      <c r="K17" s="130" t="s">
        <v>113</v>
      </c>
      <c r="L17" s="130" t="s">
        <v>113</v>
      </c>
      <c r="M17" s="130" t="s">
        <v>113</v>
      </c>
      <c r="N17" s="130" t="s">
        <v>113</v>
      </c>
      <c r="O17" s="131">
        <f t="shared" si="1"/>
        <v>7.5398243069627728</v>
      </c>
      <c r="P17" s="129">
        <f>'[28]2. Distributional by deciles o'!B159</f>
        <v>1231613113.9008012</v>
      </c>
      <c r="Q17" s="129">
        <f>'[28]2. Distributional by deciles o'!C159</f>
        <v>1243928699.4239995</v>
      </c>
      <c r="R17" s="131">
        <f t="shared" si="2"/>
        <v>0.99995569909061555</v>
      </c>
      <c r="S17" s="130" t="s">
        <v>113</v>
      </c>
      <c r="T17" s="130" t="s">
        <v>113</v>
      </c>
      <c r="U17" s="130" t="s">
        <v>113</v>
      </c>
      <c r="V17" s="130" t="s">
        <v>113</v>
      </c>
      <c r="W17" s="132">
        <f t="shared" si="3"/>
        <v>2.0809882349877284</v>
      </c>
      <c r="X17" s="132">
        <f t="shared" si="4"/>
        <v>1.0045192166658743</v>
      </c>
      <c r="Y17" s="132">
        <f t="shared" si="5"/>
        <v>2.0809882349877284</v>
      </c>
      <c r="Z17" s="132">
        <f t="shared" si="6"/>
        <v>1.0439982814013584</v>
      </c>
      <c r="AA17" s="132">
        <f t="shared" si="7"/>
        <v>1.0147841949228833</v>
      </c>
      <c r="AB17" s="132">
        <f t="shared" si="8"/>
        <v>1.0096427508336838</v>
      </c>
      <c r="AC17" s="132">
        <f t="shared" si="9"/>
        <v>1.0096427508336838</v>
      </c>
      <c r="AD17" s="130" t="s">
        <v>113</v>
      </c>
      <c r="AE17" s="130" t="s">
        <v>113</v>
      </c>
      <c r="AF17" s="130" t="s">
        <v>113</v>
      </c>
      <c r="AG17" s="130" t="s">
        <v>113</v>
      </c>
      <c r="AH17" s="133">
        <f t="shared" si="10"/>
        <v>1</v>
      </c>
      <c r="AI17" s="134">
        <f t="shared" si="11"/>
        <v>4.5192166658738486E-3</v>
      </c>
      <c r="AJ17" s="134">
        <f t="shared" si="12"/>
        <v>0</v>
      </c>
      <c r="AK17" s="134">
        <f t="shared" si="13"/>
        <v>1.03698995358637</v>
      </c>
      <c r="AL17" s="134">
        <f t="shared" si="14"/>
        <v>2.9214086478475121E-2</v>
      </c>
      <c r="AM17" s="134">
        <f t="shared" si="15"/>
        <v>5.1414440891994762E-3</v>
      </c>
      <c r="AN17" s="135">
        <f t="shared" si="16"/>
        <v>0</v>
      </c>
      <c r="AO17" s="134">
        <f t="shared" si="17"/>
        <v>5.1235341678095292E-3</v>
      </c>
      <c r="AP17" s="134">
        <f t="shared" si="18"/>
        <v>9.6427508336833778E-3</v>
      </c>
      <c r="AQ17" s="307" t="s">
        <v>113</v>
      </c>
      <c r="AR17" s="308">
        <f t="shared" si="19"/>
        <v>0.41806344598423423</v>
      </c>
      <c r="AS17" s="308">
        <f t="shared" si="20"/>
        <v>0</v>
      </c>
      <c r="AT17" s="308">
        <f t="shared" si="21"/>
        <v>95.929809411676175</v>
      </c>
      <c r="AU17" s="308">
        <f t="shared" si="22"/>
        <v>2.7025351000981765</v>
      </c>
      <c r="AV17" s="308">
        <f t="shared" si="23"/>
        <v>0.47562442613058065</v>
      </c>
      <c r="AW17" s="309">
        <f t="shared" si="24"/>
        <v>0</v>
      </c>
      <c r="AX17" s="308">
        <f t="shared" si="25"/>
        <v>0.47396761611079813</v>
      </c>
      <c r="AY17" s="308">
        <f t="shared" si="26"/>
        <v>0.89203106209503236</v>
      </c>
      <c r="AZ17" s="310" t="s">
        <v>113</v>
      </c>
      <c r="BA17" s="310" t="s">
        <v>113</v>
      </c>
      <c r="BB17" s="310" t="s">
        <v>113</v>
      </c>
      <c r="BC17" s="310" t="s">
        <v>113</v>
      </c>
      <c r="BD17" s="310" t="s">
        <v>113</v>
      </c>
      <c r="BE17" s="310" t="s">
        <v>113</v>
      </c>
      <c r="BF17" s="310" t="s">
        <v>113</v>
      </c>
      <c r="BG17" s="310" t="s">
        <v>113</v>
      </c>
      <c r="BH17" s="311">
        <f>'[28]2. Distributional by deciles o'!$B87</f>
        <v>1024728416.1011999</v>
      </c>
      <c r="BI17" s="311">
        <f>'[28]2. Distributional by deciles o'!$B105</f>
        <v>181545366.65519997</v>
      </c>
      <c r="BJ17" s="311">
        <f>'[28]2. Distributional by deciles o'!$B123</f>
        <v>7901556.9323999994</v>
      </c>
      <c r="BK17" s="311">
        <f>'[28]2. Distributional by deciles o'!$B141</f>
        <v>17438334.098400004</v>
      </c>
      <c r="BL17" s="312">
        <f t="shared" si="27"/>
        <v>0.8320209802073486</v>
      </c>
      <c r="BM17" s="312">
        <f t="shared" si="28"/>
        <v>0.14740447473025348</v>
      </c>
      <c r="BN17" s="312">
        <f t="shared" si="29"/>
        <v>6.4156131915154768E-3</v>
      </c>
      <c r="BO17" s="312">
        <f t="shared" si="30"/>
        <v>1.4158931870882286E-2</v>
      </c>
      <c r="BP17" s="310" t="s">
        <v>113</v>
      </c>
      <c r="BQ17" s="310" t="s">
        <v>113</v>
      </c>
      <c r="BR17" s="310" t="s">
        <v>113</v>
      </c>
      <c r="BS17" s="131">
        <f t="shared" si="31"/>
        <v>8.9581430849804953</v>
      </c>
      <c r="BT17" s="310"/>
      <c r="BU17" s="310"/>
      <c r="BV17" s="310"/>
      <c r="BW17" s="310"/>
      <c r="BX17" s="310"/>
      <c r="BY17" s="310"/>
      <c r="BZ17" s="310"/>
      <c r="CA17" s="310"/>
      <c r="CB17" s="310"/>
      <c r="CC17" s="313" t="s">
        <v>113</v>
      </c>
      <c r="CD17" s="313" t="s">
        <v>113</v>
      </c>
      <c r="CE17" s="313" t="s">
        <v>113</v>
      </c>
      <c r="CF17" s="313" t="s">
        <v>113</v>
      </c>
      <c r="CG17" s="313" t="s">
        <v>113</v>
      </c>
      <c r="CH17" s="313" t="s">
        <v>113</v>
      </c>
      <c r="CI17" s="313" t="s">
        <v>113</v>
      </c>
      <c r="CJ17" s="313"/>
      <c r="CK17" s="310" t="s">
        <v>113</v>
      </c>
      <c r="CL17" s="310" t="s">
        <v>113</v>
      </c>
      <c r="CM17" s="310" t="s">
        <v>113</v>
      </c>
      <c r="CN17" s="310" t="s">
        <v>113</v>
      </c>
      <c r="CO17" s="310" t="s">
        <v>113</v>
      </c>
      <c r="CP17" s="310" t="s">
        <v>113</v>
      </c>
      <c r="CQ17" s="310" t="s">
        <v>113</v>
      </c>
      <c r="CR17" s="310"/>
      <c r="CS17" s="314" t="s">
        <v>113</v>
      </c>
      <c r="CT17" s="314" t="s">
        <v>113</v>
      </c>
      <c r="CU17" s="314" t="s">
        <v>113</v>
      </c>
      <c r="CV17" s="314" t="s">
        <v>113</v>
      </c>
      <c r="CW17" s="314" t="s">
        <v>113</v>
      </c>
      <c r="CX17" s="314" t="s">
        <v>113</v>
      </c>
      <c r="CY17" s="314" t="s">
        <v>113</v>
      </c>
      <c r="CZ17" s="314"/>
      <c r="DA17" s="310" t="s">
        <v>113</v>
      </c>
      <c r="DB17" s="310" t="s">
        <v>113</v>
      </c>
      <c r="DC17" s="310" t="s">
        <v>113</v>
      </c>
      <c r="DD17" s="315">
        <f t="shared" si="32"/>
        <v>0</v>
      </c>
      <c r="DE17" s="316">
        <f>'[28]2. Distributional by deciles o'!$I33</f>
        <v>1</v>
      </c>
      <c r="DF17" s="304"/>
      <c r="DG17" s="304"/>
      <c r="DH17" s="304"/>
      <c r="DI17" s="304"/>
      <c r="DJ17" s="304"/>
      <c r="DK17" s="304"/>
      <c r="DL17" s="304"/>
      <c r="DM17" s="304"/>
      <c r="DN17" s="304"/>
      <c r="DO17" s="304"/>
      <c r="DP17" s="304"/>
      <c r="DQ17" s="304"/>
      <c r="DR17" s="304"/>
      <c r="DS17" s="304"/>
      <c r="DT17" s="304"/>
      <c r="DU17" s="304"/>
      <c r="DV17" s="304"/>
      <c r="DW17" s="304"/>
      <c r="DX17" s="304"/>
      <c r="DY17" s="304"/>
      <c r="DZ17" s="304"/>
      <c r="EA17" s="129">
        <f>'[29]2. Distributional by deciles o'!B69</f>
        <v>223726856.04480019</v>
      </c>
      <c r="EB17" s="129">
        <f>'[29]2. Distributional by deciles o'!C69</f>
        <v>228080068.52160028</v>
      </c>
      <c r="EC17" s="129">
        <f>'[29]2. Distributional by deciles o'!D69</f>
        <v>225965111.10960022</v>
      </c>
      <c r="ED17" s="129">
        <f t="shared" si="33"/>
        <v>228080068.52160028</v>
      </c>
      <c r="EE17" s="129">
        <f>'[29]2. Distributional by deciles o'!E69</f>
        <v>226216534.48320025</v>
      </c>
      <c r="EF17" s="129">
        <f>'[29]2. Distributional by deciles o'!F69</f>
        <v>226182863.18880022</v>
      </c>
      <c r="EG17" s="129"/>
      <c r="EH17" s="122"/>
      <c r="EI17" s="130" t="s">
        <v>113</v>
      </c>
      <c r="EJ17" s="130" t="s">
        <v>113</v>
      </c>
      <c r="EK17" s="130" t="s">
        <v>113</v>
      </c>
      <c r="EL17" s="130" t="s">
        <v>113</v>
      </c>
      <c r="EM17" s="131">
        <f t="shared" si="34"/>
        <v>8.4197677723034605</v>
      </c>
      <c r="EN17" s="146">
        <f>'[30]2. Distributional by deciles o'!B159</f>
        <v>1705142076.8075988</v>
      </c>
      <c r="EO17" s="146">
        <f>'[30]2. Distributional by deciles o'!C159</f>
        <v>1722193480.8552022</v>
      </c>
      <c r="EP17" s="131">
        <f t="shared" si="35"/>
        <v>0.99999901940883706</v>
      </c>
      <c r="EQ17" s="130" t="s">
        <v>113</v>
      </c>
      <c r="ER17" s="130" t="s">
        <v>113</v>
      </c>
      <c r="ES17" s="130" t="s">
        <v>113</v>
      </c>
      <c r="ET17" s="130" t="s">
        <v>113</v>
      </c>
      <c r="EU17" s="131">
        <f t="shared" si="36"/>
        <v>8.9844579207854132</v>
      </c>
      <c r="EV17" s="306">
        <f t="shared" si="37"/>
        <v>1.9457729941255888</v>
      </c>
      <c r="EW17" s="306">
        <f t="shared" si="38"/>
        <v>1.0004419224338064</v>
      </c>
      <c r="EX17" s="306"/>
      <c r="EY17" s="317">
        <f t="shared" si="39"/>
        <v>-0.13521524086213965</v>
      </c>
      <c r="EZ17" s="315">
        <f t="shared" si="40"/>
        <v>0</v>
      </c>
      <c r="FA17" s="316">
        <f>'[31]2. Distributional by deciles o'!$I33</f>
        <v>1</v>
      </c>
      <c r="FB17" s="130" t="s">
        <v>113</v>
      </c>
      <c r="FC17" s="130" t="s">
        <v>113</v>
      </c>
      <c r="FD17" s="130" t="s">
        <v>113</v>
      </c>
      <c r="FE17" s="130" t="s">
        <v>113</v>
      </c>
      <c r="FF17" s="130" t="s">
        <v>113</v>
      </c>
      <c r="FG17" s="130" t="s">
        <v>113</v>
      </c>
      <c r="FH17" s="130" t="s">
        <v>113</v>
      </c>
      <c r="FI17" s="130" t="s">
        <v>113</v>
      </c>
      <c r="FJ17" s="304"/>
      <c r="FK17" s="304"/>
      <c r="FL17" s="304"/>
      <c r="FM17" s="304"/>
      <c r="FN17" s="304"/>
      <c r="FO17" s="304"/>
      <c r="FP17" s="304"/>
      <c r="FQ17" s="304"/>
    </row>
    <row r="18" spans="1:173" s="318" customFormat="1" x14ac:dyDescent="0.3">
      <c r="A18" s="304"/>
      <c r="B18" s="305">
        <v>7</v>
      </c>
      <c r="C18" s="129">
        <f>'[28]2. Distributional by deciles o'!B70</f>
        <v>181002553.92600018</v>
      </c>
      <c r="D18" s="129">
        <f>'[28]2. Distributional by deciles o'!C70</f>
        <v>184693807.85759994</v>
      </c>
      <c r="E18" s="129">
        <f>'[28]2. Distributional by deciles o'!D70</f>
        <v>182824872.75239992</v>
      </c>
      <c r="F18" s="129">
        <f t="shared" si="0"/>
        <v>184693807.85759994</v>
      </c>
      <c r="G18" s="129">
        <f>'[28]2. Distributional by deciles o'!E70</f>
        <v>182870326.24199992</v>
      </c>
      <c r="H18" s="129">
        <f>'[28]2. Distributional by deciles o'!F70</f>
        <v>182838229.69439983</v>
      </c>
      <c r="I18" s="129">
        <f>'[28]2. Distributional by deciles o'!G70</f>
        <v>182832825.54719985</v>
      </c>
      <c r="J18" s="122"/>
      <c r="K18" s="130" t="s">
        <v>113</v>
      </c>
      <c r="L18" s="130" t="s">
        <v>113</v>
      </c>
      <c r="M18" s="130" t="s">
        <v>113</v>
      </c>
      <c r="N18" s="130" t="s">
        <v>113</v>
      </c>
      <c r="O18" s="131">
        <f t="shared" si="1"/>
        <v>10.190406580063916</v>
      </c>
      <c r="P18" s="129">
        <f>'[28]2. Distributional by deciles o'!B160</f>
        <v>1447045239.8219995</v>
      </c>
      <c r="Q18" s="129">
        <f>'[28]2. Distributional by deciles o'!C160</f>
        <v>1461514965.7344012</v>
      </c>
      <c r="R18" s="131">
        <f t="shared" si="2"/>
        <v>0.99994979522419758</v>
      </c>
      <c r="S18" s="130" t="s">
        <v>113</v>
      </c>
      <c r="T18" s="130" t="s">
        <v>113</v>
      </c>
      <c r="U18" s="130" t="s">
        <v>113</v>
      </c>
      <c r="V18" s="130" t="s">
        <v>113</v>
      </c>
      <c r="W18" s="132">
        <f t="shared" si="3"/>
        <v>2.0394404274479792</v>
      </c>
      <c r="X18" s="132">
        <f t="shared" si="4"/>
        <v>1.006842323808506</v>
      </c>
      <c r="Y18" s="132">
        <f t="shared" si="5"/>
        <v>2.0394404274479792</v>
      </c>
      <c r="Z18" s="132">
        <f t="shared" si="6"/>
        <v>1.031955655477524</v>
      </c>
      <c r="AA18" s="132">
        <f t="shared" si="7"/>
        <v>1.0142221161518337</v>
      </c>
      <c r="AB18" s="132">
        <f t="shared" si="8"/>
        <v>1.0112362916922417</v>
      </c>
      <c r="AC18" s="132">
        <f t="shared" si="9"/>
        <v>1.0112362916922417</v>
      </c>
      <c r="AD18" s="130" t="s">
        <v>113</v>
      </c>
      <c r="AE18" s="130" t="s">
        <v>113</v>
      </c>
      <c r="AF18" s="130" t="s">
        <v>113</v>
      </c>
      <c r="AG18" s="130" t="s">
        <v>113</v>
      </c>
      <c r="AH18" s="133">
        <f t="shared" si="10"/>
        <v>1</v>
      </c>
      <c r="AI18" s="134">
        <f t="shared" si="11"/>
        <v>6.8423238085055793E-3</v>
      </c>
      <c r="AJ18" s="134">
        <f t="shared" si="12"/>
        <v>0</v>
      </c>
      <c r="AK18" s="134">
        <f t="shared" si="13"/>
        <v>1.0074847719704552</v>
      </c>
      <c r="AL18" s="134">
        <f t="shared" si="14"/>
        <v>1.7733539325690328E-2</v>
      </c>
      <c r="AM18" s="134">
        <f t="shared" si="15"/>
        <v>2.9858244595919459E-3</v>
      </c>
      <c r="AN18" s="135">
        <f t="shared" si="16"/>
        <v>0</v>
      </c>
      <c r="AO18" s="134">
        <f t="shared" si="17"/>
        <v>4.3939678837356944E-3</v>
      </c>
      <c r="AP18" s="134">
        <f t="shared" si="18"/>
        <v>1.1236291692241274E-2</v>
      </c>
      <c r="AQ18" s="307" t="s">
        <v>113</v>
      </c>
      <c r="AR18" s="308">
        <f t="shared" si="19"/>
        <v>0.6582699333048615</v>
      </c>
      <c r="AS18" s="308">
        <f t="shared" si="20"/>
        <v>0</v>
      </c>
      <c r="AT18" s="308">
        <f t="shared" si="21"/>
        <v>96.925686683557117</v>
      </c>
      <c r="AU18" s="308">
        <f t="shared" si="22"/>
        <v>1.7060659617819069</v>
      </c>
      <c r="AV18" s="308">
        <f t="shared" si="23"/>
        <v>0.287253062392686</v>
      </c>
      <c r="AW18" s="309">
        <f t="shared" si="24"/>
        <v>0</v>
      </c>
      <c r="AX18" s="308">
        <f t="shared" si="25"/>
        <v>0.42272435896338073</v>
      </c>
      <c r="AY18" s="308">
        <f t="shared" si="26"/>
        <v>1.0809942922682421</v>
      </c>
      <c r="AZ18" s="310" t="s">
        <v>113</v>
      </c>
      <c r="BA18" s="310" t="s">
        <v>113</v>
      </c>
      <c r="BB18" s="310" t="s">
        <v>113</v>
      </c>
      <c r="BC18" s="310" t="s">
        <v>113</v>
      </c>
      <c r="BD18" s="310" t="s">
        <v>113</v>
      </c>
      <c r="BE18" s="310" t="s">
        <v>113</v>
      </c>
      <c r="BF18" s="310" t="s">
        <v>113</v>
      </c>
      <c r="BG18" s="310" t="s">
        <v>113</v>
      </c>
      <c r="BH18" s="311">
        <f>'[28]2. Distributional by deciles o'!$B88</f>
        <v>1245388769.4948001</v>
      </c>
      <c r="BI18" s="311">
        <f>'[28]2. Distributional by deciles o'!$B106</f>
        <v>169591507.23600012</v>
      </c>
      <c r="BJ18" s="311">
        <f>'[28]2. Distributional by deciles o'!$B124</f>
        <v>11193612.847200001</v>
      </c>
      <c r="BK18" s="311">
        <f>'[28]2. Distributional by deciles o'!$B142</f>
        <v>20871712.390800014</v>
      </c>
      <c r="BL18" s="312">
        <f t="shared" si="27"/>
        <v>0.86064237906557151</v>
      </c>
      <c r="BM18" s="312">
        <f t="shared" si="28"/>
        <v>0.11719845387405883</v>
      </c>
      <c r="BN18" s="312">
        <f t="shared" si="29"/>
        <v>7.7354941903491911E-3</v>
      </c>
      <c r="BO18" s="312">
        <f t="shared" si="30"/>
        <v>1.4423672870020603E-2</v>
      </c>
      <c r="BP18" s="310" t="s">
        <v>113</v>
      </c>
      <c r="BQ18" s="310" t="s">
        <v>113</v>
      </c>
      <c r="BR18" s="310" t="s">
        <v>113</v>
      </c>
      <c r="BS18" s="131">
        <f t="shared" si="31"/>
        <v>10.525089545132484</v>
      </c>
      <c r="BT18" s="310"/>
      <c r="BU18" s="310"/>
      <c r="BV18" s="310"/>
      <c r="BW18" s="310"/>
      <c r="BX18" s="310"/>
      <c r="BY18" s="310"/>
      <c r="BZ18" s="310"/>
      <c r="CA18" s="310"/>
      <c r="CB18" s="310"/>
      <c r="CC18" s="313" t="s">
        <v>113</v>
      </c>
      <c r="CD18" s="313" t="s">
        <v>113</v>
      </c>
      <c r="CE18" s="313" t="s">
        <v>113</v>
      </c>
      <c r="CF18" s="313" t="s">
        <v>113</v>
      </c>
      <c r="CG18" s="313" t="s">
        <v>113</v>
      </c>
      <c r="CH18" s="313" t="s">
        <v>113</v>
      </c>
      <c r="CI18" s="313" t="s">
        <v>113</v>
      </c>
      <c r="CJ18" s="313"/>
      <c r="CK18" s="310" t="s">
        <v>113</v>
      </c>
      <c r="CL18" s="310" t="s">
        <v>113</v>
      </c>
      <c r="CM18" s="310" t="s">
        <v>113</v>
      </c>
      <c r="CN18" s="310" t="s">
        <v>113</v>
      </c>
      <c r="CO18" s="310" t="s">
        <v>113</v>
      </c>
      <c r="CP18" s="310" t="s">
        <v>113</v>
      </c>
      <c r="CQ18" s="310" t="s">
        <v>113</v>
      </c>
      <c r="CR18" s="310"/>
      <c r="CS18" s="314" t="s">
        <v>113</v>
      </c>
      <c r="CT18" s="314" t="s">
        <v>113</v>
      </c>
      <c r="CU18" s="314" t="s">
        <v>113</v>
      </c>
      <c r="CV18" s="314" t="s">
        <v>113</v>
      </c>
      <c r="CW18" s="314" t="s">
        <v>113</v>
      </c>
      <c r="CX18" s="314" t="s">
        <v>113</v>
      </c>
      <c r="CY18" s="314" t="s">
        <v>113</v>
      </c>
      <c r="CZ18" s="314"/>
      <c r="DA18" s="310" t="s">
        <v>113</v>
      </c>
      <c r="DB18" s="310" t="s">
        <v>113</v>
      </c>
      <c r="DC18" s="310" t="s">
        <v>113</v>
      </c>
      <c r="DD18" s="315">
        <f t="shared" si="32"/>
        <v>0</v>
      </c>
      <c r="DE18" s="316">
        <f>'[28]2. Distributional by deciles o'!$I34</f>
        <v>1</v>
      </c>
      <c r="DF18" s="304"/>
      <c r="DG18" s="304"/>
      <c r="DH18" s="304"/>
      <c r="DI18" s="304"/>
      <c r="DJ18" s="304"/>
      <c r="DK18" s="304"/>
      <c r="DL18" s="304"/>
      <c r="DM18" s="304"/>
      <c r="DN18" s="304"/>
      <c r="DO18" s="304"/>
      <c r="DP18" s="304"/>
      <c r="DQ18" s="304"/>
      <c r="DR18" s="304"/>
      <c r="DS18" s="304"/>
      <c r="DT18" s="304"/>
      <c r="DU18" s="304"/>
      <c r="DV18" s="304"/>
      <c r="DW18" s="304"/>
      <c r="DX18" s="304"/>
      <c r="DY18" s="304"/>
      <c r="DZ18" s="304"/>
      <c r="EA18" s="129">
        <f>'[29]2. Distributional by deciles o'!B70</f>
        <v>297796759.03080022</v>
      </c>
      <c r="EB18" s="129">
        <f>'[29]2. Distributional by deciles o'!C70</f>
        <v>302893324.63199997</v>
      </c>
      <c r="EC18" s="129">
        <f>'[29]2. Distributional by deciles o'!D70</f>
        <v>300790129.63799977</v>
      </c>
      <c r="ED18" s="129">
        <f t="shared" si="33"/>
        <v>302893324.63199997</v>
      </c>
      <c r="EE18" s="129">
        <f>'[29]2. Distributional by deciles o'!E70</f>
        <v>301025652.5267995</v>
      </c>
      <c r="EF18" s="129">
        <f>'[29]2. Distributional by deciles o'!F70</f>
        <v>300999775.63679963</v>
      </c>
      <c r="EG18" s="129"/>
      <c r="EH18" s="122"/>
      <c r="EI18" s="130" t="s">
        <v>113</v>
      </c>
      <c r="EJ18" s="130" t="s">
        <v>113</v>
      </c>
      <c r="EK18" s="130" t="s">
        <v>113</v>
      </c>
      <c r="EL18" s="130" t="s">
        <v>113</v>
      </c>
      <c r="EM18" s="131">
        <f t="shared" si="34"/>
        <v>11.207324854562211</v>
      </c>
      <c r="EN18" s="146">
        <f>'[30]2. Distributional by deciles o'!B160</f>
        <v>2010897767.1623993</v>
      </c>
      <c r="EO18" s="146">
        <f>'[30]2. Distributional by deciles o'!C160</f>
        <v>2031006875.7492003</v>
      </c>
      <c r="EP18" s="131">
        <f t="shared" si="35"/>
        <v>1.0000065102850675</v>
      </c>
      <c r="EQ18" s="130" t="s">
        <v>113</v>
      </c>
      <c r="ER18" s="130" t="s">
        <v>113</v>
      </c>
      <c r="ES18" s="130" t="s">
        <v>113</v>
      </c>
      <c r="ET18" s="130" t="s">
        <v>113</v>
      </c>
      <c r="EU18" s="131">
        <f t="shared" si="36"/>
        <v>10.595496186392277</v>
      </c>
      <c r="EV18" s="306">
        <f t="shared" si="37"/>
        <v>1.7114129911647926</v>
      </c>
      <c r="EW18" s="306">
        <f t="shared" si="38"/>
        <v>1.0051657813108907</v>
      </c>
      <c r="EX18" s="306"/>
      <c r="EY18" s="317">
        <f t="shared" si="39"/>
        <v>-0.32802743628318654</v>
      </c>
      <c r="EZ18" s="315">
        <f t="shared" si="40"/>
        <v>0</v>
      </c>
      <c r="FA18" s="316">
        <f>'[31]2. Distributional by deciles o'!$I34</f>
        <v>1</v>
      </c>
      <c r="FB18" s="130" t="s">
        <v>113</v>
      </c>
      <c r="FC18" s="130" t="s">
        <v>113</v>
      </c>
      <c r="FD18" s="130" t="s">
        <v>113</v>
      </c>
      <c r="FE18" s="130" t="s">
        <v>113</v>
      </c>
      <c r="FF18" s="130" t="s">
        <v>113</v>
      </c>
      <c r="FG18" s="130" t="s">
        <v>113</v>
      </c>
      <c r="FH18" s="130" t="s">
        <v>113</v>
      </c>
      <c r="FI18" s="130" t="s">
        <v>113</v>
      </c>
      <c r="FJ18" s="304"/>
      <c r="FK18" s="304"/>
      <c r="FL18" s="304"/>
      <c r="FM18" s="304"/>
      <c r="FN18" s="304"/>
      <c r="FO18" s="304"/>
      <c r="FP18" s="304"/>
      <c r="FQ18" s="304"/>
    </row>
    <row r="19" spans="1:173" s="318" customFormat="1" x14ac:dyDescent="0.3">
      <c r="A19" s="304"/>
      <c r="B19" s="305">
        <v>8</v>
      </c>
      <c r="C19" s="129">
        <f>'[28]2. Distributional by deciles o'!B71</f>
        <v>260219211.34679973</v>
      </c>
      <c r="D19" s="129">
        <f>'[28]2. Distributional by deciles o'!C71</f>
        <v>264772402.34160012</v>
      </c>
      <c r="E19" s="129">
        <f>'[28]2. Distributional by deciles o'!D71</f>
        <v>262834209.06359991</v>
      </c>
      <c r="F19" s="129">
        <f t="shared" si="0"/>
        <v>264772402.34160012</v>
      </c>
      <c r="G19" s="129">
        <f>'[28]2. Distributional by deciles o'!E71</f>
        <v>262882221.00119996</v>
      </c>
      <c r="H19" s="129">
        <f>'[28]2. Distributional by deciles o'!F71</f>
        <v>262847825.26799995</v>
      </c>
      <c r="I19" s="129">
        <f>'[28]2. Distributional by deciles o'!G71</f>
        <v>262844904.60239992</v>
      </c>
      <c r="J19" s="122"/>
      <c r="K19" s="130" t="s">
        <v>113</v>
      </c>
      <c r="L19" s="130" t="s">
        <v>113</v>
      </c>
      <c r="M19" s="130" t="s">
        <v>113</v>
      </c>
      <c r="N19" s="130" t="s">
        <v>113</v>
      </c>
      <c r="O19" s="131">
        <f t="shared" si="1"/>
        <v>14.650288109479327</v>
      </c>
      <c r="P19" s="129">
        <f>'[28]2. Distributional by deciles o'!B161</f>
        <v>1771977013.4783974</v>
      </c>
      <c r="Q19" s="129">
        <f>'[28]2. Distributional by deciles o'!C161</f>
        <v>1789696471.378799</v>
      </c>
      <c r="R19" s="131">
        <f t="shared" si="2"/>
        <v>0.99998237932095169</v>
      </c>
      <c r="S19" s="130" t="s">
        <v>113</v>
      </c>
      <c r="T19" s="130" t="s">
        <v>113</v>
      </c>
      <c r="U19" s="130" t="s">
        <v>113</v>
      </c>
      <c r="V19" s="130" t="s">
        <v>113</v>
      </c>
      <c r="W19" s="132">
        <f t="shared" si="3"/>
        <v>1.7497828861156026</v>
      </c>
      <c r="X19" s="132">
        <f t="shared" si="4"/>
        <v>1.0049387906884701</v>
      </c>
      <c r="Y19" s="132">
        <f t="shared" si="5"/>
        <v>1.7497828861156026</v>
      </c>
      <c r="Z19" s="132">
        <f t="shared" si="6"/>
        <v>1.0233896895938202</v>
      </c>
      <c r="AA19" s="132">
        <f t="shared" si="7"/>
        <v>1.0101714728799787</v>
      </c>
      <c r="AB19" s="132">
        <f t="shared" si="8"/>
        <v>1.0090490664865641</v>
      </c>
      <c r="AC19" s="132">
        <f t="shared" si="9"/>
        <v>1.0090490664865641</v>
      </c>
      <c r="AD19" s="130" t="s">
        <v>113</v>
      </c>
      <c r="AE19" s="130" t="s">
        <v>113</v>
      </c>
      <c r="AF19" s="130" t="s">
        <v>113</v>
      </c>
      <c r="AG19" s="130" t="s">
        <v>113</v>
      </c>
      <c r="AH19" s="133">
        <f t="shared" si="10"/>
        <v>1</v>
      </c>
      <c r="AI19" s="134">
        <f t="shared" si="11"/>
        <v>4.9387906884701405E-3</v>
      </c>
      <c r="AJ19" s="134">
        <f t="shared" si="12"/>
        <v>0</v>
      </c>
      <c r="AK19" s="134">
        <f t="shared" si="13"/>
        <v>0.72639319652178247</v>
      </c>
      <c r="AL19" s="134">
        <f t="shared" si="14"/>
        <v>1.3218216713841491E-2</v>
      </c>
      <c r="AM19" s="134">
        <f t="shared" si="15"/>
        <v>1.1224063934145434E-3</v>
      </c>
      <c r="AN19" s="135">
        <f t="shared" si="16"/>
        <v>0</v>
      </c>
      <c r="AO19" s="134">
        <f t="shared" si="17"/>
        <v>4.1102757980939764E-3</v>
      </c>
      <c r="AP19" s="134">
        <f t="shared" si="18"/>
        <v>9.0490664865641168E-3</v>
      </c>
      <c r="AQ19" s="307" t="s">
        <v>113</v>
      </c>
      <c r="AR19" s="308">
        <f t="shared" si="19"/>
        <v>0.65869610789018063</v>
      </c>
      <c r="AS19" s="308">
        <f t="shared" si="20"/>
        <v>0</v>
      </c>
      <c r="AT19" s="308">
        <f t="shared" si="21"/>
        <v>96.88047166360451</v>
      </c>
      <c r="AU19" s="308">
        <f t="shared" si="22"/>
        <v>1.762939239960658</v>
      </c>
      <c r="AV19" s="308">
        <f t="shared" si="23"/>
        <v>0.14969752100229841</v>
      </c>
      <c r="AW19" s="309">
        <f t="shared" si="24"/>
        <v>0</v>
      </c>
      <c r="AX19" s="308">
        <f t="shared" si="25"/>
        <v>0.54819546754235304</v>
      </c>
      <c r="AY19" s="308">
        <f t="shared" si="26"/>
        <v>1.2068915754325338</v>
      </c>
      <c r="AZ19" s="310" t="s">
        <v>113</v>
      </c>
      <c r="BA19" s="310" t="s">
        <v>113</v>
      </c>
      <c r="BB19" s="310" t="s">
        <v>113</v>
      </c>
      <c r="BC19" s="310" t="s">
        <v>113</v>
      </c>
      <c r="BD19" s="310" t="s">
        <v>113</v>
      </c>
      <c r="BE19" s="310" t="s">
        <v>113</v>
      </c>
      <c r="BF19" s="310" t="s">
        <v>113</v>
      </c>
      <c r="BG19" s="310" t="s">
        <v>113</v>
      </c>
      <c r="BH19" s="311">
        <f>'[28]2. Distributional by deciles o'!$B89</f>
        <v>1573848123.5099993</v>
      </c>
      <c r="BI19" s="311">
        <f>'[28]2. Distributional by deciles o'!$B107</f>
        <v>159964817.28600013</v>
      </c>
      <c r="BJ19" s="311">
        <f>'[28]2. Distributional by deciles o'!$B125</f>
        <v>8880760.589999998</v>
      </c>
      <c r="BK19" s="311">
        <f>'[28]2. Distributional by deciles o'!$B143</f>
        <v>29283612.420000002</v>
      </c>
      <c r="BL19" s="312">
        <f t="shared" si="27"/>
        <v>0.88818751303850385</v>
      </c>
      <c r="BM19" s="312">
        <f t="shared" si="28"/>
        <v>9.027475467076633E-2</v>
      </c>
      <c r="BN19" s="312">
        <f t="shared" si="29"/>
        <v>5.0117800723560989E-3</v>
      </c>
      <c r="BO19" s="312">
        <f t="shared" si="30"/>
        <v>1.6525952218373628E-2</v>
      </c>
      <c r="BP19" s="310" t="s">
        <v>113</v>
      </c>
      <c r="BQ19" s="310" t="s">
        <v>113</v>
      </c>
      <c r="BR19" s="310" t="s">
        <v>113</v>
      </c>
      <c r="BS19" s="131">
        <f t="shared" si="31"/>
        <v>12.888482146605673</v>
      </c>
      <c r="BT19" s="310"/>
      <c r="BU19" s="310"/>
      <c r="BV19" s="310"/>
      <c r="BW19" s="310"/>
      <c r="BX19" s="310"/>
      <c r="BY19" s="310"/>
      <c r="BZ19" s="310"/>
      <c r="CA19" s="310"/>
      <c r="CB19" s="310"/>
      <c r="CC19" s="313" t="s">
        <v>113</v>
      </c>
      <c r="CD19" s="313" t="s">
        <v>113</v>
      </c>
      <c r="CE19" s="313" t="s">
        <v>113</v>
      </c>
      <c r="CF19" s="313" t="s">
        <v>113</v>
      </c>
      <c r="CG19" s="313" t="s">
        <v>113</v>
      </c>
      <c r="CH19" s="313" t="s">
        <v>113</v>
      </c>
      <c r="CI19" s="313" t="s">
        <v>113</v>
      </c>
      <c r="CJ19" s="313"/>
      <c r="CK19" s="310" t="s">
        <v>113</v>
      </c>
      <c r="CL19" s="310" t="s">
        <v>113</v>
      </c>
      <c r="CM19" s="310" t="s">
        <v>113</v>
      </c>
      <c r="CN19" s="310" t="s">
        <v>113</v>
      </c>
      <c r="CO19" s="310" t="s">
        <v>113</v>
      </c>
      <c r="CP19" s="310" t="s">
        <v>113</v>
      </c>
      <c r="CQ19" s="310" t="s">
        <v>113</v>
      </c>
      <c r="CR19" s="310"/>
      <c r="CS19" s="314" t="s">
        <v>113</v>
      </c>
      <c r="CT19" s="314" t="s">
        <v>113</v>
      </c>
      <c r="CU19" s="314" t="s">
        <v>113</v>
      </c>
      <c r="CV19" s="314" t="s">
        <v>113</v>
      </c>
      <c r="CW19" s="314" t="s">
        <v>113</v>
      </c>
      <c r="CX19" s="314" t="s">
        <v>113</v>
      </c>
      <c r="CY19" s="314" t="s">
        <v>113</v>
      </c>
      <c r="CZ19" s="314"/>
      <c r="DA19" s="310" t="s">
        <v>113</v>
      </c>
      <c r="DB19" s="310" t="s">
        <v>113</v>
      </c>
      <c r="DC19" s="310" t="s">
        <v>113</v>
      </c>
      <c r="DD19" s="315">
        <f t="shared" si="32"/>
        <v>0</v>
      </c>
      <c r="DE19" s="316">
        <f>'[28]2. Distributional by deciles o'!$I35</f>
        <v>1</v>
      </c>
      <c r="DF19" s="304"/>
      <c r="DG19" s="304"/>
      <c r="DH19" s="304"/>
      <c r="DI19" s="304"/>
      <c r="DJ19" s="304"/>
      <c r="DK19" s="304"/>
      <c r="DL19" s="304"/>
      <c r="DM19" s="304"/>
      <c r="DN19" s="304"/>
      <c r="DO19" s="304"/>
      <c r="DP19" s="304"/>
      <c r="DQ19" s="304"/>
      <c r="DR19" s="304"/>
      <c r="DS19" s="304"/>
      <c r="DT19" s="304"/>
      <c r="DU19" s="304"/>
      <c r="DV19" s="304"/>
      <c r="DW19" s="304"/>
      <c r="DX19" s="304"/>
      <c r="DY19" s="304"/>
      <c r="DZ19" s="304"/>
      <c r="EA19" s="129">
        <f>'[29]2. Distributional by deciles o'!B71</f>
        <v>404162000.61000001</v>
      </c>
      <c r="EB19" s="129">
        <f>'[29]2. Distributional by deciles o'!C71</f>
        <v>409736275.89120007</v>
      </c>
      <c r="EC19" s="129">
        <f>'[29]2. Distributional by deciles o'!D71</f>
        <v>408224680.38600016</v>
      </c>
      <c r="ED19" s="129">
        <f t="shared" si="33"/>
        <v>409736275.89120007</v>
      </c>
      <c r="EE19" s="129">
        <f>'[29]2. Distributional by deciles o'!E71</f>
        <v>408417937.74600023</v>
      </c>
      <c r="EF19" s="129">
        <f>'[29]2. Distributional by deciles o'!F71</f>
        <v>408388879.10520017</v>
      </c>
      <c r="EG19" s="129"/>
      <c r="EH19" s="122"/>
      <c r="EI19" s="130" t="s">
        <v>113</v>
      </c>
      <c r="EJ19" s="130" t="s">
        <v>113</v>
      </c>
      <c r="EK19" s="130" t="s">
        <v>113</v>
      </c>
      <c r="EL19" s="130" t="s">
        <v>113</v>
      </c>
      <c r="EM19" s="131">
        <f t="shared" si="34"/>
        <v>15.210289223589434</v>
      </c>
      <c r="EN19" s="146">
        <f>'[30]2. Distributional by deciles o'!B161</f>
        <v>2446698732.9743991</v>
      </c>
      <c r="EO19" s="146">
        <f>'[30]2. Distributional by deciles o'!C161</f>
        <v>2471165716.3848</v>
      </c>
      <c r="EP19" s="131">
        <f t="shared" si="35"/>
        <v>0.99999983981096108</v>
      </c>
      <c r="EQ19" s="130" t="s">
        <v>113</v>
      </c>
      <c r="ER19" s="130" t="s">
        <v>113</v>
      </c>
      <c r="ES19" s="130" t="s">
        <v>113</v>
      </c>
      <c r="ET19" s="130" t="s">
        <v>113</v>
      </c>
      <c r="EU19" s="131">
        <f t="shared" si="36"/>
        <v>12.891747913700602</v>
      </c>
      <c r="EV19" s="306">
        <f t="shared" si="37"/>
        <v>1.3792182752769342</v>
      </c>
      <c r="EW19" s="306">
        <f t="shared" si="38"/>
        <v>1.0052108858985329</v>
      </c>
      <c r="EX19" s="306"/>
      <c r="EY19" s="317">
        <f t="shared" si="39"/>
        <v>-0.37056461083866843</v>
      </c>
      <c r="EZ19" s="315">
        <f t="shared" si="40"/>
        <v>0</v>
      </c>
      <c r="FA19" s="316">
        <f>'[31]2. Distributional by deciles o'!$I35</f>
        <v>1</v>
      </c>
      <c r="FB19" s="130" t="s">
        <v>113</v>
      </c>
      <c r="FC19" s="130" t="s">
        <v>113</v>
      </c>
      <c r="FD19" s="130" t="s">
        <v>113</v>
      </c>
      <c r="FE19" s="130" t="s">
        <v>113</v>
      </c>
      <c r="FF19" s="130" t="s">
        <v>113</v>
      </c>
      <c r="FG19" s="130" t="s">
        <v>113</v>
      </c>
      <c r="FH19" s="130" t="s">
        <v>113</v>
      </c>
      <c r="FI19" s="130" t="s">
        <v>113</v>
      </c>
      <c r="FJ19" s="304"/>
      <c r="FK19" s="304"/>
      <c r="FL19" s="304"/>
      <c r="FM19" s="304"/>
      <c r="FN19" s="304"/>
      <c r="FO19" s="304"/>
      <c r="FP19" s="304"/>
      <c r="FQ19" s="304"/>
    </row>
    <row r="20" spans="1:173" s="318" customFormat="1" x14ac:dyDescent="0.3">
      <c r="A20" s="304"/>
      <c r="B20" s="305">
        <v>9</v>
      </c>
      <c r="C20" s="129">
        <f>'[28]2. Distributional by deciles o'!B72</f>
        <v>363047859.77399993</v>
      </c>
      <c r="D20" s="129">
        <f>'[28]2. Distributional by deciles o'!C72</f>
        <v>368389683.06599975</v>
      </c>
      <c r="E20" s="129">
        <f>'[28]2. Distributional by deciles o'!D72</f>
        <v>366697276.63920009</v>
      </c>
      <c r="F20" s="129">
        <f t="shared" si="0"/>
        <v>368389683.06599975</v>
      </c>
      <c r="G20" s="129">
        <f>'[28]2. Distributional by deciles o'!E72</f>
        <v>366738355.81079984</v>
      </c>
      <c r="H20" s="129">
        <f>'[28]2. Distributional by deciles o'!F72</f>
        <v>366710611.19639987</v>
      </c>
      <c r="I20" s="129">
        <f>'[28]2. Distributional by deciles o'!G72</f>
        <v>366709153.02359986</v>
      </c>
      <c r="J20" s="122"/>
      <c r="K20" s="130" t="s">
        <v>113</v>
      </c>
      <c r="L20" s="130" t="s">
        <v>113</v>
      </c>
      <c r="M20" s="130" t="s">
        <v>113</v>
      </c>
      <c r="N20" s="130" t="s">
        <v>113</v>
      </c>
      <c r="O20" s="131">
        <f t="shared" si="1"/>
        <v>20.439519878993593</v>
      </c>
      <c r="P20" s="129">
        <f>'[28]2. Distributional by deciles o'!B162</f>
        <v>2195708423.025598</v>
      </c>
      <c r="Q20" s="129">
        <f>'[28]2. Distributional by deciles o'!C162</f>
        <v>2217665336.4551973</v>
      </c>
      <c r="R20" s="131">
        <f t="shared" si="2"/>
        <v>0.99999222115947362</v>
      </c>
      <c r="S20" s="130" t="s">
        <v>113</v>
      </c>
      <c r="T20" s="130" t="s">
        <v>113</v>
      </c>
      <c r="U20" s="130" t="s">
        <v>113</v>
      </c>
      <c r="V20" s="130" t="s">
        <v>113</v>
      </c>
      <c r="W20" s="132">
        <f t="shared" si="3"/>
        <v>1.4713941155967467</v>
      </c>
      <c r="X20" s="132">
        <f t="shared" si="4"/>
        <v>1.0052242852842068</v>
      </c>
      <c r="Y20" s="132">
        <f t="shared" si="5"/>
        <v>1.4713941155967467</v>
      </c>
      <c r="Z20" s="132">
        <f t="shared" si="6"/>
        <v>1.0165394576628921</v>
      </c>
      <c r="AA20" s="132">
        <f t="shared" si="7"/>
        <v>1.0088972613310228</v>
      </c>
      <c r="AB20" s="132">
        <f t="shared" si="8"/>
        <v>1.0084956106660403</v>
      </c>
      <c r="AC20" s="132">
        <f t="shared" si="9"/>
        <v>1.0084956106660403</v>
      </c>
      <c r="AD20" s="130" t="s">
        <v>113</v>
      </c>
      <c r="AE20" s="130" t="s">
        <v>113</v>
      </c>
      <c r="AF20" s="130" t="s">
        <v>113</v>
      </c>
      <c r="AG20" s="130" t="s">
        <v>113</v>
      </c>
      <c r="AH20" s="133">
        <f t="shared" si="10"/>
        <v>1</v>
      </c>
      <c r="AI20" s="134">
        <f t="shared" si="11"/>
        <v>5.2242852842068199E-3</v>
      </c>
      <c r="AJ20" s="134">
        <f t="shared" si="12"/>
        <v>0</v>
      </c>
      <c r="AK20" s="134">
        <f t="shared" si="13"/>
        <v>0.4548546579338546</v>
      </c>
      <c r="AL20" s="134">
        <f t="shared" si="14"/>
        <v>7.6421963318693553E-3</v>
      </c>
      <c r="AM20" s="134">
        <f t="shared" si="15"/>
        <v>4.0165066498243363E-4</v>
      </c>
      <c r="AN20" s="135">
        <f t="shared" si="16"/>
        <v>0</v>
      </c>
      <c r="AO20" s="134">
        <f t="shared" si="17"/>
        <v>3.2713253818335009E-3</v>
      </c>
      <c r="AP20" s="134">
        <f t="shared" si="18"/>
        <v>8.4956106660403208E-3</v>
      </c>
      <c r="AQ20" s="307" t="s">
        <v>113</v>
      </c>
      <c r="AR20" s="308">
        <f t="shared" si="19"/>
        <v>1.1082627278011943</v>
      </c>
      <c r="AS20" s="308">
        <f t="shared" si="20"/>
        <v>0</v>
      </c>
      <c r="AT20" s="308">
        <f t="shared" si="21"/>
        <v>96.491373753795273</v>
      </c>
      <c r="AU20" s="308">
        <f t="shared" si="22"/>
        <v>1.6211904389589069</v>
      </c>
      <c r="AV20" s="308">
        <f t="shared" si="23"/>
        <v>8.5204853368603561E-2</v>
      </c>
      <c r="AW20" s="309">
        <f t="shared" si="24"/>
        <v>0</v>
      </c>
      <c r="AX20" s="308">
        <f t="shared" si="25"/>
        <v>0.69396822607602315</v>
      </c>
      <c r="AY20" s="308">
        <f t="shared" si="26"/>
        <v>1.8022309538772172</v>
      </c>
      <c r="AZ20" s="310" t="s">
        <v>113</v>
      </c>
      <c r="BA20" s="310" t="s">
        <v>113</v>
      </c>
      <c r="BB20" s="310" t="s">
        <v>113</v>
      </c>
      <c r="BC20" s="310" t="s">
        <v>113</v>
      </c>
      <c r="BD20" s="310" t="s">
        <v>113</v>
      </c>
      <c r="BE20" s="310" t="s">
        <v>113</v>
      </c>
      <c r="BF20" s="310" t="s">
        <v>113</v>
      </c>
      <c r="BG20" s="310" t="s">
        <v>113</v>
      </c>
      <c r="BH20" s="311">
        <f>'[28]2. Distributional by deciles o'!$B90</f>
        <v>1928906813.3940003</v>
      </c>
      <c r="BI20" s="311">
        <f>'[28]2. Distributional by deciles o'!$B108</f>
        <v>196891872.88679996</v>
      </c>
      <c r="BJ20" s="311">
        <f>'[28]2. Distributional by deciles o'!$B126</f>
        <v>19192674.773999996</v>
      </c>
      <c r="BK20" s="311">
        <f>'[28]2. Distributional by deciles o'!$B144</f>
        <v>50717403.729599953</v>
      </c>
      <c r="BL20" s="312">
        <f t="shared" si="27"/>
        <v>0.8784893717830573</v>
      </c>
      <c r="BM20" s="312">
        <f t="shared" si="28"/>
        <v>8.9671215073977753E-2</v>
      </c>
      <c r="BN20" s="312">
        <f t="shared" si="29"/>
        <v>8.7409929230229926E-3</v>
      </c>
      <c r="BO20" s="312">
        <f t="shared" si="30"/>
        <v>2.3098420219942042E-2</v>
      </c>
      <c r="BP20" s="310" t="s">
        <v>113</v>
      </c>
      <c r="BQ20" s="310" t="s">
        <v>113</v>
      </c>
      <c r="BR20" s="310" t="s">
        <v>113</v>
      </c>
      <c r="BS20" s="131">
        <f t="shared" si="31"/>
        <v>15.970494308933155</v>
      </c>
      <c r="BT20" s="310"/>
      <c r="BU20" s="310"/>
      <c r="BV20" s="310"/>
      <c r="BW20" s="310"/>
      <c r="BX20" s="310"/>
      <c r="BY20" s="310"/>
      <c r="BZ20" s="310"/>
      <c r="CA20" s="310"/>
      <c r="CB20" s="310"/>
      <c r="CC20" s="313" t="s">
        <v>113</v>
      </c>
      <c r="CD20" s="313" t="s">
        <v>113</v>
      </c>
      <c r="CE20" s="313" t="s">
        <v>113</v>
      </c>
      <c r="CF20" s="313" t="s">
        <v>113</v>
      </c>
      <c r="CG20" s="313" t="s">
        <v>113</v>
      </c>
      <c r="CH20" s="313" t="s">
        <v>113</v>
      </c>
      <c r="CI20" s="313" t="s">
        <v>113</v>
      </c>
      <c r="CJ20" s="313"/>
      <c r="CK20" s="310" t="s">
        <v>113</v>
      </c>
      <c r="CL20" s="310" t="s">
        <v>113</v>
      </c>
      <c r="CM20" s="310" t="s">
        <v>113</v>
      </c>
      <c r="CN20" s="310" t="s">
        <v>113</v>
      </c>
      <c r="CO20" s="310" t="s">
        <v>113</v>
      </c>
      <c r="CP20" s="310" t="s">
        <v>113</v>
      </c>
      <c r="CQ20" s="310" t="s">
        <v>113</v>
      </c>
      <c r="CR20" s="310"/>
      <c r="CS20" s="314" t="s">
        <v>113</v>
      </c>
      <c r="CT20" s="314" t="s">
        <v>113</v>
      </c>
      <c r="CU20" s="314" t="s">
        <v>113</v>
      </c>
      <c r="CV20" s="314" t="s">
        <v>113</v>
      </c>
      <c r="CW20" s="314" t="s">
        <v>113</v>
      </c>
      <c r="CX20" s="314" t="s">
        <v>113</v>
      </c>
      <c r="CY20" s="314" t="s">
        <v>113</v>
      </c>
      <c r="CZ20" s="314"/>
      <c r="DA20" s="310" t="s">
        <v>113</v>
      </c>
      <c r="DB20" s="310" t="s">
        <v>113</v>
      </c>
      <c r="DC20" s="310" t="s">
        <v>113</v>
      </c>
      <c r="DD20" s="315">
        <f t="shared" si="32"/>
        <v>0</v>
      </c>
      <c r="DE20" s="316">
        <f>'[28]2. Distributional by deciles o'!$I36</f>
        <v>1</v>
      </c>
      <c r="DF20" s="304"/>
      <c r="DG20" s="304"/>
      <c r="DH20" s="304"/>
      <c r="DI20" s="304"/>
      <c r="DJ20" s="304"/>
      <c r="DK20" s="304"/>
      <c r="DL20" s="304"/>
      <c r="DM20" s="304"/>
      <c r="DN20" s="304"/>
      <c r="DO20" s="304"/>
      <c r="DP20" s="304"/>
      <c r="DQ20" s="304"/>
      <c r="DR20" s="304"/>
      <c r="DS20" s="304"/>
      <c r="DT20" s="304"/>
      <c r="DU20" s="304"/>
      <c r="DV20" s="304"/>
      <c r="DW20" s="304"/>
      <c r="DX20" s="304"/>
      <c r="DY20" s="304"/>
      <c r="DZ20" s="304"/>
      <c r="EA20" s="129">
        <f>'[29]2. Distributional by deciles o'!B72</f>
        <v>537116762.47319984</v>
      </c>
      <c r="EB20" s="129">
        <f>'[29]2. Distributional by deciles o'!C72</f>
        <v>543647428.70880008</v>
      </c>
      <c r="EC20" s="129">
        <f>'[29]2. Distributional by deciles o'!D72</f>
        <v>542495396.32679987</v>
      </c>
      <c r="ED20" s="129">
        <f t="shared" si="33"/>
        <v>543647428.70880008</v>
      </c>
      <c r="EE20" s="129">
        <f>'[29]2. Distributional by deciles o'!E72</f>
        <v>542670937.50599957</v>
      </c>
      <c r="EF20" s="129">
        <f>'[29]2. Distributional by deciles o'!F72</f>
        <v>542646265.91639984</v>
      </c>
      <c r="EG20" s="129"/>
      <c r="EH20" s="122"/>
      <c r="EI20" s="130" t="s">
        <v>113</v>
      </c>
      <c r="EJ20" s="130" t="s">
        <v>113</v>
      </c>
      <c r="EK20" s="130" t="s">
        <v>113</v>
      </c>
      <c r="EL20" s="130" t="s">
        <v>113</v>
      </c>
      <c r="EM20" s="131">
        <f t="shared" si="34"/>
        <v>20.213927315593409</v>
      </c>
      <c r="EN20" s="146">
        <f>'[30]2. Distributional by deciles o'!B162</f>
        <v>3060838644.6708016</v>
      </c>
      <c r="EO20" s="146">
        <f>'[30]2. Distributional by deciles o'!C162</f>
        <v>3091446869.7755976</v>
      </c>
      <c r="EP20" s="131">
        <f t="shared" si="35"/>
        <v>0.99999472883314233</v>
      </c>
      <c r="EQ20" s="130" t="s">
        <v>113</v>
      </c>
      <c r="ER20" s="130" t="s">
        <v>113</v>
      </c>
      <c r="ES20" s="130" t="s">
        <v>113</v>
      </c>
      <c r="ET20" s="130" t="s">
        <v>113</v>
      </c>
      <c r="EU20" s="131">
        <f t="shared" si="36"/>
        <v>16.12767427383217</v>
      </c>
      <c r="EV20" s="306">
        <f t="shared" si="37"/>
        <v>1.2158809994947732</v>
      </c>
      <c r="EW20" s="306">
        <f t="shared" si="38"/>
        <v>1.0013953354684879</v>
      </c>
      <c r="EX20" s="306"/>
      <c r="EY20" s="317">
        <f t="shared" si="39"/>
        <v>-0.25551311610197347</v>
      </c>
      <c r="EZ20" s="315">
        <f t="shared" si="40"/>
        <v>0</v>
      </c>
      <c r="FA20" s="316">
        <f>'[31]2. Distributional by deciles o'!$I36</f>
        <v>1</v>
      </c>
      <c r="FB20" s="130" t="s">
        <v>113</v>
      </c>
      <c r="FC20" s="130" t="s">
        <v>113</v>
      </c>
      <c r="FD20" s="130" t="s">
        <v>113</v>
      </c>
      <c r="FE20" s="130" t="s">
        <v>113</v>
      </c>
      <c r="FF20" s="130" t="s">
        <v>113</v>
      </c>
      <c r="FG20" s="130" t="s">
        <v>113</v>
      </c>
      <c r="FH20" s="130" t="s">
        <v>113</v>
      </c>
      <c r="FI20" s="130" t="s">
        <v>113</v>
      </c>
      <c r="FJ20" s="304"/>
      <c r="FK20" s="304"/>
      <c r="FL20" s="304"/>
      <c r="FM20" s="304"/>
      <c r="FN20" s="304"/>
      <c r="FO20" s="304"/>
      <c r="FP20" s="304"/>
      <c r="FQ20" s="304"/>
    </row>
    <row r="21" spans="1:173" s="318" customFormat="1" x14ac:dyDescent="0.3">
      <c r="A21" s="304"/>
      <c r="B21" s="319">
        <v>10</v>
      </c>
      <c r="C21" s="129">
        <f>'[28]2. Distributional by deciles o'!B73</f>
        <v>663167059.69319892</v>
      </c>
      <c r="D21" s="129">
        <f>'[28]2. Distributional by deciles o'!C73</f>
        <v>670619941.64760029</v>
      </c>
      <c r="E21" s="129">
        <f>'[28]2. Distributional by deciles o'!D73</f>
        <v>669855280.53359962</v>
      </c>
      <c r="F21" s="129">
        <f t="shared" si="0"/>
        <v>670619941.64760029</v>
      </c>
      <c r="G21" s="129">
        <f>'[28]2. Distributional by deciles o'!E73</f>
        <v>669907322.38439989</v>
      </c>
      <c r="H21" s="129">
        <f>'[28]2. Distributional by deciles o'!F73</f>
        <v>669876360.50039995</v>
      </c>
      <c r="I21" s="129">
        <f>'[28]2. Distributional by deciles o'!G73</f>
        <v>669876360.50039995</v>
      </c>
      <c r="J21" s="122"/>
      <c r="K21" s="130" t="s">
        <v>113</v>
      </c>
      <c r="L21" s="130" t="s">
        <v>113</v>
      </c>
      <c r="M21" s="130" t="s">
        <v>113</v>
      </c>
      <c r="N21" s="130" t="s">
        <v>113</v>
      </c>
      <c r="O21" s="131">
        <f t="shared" si="1"/>
        <v>37.336169143459067</v>
      </c>
      <c r="P21" s="129">
        <f>'[28]2. Distributional by deciles o'!B163</f>
        <v>3615887812.1267982</v>
      </c>
      <c r="Q21" s="129">
        <f>'[28]2. Distributional by deciles o'!C163</f>
        <v>3652046379.6695986</v>
      </c>
      <c r="R21" s="131">
        <f t="shared" si="2"/>
        <v>0.99999141072721898</v>
      </c>
      <c r="S21" s="130" t="s">
        <v>113</v>
      </c>
      <c r="T21" s="130" t="s">
        <v>113</v>
      </c>
      <c r="U21" s="130" t="s">
        <v>113</v>
      </c>
      <c r="V21" s="130" t="s">
        <v>113</v>
      </c>
      <c r="W21" s="132">
        <f t="shared" si="3"/>
        <v>1.1238414002702861</v>
      </c>
      <c r="X21" s="132">
        <f t="shared" si="4"/>
        <v>1.008535962407654</v>
      </c>
      <c r="Y21" s="132">
        <f t="shared" si="5"/>
        <v>1.1238414002702861</v>
      </c>
      <c r="Z21" s="132">
        <f t="shared" si="6"/>
        <v>1.0163835020351264</v>
      </c>
      <c r="AA21" s="132">
        <f t="shared" si="7"/>
        <v>1.0117146709329574</v>
      </c>
      <c r="AB21" s="132">
        <f t="shared" si="8"/>
        <v>1.0117146709329574</v>
      </c>
      <c r="AC21" s="132">
        <f t="shared" si="9"/>
        <v>1.0117146709329574</v>
      </c>
      <c r="AD21" s="130" t="s">
        <v>113</v>
      </c>
      <c r="AE21" s="130" t="s">
        <v>113</v>
      </c>
      <c r="AF21" s="130" t="s">
        <v>113</v>
      </c>
      <c r="AG21" s="130" t="s">
        <v>113</v>
      </c>
      <c r="AH21" s="133">
        <f t="shared" si="10"/>
        <v>1</v>
      </c>
      <c r="AI21" s="134">
        <f t="shared" si="11"/>
        <v>8.5359624076539742E-3</v>
      </c>
      <c r="AJ21" s="134">
        <f t="shared" si="12"/>
        <v>0</v>
      </c>
      <c r="AK21" s="134">
        <f t="shared" si="13"/>
        <v>0.10745789823515972</v>
      </c>
      <c r="AL21" s="134">
        <f t="shared" si="14"/>
        <v>4.6688311021689799E-3</v>
      </c>
      <c r="AM21" s="134">
        <f t="shared" si="15"/>
        <v>0</v>
      </c>
      <c r="AN21" s="135">
        <f t="shared" si="16"/>
        <v>0</v>
      </c>
      <c r="AO21" s="134">
        <f t="shared" si="17"/>
        <v>3.1787085253034419E-3</v>
      </c>
      <c r="AP21" s="134">
        <f t="shared" si="18"/>
        <v>1.1714670932957416E-2</v>
      </c>
      <c r="AQ21" s="307" t="s">
        <v>113</v>
      </c>
      <c r="AR21" s="308">
        <f t="shared" si="19"/>
        <v>6.8926565664019304</v>
      </c>
      <c r="AS21" s="308">
        <f t="shared" si="20"/>
        <v>0</v>
      </c>
      <c r="AT21" s="308">
        <f t="shared" si="21"/>
        <v>86.770577529510234</v>
      </c>
      <c r="AU21" s="308">
        <f t="shared" si="22"/>
        <v>3.770008326762432</v>
      </c>
      <c r="AV21" s="308">
        <f t="shared" si="23"/>
        <v>0</v>
      </c>
      <c r="AW21" s="309">
        <f t="shared" si="24"/>
        <v>0</v>
      </c>
      <c r="AX21" s="308">
        <f t="shared" si="25"/>
        <v>2.5667575773253954</v>
      </c>
      <c r="AY21" s="308">
        <f t="shared" si="26"/>
        <v>9.4594141437273258</v>
      </c>
      <c r="AZ21" s="310" t="s">
        <v>113</v>
      </c>
      <c r="BA21" s="310" t="s">
        <v>113</v>
      </c>
      <c r="BB21" s="310" t="s">
        <v>113</v>
      </c>
      <c r="BC21" s="310" t="s">
        <v>113</v>
      </c>
      <c r="BD21" s="310" t="s">
        <v>113</v>
      </c>
      <c r="BE21" s="310" t="s">
        <v>113</v>
      </c>
      <c r="BF21" s="310" t="s">
        <v>113</v>
      </c>
      <c r="BG21" s="310" t="s">
        <v>113</v>
      </c>
      <c r="BH21" s="311">
        <f>'[28]2. Distributional by deciles o'!$B91</f>
        <v>3042475708.7135968</v>
      </c>
      <c r="BI21" s="311">
        <f>'[28]2. Distributional by deciles o'!$B109</f>
        <v>249144067.81680009</v>
      </c>
      <c r="BJ21" s="311">
        <f>'[28]2. Distributional by deciles o'!$B127</f>
        <v>40352880.506400004</v>
      </c>
      <c r="BK21" s="311">
        <f>'[28]2. Distributional by deciles o'!$B145</f>
        <v>283915982.60519987</v>
      </c>
      <c r="BL21" s="312">
        <f t="shared" si="27"/>
        <v>0.84141853135577405</v>
      </c>
      <c r="BM21" s="312">
        <f t="shared" si="28"/>
        <v>6.8902583195003322E-2</v>
      </c>
      <c r="BN21" s="312">
        <f t="shared" si="29"/>
        <v>1.1159879224155331E-2</v>
      </c>
      <c r="BO21" s="312">
        <f t="shared" si="30"/>
        <v>7.8519006225067245E-2</v>
      </c>
      <c r="BP21" s="310" t="s">
        <v>113</v>
      </c>
      <c r="BQ21" s="310" t="s">
        <v>113</v>
      </c>
      <c r="BR21" s="310" t="s">
        <v>113</v>
      </c>
      <c r="BS21" s="131">
        <f t="shared" si="31"/>
        <v>26.3001749775765</v>
      </c>
      <c r="BT21" s="310"/>
      <c r="BU21" s="310"/>
      <c r="BV21" s="310"/>
      <c r="BW21" s="310"/>
      <c r="BX21" s="310"/>
      <c r="BY21" s="310"/>
      <c r="BZ21" s="310"/>
      <c r="CA21" s="310"/>
      <c r="CB21" s="310"/>
      <c r="CC21" s="313" t="s">
        <v>113</v>
      </c>
      <c r="CD21" s="313" t="s">
        <v>113</v>
      </c>
      <c r="CE21" s="313" t="s">
        <v>113</v>
      </c>
      <c r="CF21" s="313" t="s">
        <v>113</v>
      </c>
      <c r="CG21" s="313" t="s">
        <v>113</v>
      </c>
      <c r="CH21" s="313" t="s">
        <v>113</v>
      </c>
      <c r="CI21" s="313" t="s">
        <v>113</v>
      </c>
      <c r="CJ21" s="313"/>
      <c r="CK21" s="310" t="s">
        <v>113</v>
      </c>
      <c r="CL21" s="310" t="s">
        <v>113</v>
      </c>
      <c r="CM21" s="310" t="s">
        <v>113</v>
      </c>
      <c r="CN21" s="310" t="s">
        <v>113</v>
      </c>
      <c r="CO21" s="310" t="s">
        <v>113</v>
      </c>
      <c r="CP21" s="310" t="s">
        <v>113</v>
      </c>
      <c r="CQ21" s="310" t="s">
        <v>113</v>
      </c>
      <c r="CR21" s="310"/>
      <c r="CS21" s="314" t="s">
        <v>113</v>
      </c>
      <c r="CT21" s="314" t="s">
        <v>113</v>
      </c>
      <c r="CU21" s="314" t="s">
        <v>113</v>
      </c>
      <c r="CV21" s="314" t="s">
        <v>113</v>
      </c>
      <c r="CW21" s="314" t="s">
        <v>113</v>
      </c>
      <c r="CX21" s="314" t="s">
        <v>113</v>
      </c>
      <c r="CY21" s="314" t="s">
        <v>113</v>
      </c>
      <c r="CZ21" s="314"/>
      <c r="DA21" s="310" t="s">
        <v>113</v>
      </c>
      <c r="DB21" s="310" t="s">
        <v>113</v>
      </c>
      <c r="DC21" s="310" t="s">
        <v>113</v>
      </c>
      <c r="DD21" s="315">
        <f t="shared" si="32"/>
        <v>0</v>
      </c>
      <c r="DE21" s="316">
        <f>'[28]2. Distributional by deciles o'!$I37</f>
        <v>1</v>
      </c>
      <c r="DF21" s="304"/>
      <c r="DG21" s="304"/>
      <c r="DH21" s="304"/>
      <c r="DI21" s="304"/>
      <c r="DJ21" s="304"/>
      <c r="DK21" s="304"/>
      <c r="DL21" s="304"/>
      <c r="DM21" s="304"/>
      <c r="DN21" s="304"/>
      <c r="DO21" s="304"/>
      <c r="DP21" s="304"/>
      <c r="DQ21" s="304"/>
      <c r="DR21" s="304"/>
      <c r="DS21" s="304"/>
      <c r="DT21" s="304"/>
      <c r="DU21" s="304"/>
      <c r="DV21" s="304"/>
      <c r="DW21" s="304"/>
      <c r="DX21" s="304"/>
      <c r="DY21" s="304"/>
      <c r="DZ21" s="304"/>
      <c r="EA21" s="129">
        <f>'[29]2. Distributional by deciles o'!B73</f>
        <v>905272018.92119956</v>
      </c>
      <c r="EB21" s="129">
        <f>'[29]2. Distributional by deciles o'!C73</f>
        <v>915048126.41640139</v>
      </c>
      <c r="EC21" s="129">
        <f>'[29]2. Distributional by deciles o'!D73</f>
        <v>914373759.59879994</v>
      </c>
      <c r="ED21" s="129">
        <f t="shared" si="33"/>
        <v>915048126.41640139</v>
      </c>
      <c r="EE21" s="129">
        <f>'[29]2. Distributional by deciles o'!E73</f>
        <v>914625605.22840035</v>
      </c>
      <c r="EF21" s="129">
        <f>'[29]2. Distributional by deciles o'!F73</f>
        <v>914599496.46600044</v>
      </c>
      <c r="EG21" s="129"/>
      <c r="EH21" s="122"/>
      <c r="EI21" s="130" t="s">
        <v>113</v>
      </c>
      <c r="EJ21" s="130" t="s">
        <v>113</v>
      </c>
      <c r="EK21" s="130" t="s">
        <v>113</v>
      </c>
      <c r="EL21" s="130" t="s">
        <v>113</v>
      </c>
      <c r="EM21" s="131">
        <f t="shared" si="34"/>
        <v>34.069133696468249</v>
      </c>
      <c r="EN21" s="146">
        <f>'[30]2. Distributional by deciles o'!B163</f>
        <v>4945611618.1619968</v>
      </c>
      <c r="EO21" s="146">
        <f>'[30]2. Distributional by deciles o'!C163</f>
        <v>4995067500.8939991</v>
      </c>
      <c r="EP21" s="131">
        <f t="shared" si="35"/>
        <v>0.9999952796613254</v>
      </c>
      <c r="EQ21" s="130" t="s">
        <v>113</v>
      </c>
      <c r="ER21" s="130" t="s">
        <v>113</v>
      </c>
      <c r="ES21" s="130" t="s">
        <v>113</v>
      </c>
      <c r="ET21" s="130" t="s">
        <v>113</v>
      </c>
      <c r="EU21" s="131">
        <f t="shared" si="36"/>
        <v>26.058614164934259</v>
      </c>
      <c r="EV21" s="306">
        <f t="shared" si="37"/>
        <v>1.0799133782581793</v>
      </c>
      <c r="EW21" s="306">
        <f t="shared" si="38"/>
        <v>1.005419746867708</v>
      </c>
      <c r="EX21" s="306"/>
      <c r="EY21" s="317">
        <f t="shared" si="39"/>
        <v>-4.3928022012106771E-2</v>
      </c>
      <c r="EZ21" s="315">
        <f t="shared" si="40"/>
        <v>0</v>
      </c>
      <c r="FA21" s="316">
        <f>'[31]2. Distributional by deciles o'!$I37</f>
        <v>1</v>
      </c>
      <c r="FB21" s="130" t="s">
        <v>113</v>
      </c>
      <c r="FC21" s="130" t="s">
        <v>113</v>
      </c>
      <c r="FD21" s="130" t="s">
        <v>113</v>
      </c>
      <c r="FE21" s="130" t="s">
        <v>113</v>
      </c>
      <c r="FF21" s="130" t="s">
        <v>113</v>
      </c>
      <c r="FG21" s="130" t="s">
        <v>113</v>
      </c>
      <c r="FH21" s="130" t="s">
        <v>113</v>
      </c>
      <c r="FI21" s="130" t="s">
        <v>113</v>
      </c>
      <c r="FJ21" s="304"/>
      <c r="FK21" s="304"/>
      <c r="FL21" s="304"/>
      <c r="FM21" s="304"/>
      <c r="FN21" s="304"/>
      <c r="FO21" s="304"/>
      <c r="FP21" s="304"/>
      <c r="FQ21" s="304"/>
    </row>
    <row r="22" spans="1:173" s="318" customFormat="1" ht="13.2" customHeight="1" x14ac:dyDescent="0.3">
      <c r="A22" s="304"/>
      <c r="B22" s="320" t="s">
        <v>114</v>
      </c>
      <c r="C22" s="150">
        <f>'[28]2. Distributional by deciles o'!B74</f>
        <v>1776205419.3215997</v>
      </c>
      <c r="D22" s="150">
        <f>'[28]2. Distributional by deciles o'!C74</f>
        <v>1805672948.7552001</v>
      </c>
      <c r="E22" s="150">
        <f>'[28]2. Distributional by deciles o'!D74</f>
        <v>1794087681.0515962</v>
      </c>
      <c r="F22" s="150">
        <f t="shared" si="0"/>
        <v>1805672948.7552001</v>
      </c>
      <c r="G22" s="150">
        <f>'[28]2. Distributional by deciles o'!E74</f>
        <v>1794517822.906795</v>
      </c>
      <c r="H22" s="150">
        <f>'[28]2. Distributional by deciles o'!F74</f>
        <v>1794217562.7695956</v>
      </c>
      <c r="I22" s="150">
        <f>'[28]2. Distributional by deciles o'!G74</f>
        <v>1794154884.3323944</v>
      </c>
      <c r="J22" s="122"/>
      <c r="K22" s="150">
        <f>'[32]1. Fiscal'!D$18</f>
        <v>1800657143.4443965</v>
      </c>
      <c r="L22" s="150">
        <f>'[32]1. Fiscal'!E$18</f>
        <v>1780029346.8599975</v>
      </c>
      <c r="M22" s="150">
        <f>'[32]1. Fiscal'!F$18</f>
        <v>1776445076.538003</v>
      </c>
      <c r="N22" s="150">
        <f>'[32]1. Fiscal'!G$18</f>
        <v>1777156615.5552058</v>
      </c>
      <c r="O22" s="152" t="s">
        <v>113</v>
      </c>
      <c r="P22" s="150">
        <f>'[28]2. Distributional by deciles o'!B164</f>
        <v>13748531388.896461</v>
      </c>
      <c r="Q22" s="150">
        <f>'[28]2. Distributional by deciles o'!C164</f>
        <v>13886012969.99037</v>
      </c>
      <c r="R22" s="153">
        <f t="shared" si="2"/>
        <v>0.99997284949970844</v>
      </c>
      <c r="S22" s="150">
        <f>'[33]1. Fiscal'!D$87</f>
        <v>13856215153.377533</v>
      </c>
      <c r="T22" s="150">
        <f>'[33]1. Fiscal'!E$87</f>
        <v>13772580566.509123</v>
      </c>
      <c r="U22" s="150">
        <f>'[33]1. Fiscal'!F$87</f>
        <v>13749845295.980341</v>
      </c>
      <c r="V22" s="150">
        <f>'[33]1. Fiscal'!G$87</f>
        <v>13752965564.090378</v>
      </c>
      <c r="W22" s="154">
        <f t="shared" si="3"/>
        <v>1.6590608942486251</v>
      </c>
      <c r="X22" s="154">
        <f t="shared" si="4"/>
        <v>1.0067949945992798</v>
      </c>
      <c r="Y22" s="154">
        <f t="shared" si="5"/>
        <v>1.6590608942486251</v>
      </c>
      <c r="Z22" s="154">
        <f t="shared" si="6"/>
        <v>1.0310125501479397</v>
      </c>
      <c r="AA22" s="154">
        <f t="shared" si="7"/>
        <v>1.0141075071631946</v>
      </c>
      <c r="AB22" s="154">
        <f t="shared" si="8"/>
        <v>1.0105786282217977</v>
      </c>
      <c r="AC22" s="154">
        <f t="shared" si="9"/>
        <v>1.0105786282217977</v>
      </c>
      <c r="AD22" s="322">
        <f>(K22/$C22-1) / (S22/$P22-1)</f>
        <v>1.7576094398382469</v>
      </c>
      <c r="AE22" s="322">
        <f>(L22/$C22-1) / (T22/$P22-1)</f>
        <v>1.2307576473337651</v>
      </c>
      <c r="AF22" s="322">
        <f>(M22/$C22-1) / (U22/$P22-1)</f>
        <v>1.4118513561801462</v>
      </c>
      <c r="AG22" s="322">
        <f>(N22/$C22-1) / (V22/$P22-1)</f>
        <v>1.660429316419471</v>
      </c>
      <c r="AH22" s="156">
        <f t="shared" si="10"/>
        <v>1</v>
      </c>
      <c r="AI22" s="155">
        <f t="shared" si="11"/>
        <v>6.7949945992797911E-3</v>
      </c>
      <c r="AJ22" s="155">
        <f t="shared" si="12"/>
        <v>0</v>
      </c>
      <c r="AK22" s="155">
        <f t="shared" si="13"/>
        <v>0.62804834410068544</v>
      </c>
      <c r="AL22" s="155">
        <f t="shared" si="14"/>
        <v>1.6905042984745045E-2</v>
      </c>
      <c r="AM22" s="155">
        <f t="shared" si="15"/>
        <v>3.5288789413969734E-3</v>
      </c>
      <c r="AN22" s="157">
        <f t="shared" si="16"/>
        <v>0</v>
      </c>
      <c r="AO22" s="155">
        <f t="shared" si="17"/>
        <v>3.783633622517879E-3</v>
      </c>
      <c r="AP22" s="155">
        <f t="shared" si="18"/>
        <v>1.057862822179767E-2</v>
      </c>
      <c r="AQ22" s="307" t="s">
        <v>113</v>
      </c>
      <c r="AR22" s="308">
        <f t="shared" si="19"/>
        <v>1.0310116498455812</v>
      </c>
      <c r="AS22" s="308">
        <f t="shared" si="20"/>
        <v>0</v>
      </c>
      <c r="AT22" s="308">
        <f t="shared" si="21"/>
        <v>95.294433273378161</v>
      </c>
      <c r="AU22" s="308">
        <f t="shared" si="22"/>
        <v>2.5650198839392466</v>
      </c>
      <c r="AV22" s="308">
        <f t="shared" si="23"/>
        <v>0.53544049907863811</v>
      </c>
      <c r="AW22" s="309">
        <f t="shared" si="24"/>
        <v>0</v>
      </c>
      <c r="AX22" s="308">
        <f t="shared" si="25"/>
        <v>0.57409469375837907</v>
      </c>
      <c r="AY22" s="308">
        <f t="shared" si="26"/>
        <v>1.6051063436039601</v>
      </c>
      <c r="AZ22" s="323">
        <v>1.46</v>
      </c>
      <c r="BA22" s="323">
        <v>1.46</v>
      </c>
      <c r="BB22" s="323">
        <v>1.45</v>
      </c>
      <c r="BC22" s="323">
        <v>1.46</v>
      </c>
      <c r="BD22" s="324">
        <f>W22-AZ22</f>
        <v>0.19906089424862516</v>
      </c>
      <c r="BE22" s="324">
        <f>AD22-BA22</f>
        <v>0.29760943983824695</v>
      </c>
      <c r="BF22" s="324">
        <f>AF22-BB22</f>
        <v>-3.8148643819853723E-2</v>
      </c>
      <c r="BG22" s="324">
        <f>AG22-BC22</f>
        <v>0.20042931641947104</v>
      </c>
      <c r="BH22" s="325">
        <f>'[28]2. Distributional by deciles o'!$B92</f>
        <v>10768577775.019203</v>
      </c>
      <c r="BI22" s="325">
        <f>'[28]2. Distributional by deciles o'!$B110</f>
        <v>2405140493.8128052</v>
      </c>
      <c r="BJ22" s="325">
        <f>'[28]2. Distributional by deciles o'!$B128</f>
        <v>131399176.63680002</v>
      </c>
      <c r="BK22" s="325">
        <f>'[28]2. Distributional by deciles o'!$B146</f>
        <v>443417572.89240062</v>
      </c>
      <c r="BL22" s="312">
        <f t="shared" si="27"/>
        <v>0.7832527437023461</v>
      </c>
      <c r="BM22" s="312">
        <f t="shared" si="28"/>
        <v>0.17493794725043307</v>
      </c>
      <c r="BN22" s="312">
        <f t="shared" si="29"/>
        <v>9.557322031861288E-3</v>
      </c>
      <c r="BO22" s="312">
        <f t="shared" si="30"/>
        <v>3.2251987015359466E-2</v>
      </c>
      <c r="BP22" s="324">
        <f>(AD22*BL22+AF22*BN22+AG22*BO22)/(BL22+BN22+BO22)</f>
        <v>1.749805452964974</v>
      </c>
      <c r="BQ22" s="324">
        <f>W22-BP22</f>
        <v>-9.07445587163489E-2</v>
      </c>
      <c r="BR22" s="324">
        <f>BP22-AZ22</f>
        <v>0.28980545296497406</v>
      </c>
      <c r="BS22" s="152" t="s">
        <v>113</v>
      </c>
      <c r="BT22" s="326"/>
      <c r="BU22" s="326"/>
      <c r="BV22" s="326"/>
      <c r="BW22" s="326"/>
      <c r="BX22" s="327"/>
      <c r="BY22" s="327"/>
      <c r="BZ22" s="328"/>
      <c r="CA22" s="329"/>
      <c r="CB22" s="330"/>
      <c r="CC22" s="331"/>
      <c r="CD22" s="331"/>
      <c r="CE22" s="331"/>
      <c r="CF22" s="331"/>
      <c r="CG22" s="332"/>
      <c r="CH22" s="332"/>
      <c r="CI22" s="333"/>
      <c r="CJ22" s="334"/>
      <c r="CK22" s="326">
        <f>'[28]3. Inequality and Poverty'!$B$7</f>
        <v>0.37371037545194902</v>
      </c>
      <c r="CL22" s="326">
        <f>'[28]3. Inequality and Poverty'!$B$8</f>
        <v>0.343448357560307</v>
      </c>
      <c r="CM22" s="326">
        <f>'[28]3. Inequality and Poverty'!$C$7</f>
        <v>0.373710470193444</v>
      </c>
      <c r="CN22" s="326">
        <f>'[28]3. Inequality and Poverty'!$C$8</f>
        <v>0.34358545107897698</v>
      </c>
      <c r="CO22" s="327">
        <f>(CK22-CL22)/CK22</f>
        <v>8.0977194853218748E-2</v>
      </c>
      <c r="CP22" s="327">
        <f>(CM22-CN22)/CM22</f>
        <v>8.0610583639450589E-2</v>
      </c>
      <c r="CQ22" s="328">
        <f>(CP22-CO22)*100</f>
        <v>-3.6661121376815875E-2</v>
      </c>
      <c r="CR22" s="330">
        <f>CN22-CL22</f>
        <v>1.3709351866997288E-4</v>
      </c>
      <c r="CS22" s="335">
        <f>(SUM(P20:P21))/(SUM(P12:P13))</f>
        <v>6.5219843714967158</v>
      </c>
      <c r="CT22" s="335">
        <f>(SUM(P20:P21)-SUM(C20:C21))/(SUM(P12:P13)-SUM(C12:C13))</f>
        <v>5.4169326726439717</v>
      </c>
      <c r="CU22" s="335">
        <f>(SUM(Q20:Q21))/(SUM(Q12:Q13))</f>
        <v>6.5219887958619305</v>
      </c>
      <c r="CV22" s="335">
        <f>(SUM(Q20:Q21)-SUM(D20:D21))/(SUM(Q12:Q13)-SUM(D12:D13))</f>
        <v>5.4180040095035169</v>
      </c>
      <c r="CW22" s="327">
        <f>(CS22-CT22)/CS22</f>
        <v>0.16943488912395971</v>
      </c>
      <c r="CX22" s="327">
        <f>(CU22-CV22)/CU22</f>
        <v>0.16927118719659093</v>
      </c>
      <c r="CY22" s="328">
        <f>(CX22-CW22)*100</f>
        <v>-1.637019273687812E-2</v>
      </c>
      <c r="CZ22" s="330">
        <f>CV22-CT22</f>
        <v>1.0713368595451911E-3</v>
      </c>
      <c r="DA22" s="326">
        <f>'[28]3. Inequality and Poverty'!$B$34</f>
        <v>0.20256054347733399</v>
      </c>
      <c r="DB22" s="326">
        <f>'[28]3. Inequality and Poverty'!$C$34</f>
        <v>0.200179047525679</v>
      </c>
      <c r="DC22" s="336">
        <f>DB22-DA22</f>
        <v>-2.3814959516549883E-3</v>
      </c>
      <c r="DD22" s="315">
        <f t="shared" si="32"/>
        <v>19.593350209146365</v>
      </c>
      <c r="DE22" s="316">
        <f>'[28]2. Distributional by deciles o'!$I38</f>
        <v>0.80406649790853635</v>
      </c>
      <c r="DF22" s="304"/>
      <c r="DG22" s="304"/>
      <c r="DH22" s="304"/>
      <c r="DI22" s="304"/>
      <c r="DJ22" s="304"/>
      <c r="DK22" s="304"/>
      <c r="DL22" s="304"/>
      <c r="DM22" s="304"/>
      <c r="DN22" s="304"/>
      <c r="DO22" s="304"/>
      <c r="DP22" s="304"/>
      <c r="DQ22" s="304"/>
      <c r="DR22" s="304"/>
      <c r="DS22" s="304"/>
      <c r="DT22" s="304"/>
      <c r="DU22" s="304"/>
      <c r="DV22" s="304"/>
      <c r="DW22" s="304"/>
      <c r="DX22" s="304"/>
      <c r="DY22" s="304"/>
      <c r="DZ22" s="304"/>
      <c r="EA22" s="150">
        <f>'[29]2. Distributional by deciles o'!B74</f>
        <v>2657161837.4172039</v>
      </c>
      <c r="EB22" s="150">
        <f>'[29]2. Distributional by deciles o'!C74</f>
        <v>2697004749.9635897</v>
      </c>
      <c r="EC22" s="150">
        <f>'[29]2. Distributional by deciles o'!D74</f>
        <v>2683767463.9092007</v>
      </c>
      <c r="ED22" s="150">
        <f t="shared" si="33"/>
        <v>2697004749.9635897</v>
      </c>
      <c r="EE22" s="150">
        <f>'[29]2. Distributional by deciles o'!E74</f>
        <v>2686558206.362401</v>
      </c>
      <c r="EF22" s="150">
        <f>'[29]2. Distributional by deciles o'!F74</f>
        <v>2686320543.3300004</v>
      </c>
      <c r="EG22" s="150"/>
      <c r="EH22" s="123"/>
      <c r="EI22" s="150">
        <f>'[34]1. Fiscal'!D$18</f>
        <v>2691085806.4511986</v>
      </c>
      <c r="EJ22" s="150">
        <f>'[35]1. Fiscal'!E$18</f>
        <v>2661734099.3796053</v>
      </c>
      <c r="EK22" s="150">
        <f>'[35]1. Fiscal'!F$18</f>
        <v>2657504177.9436102</v>
      </c>
      <c r="EL22" s="150">
        <f>'[35]1. Fiscal'!G$18</f>
        <v>2658164431.1868086</v>
      </c>
      <c r="EM22" s="152" t="s">
        <v>113</v>
      </c>
      <c r="EN22" s="151">
        <f>'[30]2. Distributional by deciles o'!B164</f>
        <v>18978797517.241161</v>
      </c>
      <c r="EO22" s="151">
        <f>'[30]2. Distributional by deciles o'!C164</f>
        <v>19168585777.738716</v>
      </c>
      <c r="EP22" s="153">
        <f t="shared" si="35"/>
        <v>1.0000015033889476</v>
      </c>
      <c r="EQ22" s="151">
        <f>'[31]1. Fiscal'!D$87</f>
        <v>19128882429.043221</v>
      </c>
      <c r="ER22" s="151">
        <f>'[31]1. Fiscal'!E$87</f>
        <v>19011781787.026825</v>
      </c>
      <c r="ES22" s="151">
        <f>'[31]1. Fiscal'!F$87</f>
        <v>18980633036.031605</v>
      </c>
      <c r="ET22" s="151">
        <f>'[31]1. Fiscal'!G$87</f>
        <v>18983681067.304745</v>
      </c>
      <c r="EU22" s="152" t="s">
        <v>113</v>
      </c>
      <c r="EV22" s="321">
        <f t="shared" si="37"/>
        <v>1.4994514856426371</v>
      </c>
      <c r="EW22" s="321">
        <f t="shared" si="38"/>
        <v>1.0012783609489539</v>
      </c>
      <c r="EX22" s="337">
        <f>EW22-X22</f>
        <v>-5.5166336503258417E-3</v>
      </c>
      <c r="EY22" s="338">
        <f t="shared" si="39"/>
        <v>-0.15960940860598805</v>
      </c>
      <c r="EZ22" s="315">
        <f t="shared" si="40"/>
        <v>20.92559869236532</v>
      </c>
      <c r="FA22" s="339">
        <f>'[31]2. Distributional by deciles o'!$I38</f>
        <v>0.79074401307634679</v>
      </c>
      <c r="FB22" s="322">
        <f>(EI22/$EA22-1) / (EQ22/$EN22-1)</f>
        <v>1.6144340539129198</v>
      </c>
      <c r="FC22" s="322">
        <f>(EJ22/$EA22-1) / (ER22/$EN22-1)</f>
        <v>0.99009055326777473</v>
      </c>
      <c r="FD22" s="322">
        <f>(EK22/$EA22-1) / (ES22/$EN22-1)</f>
        <v>1.3321409088984189</v>
      </c>
      <c r="FE22" s="322">
        <f>(EL22/$EA22-1) / (ET22/$EN22-1)</f>
        <v>1.466358102297658</v>
      </c>
      <c r="FF22" s="340">
        <f>FB22-AD22</f>
        <v>-0.14317538592532708</v>
      </c>
      <c r="FG22" s="340">
        <f>FC22-AE22</f>
        <v>-0.24066709406599041</v>
      </c>
      <c r="FH22" s="340">
        <f>FD22-AF22</f>
        <v>-7.9710447281727381E-2</v>
      </c>
      <c r="FI22" s="340">
        <f>FE22-AG22</f>
        <v>-0.19407121412181305</v>
      </c>
      <c r="FJ22" s="304"/>
      <c r="FK22" s="304"/>
      <c r="FL22" s="304"/>
      <c r="FM22" s="304"/>
      <c r="FN22" s="304"/>
      <c r="FO22" s="304"/>
      <c r="FP22" s="304"/>
      <c r="FQ22" s="304"/>
    </row>
    <row r="23" spans="1:173" x14ac:dyDescent="0.3">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c r="ET23" s="1"/>
      <c r="EU23" s="1"/>
      <c r="EV23" s="1"/>
      <c r="EW23" s="1"/>
      <c r="EX23" s="1"/>
      <c r="EY23" s="1"/>
      <c r="EZ23" s="1"/>
      <c r="FA23" s="1"/>
      <c r="FB23" s="1"/>
      <c r="FC23" s="1"/>
      <c r="FD23" s="1"/>
      <c r="FE23" s="1"/>
      <c r="FF23" s="1"/>
      <c r="FG23" s="1"/>
      <c r="FH23" s="1"/>
      <c r="FI23" s="1"/>
      <c r="FJ23" s="1"/>
      <c r="FK23" s="1"/>
      <c r="FL23" s="1"/>
      <c r="FM23" s="1"/>
      <c r="FN23" s="1"/>
      <c r="FO23" s="1"/>
      <c r="FP23" s="1"/>
      <c r="FQ23" s="1"/>
    </row>
    <row r="24" spans="1:173" x14ac:dyDescent="0.3">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c r="EJ24" s="1"/>
      <c r="EK24" s="1"/>
      <c r="EL24" s="1"/>
      <c r="EM24" s="1"/>
      <c r="EN24" s="1"/>
      <c r="EO24" s="1"/>
      <c r="EP24" s="1"/>
      <c r="EQ24" s="1"/>
      <c r="ER24" s="1"/>
      <c r="ES24" s="1"/>
      <c r="ET24" s="1"/>
      <c r="EU24" s="1"/>
      <c r="EV24" s="1"/>
      <c r="EW24" s="1"/>
      <c r="EX24" s="1"/>
      <c r="EY24" s="1"/>
      <c r="EZ24" s="1"/>
      <c r="FA24" s="1"/>
      <c r="FB24" s="1"/>
      <c r="FC24" s="1"/>
      <c r="FD24" s="1"/>
      <c r="FE24" s="1"/>
      <c r="FF24" s="1"/>
      <c r="FG24" s="1"/>
      <c r="FH24" s="1"/>
      <c r="FI24" s="1"/>
      <c r="FJ24" s="1"/>
      <c r="FK24" s="1"/>
      <c r="FL24" s="1"/>
      <c r="FM24" s="1"/>
      <c r="FN24" s="1"/>
      <c r="FO24" s="1"/>
      <c r="FP24" s="1"/>
      <c r="FQ24" s="1"/>
    </row>
    <row r="25" spans="1:173" x14ac:dyDescent="0.3">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Q25" s="1"/>
    </row>
    <row r="26" spans="1:173" x14ac:dyDescent="0.3">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c r="ER26" s="1"/>
      <c r="ES26" s="1"/>
      <c r="ET26" s="1"/>
      <c r="EU26" s="1"/>
      <c r="EV26" s="1"/>
      <c r="EW26" s="1"/>
      <c r="EX26" s="1"/>
      <c r="EY26" s="1"/>
      <c r="EZ26" s="1"/>
      <c r="FA26" s="1"/>
      <c r="FB26" s="1"/>
      <c r="FC26" s="1"/>
      <c r="FD26" s="1"/>
      <c r="FE26" s="1"/>
      <c r="FF26" s="1"/>
      <c r="FG26" s="1"/>
      <c r="FH26" s="1"/>
      <c r="FI26" s="1"/>
      <c r="FJ26" s="1"/>
      <c r="FK26" s="1"/>
      <c r="FL26" s="1"/>
      <c r="FM26" s="1"/>
      <c r="FN26" s="1"/>
      <c r="FO26" s="1"/>
      <c r="FP26" s="1"/>
      <c r="FQ26" s="1"/>
    </row>
    <row r="27" spans="1:173" x14ac:dyDescent="0.3">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c r="CW27" s="1"/>
      <c r="CX27" s="1"/>
      <c r="CY27" s="1"/>
      <c r="CZ27" s="1"/>
      <c r="DA27" s="1"/>
      <c r="DB27" s="1"/>
      <c r="DC27" s="1"/>
      <c r="DD27" s="1"/>
      <c r="DE27" s="1"/>
      <c r="DF27" s="1"/>
      <c r="DG27" s="1"/>
      <c r="DH27" s="1"/>
      <c r="DI27" s="1"/>
      <c r="DJ27" s="1"/>
      <c r="DK27" s="1"/>
      <c r="DL27" s="1"/>
      <c r="DM27" s="1"/>
      <c r="DN27" s="1"/>
      <c r="DO27" s="1"/>
      <c r="DP27" s="1"/>
      <c r="DQ27" s="1"/>
      <c r="DR27" s="1"/>
      <c r="DS27" s="1"/>
      <c r="DT27" s="1"/>
      <c r="DU27" s="1"/>
      <c r="DV27" s="1"/>
      <c r="DW27" s="1"/>
      <c r="DX27" s="1"/>
      <c r="DY27" s="1"/>
      <c r="DZ27" s="1"/>
      <c r="EA27" s="1"/>
      <c r="EB27" s="1"/>
      <c r="EC27" s="1"/>
      <c r="ED27" s="1"/>
      <c r="EE27" s="1"/>
      <c r="EF27" s="1"/>
      <c r="EG27" s="1"/>
      <c r="EH27" s="1"/>
      <c r="EI27" s="1"/>
      <c r="EJ27" s="1"/>
      <c r="EK27" s="1"/>
      <c r="EL27" s="1"/>
      <c r="EM27" s="1"/>
      <c r="EN27" s="1"/>
      <c r="EO27" s="1"/>
      <c r="EP27" s="1"/>
      <c r="EQ27" s="1"/>
      <c r="ER27" s="1"/>
      <c r="ES27" s="1"/>
      <c r="ET27" s="1"/>
      <c r="EU27" s="1"/>
      <c r="EV27" s="1"/>
      <c r="EW27" s="1"/>
      <c r="EX27" s="1"/>
      <c r="EY27" s="1"/>
      <c r="EZ27" s="1"/>
      <c r="FA27" s="1"/>
      <c r="FB27" s="1"/>
      <c r="FC27" s="1"/>
      <c r="FD27" s="1"/>
      <c r="FE27" s="1"/>
      <c r="FF27" s="1"/>
      <c r="FG27" s="1"/>
      <c r="FH27" s="1"/>
      <c r="FI27" s="1"/>
      <c r="FJ27" s="1"/>
      <c r="FK27" s="1"/>
      <c r="FL27" s="1"/>
      <c r="FM27" s="1"/>
      <c r="FN27" s="1"/>
      <c r="FO27" s="1"/>
      <c r="FP27" s="1"/>
      <c r="FQ27" s="1"/>
    </row>
  </sheetData>
  <pageMargins left="0.7" right="0.7" top="0.75" bottom="0.75" header="0.3" footer="0.3"/>
  <pageSetup paperSize="9" orientation="portrait" r:id="rId1"/>
  <headerFooter>
    <oddHeader>&amp;R&amp;"Arial"&amp;10&amp;K000000 ECB-RESTRICTED&amp;1#_x000D_</oddHead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CA7B3-AA05-4F8E-A436-C4FF41D8A401}">
  <dimension ref="A1:BN121"/>
  <sheetViews>
    <sheetView zoomScale="55" zoomScaleNormal="55" workbookViewId="0">
      <selection activeCell="O4" sqref="O4"/>
    </sheetView>
  </sheetViews>
  <sheetFormatPr baseColWidth="10" defaultColWidth="8.6640625" defaultRowHeight="14.4" x14ac:dyDescent="0.3"/>
  <cols>
    <col min="1" max="1" width="4.33203125" customWidth="1"/>
    <col min="3" max="3" width="17.33203125" customWidth="1"/>
    <col min="4" max="4" width="15.6640625" customWidth="1"/>
    <col min="5" max="5" width="16.33203125" customWidth="1"/>
    <col min="6" max="6" width="15.6640625" customWidth="1"/>
    <col min="7" max="7" width="16" customWidth="1"/>
    <col min="8" max="8" width="19" customWidth="1"/>
    <col min="9" max="12" width="17" customWidth="1"/>
    <col min="13" max="13" width="17.33203125" customWidth="1"/>
    <col min="14" max="18" width="16.33203125" customWidth="1"/>
    <col min="19" max="19" width="17" customWidth="1"/>
    <col min="20" max="33" width="16.33203125" customWidth="1"/>
    <col min="34" max="34" width="14.6640625" customWidth="1"/>
    <col min="35" max="36" width="12.6640625" customWidth="1"/>
    <col min="37" max="37" width="17.33203125" customWidth="1"/>
    <col min="38" max="38" width="12.33203125" customWidth="1"/>
    <col min="39" max="39" width="9.6640625" customWidth="1"/>
    <col min="40" max="42" width="17.44140625" customWidth="1"/>
    <col min="43" max="50" width="9.6640625" customWidth="1"/>
    <col min="51" max="59" width="0.5546875" customWidth="1"/>
  </cols>
  <sheetData>
    <row r="1" spans="1:66" ht="15" thickBot="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row>
    <row r="2" spans="1:66" ht="18" customHeight="1" thickBot="1" x14ac:dyDescent="0.35">
      <c r="A2" s="1"/>
      <c r="B2" s="2" t="s">
        <v>654</v>
      </c>
      <c r="C2" s="3"/>
      <c r="D2" s="3"/>
      <c r="E2" s="3"/>
      <c r="F2" s="3"/>
      <c r="G2" s="3"/>
      <c r="H2" s="3"/>
      <c r="I2" s="3"/>
      <c r="J2" s="3"/>
      <c r="K2" s="3"/>
      <c r="L2" s="3"/>
      <c r="M2" s="4"/>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row>
    <row r="3" spans="1:66" ht="18" customHeight="1" x14ac:dyDescent="0.3">
      <c r="A3" s="1"/>
      <c r="B3" s="5" t="s">
        <v>115</v>
      </c>
      <c r="C3" s="6"/>
      <c r="D3" s="6"/>
      <c r="E3" s="6"/>
      <c r="F3" s="6"/>
      <c r="G3" s="6"/>
      <c r="H3" s="6"/>
      <c r="I3" s="6"/>
      <c r="J3" s="6"/>
      <c r="K3" s="6"/>
      <c r="L3" s="6"/>
      <c r="M3" s="7"/>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row>
    <row r="4" spans="1:66" ht="18" customHeight="1" x14ac:dyDescent="0.3">
      <c r="A4" s="1"/>
      <c r="B4" s="99" t="s">
        <v>1</v>
      </c>
      <c r="C4" s="296"/>
      <c r="D4" s="296"/>
      <c r="E4" s="296"/>
      <c r="F4" s="296"/>
      <c r="G4" s="296"/>
      <c r="H4" s="296"/>
      <c r="I4" s="296"/>
      <c r="J4" s="296"/>
      <c r="K4" s="296"/>
      <c r="L4" s="296"/>
      <c r="M4" s="100"/>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row>
    <row r="5" spans="1:66" ht="14.25" customHeight="1" x14ac:dyDescent="0.3">
      <c r="A5" s="1"/>
      <c r="B5" s="293" t="s">
        <v>116</v>
      </c>
      <c r="C5" s="294"/>
      <c r="D5" s="294"/>
      <c r="E5" s="294"/>
      <c r="F5" s="294"/>
      <c r="G5" s="294"/>
      <c r="H5" s="294"/>
      <c r="I5" s="294"/>
      <c r="J5" s="294"/>
      <c r="K5" s="294"/>
      <c r="L5" s="294"/>
      <c r="M5" s="295"/>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row>
    <row r="6" spans="1:66" ht="12.6" customHeight="1" x14ac:dyDescent="0.3">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row>
    <row r="7" spans="1:66" ht="12.6" customHeight="1" x14ac:dyDescent="0.3">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row>
    <row r="8" spans="1:66" ht="17.7" customHeight="1" x14ac:dyDescent="0.3">
      <c r="A8" s="1"/>
      <c r="B8" s="11" t="s">
        <v>2</v>
      </c>
      <c r="C8" s="12" t="s">
        <v>214</v>
      </c>
      <c r="D8" s="12" t="s">
        <v>215</v>
      </c>
      <c r="E8" s="124" t="s">
        <v>516</v>
      </c>
      <c r="F8" s="125"/>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row>
    <row r="9" spans="1:66" ht="10.35" customHeight="1" x14ac:dyDescent="0.3">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row>
    <row r="10" spans="1:66" x14ac:dyDescent="0.3">
      <c r="A10" s="1"/>
      <c r="B10" s="1"/>
      <c r="C10" s="13" t="s">
        <v>6</v>
      </c>
      <c r="D10" s="14"/>
      <c r="E10" s="14"/>
      <c r="F10" s="14"/>
      <c r="G10" s="14"/>
      <c r="H10" s="14"/>
      <c r="I10" s="14"/>
      <c r="J10" s="14"/>
      <c r="K10" s="14"/>
      <c r="L10" s="14"/>
      <c r="M10" s="14"/>
      <c r="N10" s="14"/>
      <c r="O10" s="14"/>
      <c r="P10" s="15" t="s">
        <v>596</v>
      </c>
      <c r="Q10" s="16"/>
      <c r="R10" s="16"/>
      <c r="S10" s="16"/>
      <c r="T10" s="16"/>
      <c r="U10" s="16"/>
      <c r="V10" s="16"/>
      <c r="W10" s="16"/>
      <c r="X10" s="13"/>
      <c r="Y10" s="17"/>
      <c r="Z10" s="17"/>
      <c r="AA10" s="17"/>
      <c r="AB10" s="17"/>
      <c r="AC10" s="17"/>
      <c r="AD10" s="17"/>
      <c r="AE10" s="19"/>
      <c r="AF10" s="16"/>
      <c r="AG10" s="16"/>
      <c r="AH10" s="16"/>
      <c r="AI10" s="16"/>
      <c r="AJ10" s="16"/>
      <c r="AK10" s="1"/>
      <c r="AL10" s="1"/>
      <c r="AM10" s="99" t="s">
        <v>562</v>
      </c>
      <c r="AN10" s="9"/>
      <c r="AO10" s="9"/>
      <c r="AP10" s="9"/>
      <c r="AQ10" s="9"/>
      <c r="AR10" s="9"/>
      <c r="AS10" s="10"/>
      <c r="AT10" s="1"/>
      <c r="AU10" s="1"/>
      <c r="AV10" s="1"/>
      <c r="AW10" s="1"/>
      <c r="AX10" s="1"/>
      <c r="AY10" s="1"/>
      <c r="AZ10" s="1"/>
      <c r="BA10" s="1"/>
      <c r="BB10" s="1"/>
      <c r="BC10" s="1"/>
      <c r="BD10" s="1"/>
      <c r="BE10" s="1"/>
      <c r="BF10" s="1"/>
      <c r="BG10" s="1"/>
      <c r="BH10" s="1"/>
      <c r="BI10" s="1"/>
      <c r="BJ10" s="1"/>
      <c r="BK10" s="1"/>
      <c r="BL10" s="1"/>
      <c r="BM10" s="1"/>
      <c r="BN10" s="1"/>
    </row>
    <row r="11" spans="1:66" ht="78.75" customHeight="1" x14ac:dyDescent="0.3">
      <c r="A11" s="1"/>
      <c r="B11" s="25" t="s">
        <v>20</v>
      </c>
      <c r="C11" s="26" t="s">
        <v>119</v>
      </c>
      <c r="D11" s="27" t="s">
        <v>120</v>
      </c>
      <c r="E11" s="26" t="s">
        <v>121</v>
      </c>
      <c r="F11" s="27" t="s">
        <v>122</v>
      </c>
      <c r="G11" s="27" t="s">
        <v>123</v>
      </c>
      <c r="H11" s="27" t="s">
        <v>124</v>
      </c>
      <c r="I11" s="27" t="s">
        <v>125</v>
      </c>
      <c r="J11" s="27" t="s">
        <v>126</v>
      </c>
      <c r="K11" s="27" t="s">
        <v>127</v>
      </c>
      <c r="L11" s="27"/>
      <c r="M11" s="27"/>
      <c r="N11" s="27"/>
      <c r="O11" s="27"/>
      <c r="P11" s="26" t="s">
        <v>119</v>
      </c>
      <c r="Q11" s="27" t="s">
        <v>120</v>
      </c>
      <c r="R11" s="27" t="s">
        <v>121</v>
      </c>
      <c r="S11" s="27" t="s">
        <v>122</v>
      </c>
      <c r="T11" s="27" t="s">
        <v>123</v>
      </c>
      <c r="U11" s="27" t="s">
        <v>130</v>
      </c>
      <c r="V11" s="27"/>
      <c r="W11" s="27"/>
      <c r="X11" s="27"/>
      <c r="Y11" s="27"/>
      <c r="Z11" s="27"/>
      <c r="AA11" s="27"/>
      <c r="AB11" s="27"/>
      <c r="AC11" s="27"/>
      <c r="AD11" s="27"/>
      <c r="AE11" s="27"/>
      <c r="AF11" s="27"/>
      <c r="AG11" s="27"/>
      <c r="AH11" s="27"/>
      <c r="AI11" s="27"/>
      <c r="AJ11" s="27"/>
      <c r="AK11" s="27" t="s">
        <v>150</v>
      </c>
      <c r="AL11" s="1"/>
      <c r="AM11" s="522" t="s">
        <v>563</v>
      </c>
      <c r="AN11" s="523" t="s">
        <v>568</v>
      </c>
      <c r="AO11" s="523" t="s">
        <v>569</v>
      </c>
      <c r="AP11" s="523" t="s">
        <v>570</v>
      </c>
      <c r="AQ11" s="523" t="s">
        <v>564</v>
      </c>
      <c r="AR11" s="523" t="s">
        <v>565</v>
      </c>
      <c r="AS11" s="523" t="s">
        <v>566</v>
      </c>
      <c r="AT11" s="1"/>
      <c r="AU11" s="1"/>
      <c r="AV11" s="1"/>
      <c r="AW11" s="1"/>
      <c r="AX11" s="1"/>
      <c r="AY11" s="1"/>
      <c r="AZ11" s="1"/>
      <c r="BA11" s="1"/>
      <c r="BB11" s="1"/>
      <c r="BC11" s="1"/>
      <c r="BD11" s="1"/>
      <c r="BE11" s="1"/>
      <c r="BF11" s="1"/>
      <c r="BG11" s="1"/>
      <c r="BH11" s="1"/>
      <c r="BI11" s="1"/>
      <c r="BJ11" s="1"/>
      <c r="BK11" s="1"/>
      <c r="BL11" s="1"/>
      <c r="BM11" s="1"/>
      <c r="BN11" s="1"/>
    </row>
    <row r="12" spans="1:66" x14ac:dyDescent="0.3">
      <c r="A12" s="1"/>
      <c r="B12" s="28">
        <v>1</v>
      </c>
      <c r="C12" s="129">
        <f>'[36]2. Distributional by deciles o'!B64</f>
        <v>1104010.0547999996</v>
      </c>
      <c r="D12" s="129">
        <f>'[36]2. Distributional by deciles o'!C64</f>
        <v>1790944.044</v>
      </c>
      <c r="E12" s="129">
        <f>'[36]2. Distributional by deciles o'!D64</f>
        <v>2795893.1868000007</v>
      </c>
      <c r="F12" s="129">
        <f>'[36]2. Distributional by deciles o'!E64</f>
        <v>4220050.9584000008</v>
      </c>
      <c r="G12" s="129">
        <f>'[36]2. Distributional by deciles o'!F64</f>
        <v>2618743.216800001</v>
      </c>
      <c r="H12" s="129">
        <f>'[36]2. Distributional by deciles o'!H64</f>
        <v>7494378.3456000024</v>
      </c>
      <c r="I12" s="129">
        <f>'[36]2. Distributional by deciles o'!I64</f>
        <v>1617834.7476000004</v>
      </c>
      <c r="J12" s="129">
        <f>'[36]2. Distributional by deciles o'!J64</f>
        <v>2675813.1239999998</v>
      </c>
      <c r="K12" s="129">
        <f>'[36]2. Distributional by deciles o'!K64</f>
        <v>1831941.8735999991</v>
      </c>
      <c r="L12" s="139"/>
      <c r="M12" s="139"/>
      <c r="N12" s="139"/>
      <c r="O12" s="139"/>
      <c r="P12" s="129">
        <f>'[36]2. Distributional by deciles o'!B154</f>
        <v>261745533.33600006</v>
      </c>
      <c r="Q12" s="129">
        <f>'[36]2. Distributional by deciles o'!C154</f>
        <v>280691548.04519969</v>
      </c>
      <c r="R12" s="129">
        <f>'[36]2. Distributional by deciles o'!D154</f>
        <v>297722748.64799958</v>
      </c>
      <c r="S12" s="129">
        <f>'[36]2. Distributional by deciles o'!E154</f>
        <v>322511337.05040002</v>
      </c>
      <c r="T12" s="129">
        <f>'[36]2. Distributional by deciles o'!F154</f>
        <v>361013914.11239988</v>
      </c>
      <c r="U12" s="209">
        <f t="shared" ref="U12:U22" si="0">T12/P12-1</f>
        <v>0.37925530002825303</v>
      </c>
      <c r="V12" s="139"/>
      <c r="W12" s="209"/>
      <c r="X12" s="132"/>
      <c r="Y12" s="132"/>
      <c r="Z12" s="132"/>
      <c r="AA12" s="132"/>
      <c r="AB12" s="132"/>
      <c r="AC12" s="132"/>
      <c r="AD12" s="132"/>
      <c r="AE12" s="139"/>
      <c r="AF12" s="139"/>
      <c r="AG12" s="139"/>
      <c r="AH12" s="139"/>
      <c r="AI12" s="139"/>
      <c r="AJ12" s="139"/>
      <c r="AK12" s="408">
        <f>'[36]2. Distributional by deciles o'!L64</f>
        <v>5740867.9584000017</v>
      </c>
      <c r="AL12" s="1"/>
      <c r="AM12" s="32" cm="1">
        <f t="array" aca="1" ref="AM12" ca="1">INDIRECT("'1"&amp;$C$8&amp;"'!W12")</f>
        <v>8.1591160342684876</v>
      </c>
      <c r="AN12" s="524">
        <f t="shared" ref="AN12:AN21" ca="1" si="1">C12+C12*U12*AM12</f>
        <v>4520245.5197466314</v>
      </c>
      <c r="AO12" s="524">
        <f t="shared" ref="AO12:AO21" ca="1" si="2">C12+C12*U$22*AM12</f>
        <v>4530769.4807126662</v>
      </c>
      <c r="AP12" s="524">
        <f t="shared" ref="AP12:AP21" ca="1" si="3">C12+C12*AR12*AM12</f>
        <v>4520245.5197466314</v>
      </c>
      <c r="AQ12" s="525">
        <f t="shared" ref="AQ12:AQ21" si="4">U12</f>
        <v>0.37925530002825303</v>
      </c>
      <c r="AR12" s="344">
        <f>AQ12</f>
        <v>0.37925530002825303</v>
      </c>
      <c r="AS12" s="41">
        <f>P12/P$22</f>
        <v>1.9038072208017072E-2</v>
      </c>
      <c r="AT12" s="1"/>
      <c r="AU12" s="1"/>
      <c r="AV12" s="1"/>
      <c r="AW12" s="1"/>
      <c r="AX12" s="1"/>
      <c r="AY12" s="1"/>
      <c r="AZ12" s="1"/>
      <c r="BA12" s="1"/>
      <c r="BB12" s="1"/>
      <c r="BC12" s="1"/>
      <c r="BD12" s="1"/>
      <c r="BE12" s="1"/>
      <c r="BF12" s="1"/>
      <c r="BG12" s="1"/>
      <c r="BH12" s="1"/>
      <c r="BI12" s="1"/>
      <c r="BJ12" s="1"/>
      <c r="BK12" s="1"/>
      <c r="BL12" s="1"/>
      <c r="BM12" s="1"/>
      <c r="BN12" s="1"/>
    </row>
    <row r="13" spans="1:66" x14ac:dyDescent="0.3">
      <c r="A13" s="1"/>
      <c r="B13" s="28">
        <v>2</v>
      </c>
      <c r="C13" s="129">
        <f>'[36]2. Distributional by deciles o'!B65</f>
        <v>6562276.0596000021</v>
      </c>
      <c r="D13" s="129">
        <f>'[36]2. Distributional by deciles o'!C65</f>
        <v>12044765.5656</v>
      </c>
      <c r="E13" s="129">
        <f>'[36]2. Distributional by deciles o'!D65</f>
        <v>16247865.177600006</v>
      </c>
      <c r="F13" s="129">
        <f>'[36]2. Distributional by deciles o'!E65</f>
        <v>26260950.04559996</v>
      </c>
      <c r="G13" s="129">
        <f>'[36]2. Distributional by deciles o'!F65</f>
        <v>11399630.103600007</v>
      </c>
      <c r="H13" s="129">
        <f>'[36]2. Distributional by deciles o'!H65</f>
        <v>46387619.487599969</v>
      </c>
      <c r="I13" s="129">
        <f>'[36]2. Distributional by deciles o'!I65</f>
        <v>8778811.4100000001</v>
      </c>
      <c r="J13" s="129">
        <f>'[36]2. Distributional by deciles o'!J65</f>
        <v>16434966.518400008</v>
      </c>
      <c r="K13" s="129">
        <f>'[36]2. Distributional by deciles o'!K65</f>
        <v>10220050.498799987</v>
      </c>
      <c r="L13" s="139"/>
      <c r="M13" s="139"/>
      <c r="N13" s="139"/>
      <c r="O13" s="139"/>
      <c r="P13" s="129">
        <f>'[36]2. Distributional by deciles o'!B155</f>
        <v>629332381.62360072</v>
      </c>
      <c r="Q13" s="129">
        <f>'[36]2. Distributional by deciles o'!C155</f>
        <v>676516598.46240044</v>
      </c>
      <c r="R13" s="129">
        <f>'[36]2. Distributional by deciles o'!D155</f>
        <v>705181404.54839993</v>
      </c>
      <c r="S13" s="129">
        <f>'[36]2. Distributional by deciles o'!E155</f>
        <v>762389238.10200143</v>
      </c>
      <c r="T13" s="129">
        <f>'[36]2. Distributional by deciles o'!F155</f>
        <v>862241410.97879934</v>
      </c>
      <c r="U13" s="209">
        <f t="shared" si="0"/>
        <v>0.37008905970215888</v>
      </c>
      <c r="V13" s="139"/>
      <c r="W13" s="209"/>
      <c r="X13" s="132"/>
      <c r="Y13" s="132"/>
      <c r="Z13" s="132"/>
      <c r="AA13" s="132"/>
      <c r="AB13" s="132"/>
      <c r="AC13" s="132"/>
      <c r="AD13" s="132"/>
      <c r="AE13" s="139"/>
      <c r="AF13" s="139"/>
      <c r="AG13" s="139"/>
      <c r="AH13" s="139"/>
      <c r="AI13" s="139"/>
      <c r="AJ13" s="139"/>
      <c r="AK13" s="408">
        <f>'[36]2. Distributional by deciles o'!L65</f>
        <v>20647181.163599998</v>
      </c>
      <c r="AL13" s="1"/>
      <c r="AM13" s="32" cm="1">
        <f t="array" aca="1" ref="AM13" ca="1">INDIRECT("'1"&amp;$C$8&amp;"'!W13")</f>
        <v>9.5987096876873075</v>
      </c>
      <c r="AN13" s="524">
        <f t="shared" ca="1" si="1"/>
        <v>29873957.50629773</v>
      </c>
      <c r="AO13" s="524">
        <f t="shared" ca="1" si="2"/>
        <v>30524925.299355097</v>
      </c>
      <c r="AP13" s="524">
        <f t="shared" ca="1" si="3"/>
        <v>29873957.50629773</v>
      </c>
      <c r="AQ13" s="525">
        <f t="shared" si="4"/>
        <v>0.37008905970215888</v>
      </c>
      <c r="AR13" s="344">
        <f t="shared" ref="AR13:AR18" si="5">AQ13</f>
        <v>0.37008905970215888</v>
      </c>
      <c r="AS13" s="41">
        <f t="shared" ref="AS13:AS21" si="6">P13/P$22</f>
        <v>4.5774516842712366E-2</v>
      </c>
      <c r="AT13" s="1"/>
      <c r="AU13" s="1"/>
      <c r="AV13" s="1"/>
      <c r="AW13" s="1"/>
      <c r="AX13" s="1"/>
      <c r="AY13" s="1"/>
      <c r="AZ13" s="1"/>
      <c r="BA13" s="1"/>
      <c r="BB13" s="1"/>
      <c r="BC13" s="1"/>
      <c r="BD13" s="1"/>
      <c r="BE13" s="1"/>
      <c r="BF13" s="1"/>
      <c r="BG13" s="1"/>
      <c r="BH13" s="1"/>
      <c r="BI13" s="1"/>
      <c r="BJ13" s="1"/>
      <c r="BK13" s="1"/>
      <c r="BL13" s="1"/>
      <c r="BM13" s="1"/>
      <c r="BN13" s="1"/>
    </row>
    <row r="14" spans="1:66" x14ac:dyDescent="0.3">
      <c r="A14" s="1"/>
      <c r="B14" s="28">
        <v>3</v>
      </c>
      <c r="C14" s="129">
        <f>'[36]2. Distributional by deciles o'!B66</f>
        <v>22046461.009199977</v>
      </c>
      <c r="D14" s="129">
        <f>'[36]2. Distributional by deciles o'!C66</f>
        <v>29848036.149599954</v>
      </c>
      <c r="E14" s="129">
        <f>'[36]2. Distributional by deciles o'!D66</f>
        <v>37048442.187599927</v>
      </c>
      <c r="F14" s="129">
        <f>'[36]2. Distributional by deciles o'!E66</f>
        <v>49420871.123999976</v>
      </c>
      <c r="G14" s="129">
        <f>'[36]2. Distributional by deciles o'!F66</f>
        <v>36022779.08639998</v>
      </c>
      <c r="H14" s="129">
        <f>'[36]2. Distributional by deciles o'!H66</f>
        <v>72223663.924799979</v>
      </c>
      <c r="I14" s="129">
        <f>'[36]2. Distributional by deciles o'!I66</f>
        <v>30118223.578799989</v>
      </c>
      <c r="J14" s="129">
        <f>'[36]2. Distributional by deciles o'!J66</f>
        <v>40593798.244799979</v>
      </c>
      <c r="K14" s="129">
        <f>'[36]2. Distributional by deciles o'!K66</f>
        <v>32472897.103200011</v>
      </c>
      <c r="L14" s="139"/>
      <c r="M14" s="139"/>
      <c r="N14" s="139"/>
      <c r="O14" s="139"/>
      <c r="P14" s="129">
        <f>'[36]2. Distributional by deciles o'!B156</f>
        <v>715122449.48399973</v>
      </c>
      <c r="Q14" s="129">
        <f>'[36]2. Distributional by deciles o'!C156</f>
        <v>766697157.17280006</v>
      </c>
      <c r="R14" s="129">
        <f>'[36]2. Distributional by deciles o'!D156</f>
        <v>807891454.25640059</v>
      </c>
      <c r="S14" s="129">
        <f>'[36]2. Distributional by deciles o'!E156</f>
        <v>874150734.33479953</v>
      </c>
      <c r="T14" s="129">
        <f>'[36]2. Distributional by deciles o'!F156</f>
        <v>982555865.34240067</v>
      </c>
      <c r="U14" s="209">
        <f t="shared" si="0"/>
        <v>0.37396870431262341</v>
      </c>
      <c r="V14" s="139"/>
      <c r="W14" s="209"/>
      <c r="X14" s="132"/>
      <c r="Y14" s="132"/>
      <c r="Z14" s="132"/>
      <c r="AA14" s="132"/>
      <c r="AB14" s="132"/>
      <c r="AC14" s="132"/>
      <c r="AD14" s="132"/>
      <c r="AE14" s="139"/>
      <c r="AF14" s="139"/>
      <c r="AG14" s="139"/>
      <c r="AH14" s="139"/>
      <c r="AI14" s="139"/>
      <c r="AJ14" s="139"/>
      <c r="AK14" s="408">
        <f>'[36]2. Distributional by deciles o'!L66</f>
        <v>48924243.842400007</v>
      </c>
      <c r="AL14" s="1"/>
      <c r="AM14" s="32" cm="1">
        <f t="array" aca="1" ref="AM14" ca="1">INDIRECT("'1"&amp;$C$8&amp;"'!W14")</f>
        <v>5.0077523282219527</v>
      </c>
      <c r="AN14" s="524">
        <f t="shared" ca="1" si="1"/>
        <v>63333808.816158161</v>
      </c>
      <c r="AO14" s="524">
        <f t="shared" ca="1" si="2"/>
        <v>64046452.652960643</v>
      </c>
      <c r="AP14" s="524">
        <f t="shared" ca="1" si="3"/>
        <v>63333808.816158161</v>
      </c>
      <c r="AQ14" s="525">
        <f t="shared" si="4"/>
        <v>0.37396870431262341</v>
      </c>
      <c r="AR14" s="344">
        <f t="shared" si="5"/>
        <v>0.37396870431262341</v>
      </c>
      <c r="AS14" s="41">
        <f t="shared" si="6"/>
        <v>5.2014460981741242E-2</v>
      </c>
      <c r="AT14" s="1"/>
      <c r="AU14" s="1"/>
      <c r="AV14" s="1"/>
      <c r="AW14" s="1"/>
      <c r="AX14" s="1"/>
      <c r="AY14" s="1"/>
      <c r="AZ14" s="1"/>
      <c r="BA14" s="1"/>
      <c r="BB14" s="1"/>
      <c r="BC14" s="1"/>
      <c r="BD14" s="1"/>
      <c r="BE14" s="1"/>
      <c r="BF14" s="1"/>
      <c r="BG14" s="1"/>
      <c r="BH14" s="1"/>
      <c r="BI14" s="1"/>
      <c r="BJ14" s="1"/>
      <c r="BK14" s="1"/>
      <c r="BL14" s="1"/>
      <c r="BM14" s="1"/>
      <c r="BN14" s="1"/>
    </row>
    <row r="15" spans="1:66" x14ac:dyDescent="0.3">
      <c r="A15" s="1"/>
      <c r="B15" s="28">
        <v>4</v>
      </c>
      <c r="C15" s="129">
        <f>'[36]2. Distributional by deciles o'!B67</f>
        <v>51565953.213599965</v>
      </c>
      <c r="D15" s="129">
        <f>'[36]2. Distributional by deciles o'!C67</f>
        <v>61821296.323200032</v>
      </c>
      <c r="E15" s="129">
        <f>'[36]2. Distributional by deciles o'!D67</f>
        <v>74361025.329600066</v>
      </c>
      <c r="F15" s="129">
        <f>'[36]2. Distributional by deciles o'!E67</f>
        <v>91232020.728000045</v>
      </c>
      <c r="G15" s="129">
        <f>'[36]2. Distributional by deciles o'!F67</f>
        <v>84886923.769199923</v>
      </c>
      <c r="H15" s="129">
        <f>'[36]2. Distributional by deciles o'!H67</f>
        <v>118897376.03399998</v>
      </c>
      <c r="I15" s="129">
        <f>'[36]2. Distributional by deciles o'!I67</f>
        <v>71258456.535600021</v>
      </c>
      <c r="J15" s="129">
        <f>'[36]2. Distributional by deciles o'!J67</f>
        <v>83985557.501999959</v>
      </c>
      <c r="K15" s="129">
        <f>'[36]2. Distributional by deciles o'!K67</f>
        <v>74230418.62680003</v>
      </c>
      <c r="L15" s="139"/>
      <c r="M15" s="139"/>
      <c r="N15" s="139"/>
      <c r="O15" s="139"/>
      <c r="P15" s="129">
        <f>'[36]2. Distributional by deciles o'!B157</f>
        <v>837272297.86199999</v>
      </c>
      <c r="Q15" s="129">
        <f>'[36]2. Distributional by deciles o'!C157</f>
        <v>893883635.68919945</v>
      </c>
      <c r="R15" s="129">
        <f>'[36]2. Distributional by deciles o'!D157</f>
        <v>956589714.99480104</v>
      </c>
      <c r="S15" s="129">
        <f>'[36]2. Distributional by deciles o'!E157</f>
        <v>1036354012.7879988</v>
      </c>
      <c r="T15" s="129">
        <f>'[36]2. Distributional by deciles o'!F157</f>
        <v>1154798064.8772006</v>
      </c>
      <c r="U15" s="209">
        <f t="shared" si="0"/>
        <v>0.37923835271513484</v>
      </c>
      <c r="V15" s="139"/>
      <c r="W15" s="209"/>
      <c r="X15" s="132"/>
      <c r="Y15" s="132"/>
      <c r="Z15" s="132"/>
      <c r="AA15" s="132"/>
      <c r="AB15" s="132"/>
      <c r="AC15" s="132"/>
      <c r="AD15" s="132"/>
      <c r="AE15" s="139"/>
      <c r="AF15" s="139"/>
      <c r="AG15" s="139"/>
      <c r="AH15" s="139"/>
      <c r="AI15" s="139"/>
      <c r="AJ15" s="139"/>
      <c r="AK15" s="408">
        <f>'[36]2. Distributional by deciles o'!L67</f>
        <v>100258628.77200001</v>
      </c>
      <c r="AL15" s="1"/>
      <c r="AM15" s="32" cm="1">
        <f t="array" aca="1" ref="AM15" ca="1">INDIRECT("'1"&amp;$C$8&amp;"'!W15")</f>
        <v>3.129749571892217</v>
      </c>
      <c r="AN15" s="524">
        <f t="shared" ca="1" si="1"/>
        <v>112770669.68343963</v>
      </c>
      <c r="AO15" s="524">
        <f t="shared" ca="1" si="2"/>
        <v>112961958.77623886</v>
      </c>
      <c r="AP15" s="524">
        <f t="shared" ca="1" si="3"/>
        <v>112770669.68343963</v>
      </c>
      <c r="AQ15" s="525">
        <f t="shared" si="4"/>
        <v>0.37923835271513484</v>
      </c>
      <c r="AR15" s="344">
        <f t="shared" si="5"/>
        <v>0.37923835271513484</v>
      </c>
      <c r="AS15" s="41">
        <f t="shared" si="6"/>
        <v>6.089903526264593E-2</v>
      </c>
      <c r="AT15" s="1"/>
      <c r="AU15" s="1"/>
      <c r="AV15" s="1"/>
      <c r="AW15" s="1"/>
      <c r="AX15" s="1"/>
      <c r="AY15" s="1"/>
      <c r="AZ15" s="1"/>
      <c r="BA15" s="1"/>
      <c r="BB15" s="1"/>
      <c r="BC15" s="1"/>
      <c r="BD15" s="1"/>
      <c r="BE15" s="1"/>
      <c r="BF15" s="1"/>
      <c r="BG15" s="1"/>
      <c r="BH15" s="1"/>
      <c r="BI15" s="1"/>
      <c r="BJ15" s="1"/>
      <c r="BK15" s="1"/>
      <c r="BL15" s="1"/>
      <c r="BM15" s="1"/>
      <c r="BN15" s="1"/>
    </row>
    <row r="16" spans="1:66" x14ac:dyDescent="0.3">
      <c r="A16" s="1"/>
      <c r="B16" s="28">
        <v>5</v>
      </c>
      <c r="C16" s="129">
        <f>'[36]2. Distributional by deciles o'!B68</f>
        <v>93567266.296799928</v>
      </c>
      <c r="D16" s="129">
        <f>'[36]2. Distributional by deciles o'!C68</f>
        <v>107480215.61519995</v>
      </c>
      <c r="E16" s="129">
        <f>'[36]2. Distributional by deciles o'!D68</f>
        <v>127056057.57959992</v>
      </c>
      <c r="F16" s="129">
        <f>'[36]2. Distributional by deciles o'!E68</f>
        <v>149951081.17799997</v>
      </c>
      <c r="G16" s="129">
        <f>'[36]2. Distributional by deciles o'!F68</f>
        <v>154992562.92240012</v>
      </c>
      <c r="H16" s="129">
        <f>'[36]2. Distributional by deciles o'!H68</f>
        <v>186253408.94279987</v>
      </c>
      <c r="I16" s="129">
        <f>'[36]2. Distributional by deciles o'!I68</f>
        <v>130409609.87519988</v>
      </c>
      <c r="J16" s="129">
        <f>'[36]2. Distributional by deciles o'!J68</f>
        <v>145040556.32039994</v>
      </c>
      <c r="K16" s="129">
        <f>'[36]2. Distributional by deciles o'!K68</f>
        <v>133863057.63600001</v>
      </c>
      <c r="L16" s="139"/>
      <c r="M16" s="139"/>
      <c r="N16" s="139"/>
      <c r="O16" s="139"/>
      <c r="P16" s="129">
        <f>'[36]2. Distributional by deciles o'!B158</f>
        <v>1042827124.2372003</v>
      </c>
      <c r="Q16" s="129">
        <f>'[36]2. Distributional by deciles o'!C158</f>
        <v>1111538919.2063987</v>
      </c>
      <c r="R16" s="129">
        <f>'[36]2. Distributional by deciles o'!D158</f>
        <v>1204022483.8139992</v>
      </c>
      <c r="S16" s="129">
        <f>'[36]2. Distributional by deciles o'!E158</f>
        <v>1304571220.9247999</v>
      </c>
      <c r="T16" s="129">
        <f>'[36]2. Distributional by deciles o'!F158</f>
        <v>1444988950.6091983</v>
      </c>
      <c r="U16" s="209">
        <f t="shared" si="0"/>
        <v>0.38564572883177406</v>
      </c>
      <c r="V16" s="139"/>
      <c r="W16" s="209"/>
      <c r="X16" s="132"/>
      <c r="Y16" s="132"/>
      <c r="Z16" s="132"/>
      <c r="AA16" s="132"/>
      <c r="AB16" s="132"/>
      <c r="AC16" s="132"/>
      <c r="AD16" s="132"/>
      <c r="AE16" s="139"/>
      <c r="AF16" s="139"/>
      <c r="AG16" s="139"/>
      <c r="AH16" s="139"/>
      <c r="AI16" s="139"/>
      <c r="AJ16" s="139"/>
      <c r="AK16" s="408">
        <f>'[36]2. Distributional by deciles o'!L68</f>
        <v>173844432.50519991</v>
      </c>
      <c r="AL16" s="1"/>
      <c r="AM16" s="32" cm="1">
        <f t="array" aca="1" ref="AM16" ca="1">INDIRECT("'1"&amp;$C$8&amp;"'!W16")</f>
        <v>2.3554159436952098</v>
      </c>
      <c r="AN16" s="524">
        <f t="shared" ca="1" si="1"/>
        <v>178559663.2395367</v>
      </c>
      <c r="AO16" s="524">
        <f t="shared" ca="1" si="2"/>
        <v>177408764.32204309</v>
      </c>
      <c r="AP16" s="524">
        <f t="shared" ca="1" si="3"/>
        <v>178559663.2395367</v>
      </c>
      <c r="AQ16" s="525">
        <f t="shared" si="4"/>
        <v>0.38564572883177406</v>
      </c>
      <c r="AR16" s="344">
        <f t="shared" si="5"/>
        <v>0.38564572883177406</v>
      </c>
      <c r="AS16" s="41">
        <f t="shared" si="6"/>
        <v>7.5850074072595461E-2</v>
      </c>
      <c r="AT16" s="1"/>
      <c r="AU16" s="1"/>
      <c r="AV16" s="1"/>
      <c r="AW16" s="1"/>
      <c r="AX16" s="1"/>
      <c r="AY16" s="1"/>
      <c r="AZ16" s="1"/>
      <c r="BA16" s="1"/>
      <c r="BB16" s="1"/>
      <c r="BC16" s="1"/>
      <c r="BD16" s="1"/>
      <c r="BE16" s="1"/>
      <c r="BF16" s="1"/>
      <c r="BG16" s="1"/>
      <c r="BH16" s="1"/>
      <c r="BI16" s="1"/>
      <c r="BJ16" s="1"/>
      <c r="BK16" s="1"/>
      <c r="BL16" s="1"/>
      <c r="BM16" s="1"/>
      <c r="BN16" s="1"/>
    </row>
    <row r="17" spans="1:66" x14ac:dyDescent="0.3">
      <c r="A17" s="1"/>
      <c r="B17" s="28">
        <v>6</v>
      </c>
      <c r="C17" s="129">
        <f>'[36]2. Distributional by deciles o'!B69</f>
        <v>133922767.94760002</v>
      </c>
      <c r="D17" s="129">
        <f>'[36]2. Distributional by deciles o'!C69</f>
        <v>151954378.34879991</v>
      </c>
      <c r="E17" s="129">
        <f>'[36]2. Distributional by deciles o'!D69</f>
        <v>179664246.45599988</v>
      </c>
      <c r="F17" s="129">
        <f>'[36]2. Distributional by deciles o'!E69</f>
        <v>209904140.5763998</v>
      </c>
      <c r="G17" s="129">
        <f>'[36]2. Distributional by deciles o'!F69</f>
        <v>223753965.38880023</v>
      </c>
      <c r="H17" s="129">
        <f>'[36]2. Distributional by deciles o'!H69</f>
        <v>253447270.31520027</v>
      </c>
      <c r="I17" s="129">
        <f>'[36]2. Distributional by deciles o'!I69</f>
        <v>186738744.00479996</v>
      </c>
      <c r="J17" s="129">
        <f>'[36]2. Distributional by deciles o'!J69</f>
        <v>204505039.35120007</v>
      </c>
      <c r="K17" s="129">
        <f>'[36]2. Distributional by deciles o'!K69</f>
        <v>190748811.40559992</v>
      </c>
      <c r="L17" s="139"/>
      <c r="M17" s="139"/>
      <c r="N17" s="139"/>
      <c r="O17" s="139"/>
      <c r="P17" s="129">
        <f>'[36]2. Distributional by deciles o'!B159</f>
        <v>1231613113.9008012</v>
      </c>
      <c r="Q17" s="129">
        <f>'[36]2. Distributional by deciles o'!C159</f>
        <v>1311328398.5399995</v>
      </c>
      <c r="R17" s="129">
        <f>'[36]2. Distributional by deciles o'!D159</f>
        <v>1425163096.1304002</v>
      </c>
      <c r="S17" s="129">
        <f>'[36]2. Distributional by deciles o'!E159</f>
        <v>1544187722.4468002</v>
      </c>
      <c r="T17" s="129">
        <f>'[36]2. Distributional by deciles o'!F159</f>
        <v>1708152397.0331988</v>
      </c>
      <c r="U17" s="209">
        <f t="shared" si="0"/>
        <v>0.38692287192614283</v>
      </c>
      <c r="V17" s="139"/>
      <c r="W17" s="209"/>
      <c r="X17" s="132"/>
      <c r="Y17" s="132"/>
      <c r="Z17" s="132"/>
      <c r="AA17" s="132"/>
      <c r="AB17" s="132"/>
      <c r="AC17" s="132"/>
      <c r="AD17" s="132"/>
      <c r="AE17" s="139"/>
      <c r="AF17" s="139"/>
      <c r="AG17" s="139"/>
      <c r="AH17" s="139"/>
      <c r="AI17" s="139"/>
      <c r="AJ17" s="139"/>
      <c r="AK17" s="408">
        <f>'[36]2. Distributional by deciles o'!L69</f>
        <v>239916293.71799999</v>
      </c>
      <c r="AL17" s="1"/>
      <c r="AM17" s="32" cm="1">
        <f t="array" aca="1" ref="AM17" ca="1">INDIRECT("'1"&amp;$C$8&amp;"'!W17")</f>
        <v>2.0809882349877284</v>
      </c>
      <c r="AN17" s="524">
        <f t="shared" ca="1" si="1"/>
        <v>241754962.63316387</v>
      </c>
      <c r="AO17" s="524">
        <f t="shared" ca="1" si="2"/>
        <v>239943676.00276953</v>
      </c>
      <c r="AP17" s="524">
        <f t="shared" ca="1" si="3"/>
        <v>241754962.63316387</v>
      </c>
      <c r="AQ17" s="525">
        <f t="shared" si="4"/>
        <v>0.38692287192614283</v>
      </c>
      <c r="AR17" s="344">
        <f t="shared" si="5"/>
        <v>0.38692287192614283</v>
      </c>
      <c r="AS17" s="41">
        <f t="shared" si="6"/>
        <v>8.9581430849804952E-2</v>
      </c>
      <c r="AT17" s="1"/>
      <c r="AU17" s="1"/>
      <c r="AV17" s="1"/>
      <c r="AW17" s="1"/>
      <c r="AX17" s="1"/>
      <c r="AY17" s="1"/>
      <c r="AZ17" s="1"/>
      <c r="BA17" s="1"/>
      <c r="BB17" s="1"/>
      <c r="BC17" s="1"/>
      <c r="BD17" s="1"/>
      <c r="BE17" s="1"/>
      <c r="BF17" s="1"/>
      <c r="BG17" s="1"/>
      <c r="BH17" s="1"/>
      <c r="BI17" s="1"/>
      <c r="BJ17" s="1"/>
      <c r="BK17" s="1"/>
      <c r="BL17" s="1"/>
      <c r="BM17" s="1"/>
      <c r="BN17" s="1"/>
    </row>
    <row r="18" spans="1:66" x14ac:dyDescent="0.3">
      <c r="A18" s="1"/>
      <c r="B18" s="28">
        <v>7</v>
      </c>
      <c r="C18" s="129">
        <f>'[36]2. Distributional by deciles o'!B70</f>
        <v>181002553.92600018</v>
      </c>
      <c r="D18" s="129">
        <f>'[36]2. Distributional by deciles o'!C70</f>
        <v>204352297.34879988</v>
      </c>
      <c r="E18" s="129">
        <f>'[36]2. Distributional by deciles o'!D70</f>
        <v>238875455.23559988</v>
      </c>
      <c r="F18" s="129">
        <f>'[36]2. Distributional by deciles o'!E70</f>
        <v>274629823.49400026</v>
      </c>
      <c r="G18" s="129">
        <f>'[36]2. Distributional by deciles o'!F70</f>
        <v>297541616.68440014</v>
      </c>
      <c r="H18" s="129">
        <f>'[36]2. Distributional by deciles o'!H70</f>
        <v>324382378.31399989</v>
      </c>
      <c r="I18" s="129">
        <f>'[36]2. Distributional by deciles o'!I70</f>
        <v>252728480.81040028</v>
      </c>
      <c r="J18" s="129">
        <f>'[36]2. Distributional by deciles o'!J70</f>
        <v>274044700.12560022</v>
      </c>
      <c r="K18" s="129">
        <f>'[36]2. Distributional by deciles o'!K70</f>
        <v>257826795.11280057</v>
      </c>
      <c r="L18" s="139"/>
      <c r="M18" s="139"/>
      <c r="N18" s="139"/>
      <c r="O18" s="139"/>
      <c r="P18" s="129">
        <f>'[36]2. Distributional by deciles o'!B160</f>
        <v>1447045239.8219995</v>
      </c>
      <c r="Q18" s="129">
        <f>'[36]2. Distributional by deciles o'!C160</f>
        <v>1539946587.7476015</v>
      </c>
      <c r="R18" s="129">
        <f>'[36]2. Distributional by deciles o'!D160</f>
        <v>1677746632.348803</v>
      </c>
      <c r="S18" s="129">
        <f>'[36]2. Distributional by deciles o'!E160</f>
        <v>1818593485.0272002</v>
      </c>
      <c r="T18" s="129">
        <f>'[36]2. Distributional by deciles o'!F160</f>
        <v>2008896162.2171996</v>
      </c>
      <c r="U18" s="209">
        <f t="shared" si="0"/>
        <v>0.38827460740917341</v>
      </c>
      <c r="V18" s="139"/>
      <c r="W18" s="209"/>
      <c r="X18" s="132"/>
      <c r="Y18" s="132"/>
      <c r="Z18" s="132"/>
      <c r="AA18" s="132"/>
      <c r="AB18" s="132"/>
      <c r="AC18" s="132"/>
      <c r="AD18" s="132"/>
      <c r="AE18" s="139"/>
      <c r="AF18" s="139"/>
      <c r="AG18" s="139"/>
      <c r="AH18" s="139"/>
      <c r="AI18" s="139"/>
      <c r="AJ18" s="139"/>
      <c r="AK18" s="408">
        <f>'[36]2. Distributional by deciles o'!L70</f>
        <v>311212007.79480028</v>
      </c>
      <c r="AL18" s="1"/>
      <c r="AM18" s="32" cm="1">
        <f t="array" aca="1" ref="AM18" ca="1">INDIRECT("'1"&amp;$C$8&amp;"'!W18")</f>
        <v>2.0394404274479792</v>
      </c>
      <c r="AN18" s="524">
        <f t="shared" ca="1" si="1"/>
        <v>324331766.85094774</v>
      </c>
      <c r="AO18" s="524">
        <f t="shared" ca="1" si="2"/>
        <v>321433623.81680918</v>
      </c>
      <c r="AP18" s="524">
        <f t="shared" ca="1" si="3"/>
        <v>324331766.85094774</v>
      </c>
      <c r="AQ18" s="525">
        <f t="shared" si="4"/>
        <v>0.38827460740917341</v>
      </c>
      <c r="AR18" s="344">
        <f t="shared" si="5"/>
        <v>0.38827460740917341</v>
      </c>
      <c r="AS18" s="41">
        <f t="shared" si="6"/>
        <v>0.10525089545132485</v>
      </c>
      <c r="AT18" s="1"/>
      <c r="AU18" s="1"/>
      <c r="AV18" s="1"/>
      <c r="AW18" s="1"/>
      <c r="AX18" s="1"/>
      <c r="AY18" s="1"/>
      <c r="AZ18" s="1"/>
      <c r="BA18" s="1"/>
      <c r="BB18" s="1"/>
      <c r="BC18" s="1"/>
      <c r="BD18" s="1"/>
      <c r="BE18" s="1"/>
      <c r="BF18" s="1"/>
      <c r="BG18" s="1"/>
      <c r="BH18" s="1"/>
      <c r="BI18" s="1"/>
      <c r="BJ18" s="1"/>
      <c r="BK18" s="1"/>
      <c r="BL18" s="1"/>
      <c r="BM18" s="1"/>
      <c r="BN18" s="1"/>
    </row>
    <row r="19" spans="1:66" x14ac:dyDescent="0.3">
      <c r="A19" s="1"/>
      <c r="B19" s="28">
        <v>8</v>
      </c>
      <c r="C19" s="129">
        <f>'[36]2. Distributional by deciles o'!B71</f>
        <v>260219211.34679973</v>
      </c>
      <c r="D19" s="129">
        <f>'[36]2. Distributional by deciles o'!C71</f>
        <v>288449736.01200014</v>
      </c>
      <c r="E19" s="129">
        <f>'[36]2. Distributional by deciles o'!D71</f>
        <v>330400373.82959986</v>
      </c>
      <c r="F19" s="129">
        <f>'[36]2. Distributional by deciles o'!E71</f>
        <v>372676500.05519998</v>
      </c>
      <c r="G19" s="129">
        <f>'[36]2. Distributional by deciles o'!F71</f>
        <v>405909634.74720001</v>
      </c>
      <c r="H19" s="129">
        <f>'[36]2. Distributional by deciles o'!H71</f>
        <v>428845997.87640047</v>
      </c>
      <c r="I19" s="129">
        <f>'[36]2. Distributional by deciles o'!I71</f>
        <v>362689305.86039978</v>
      </c>
      <c r="J19" s="129">
        <f>'[36]2. Distributional by deciles o'!J71</f>
        <v>384421682.96760017</v>
      </c>
      <c r="K19" s="129">
        <f>'[36]2. Distributional by deciles o'!K71</f>
        <v>367999397.57759994</v>
      </c>
      <c r="L19" s="139"/>
      <c r="M19" s="139"/>
      <c r="N19" s="139"/>
      <c r="O19" s="139"/>
      <c r="P19" s="129">
        <f>'[36]2. Distributional by deciles o'!B161</f>
        <v>1771977013.4783974</v>
      </c>
      <c r="Q19" s="129">
        <f>'[36]2. Distributional by deciles o'!C161</f>
        <v>1883568246.0611987</v>
      </c>
      <c r="R19" s="129">
        <f>'[36]2. Distributional by deciles o'!D161</f>
        <v>2055606954.0924017</v>
      </c>
      <c r="S19" s="129">
        <f>'[36]2. Distributional by deciles o'!E161</f>
        <v>2228439435.0095978</v>
      </c>
      <c r="T19" s="129">
        <f>'[36]2. Distributional by deciles o'!F161</f>
        <v>2459816055.1187997</v>
      </c>
      <c r="U19" s="209">
        <f t="shared" si="0"/>
        <v>0.38817605217698148</v>
      </c>
      <c r="V19" s="139"/>
      <c r="W19" s="209"/>
      <c r="X19" s="132"/>
      <c r="Y19" s="132"/>
      <c r="Z19" s="132"/>
      <c r="AA19" s="132"/>
      <c r="AB19" s="132"/>
      <c r="AC19" s="132"/>
      <c r="AD19" s="132"/>
      <c r="AE19" s="139"/>
      <c r="AF19" s="139"/>
      <c r="AG19" s="139"/>
      <c r="AH19" s="139"/>
      <c r="AI19" s="139"/>
      <c r="AJ19" s="139"/>
      <c r="AK19" s="408">
        <f>'[36]2. Distributional by deciles o'!L71</f>
        <v>415198578.39720029</v>
      </c>
      <c r="AL19" s="1"/>
      <c r="AM19" s="32" cm="1">
        <f t="array" aca="1" ref="AM19" ca="1">INDIRECT("'1"&amp;$C$8&amp;"'!W19")</f>
        <v>1.7497828861156026</v>
      </c>
      <c r="AN19" s="524">
        <f t="shared" ca="1" si="1"/>
        <v>436966296.26739562</v>
      </c>
      <c r="AO19" s="524">
        <f t="shared" ca="1" si="2"/>
        <v>433436405.21033037</v>
      </c>
      <c r="AP19" s="524">
        <f t="shared" ca="1" si="3"/>
        <v>416218535.13965237</v>
      </c>
      <c r="AQ19" s="525">
        <f t="shared" si="4"/>
        <v>0.38817605217698148</v>
      </c>
      <c r="AR19" s="526">
        <f>U19-AP31*AS21/SUM(AS19:AS20)</f>
        <v>0.34260933740091259</v>
      </c>
      <c r="AS19" s="41">
        <f t="shared" si="6"/>
        <v>0.12888482146605673</v>
      </c>
      <c r="AT19" s="1"/>
      <c r="AU19" s="1"/>
      <c r="AV19" s="1"/>
      <c r="AW19" s="1"/>
      <c r="AX19" s="1"/>
      <c r="AY19" s="1"/>
      <c r="AZ19" s="1"/>
      <c r="BA19" s="1"/>
      <c r="BB19" s="1"/>
      <c r="BC19" s="1"/>
      <c r="BD19" s="1"/>
      <c r="BE19" s="1"/>
      <c r="BF19" s="1"/>
      <c r="BG19" s="1"/>
      <c r="BH19" s="1"/>
      <c r="BI19" s="1"/>
      <c r="BJ19" s="1"/>
      <c r="BK19" s="1"/>
      <c r="BL19" s="1"/>
      <c r="BM19" s="1"/>
      <c r="BN19" s="1"/>
    </row>
    <row r="20" spans="1:66" x14ac:dyDescent="0.3">
      <c r="A20" s="1"/>
      <c r="B20" s="28">
        <v>9</v>
      </c>
      <c r="C20" s="129">
        <f>'[36]2. Distributional by deciles o'!B72</f>
        <v>363047859.77399993</v>
      </c>
      <c r="D20" s="129">
        <f>'[36]2. Distributional by deciles o'!C72</f>
        <v>396324158.71079975</v>
      </c>
      <c r="E20" s="129">
        <f>'[36]2. Distributional by deciles o'!D72</f>
        <v>443508406.81919986</v>
      </c>
      <c r="F20" s="129">
        <f>'[36]2. Distributional by deciles o'!E72</f>
        <v>490282024.73399967</v>
      </c>
      <c r="G20" s="129">
        <f>'[36]2. Distributional by deciles o'!F72</f>
        <v>533614938.95039976</v>
      </c>
      <c r="H20" s="129">
        <f>'[36]2. Distributional by deciles o'!H72</f>
        <v>554109667.71720076</v>
      </c>
      <c r="I20" s="129">
        <f>'[36]2. Distributional by deciles o'!I72</f>
        <v>504471497.33759987</v>
      </c>
      <c r="J20" s="129">
        <f>'[36]2. Distributional by deciles o'!J72</f>
        <v>522320067.86639988</v>
      </c>
      <c r="K20" s="129">
        <f>'[36]2. Distributional by deciles o'!K72</f>
        <v>509035737.23280013</v>
      </c>
      <c r="L20" s="139"/>
      <c r="M20" s="139"/>
      <c r="N20" s="139"/>
      <c r="O20" s="139"/>
      <c r="P20" s="129">
        <f>'[36]2. Distributional by deciles o'!B162</f>
        <v>2195708423.025598</v>
      </c>
      <c r="Q20" s="129">
        <f>'[36]2. Distributional by deciles o'!C162</f>
        <v>2334784395.822001</v>
      </c>
      <c r="R20" s="129">
        <f>'[36]2. Distributional by deciles o'!D162</f>
        <v>2547882849.7751975</v>
      </c>
      <c r="S20" s="129">
        <f>'[36]2. Distributional by deciles o'!E162</f>
        <v>2760727550.7132015</v>
      </c>
      <c r="T20" s="129">
        <f>'[36]2. Distributional by deciles o'!F162</f>
        <v>3044617749.609601</v>
      </c>
      <c r="U20" s="209">
        <f t="shared" si="0"/>
        <v>0.38662206588169834</v>
      </c>
      <c r="V20" s="139"/>
      <c r="W20" s="209"/>
      <c r="X20" s="132"/>
      <c r="Y20" s="132"/>
      <c r="Z20" s="132"/>
      <c r="AA20" s="132"/>
      <c r="AB20" s="132"/>
      <c r="AC20" s="132"/>
      <c r="AD20" s="132"/>
      <c r="AE20" s="139"/>
      <c r="AF20" s="139"/>
      <c r="AG20" s="139"/>
      <c r="AH20" s="139"/>
      <c r="AI20" s="139"/>
      <c r="AJ20" s="139"/>
      <c r="AK20" s="408">
        <f>'[36]2. Distributional by deciles o'!L72</f>
        <v>540269574.52559972</v>
      </c>
      <c r="AL20" s="1"/>
      <c r="AM20" s="32" cm="1">
        <f t="array" aca="1" ref="AM20" ca="1">INDIRECT("'1"&amp;$C$8&amp;"'!W20")</f>
        <v>1.4713941155967467</v>
      </c>
      <c r="AN20" s="524">
        <f t="shared" ca="1" si="1"/>
        <v>569576141.99736595</v>
      </c>
      <c r="AO20" s="524">
        <f t="shared" ca="1" si="2"/>
        <v>566265017.83536506</v>
      </c>
      <c r="AP20" s="524">
        <f t="shared" ca="1" si="3"/>
        <v>545235018.81857872</v>
      </c>
      <c r="AQ20" s="525">
        <f t="shared" si="4"/>
        <v>0.38662206588169834</v>
      </c>
      <c r="AR20" s="526">
        <f>U20-AP31*AS21/SUM(AS19:AS20)</f>
        <v>0.34105535110562946</v>
      </c>
      <c r="AS20" s="41">
        <f t="shared" si="6"/>
        <v>0.15970494308933156</v>
      </c>
      <c r="AT20" s="1"/>
      <c r="AU20" s="1"/>
      <c r="AV20" s="1"/>
      <c r="AW20" s="1"/>
      <c r="AX20" s="1"/>
      <c r="AY20" s="1"/>
      <c r="AZ20" s="1"/>
      <c r="BA20" s="1"/>
      <c r="BB20" s="1"/>
      <c r="BC20" s="1"/>
      <c r="BD20" s="1"/>
      <c r="BE20" s="1"/>
      <c r="BF20" s="1"/>
      <c r="BG20" s="1"/>
      <c r="BH20" s="1"/>
      <c r="BI20" s="1"/>
      <c r="BJ20" s="1"/>
      <c r="BK20" s="1"/>
      <c r="BL20" s="1"/>
      <c r="BM20" s="1"/>
      <c r="BN20" s="1"/>
    </row>
    <row r="21" spans="1:66" x14ac:dyDescent="0.3">
      <c r="A21" s="1"/>
      <c r="B21" s="33">
        <v>10</v>
      </c>
      <c r="C21" s="129">
        <f>'[36]2. Distributional by deciles o'!B73</f>
        <v>663167059.69319892</v>
      </c>
      <c r="D21" s="129">
        <f>'[36]2. Distributional by deciles o'!C73</f>
        <v>706910112.66240001</v>
      </c>
      <c r="E21" s="129">
        <f>'[36]2. Distributional by deciles o'!D73</f>
        <v>770265475.94640076</v>
      </c>
      <c r="F21" s="129">
        <f>'[36]2. Distributional by deciles o'!E73</f>
        <v>836731839.39839983</v>
      </c>
      <c r="G21" s="129">
        <f>'[36]2. Distributional by deciles o'!F73</f>
        <v>906421042.54799962</v>
      </c>
      <c r="H21" s="129">
        <f>'[36]2. Distributional by deciles o'!H73</f>
        <v>930353310.71639967</v>
      </c>
      <c r="I21" s="129">
        <f>'[36]2. Distributional by deciles o'!I73</f>
        <v>906236650.96439958</v>
      </c>
      <c r="J21" s="129">
        <f>'[36]2. Distributional by deciles o'!J73</f>
        <v>914761198.59119987</v>
      </c>
      <c r="K21" s="129">
        <f>'[36]2. Distributional by deciles o'!K73</f>
        <v>908425476.84359956</v>
      </c>
      <c r="L21" s="139"/>
      <c r="M21" s="139"/>
      <c r="N21" s="139"/>
      <c r="O21" s="139"/>
      <c r="P21" s="129">
        <f>'[36]2. Distributional by deciles o'!B163</f>
        <v>3615887812.1267982</v>
      </c>
      <c r="Q21" s="129">
        <f>'[36]2. Distributional by deciles o'!C163</f>
        <v>3830622100.8528013</v>
      </c>
      <c r="R21" s="129">
        <f>'[36]2. Distributional by deciles o'!D163</f>
        <v>4168303914.5976005</v>
      </c>
      <c r="S21" s="129">
        <f>'[36]2. Distributional by deciles o'!E163</f>
        <v>4504999895.2475948</v>
      </c>
      <c r="T21" s="129">
        <f>'[36]2. Distributional by deciles o'!F163</f>
        <v>4951716947.3423958</v>
      </c>
      <c r="U21" s="209">
        <f t="shared" si="0"/>
        <v>0.36943323593601418</v>
      </c>
      <c r="V21" s="139"/>
      <c r="W21" s="209"/>
      <c r="X21" s="132"/>
      <c r="Y21" s="132"/>
      <c r="Z21" s="132"/>
      <c r="AA21" s="132"/>
      <c r="AB21" s="132"/>
      <c r="AC21" s="132"/>
      <c r="AD21" s="132"/>
      <c r="AE21" s="139"/>
      <c r="AF21" s="139"/>
      <c r="AG21" s="139"/>
      <c r="AH21" s="139"/>
      <c r="AI21" s="139"/>
      <c r="AJ21" s="139"/>
      <c r="AK21" s="408">
        <f>'[36]2. Distributional by deciles o'!L73</f>
        <v>909551081.15279913</v>
      </c>
      <c r="AL21" s="1"/>
      <c r="AM21" s="32" cm="1">
        <f t="array" aca="1" ref="AM21" ca="1">INDIRECT("'1"&amp;$C$8&amp;"'!W21")</f>
        <v>1.1238414002702861</v>
      </c>
      <c r="AN21" s="524">
        <f t="shared" ca="1" si="1"/>
        <v>938503654.38067985</v>
      </c>
      <c r="AO21" s="524">
        <f t="shared" ca="1" si="2"/>
        <v>946694730.8279022</v>
      </c>
      <c r="AP21" s="524">
        <f t="shared" ca="1" si="3"/>
        <v>975768384.2296164</v>
      </c>
      <c r="AQ21" s="525">
        <f t="shared" si="4"/>
        <v>0.36943323593601418</v>
      </c>
      <c r="AR21" s="527">
        <f>U21+AP31</f>
        <v>0.41943323593601417</v>
      </c>
      <c r="AS21" s="41">
        <f t="shared" si="6"/>
        <v>0.26300174977576501</v>
      </c>
      <c r="AT21" s="1"/>
      <c r="AU21" s="1"/>
      <c r="AV21" s="1"/>
      <c r="AW21" s="1"/>
      <c r="AX21" s="1"/>
      <c r="AY21" s="1"/>
      <c r="AZ21" s="1"/>
      <c r="BA21" s="1"/>
      <c r="BB21" s="1"/>
      <c r="BC21" s="1"/>
      <c r="BD21" s="1"/>
      <c r="BE21" s="1"/>
      <c r="BF21" s="1"/>
      <c r="BG21" s="1"/>
      <c r="BH21" s="1"/>
      <c r="BI21" s="1"/>
      <c r="BJ21" s="1"/>
      <c r="BK21" s="1"/>
      <c r="BL21" s="1"/>
      <c r="BM21" s="1"/>
      <c r="BN21" s="1"/>
    </row>
    <row r="22" spans="1:66" ht="13.2" customHeight="1" x14ac:dyDescent="0.3">
      <c r="A22" s="1"/>
      <c r="B22" s="34" t="s">
        <v>114</v>
      </c>
      <c r="C22" s="150">
        <f>'[36]2. Distributional by deciles o'!B74</f>
        <v>1776205419.3215997</v>
      </c>
      <c r="D22" s="150">
        <f>'[36]2. Distributional by deciles o'!C74</f>
        <v>1960975940.7803974</v>
      </c>
      <c r="E22" s="150">
        <f>'[36]2. Distributional by deciles o'!D74</f>
        <v>2220223241.7480035</v>
      </c>
      <c r="F22" s="150">
        <f>'[36]2. Distributional by deciles o'!E74</f>
        <v>2505309302.2920027</v>
      </c>
      <c r="G22" s="150">
        <f>'[36]2. Distributional by deciles o'!F74</f>
        <v>2657161837.4172039</v>
      </c>
      <c r="H22" s="150">
        <f>'[36]2. Distributional by deciles o'!H74</f>
        <v>2922395071.6739941</v>
      </c>
      <c r="I22" s="150">
        <f>'[36]2. Distributional by deciles o'!I74</f>
        <v>2455047615.1248074</v>
      </c>
      <c r="J22" s="150">
        <f>'[36]2. Distributional by deciles o'!J74</f>
        <v>2588783380.6115894</v>
      </c>
      <c r="K22" s="150">
        <f>'[36]2. Distributional by deciles o'!K74</f>
        <v>2486654583.9108019</v>
      </c>
      <c r="L22" s="139"/>
      <c r="M22" s="139"/>
      <c r="N22" s="139"/>
      <c r="O22" s="139"/>
      <c r="P22" s="150">
        <f>'[36]2. Distributional by deciles o'!B164</f>
        <v>13748531388.896461</v>
      </c>
      <c r="Q22" s="150">
        <f>'[36]2. Distributional by deciles o'!C164</f>
        <v>14629577587.599628</v>
      </c>
      <c r="R22" s="150">
        <f>'[36]2. Distributional by deciles o'!D164</f>
        <v>15846111253.205973</v>
      </c>
      <c r="S22" s="150">
        <f>'[36]2. Distributional by deciles o'!E164</f>
        <v>17156924631.644482</v>
      </c>
      <c r="T22" s="150">
        <f>'[36]2. Distributional by deciles o'!F164</f>
        <v>18978797517.241161</v>
      </c>
      <c r="U22" s="210">
        <f t="shared" si="0"/>
        <v>0.38042362346924907</v>
      </c>
      <c r="V22" s="139"/>
      <c r="W22" s="210"/>
      <c r="X22" s="154"/>
      <c r="Y22" s="154"/>
      <c r="Z22" s="154"/>
      <c r="AA22" s="154"/>
      <c r="AB22" s="154"/>
      <c r="AC22" s="154"/>
      <c r="AD22" s="154"/>
      <c r="AE22" s="161"/>
      <c r="AF22" s="161"/>
      <c r="AG22" s="161"/>
      <c r="AH22" s="161"/>
      <c r="AI22" s="162"/>
      <c r="AJ22" s="162"/>
      <c r="AK22" s="409">
        <f>'[36]2. Distributional by deciles o'!L74</f>
        <v>2765562889.829998</v>
      </c>
      <c r="AL22" s="1"/>
      <c r="AM22" s="534" cm="1">
        <f t="array" aca="1" ref="AM22" ca="1">INDIRECT("'1"&amp;$C$8&amp;"'!W22")</f>
        <v>1.6590608942486251</v>
      </c>
      <c r="AN22" s="528">
        <f ca="1">SUM(AN12:AN21)</f>
        <v>2900191166.8947315</v>
      </c>
      <c r="AO22" s="528">
        <f ca="1">SUM(AO12:AO21)</f>
        <v>2897246324.2244864</v>
      </c>
      <c r="AP22" s="528">
        <f ca="1">SUM(AP12:AP21)</f>
        <v>2892367012.4371376</v>
      </c>
      <c r="AQ22" s="529">
        <f>SUMPRODUCT(AQ12:AQ21,AS12:AS21)</f>
        <v>0.38042362346925629</v>
      </c>
      <c r="AR22" s="529">
        <f>SUMPRODUCT(AR12:AR21,AS12:AS21)</f>
        <v>0.38042362346925623</v>
      </c>
      <c r="AS22" s="530"/>
      <c r="AT22" s="1"/>
      <c r="AU22" s="1"/>
      <c r="AV22" s="1"/>
      <c r="AW22" s="1"/>
      <c r="AX22" s="1"/>
      <c r="AY22" s="1"/>
      <c r="AZ22" s="1"/>
      <c r="BA22" s="1"/>
      <c r="BB22" s="1"/>
      <c r="BC22" s="1"/>
      <c r="BD22" s="1"/>
      <c r="BE22" s="1"/>
      <c r="BF22" s="1"/>
      <c r="BG22" s="1"/>
      <c r="BH22" s="1"/>
      <c r="BI22" s="1"/>
      <c r="BJ22" s="1"/>
      <c r="BK22" s="1"/>
      <c r="BL22" s="1"/>
      <c r="BM22" s="1"/>
      <c r="BN22" s="1"/>
    </row>
    <row r="23" spans="1:66" ht="12.6" customHeight="1" x14ac:dyDescent="0.3">
      <c r="A23" s="1"/>
      <c r="B23" s="1"/>
      <c r="C23" s="1"/>
      <c r="D23" s="1"/>
      <c r="E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531"/>
      <c r="AO23" s="531"/>
      <c r="AP23" s="1"/>
      <c r="AQ23" s="1"/>
      <c r="AR23" s="525">
        <f>U22</f>
        <v>0.38042362346924907</v>
      </c>
      <c r="AS23" s="1"/>
      <c r="AT23" s="1"/>
      <c r="AU23" s="1"/>
      <c r="AV23" s="1"/>
      <c r="AW23" s="1"/>
      <c r="AX23" s="1"/>
      <c r="AY23" s="1"/>
      <c r="AZ23" s="1"/>
      <c r="BA23" s="1"/>
      <c r="BB23" s="1"/>
      <c r="BC23" s="1"/>
      <c r="BD23" s="1"/>
      <c r="BE23" s="1"/>
      <c r="BF23" s="1"/>
      <c r="BG23" s="1"/>
      <c r="BH23" s="1"/>
      <c r="BI23" s="1"/>
      <c r="BJ23" s="1"/>
      <c r="BK23" s="1"/>
      <c r="BL23" s="1"/>
      <c r="BM23" s="1"/>
      <c r="BN23" s="1"/>
    </row>
    <row r="24" spans="1:66" ht="13.95" customHeight="1" x14ac:dyDescent="0.3">
      <c r="A24" s="1"/>
      <c r="B24" s="1"/>
      <c r="C24" s="1"/>
      <c r="D24" s="1"/>
      <c r="E24" s="1"/>
      <c r="F24" s="1"/>
      <c r="G24" s="11" t="s">
        <v>151</v>
      </c>
      <c r="H24" s="212">
        <f>U22</f>
        <v>0.38042362346924907</v>
      </c>
      <c r="I24" s="1"/>
      <c r="J24" s="1"/>
      <c r="K24" s="11" t="s">
        <v>151</v>
      </c>
      <c r="L24" s="212"/>
      <c r="M24" s="1"/>
      <c r="O24" s="1"/>
      <c r="P24" s="1"/>
      <c r="Q24" s="1"/>
      <c r="R24" s="1"/>
      <c r="S24" s="1"/>
      <c r="T24" s="1"/>
      <c r="U24" s="1"/>
      <c r="V24" s="1"/>
      <c r="W24" s="1"/>
      <c r="X24" s="1"/>
      <c r="Y24" s="55"/>
      <c r="Z24" s="55"/>
      <c r="AA24" s="55"/>
      <c r="AB24" s="55"/>
      <c r="AC24" s="55"/>
      <c r="AD24" s="55"/>
      <c r="AE24" s="55"/>
      <c r="AF24" s="55"/>
      <c r="AG24" s="55"/>
      <c r="AH24" s="1"/>
      <c r="AI24" s="1"/>
      <c r="AJ24" s="1"/>
      <c r="AK24" s="1"/>
      <c r="AL24" s="1"/>
      <c r="AM24" s="1"/>
      <c r="AN24" s="531">
        <f ca="1">AN22/G22-1</f>
        <v>9.1461997555164043E-2</v>
      </c>
      <c r="AO24" s="531"/>
      <c r="AP24" s="1"/>
      <c r="AQ24" s="1"/>
      <c r="AR24" s="532" t="str">
        <f>IF(AR23-AR22&lt;0.0000000001,"ok","wrong")</f>
        <v>ok</v>
      </c>
      <c r="AS24" s="1"/>
      <c r="AT24" s="1"/>
      <c r="AU24" s="1"/>
      <c r="AV24" s="1"/>
      <c r="AW24" s="1"/>
      <c r="AX24" s="1"/>
      <c r="AY24" s="1"/>
      <c r="AZ24" s="1"/>
      <c r="BA24" s="1"/>
      <c r="BB24" s="1"/>
      <c r="BC24" s="1"/>
      <c r="BD24" s="1"/>
      <c r="BE24" s="1"/>
      <c r="BF24" s="1"/>
      <c r="BG24" s="1"/>
      <c r="BH24" s="1"/>
      <c r="BI24" s="1"/>
      <c r="BJ24" s="1"/>
      <c r="BK24" s="1"/>
      <c r="BL24" s="1"/>
      <c r="BM24" s="1"/>
      <c r="BN24" s="1"/>
    </row>
    <row r="25" spans="1:66" ht="13.95" customHeight="1" x14ac:dyDescent="0.3">
      <c r="A25" s="1"/>
      <c r="B25" s="1"/>
      <c r="C25" s="1"/>
      <c r="D25" s="1"/>
      <c r="E25" s="1"/>
      <c r="F25" s="1"/>
      <c r="G25" s="11" t="s">
        <v>152</v>
      </c>
      <c r="H25" s="213">
        <v>0.26819999999999999</v>
      </c>
      <c r="I25" s="1"/>
      <c r="J25" s="1"/>
      <c r="K25" s="11" t="s">
        <v>152</v>
      </c>
      <c r="L25" s="139"/>
      <c r="M25" s="1"/>
      <c r="N25" s="1"/>
      <c r="O25" s="55"/>
      <c r="P25" s="1"/>
      <c r="Q25" s="1"/>
      <c r="R25" s="55"/>
      <c r="S25" s="1"/>
      <c r="T25" s="1"/>
      <c r="U25" s="55"/>
      <c r="V25" s="435"/>
      <c r="W25" s="1"/>
      <c r="X25" s="1"/>
      <c r="Y25" s="55"/>
      <c r="Z25" s="55"/>
      <c r="AA25" s="55"/>
      <c r="AB25" s="55"/>
      <c r="AC25" s="55"/>
      <c r="AD25" s="55"/>
      <c r="AE25" s="55"/>
      <c r="AF25" s="55"/>
      <c r="AG25" s="55"/>
      <c r="AH25" s="1"/>
      <c r="AI25" s="1"/>
      <c r="AJ25" s="1"/>
      <c r="AK25" s="1"/>
      <c r="AL25" s="1"/>
      <c r="AM25" s="1"/>
      <c r="AN25" s="1"/>
      <c r="AO25" s="531"/>
      <c r="AP25" s="1"/>
      <c r="AQ25" s="1"/>
      <c r="AR25" s="532" t="str">
        <f>IF(AQ22-AR22&lt;0.0000000001,"ok","wrong")</f>
        <v>ok</v>
      </c>
      <c r="AS25" s="1"/>
      <c r="AT25" s="1"/>
      <c r="AU25" s="1"/>
      <c r="AV25" s="1"/>
      <c r="AW25" s="1"/>
      <c r="AX25" s="1"/>
      <c r="AY25" s="1"/>
      <c r="AZ25" s="1"/>
      <c r="BA25" s="1"/>
      <c r="BB25" s="1"/>
      <c r="BC25" s="1"/>
      <c r="BD25" s="1"/>
      <c r="BE25" s="1"/>
      <c r="BF25" s="1"/>
      <c r="BG25" s="1"/>
      <c r="BH25" s="1"/>
      <c r="BI25" s="1"/>
      <c r="BJ25" s="1"/>
      <c r="BK25" s="1"/>
      <c r="BL25" s="1"/>
      <c r="BM25" s="1"/>
      <c r="BN25" s="1"/>
    </row>
    <row r="26" spans="1:66" ht="13.95" customHeight="1" x14ac:dyDescent="0.3">
      <c r="A26" s="1"/>
      <c r="B26" s="1"/>
      <c r="C26" s="1"/>
      <c r="D26" s="1"/>
      <c r="E26" s="1"/>
      <c r="F26" s="1"/>
      <c r="G26" s="11" t="s">
        <v>153</v>
      </c>
      <c r="H26" s="213">
        <v>0.35310000000000002</v>
      </c>
      <c r="I26" s="1"/>
      <c r="J26" s="1"/>
      <c r="K26" s="11" t="s">
        <v>153</v>
      </c>
      <c r="L26" s="139"/>
      <c r="M26" s="1"/>
      <c r="N26" s="1"/>
      <c r="O26" s="1"/>
      <c r="P26" s="1"/>
      <c r="Q26" s="1"/>
      <c r="R26" s="1"/>
      <c r="S26" s="1"/>
      <c r="T26" s="1"/>
      <c r="U26" s="1"/>
      <c r="V26" s="1"/>
      <c r="W26" s="1"/>
      <c r="X26" s="1"/>
      <c r="Y26" s="55"/>
      <c r="Z26" s="55"/>
      <c r="AA26" s="55"/>
      <c r="AB26" s="55"/>
      <c r="AC26" s="55"/>
      <c r="AD26" s="55"/>
      <c r="AE26" s="55"/>
      <c r="AF26" s="55"/>
      <c r="AG26" s="55"/>
      <c r="AH26" s="1"/>
      <c r="AI26" s="1"/>
      <c r="AJ26" s="1"/>
      <c r="AK26" s="1"/>
      <c r="AL26" s="1"/>
      <c r="AM26" s="8" t="s">
        <v>571</v>
      </c>
      <c r="AN26" s="533"/>
      <c r="AO26" s="535">
        <f ca="1">AO22/$AN22-1</f>
        <v>-1.0153960552187202E-3</v>
      </c>
      <c r="AP26" s="536">
        <f ca="1">AP22/$AN22-1</f>
        <v>-2.6978064573486282E-3</v>
      </c>
      <c r="AQ26" s="1"/>
      <c r="AR26" s="1"/>
      <c r="AS26" s="1"/>
      <c r="AT26" s="1"/>
      <c r="AU26" s="1"/>
      <c r="AV26" s="1"/>
      <c r="AW26" s="1"/>
      <c r="AX26" s="1"/>
      <c r="AY26" s="1"/>
      <c r="AZ26" s="1"/>
      <c r="BA26" s="1"/>
      <c r="BB26" s="1"/>
      <c r="BC26" s="1"/>
      <c r="BD26" s="1"/>
      <c r="BE26" s="1"/>
      <c r="BF26" s="1"/>
      <c r="BG26" s="1"/>
      <c r="BH26" s="1"/>
      <c r="BI26" s="1"/>
      <c r="BJ26" s="1"/>
      <c r="BK26" s="1"/>
      <c r="BL26" s="1"/>
      <c r="BM26" s="1"/>
      <c r="BN26" s="1"/>
    </row>
    <row r="27" spans="1:66" ht="9" customHeight="1" x14ac:dyDescent="0.3">
      <c r="A27" s="1"/>
      <c r="B27" s="1"/>
      <c r="C27" s="1"/>
      <c r="D27" s="1"/>
      <c r="E27" s="1"/>
      <c r="F27" s="1"/>
      <c r="G27" s="1"/>
      <c r="H27" s="1"/>
      <c r="I27" s="1"/>
      <c r="J27" s="1"/>
      <c r="K27" s="1"/>
      <c r="L27" s="1"/>
      <c r="M27" s="1"/>
      <c r="N27" s="1"/>
      <c r="O27" s="1"/>
      <c r="P27" s="1"/>
      <c r="Q27" s="1"/>
      <c r="R27" s="1"/>
      <c r="S27" s="1"/>
      <c r="T27" s="55"/>
      <c r="U27" s="55"/>
      <c r="V27" s="55"/>
      <c r="W27" s="55"/>
      <c r="X27" s="55"/>
      <c r="Y27" s="55"/>
      <c r="Z27" s="55"/>
      <c r="AA27" s="55"/>
      <c r="AB27" s="55"/>
      <c r="AC27" s="55"/>
      <c r="AD27" s="55"/>
      <c r="AE27" s="55"/>
      <c r="AF27" s="55"/>
      <c r="AG27" s="55"/>
      <c r="AH27" s="1"/>
      <c r="AI27" s="1"/>
      <c r="AJ27" s="1"/>
      <c r="AK27" s="1"/>
      <c r="AL27" s="1"/>
      <c r="AM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row>
    <row r="28" spans="1:66" ht="12" customHeight="1" thickBot="1" x14ac:dyDescent="0.35">
      <c r="A28" s="214"/>
      <c r="B28" s="214"/>
      <c r="C28" s="214"/>
      <c r="D28" s="214"/>
      <c r="E28" s="214"/>
      <c r="F28" s="214"/>
      <c r="G28" s="214"/>
      <c r="H28" s="214"/>
      <c r="I28" s="214"/>
      <c r="J28" s="214"/>
      <c r="K28" s="214"/>
      <c r="L28" s="214"/>
      <c r="M28" s="214"/>
      <c r="N28" s="214"/>
      <c r="O28" s="214"/>
      <c r="P28" s="214"/>
      <c r="Q28" s="214"/>
      <c r="R28" s="214"/>
      <c r="S28" s="214"/>
      <c r="T28" s="215"/>
      <c r="U28" s="215"/>
      <c r="V28" s="215"/>
      <c r="W28" s="215"/>
      <c r="X28" s="215"/>
      <c r="Y28" s="215"/>
      <c r="Z28" s="215"/>
      <c r="AA28" s="214"/>
      <c r="AB28" s="214"/>
      <c r="AC28" s="214"/>
      <c r="AD28" s="214"/>
      <c r="AE28" s="214"/>
      <c r="AF28" s="214"/>
      <c r="AG28" s="214"/>
      <c r="AH28" s="214"/>
      <c r="AI28" s="214"/>
      <c r="AJ28" s="1"/>
      <c r="AK28" s="1"/>
      <c r="AL28" s="1"/>
      <c r="AM28" s="8" t="s">
        <v>572</v>
      </c>
      <c r="AN28" s="8"/>
      <c r="AO28" s="535">
        <f ca="1">(AO22-$AN22)/($W$37*1000000)</f>
        <v>-7.939845363276429E-3</v>
      </c>
      <c r="AP28" s="536">
        <f ca="1">(AP22-$AN22)/($W$37*1000000)</f>
        <v>-2.1095380449140836E-2</v>
      </c>
      <c r="AQ28" s="1"/>
      <c r="AR28" s="1"/>
      <c r="AS28" s="1"/>
      <c r="AT28" s="1"/>
      <c r="AU28" s="1"/>
      <c r="AV28" s="1"/>
      <c r="AW28" s="1"/>
      <c r="AX28" s="1"/>
      <c r="AY28" s="1"/>
      <c r="AZ28" s="1"/>
      <c r="BA28" s="1"/>
      <c r="BB28" s="1"/>
      <c r="BC28" s="1"/>
      <c r="BD28" s="1"/>
      <c r="BE28" s="1"/>
      <c r="BF28" s="1"/>
      <c r="BG28" s="1"/>
      <c r="BH28" s="1"/>
      <c r="BI28" s="1"/>
      <c r="BJ28" s="1"/>
      <c r="BK28" s="1"/>
      <c r="BL28" s="1"/>
      <c r="BM28" s="1"/>
      <c r="BN28" s="1"/>
    </row>
    <row r="29" spans="1:66" ht="12" customHeight="1" thickBot="1" x14ac:dyDescent="0.35">
      <c r="A29" s="214"/>
      <c r="B29" s="216" t="s">
        <v>154</v>
      </c>
      <c r="C29" s="217"/>
      <c r="D29" s="217"/>
      <c r="E29" s="217"/>
      <c r="F29" s="217"/>
      <c r="G29" s="217"/>
      <c r="H29" s="217"/>
      <c r="I29" s="217"/>
      <c r="J29" s="217"/>
      <c r="K29" s="217"/>
      <c r="L29" s="217"/>
      <c r="M29" s="217"/>
      <c r="N29" s="217"/>
      <c r="O29" s="217"/>
      <c r="P29" s="217"/>
      <c r="Q29" s="217"/>
      <c r="R29" s="217"/>
      <c r="S29" s="217"/>
      <c r="T29" s="218"/>
      <c r="U29" s="218"/>
      <c r="V29" s="219"/>
      <c r="W29" s="215"/>
      <c r="X29" s="215"/>
      <c r="Y29" s="215"/>
      <c r="Z29" s="215"/>
      <c r="AA29" s="214"/>
      <c r="AB29" s="214"/>
      <c r="AC29" s="214"/>
      <c r="AD29" s="214"/>
      <c r="AE29" s="214"/>
      <c r="AF29" s="214"/>
      <c r="AG29" s="214"/>
      <c r="AH29" s="214"/>
      <c r="AI29" s="214"/>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row>
    <row r="30" spans="1:66" ht="21.6" customHeight="1" thickBot="1" x14ac:dyDescent="0.35">
      <c r="A30" s="214"/>
      <c r="B30" s="220"/>
      <c r="C30" s="214"/>
      <c r="D30" s="214"/>
      <c r="E30" s="214"/>
      <c r="F30" s="214"/>
      <c r="G30" s="214"/>
      <c r="H30" s="214"/>
      <c r="I30" s="214"/>
      <c r="J30" s="214"/>
      <c r="K30" s="214"/>
      <c r="L30" s="214"/>
      <c r="M30" s="214"/>
      <c r="N30" s="214"/>
      <c r="O30" s="214"/>
      <c r="P30" s="214"/>
      <c r="Q30" s="214"/>
      <c r="R30" s="214"/>
      <c r="S30" s="214"/>
      <c r="T30" s="214"/>
      <c r="U30" s="214"/>
      <c r="V30" s="214"/>
      <c r="W30" s="214"/>
      <c r="X30" s="214"/>
      <c r="Y30" s="214"/>
      <c r="Z30" s="214"/>
      <c r="AA30" s="214"/>
      <c r="AB30" s="214"/>
      <c r="AC30" s="216" t="s">
        <v>158</v>
      </c>
      <c r="AD30" s="221"/>
      <c r="AE30" s="214"/>
      <c r="AF30" s="214"/>
      <c r="AG30" s="214"/>
      <c r="AH30" s="214"/>
      <c r="AI30" s="214"/>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row>
    <row r="31" spans="1:66" ht="21" customHeight="1" thickBot="1" x14ac:dyDescent="0.35">
      <c r="A31" s="214"/>
      <c r="B31" s="216" t="s">
        <v>159</v>
      </c>
      <c r="C31" s="221"/>
      <c r="D31" s="223"/>
      <c r="E31" s="222" t="s">
        <v>160</v>
      </c>
      <c r="F31" s="222" t="s">
        <v>160</v>
      </c>
      <c r="G31" s="223"/>
      <c r="H31" s="224" t="s">
        <v>161</v>
      </c>
      <c r="I31" s="222"/>
      <c r="J31" s="222"/>
      <c r="K31" s="222"/>
      <c r="L31" s="222"/>
      <c r="M31" s="223"/>
      <c r="N31" s="216" t="s">
        <v>162</v>
      </c>
      <c r="O31" s="221"/>
      <c r="P31" s="222" t="s">
        <v>163</v>
      </c>
      <c r="Q31" s="222"/>
      <c r="R31" s="222"/>
      <c r="S31" s="223"/>
      <c r="T31" s="224" t="s">
        <v>164</v>
      </c>
      <c r="U31" s="222"/>
      <c r="V31" s="222"/>
      <c r="W31" s="223"/>
      <c r="X31" s="225" t="s">
        <v>165</v>
      </c>
      <c r="Y31" s="222"/>
      <c r="Z31" s="222"/>
      <c r="AA31" s="223"/>
      <c r="AB31" s="214"/>
      <c r="AC31" s="347" t="s">
        <v>163</v>
      </c>
      <c r="AD31" s="348"/>
      <c r="AE31" s="223"/>
      <c r="AF31" s="224" t="s">
        <v>164</v>
      </c>
      <c r="AG31" s="222"/>
      <c r="AH31" s="223"/>
      <c r="AI31" s="214"/>
      <c r="AJ31" s="1"/>
      <c r="AK31" s="1"/>
      <c r="AL31" s="1"/>
      <c r="AM31" s="1"/>
      <c r="AN31" s="1"/>
      <c r="AO31" s="8" t="s">
        <v>567</v>
      </c>
      <c r="AP31" s="10">
        <v>0.05</v>
      </c>
      <c r="AQ31" s="1"/>
      <c r="AR31" s="1"/>
      <c r="AS31" s="1"/>
      <c r="AT31" s="1"/>
      <c r="AU31" s="1"/>
      <c r="AV31" s="1"/>
      <c r="AW31" s="1"/>
      <c r="AX31" s="1"/>
      <c r="AY31" s="1"/>
      <c r="AZ31" s="1"/>
      <c r="BA31" s="1"/>
      <c r="BB31" s="1"/>
      <c r="BC31" s="1"/>
      <c r="BD31" s="1"/>
      <c r="BE31" s="1"/>
      <c r="BF31" s="1"/>
      <c r="BG31" s="1"/>
      <c r="BH31" s="1"/>
      <c r="BI31" s="1"/>
      <c r="BJ31" s="1"/>
      <c r="BK31" s="1"/>
      <c r="BL31" s="1"/>
      <c r="BM31" s="1"/>
      <c r="BN31" s="1"/>
    </row>
    <row r="32" spans="1:66" ht="51" customHeight="1" x14ac:dyDescent="0.3">
      <c r="A32" s="214"/>
      <c r="B32" s="226"/>
      <c r="C32" s="227" t="s">
        <v>166</v>
      </c>
      <c r="D32" s="228" t="s">
        <v>167</v>
      </c>
      <c r="E32" s="228" t="s">
        <v>168</v>
      </c>
      <c r="F32" s="410" t="s">
        <v>169</v>
      </c>
      <c r="G32" s="228" t="s">
        <v>170</v>
      </c>
      <c r="H32" s="228" t="s">
        <v>171</v>
      </c>
      <c r="I32" s="229" t="s">
        <v>172</v>
      </c>
      <c r="J32" s="229" t="s">
        <v>173</v>
      </c>
      <c r="K32" s="230" t="s">
        <v>174</v>
      </c>
      <c r="L32" s="229" t="s">
        <v>175</v>
      </c>
      <c r="M32" s="411" t="s">
        <v>176</v>
      </c>
      <c r="N32" s="227"/>
      <c r="O32" s="227" t="s">
        <v>177</v>
      </c>
      <c r="P32" s="231" t="s">
        <v>178</v>
      </c>
      <c r="Q32" s="231" t="s">
        <v>179</v>
      </c>
      <c r="R32" s="231" t="s">
        <v>180</v>
      </c>
      <c r="S32" s="231" t="s">
        <v>181</v>
      </c>
      <c r="T32" s="231" t="s">
        <v>182</v>
      </c>
      <c r="U32" s="231" t="s">
        <v>183</v>
      </c>
      <c r="V32" s="231" t="s">
        <v>184</v>
      </c>
      <c r="W32" s="231" t="s">
        <v>185</v>
      </c>
      <c r="X32" s="231" t="s">
        <v>186</v>
      </c>
      <c r="Y32" s="231" t="s">
        <v>187</v>
      </c>
      <c r="Z32" s="231" t="s">
        <v>188</v>
      </c>
      <c r="AA32" s="231" t="s">
        <v>189</v>
      </c>
      <c r="AB32" s="214"/>
      <c r="AC32" s="231" t="s">
        <v>178</v>
      </c>
      <c r="AD32" s="231" t="s">
        <v>179</v>
      </c>
      <c r="AE32" s="231" t="s">
        <v>180</v>
      </c>
      <c r="AF32" s="231" t="s">
        <v>182</v>
      </c>
      <c r="AG32" s="231" t="s">
        <v>183</v>
      </c>
      <c r="AH32" s="231" t="s">
        <v>184</v>
      </c>
      <c r="AI32" s="214"/>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row>
    <row r="33" spans="1:66" ht="15.6" customHeight="1" x14ac:dyDescent="0.3">
      <c r="A33" s="214"/>
      <c r="B33" s="232">
        <v>2019</v>
      </c>
      <c r="C33" s="233">
        <f>C22</f>
        <v>1776205419.3215997</v>
      </c>
      <c r="D33" s="146">
        <v>28472.1</v>
      </c>
      <c r="E33" s="259">
        <f>(F33/1000000/D33)*100</f>
        <v>5.3793011404146513</v>
      </c>
      <c r="F33" s="146">
        <v>1531600000</v>
      </c>
      <c r="G33" s="234">
        <f>F33/C33</f>
        <v>0.86228765172047284</v>
      </c>
      <c r="H33" s="235">
        <f>C33*G33</f>
        <v>1531600000</v>
      </c>
      <c r="I33" s="235" t="s">
        <v>113</v>
      </c>
      <c r="J33" s="235" t="s">
        <v>113</v>
      </c>
      <c r="K33" s="235" t="s">
        <v>113</v>
      </c>
      <c r="L33" s="235" t="s">
        <v>113</v>
      </c>
      <c r="M33" s="214"/>
      <c r="N33" s="232">
        <v>2019</v>
      </c>
      <c r="O33" s="236">
        <f>G33</f>
        <v>0.86228765172047284</v>
      </c>
      <c r="P33" s="237"/>
      <c r="Q33" s="237"/>
      <c r="R33" s="237"/>
      <c r="S33" s="237"/>
      <c r="T33" s="237"/>
      <c r="U33" s="237"/>
      <c r="V33" s="238"/>
      <c r="W33" s="238"/>
      <c r="X33" s="238"/>
      <c r="Y33" s="238"/>
      <c r="Z33" s="238"/>
      <c r="AA33" s="238"/>
      <c r="AB33" s="214"/>
      <c r="AC33" s="237"/>
      <c r="AD33" s="237"/>
      <c r="AE33" s="237"/>
      <c r="AF33" s="237"/>
      <c r="AG33" s="237"/>
      <c r="AH33" s="238"/>
      <c r="AI33" s="214"/>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row>
    <row r="34" spans="1:66" s="51" customFormat="1" ht="15.6" customHeight="1" x14ac:dyDescent="0.3">
      <c r="A34" s="239"/>
      <c r="B34" s="240">
        <v>2020</v>
      </c>
      <c r="C34" s="241">
        <f>D22</f>
        <v>1960975940.7803974</v>
      </c>
      <c r="D34" s="146">
        <v>27859.3</v>
      </c>
      <c r="E34" s="259">
        <f t="shared" ref="E34:E36" si="7">(F34/1000000/D34)*100</f>
        <v>5.9312330173407091</v>
      </c>
      <c r="F34" s="146">
        <v>1652400000</v>
      </c>
      <c r="G34" s="234">
        <f>F34/C34</f>
        <v>0.84264164880187398</v>
      </c>
      <c r="H34" s="242">
        <f>C34*G34</f>
        <v>1652400000</v>
      </c>
      <c r="I34" s="243"/>
      <c r="J34" s="243"/>
      <c r="K34" s="243"/>
      <c r="L34" s="243"/>
      <c r="M34" s="214"/>
      <c r="N34" s="240">
        <v>2020</v>
      </c>
      <c r="O34" s="244"/>
      <c r="P34" s="245"/>
      <c r="Q34" s="245"/>
      <c r="R34" s="245"/>
      <c r="S34" s="245"/>
      <c r="T34" s="245"/>
      <c r="U34" s="245"/>
      <c r="V34" s="245"/>
      <c r="W34" s="245"/>
      <c r="X34" s="245"/>
      <c r="Y34" s="245"/>
      <c r="Z34" s="245"/>
      <c r="AA34" s="245"/>
      <c r="AB34" s="239"/>
      <c r="AC34" s="245"/>
      <c r="AD34" s="245"/>
      <c r="AE34" s="245"/>
      <c r="AF34" s="245"/>
      <c r="AG34" s="245"/>
      <c r="AH34" s="245"/>
      <c r="AI34" s="239"/>
      <c r="AJ34" s="47"/>
      <c r="AK34" s="47"/>
      <c r="AL34" s="47"/>
      <c r="AM34" s="47"/>
      <c r="AN34" s="47"/>
      <c r="AO34" s="47"/>
      <c r="AP34" s="47"/>
      <c r="AQ34" s="47"/>
      <c r="AR34" s="47"/>
      <c r="AS34" s="47"/>
      <c r="AT34" s="47"/>
      <c r="AU34" s="47"/>
      <c r="AV34" s="47"/>
      <c r="AW34" s="47"/>
      <c r="AX34" s="47"/>
      <c r="AY34" s="47"/>
      <c r="AZ34" s="47"/>
      <c r="BA34" s="47"/>
      <c r="BB34" s="47"/>
      <c r="BC34" s="47"/>
      <c r="BD34" s="47"/>
      <c r="BE34" s="47"/>
      <c r="BF34" s="47"/>
      <c r="BG34" s="47"/>
      <c r="BH34" s="47"/>
      <c r="BI34" s="47"/>
      <c r="BJ34" s="47"/>
      <c r="BK34" s="47"/>
      <c r="BL34" s="47"/>
      <c r="BM34" s="47"/>
      <c r="BN34" s="47"/>
    </row>
    <row r="35" spans="1:66" ht="15.6" customHeight="1" x14ac:dyDescent="0.3">
      <c r="A35" s="214"/>
      <c r="B35" s="232">
        <v>2021</v>
      </c>
      <c r="C35" s="241">
        <f>E22</f>
        <v>2220223241.7480035</v>
      </c>
      <c r="D35" s="146">
        <v>31456.2</v>
      </c>
      <c r="E35" s="259">
        <f t="shared" si="7"/>
        <v>6.8228203025158782</v>
      </c>
      <c r="F35" s="146">
        <v>2146200000</v>
      </c>
      <c r="G35" s="234">
        <f>F35/C35</f>
        <v>0.96665955010464433</v>
      </c>
      <c r="H35" s="242">
        <f>C35*G35</f>
        <v>2146200000</v>
      </c>
      <c r="I35" s="243"/>
      <c r="J35" s="243"/>
      <c r="K35" s="243"/>
      <c r="L35" s="243"/>
      <c r="M35" s="214"/>
      <c r="N35" s="232">
        <v>2021</v>
      </c>
      <c r="O35" s="244"/>
      <c r="P35" s="246"/>
      <c r="Q35" s="246"/>
      <c r="R35" s="246"/>
      <c r="S35" s="246"/>
      <c r="T35" s="246"/>
      <c r="U35" s="246"/>
      <c r="V35" s="247"/>
      <c r="W35" s="247"/>
      <c r="X35" s="247"/>
      <c r="Y35" s="247"/>
      <c r="Z35" s="247"/>
      <c r="AA35" s="247"/>
      <c r="AB35" s="214"/>
      <c r="AC35" s="246"/>
      <c r="AD35" s="246"/>
      <c r="AE35" s="246"/>
      <c r="AF35" s="246"/>
      <c r="AG35" s="246"/>
      <c r="AH35" s="247"/>
      <c r="AI35" s="214"/>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row>
    <row r="36" spans="1:66" ht="15.6" customHeight="1" x14ac:dyDescent="0.3">
      <c r="A36" s="214"/>
      <c r="B36" s="240">
        <v>2022</v>
      </c>
      <c r="C36" s="248">
        <f>F22</f>
        <v>2505309302.2920027</v>
      </c>
      <c r="D36" s="146">
        <v>36442.800000000003</v>
      </c>
      <c r="E36" s="259">
        <f t="shared" si="7"/>
        <v>6.2547334452896033</v>
      </c>
      <c r="F36" s="146">
        <v>2279400000</v>
      </c>
      <c r="G36" s="234">
        <f>F36/C36</f>
        <v>0.90982777971353568</v>
      </c>
      <c r="H36" s="242">
        <f>C36*G36</f>
        <v>2279400000</v>
      </c>
      <c r="I36" s="249"/>
      <c r="J36" s="249"/>
      <c r="K36" s="249"/>
      <c r="L36" s="249"/>
      <c r="M36" s="214"/>
      <c r="N36" s="240">
        <v>2022</v>
      </c>
      <c r="O36" s="250"/>
      <c r="P36" s="225"/>
      <c r="Q36" s="225"/>
      <c r="R36" s="225"/>
      <c r="S36" s="225"/>
      <c r="T36" s="225"/>
      <c r="U36" s="225"/>
      <c r="V36" s="225"/>
      <c r="W36" s="225"/>
      <c r="X36" s="225"/>
      <c r="Y36" s="225"/>
      <c r="Z36" s="225"/>
      <c r="AA36" s="225"/>
      <c r="AB36" s="214"/>
      <c r="AC36" s="225"/>
      <c r="AD36" s="225"/>
      <c r="AE36" s="225"/>
      <c r="AF36" s="225"/>
      <c r="AG36" s="225"/>
      <c r="AH36" s="225"/>
      <c r="AI36" s="214"/>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row>
    <row r="37" spans="1:66" ht="15.6" customHeight="1" x14ac:dyDescent="0.3">
      <c r="A37" s="214"/>
      <c r="B37" s="232">
        <v>2023</v>
      </c>
      <c r="C37" s="251">
        <f>G22</f>
        <v>2657161837.4172039</v>
      </c>
      <c r="D37" s="146">
        <v>38187.800000000003</v>
      </c>
      <c r="E37" s="259">
        <f>(F37/1000000/D37)*100</f>
        <v>6.2603763505622201</v>
      </c>
      <c r="F37" s="146">
        <v>2390700000</v>
      </c>
      <c r="G37" s="234">
        <f>F37/C37</f>
        <v>0.89971937965351467</v>
      </c>
      <c r="H37" s="242">
        <f>C37*G37</f>
        <v>2390700000</v>
      </c>
      <c r="I37" s="235">
        <f>H22*$G37</f>
        <v>2629335480.9890146</v>
      </c>
      <c r="J37" s="235">
        <f>I22*$G37</f>
        <v>2208853917.2999325</v>
      </c>
      <c r="K37" s="235">
        <f>J22*$G37</f>
        <v>2329178577.261188</v>
      </c>
      <c r="L37" s="235">
        <f>K22*$G37</f>
        <v>2237291319.6487951</v>
      </c>
      <c r="M37" s="412">
        <f>AK22*$G37</f>
        <v>2488230527.6306272</v>
      </c>
      <c r="N37" s="232">
        <v>2023</v>
      </c>
      <c r="O37" s="252">
        <f>G37</f>
        <v>0.89971937965351467</v>
      </c>
      <c r="P37" s="253">
        <f>($H37-J37)/1000000</f>
        <v>181.84608270006751</v>
      </c>
      <c r="Q37" s="253">
        <f>($H37-K37)/1000000</f>
        <v>61.521422738811971</v>
      </c>
      <c r="R37" s="253">
        <f>($H37-L37)/1000000</f>
        <v>153.40868035120488</v>
      </c>
      <c r="S37" s="253">
        <f>AVERAGE(P37:R37)</f>
        <v>132.25872859669479</v>
      </c>
      <c r="T37" s="253">
        <f t="shared" ref="T37:V37" si="8">($I37-J37)/1000000</f>
        <v>420.48156368908212</v>
      </c>
      <c r="U37" s="253">
        <f t="shared" si="8"/>
        <v>300.1569037278266</v>
      </c>
      <c r="V37" s="253">
        <f t="shared" si="8"/>
        <v>392.04416134021949</v>
      </c>
      <c r="W37" s="253">
        <f>AVERAGE(T37:V37)</f>
        <v>370.8942095857094</v>
      </c>
      <c r="X37" s="254">
        <f>(T37-P37)/T37</f>
        <v>0.5675289991203265</v>
      </c>
      <c r="Y37" s="254">
        <f>(U37-Q37)/U37</f>
        <v>0.79503578969951738</v>
      </c>
      <c r="Z37" s="254">
        <f>(V37-R37)/V37</f>
        <v>0.60869540863261207</v>
      </c>
      <c r="AA37" s="254">
        <f>AVERAGE(X37:Z37)</f>
        <v>0.65708673248415206</v>
      </c>
      <c r="AB37" s="214"/>
      <c r="AC37" s="351">
        <f>P37/$D37</f>
        <v>4.7618894699371916E-3</v>
      </c>
      <c r="AD37" s="351">
        <f>Q37/$D37</f>
        <v>1.6110229638474059E-3</v>
      </c>
      <c r="AE37" s="351">
        <f>R37/$D37</f>
        <v>4.0172170261498401E-3</v>
      </c>
      <c r="AF37" s="351">
        <f>T37/$D37</f>
        <v>1.1010887343315982E-2</v>
      </c>
      <c r="AG37" s="351">
        <f>U37/$D37</f>
        <v>7.8600208372261969E-3</v>
      </c>
      <c r="AH37" s="351">
        <f>V37/$D37</f>
        <v>1.0266214899528631E-2</v>
      </c>
      <c r="AI37" s="214"/>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row>
    <row r="38" spans="1:66" ht="15.6" customHeight="1" x14ac:dyDescent="0.3">
      <c r="A38" s="214"/>
      <c r="B38" s="240">
        <v>2024</v>
      </c>
      <c r="C38" s="255"/>
      <c r="D38" s="256"/>
      <c r="E38" s="256"/>
      <c r="F38" s="256"/>
      <c r="G38" s="257"/>
      <c r="H38" s="256"/>
      <c r="I38" s="249"/>
      <c r="J38" s="249"/>
      <c r="K38" s="249"/>
      <c r="L38" s="249"/>
      <c r="M38" s="214"/>
      <c r="N38" s="240">
        <v>2024</v>
      </c>
      <c r="O38" s="250"/>
      <c r="P38" s="225"/>
      <c r="Q38" s="225"/>
      <c r="R38" s="225"/>
      <c r="S38" s="225"/>
      <c r="T38" s="258"/>
      <c r="U38" s="258"/>
      <c r="V38" s="258"/>
      <c r="W38" s="258"/>
      <c r="X38" s="225"/>
      <c r="Y38" s="225"/>
      <c r="Z38" s="225"/>
      <c r="AA38" s="225"/>
      <c r="AB38" s="214"/>
      <c r="AC38" s="353"/>
      <c r="AD38" s="353"/>
      <c r="AE38" s="353"/>
      <c r="AF38" s="354"/>
      <c r="AG38" s="354"/>
      <c r="AH38" s="354"/>
      <c r="AI38" s="214"/>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row>
    <row r="39" spans="1:66" ht="15.6" customHeight="1" x14ac:dyDescent="0.3">
      <c r="A39" s="214"/>
      <c r="B39" s="232">
        <v>2025</v>
      </c>
      <c r="C39" s="255"/>
      <c r="D39" s="256"/>
      <c r="E39" s="256"/>
      <c r="F39" s="256"/>
      <c r="G39" s="257"/>
      <c r="H39" s="256"/>
      <c r="I39" s="249"/>
      <c r="J39" s="249"/>
      <c r="K39" s="249"/>
      <c r="L39" s="249"/>
      <c r="M39" s="214"/>
      <c r="N39" s="232">
        <v>2025</v>
      </c>
      <c r="O39" s="250"/>
      <c r="P39" s="225"/>
      <c r="Q39" s="225"/>
      <c r="R39" s="225"/>
      <c r="S39" s="225"/>
      <c r="T39" s="258"/>
      <c r="U39" s="258"/>
      <c r="V39" s="258"/>
      <c r="W39" s="258"/>
      <c r="X39" s="225"/>
      <c r="Y39" s="225"/>
      <c r="Z39" s="225"/>
      <c r="AA39" s="225"/>
      <c r="AB39" s="214"/>
      <c r="AC39" s="353"/>
      <c r="AD39" s="353"/>
      <c r="AE39" s="353"/>
      <c r="AF39" s="354"/>
      <c r="AG39" s="354"/>
      <c r="AH39" s="354"/>
      <c r="AI39" s="214"/>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row>
    <row r="40" spans="1:66" ht="15.6" customHeight="1" x14ac:dyDescent="0.3">
      <c r="A40" s="214"/>
      <c r="B40" s="240">
        <v>2026</v>
      </c>
      <c r="C40" s="251"/>
      <c r="D40" s="256"/>
      <c r="E40" s="256"/>
      <c r="F40" s="256"/>
      <c r="G40" s="259"/>
      <c r="H40" s="256"/>
      <c r="I40" s="235"/>
      <c r="J40" s="235"/>
      <c r="K40" s="235"/>
      <c r="L40" s="235"/>
      <c r="M40" s="214"/>
      <c r="N40" s="240">
        <v>2026</v>
      </c>
      <c r="O40" s="252"/>
      <c r="P40" s="225"/>
      <c r="Q40" s="225"/>
      <c r="R40" s="225"/>
      <c r="S40" s="225"/>
      <c r="T40" s="253"/>
      <c r="U40" s="253"/>
      <c r="V40" s="253"/>
      <c r="W40" s="253"/>
      <c r="X40" s="225"/>
      <c r="Y40" s="225"/>
      <c r="Z40" s="225"/>
      <c r="AA40" s="225"/>
      <c r="AB40" s="214"/>
      <c r="AC40" s="353"/>
      <c r="AD40" s="353"/>
      <c r="AE40" s="353"/>
      <c r="AF40" s="351"/>
      <c r="AG40" s="351"/>
      <c r="AH40" s="351"/>
      <c r="AI40" s="214"/>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row>
    <row r="41" spans="1:66" ht="12.6" customHeight="1" x14ac:dyDescent="0.3">
      <c r="A41" s="214"/>
      <c r="B41" s="214"/>
      <c r="C41" s="214"/>
      <c r="D41" s="214"/>
      <c r="E41" s="214"/>
      <c r="F41" s="214"/>
      <c r="G41" s="214"/>
      <c r="H41" s="214"/>
      <c r="I41" s="260"/>
      <c r="J41" s="214"/>
      <c r="K41" s="214"/>
      <c r="L41" s="214"/>
      <c r="M41" s="214"/>
      <c r="N41" s="214"/>
      <c r="O41" s="214"/>
      <c r="P41" s="214"/>
      <c r="Q41" s="214"/>
      <c r="R41" s="214"/>
      <c r="S41" s="214"/>
      <c r="T41" s="260"/>
      <c r="U41" s="214"/>
      <c r="V41" s="214"/>
      <c r="W41" s="214"/>
      <c r="X41" s="413" t="s">
        <v>190</v>
      </c>
      <c r="Y41" s="414"/>
      <c r="Z41" s="414"/>
      <c r="AA41" s="415"/>
      <c r="AB41" s="214"/>
      <c r="AC41" s="214"/>
      <c r="AD41" s="214"/>
      <c r="AE41" s="214"/>
      <c r="AF41" s="260"/>
      <c r="AG41" s="214"/>
      <c r="AH41" s="214"/>
      <c r="AI41" s="214"/>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row>
    <row r="42" spans="1:66" ht="12.6" customHeight="1" x14ac:dyDescent="0.3">
      <c r="A42" s="214"/>
      <c r="B42" s="214"/>
      <c r="C42" s="214"/>
      <c r="D42" s="214"/>
      <c r="E42" s="214"/>
      <c r="F42" s="214"/>
      <c r="G42" s="214"/>
      <c r="H42" s="214"/>
      <c r="I42" s="214"/>
      <c r="J42" s="214"/>
      <c r="K42" s="214"/>
      <c r="L42" s="214"/>
      <c r="M42" s="214"/>
      <c r="N42" s="214"/>
      <c r="O42" s="214"/>
      <c r="P42" s="214"/>
      <c r="Q42" s="214"/>
      <c r="R42" s="214"/>
      <c r="S42" s="214"/>
      <c r="T42" s="214"/>
      <c r="U42" s="214"/>
      <c r="V42" s="214"/>
      <c r="W42" s="416">
        <v>2023</v>
      </c>
      <c r="X42" s="417">
        <f>(($M37-$H37)/1000000)/T37</f>
        <v>0.23194959316395722</v>
      </c>
      <c r="Y42" s="417">
        <f t="shared" ref="Y42:Z42" si="9">(($M37-$H37)/1000000)/U37</f>
        <v>0.32493181539167582</v>
      </c>
      <c r="Z42" s="417">
        <f t="shared" si="9"/>
        <v>0.24877434036312374</v>
      </c>
      <c r="AA42" s="417">
        <f>AVERAGE(X42:Z42)</f>
        <v>0.26855191630625225</v>
      </c>
      <c r="AB42" s="214"/>
      <c r="AC42" s="214"/>
      <c r="AD42" s="214"/>
      <c r="AE42" s="214"/>
      <c r="AF42" s="214"/>
      <c r="AG42" s="214"/>
      <c r="AH42" s="214"/>
      <c r="AI42" s="214"/>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row>
    <row r="43" spans="1:66" ht="12.6" customHeight="1" thickBot="1" x14ac:dyDescent="0.35">
      <c r="A43" s="214"/>
      <c r="B43" s="214"/>
      <c r="C43" s="214"/>
      <c r="D43" s="214"/>
      <c r="E43" s="214"/>
      <c r="F43" s="214"/>
      <c r="G43" s="214"/>
      <c r="H43" s="214"/>
      <c r="I43" s="214"/>
      <c r="J43" s="214"/>
      <c r="K43" s="214"/>
      <c r="L43" s="214"/>
      <c r="M43" s="214"/>
      <c r="N43" s="214"/>
      <c r="O43" s="214"/>
      <c r="P43" s="214"/>
      <c r="Q43" s="214"/>
      <c r="R43" s="214"/>
      <c r="S43" s="214"/>
      <c r="T43" s="214"/>
      <c r="U43" s="214"/>
      <c r="V43" s="214"/>
      <c r="W43" s="214"/>
      <c r="X43" s="214"/>
      <c r="Y43" s="214"/>
      <c r="Z43" s="214"/>
      <c r="AA43" s="214"/>
      <c r="AB43" s="214"/>
      <c r="AC43" s="214"/>
      <c r="AD43" s="214"/>
      <c r="AE43" s="214"/>
      <c r="AF43" s="214"/>
      <c r="AG43" s="214"/>
      <c r="AH43" s="214"/>
      <c r="AI43" s="214"/>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row>
    <row r="44" spans="1:66" ht="18" customHeight="1" thickBot="1" x14ac:dyDescent="0.35">
      <c r="A44" s="214"/>
      <c r="B44" s="216" t="s">
        <v>191</v>
      </c>
      <c r="C44" s="221"/>
      <c r="D44" s="222" t="s">
        <v>160</v>
      </c>
      <c r="E44" s="223"/>
      <c r="F44" s="224" t="s">
        <v>161</v>
      </c>
      <c r="G44" s="222"/>
      <c r="H44" s="222"/>
      <c r="I44" s="222"/>
      <c r="J44" s="223"/>
      <c r="K44" s="214"/>
      <c r="L44" s="214"/>
      <c r="M44" s="214"/>
      <c r="N44" s="214"/>
      <c r="O44" s="214"/>
      <c r="P44" s="214"/>
      <c r="Q44" s="214"/>
      <c r="R44" s="214"/>
      <c r="S44" s="214"/>
      <c r="T44" s="214"/>
      <c r="U44" s="216" t="s">
        <v>192</v>
      </c>
      <c r="V44" s="221"/>
      <c r="W44" s="222" t="s">
        <v>160</v>
      </c>
      <c r="X44" s="223"/>
      <c r="Y44" s="224" t="s">
        <v>161</v>
      </c>
      <c r="Z44" s="222"/>
      <c r="AA44" s="222"/>
      <c r="AB44" s="222"/>
      <c r="AC44" s="223"/>
      <c r="AD44" s="214"/>
      <c r="AE44" s="214"/>
      <c r="AF44" s="214"/>
      <c r="AG44" s="214"/>
      <c r="AH44" s="214"/>
      <c r="AI44" s="214"/>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row>
    <row r="45" spans="1:66" ht="42" customHeight="1" x14ac:dyDescent="0.3">
      <c r="A45" s="214"/>
      <c r="B45" s="227"/>
      <c r="C45" s="231" t="s">
        <v>193</v>
      </c>
      <c r="D45" s="228" t="s">
        <v>194</v>
      </c>
      <c r="E45" s="228" t="s">
        <v>170</v>
      </c>
      <c r="F45" s="229" t="s">
        <v>195</v>
      </c>
      <c r="G45" s="229" t="s">
        <v>196</v>
      </c>
      <c r="H45" s="261" t="s">
        <v>197</v>
      </c>
      <c r="I45" s="261" t="s">
        <v>198</v>
      </c>
      <c r="J45" s="261" t="s">
        <v>199</v>
      </c>
      <c r="K45" s="411" t="s">
        <v>176</v>
      </c>
      <c r="L45" s="214"/>
      <c r="M45" s="214"/>
      <c r="N45" s="214"/>
      <c r="O45" s="214"/>
      <c r="P45" s="214"/>
      <c r="Q45" s="214"/>
      <c r="R45" s="214"/>
      <c r="S45" s="214"/>
      <c r="T45" s="214"/>
      <c r="U45" s="227"/>
      <c r="V45" s="231" t="s">
        <v>193</v>
      </c>
      <c r="W45" s="228" t="s">
        <v>194</v>
      </c>
      <c r="X45" s="228" t="s">
        <v>170</v>
      </c>
      <c r="Y45" s="229" t="s">
        <v>195</v>
      </c>
      <c r="Z45" s="229" t="s">
        <v>196</v>
      </c>
      <c r="AA45" s="261" t="s">
        <v>197</v>
      </c>
      <c r="AB45" s="261" t="s">
        <v>198</v>
      </c>
      <c r="AC45" s="261" t="s">
        <v>199</v>
      </c>
      <c r="AD45" s="214"/>
      <c r="AE45" s="214"/>
      <c r="AF45" s="214"/>
      <c r="AG45" s="214"/>
      <c r="AH45" s="214"/>
      <c r="AI45" s="214"/>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row>
    <row r="46" spans="1:66" ht="15" customHeight="1" x14ac:dyDescent="0.3">
      <c r="A46" s="214"/>
      <c r="B46" s="232">
        <v>2019</v>
      </c>
      <c r="C46" s="262">
        <f>C33/1000000</f>
        <v>1776.2054193215997</v>
      </c>
      <c r="D46" s="263">
        <f>F33/1000000</f>
        <v>1531.6</v>
      </c>
      <c r="E46" s="264"/>
      <c r="F46" s="262">
        <f>H33/1000000</f>
        <v>1531.6</v>
      </c>
      <c r="G46" s="264"/>
      <c r="H46" s="264"/>
      <c r="I46" s="264"/>
      <c r="J46" s="264"/>
      <c r="K46" s="214"/>
      <c r="L46" s="214"/>
      <c r="M46" s="214"/>
      <c r="N46" s="214"/>
      <c r="O46" s="214"/>
      <c r="P46" s="214"/>
      <c r="Q46" s="214"/>
      <c r="R46" s="214"/>
      <c r="S46" s="214"/>
      <c r="T46" s="214"/>
      <c r="U46" s="232">
        <v>2019</v>
      </c>
      <c r="V46" s="355">
        <f>C33/1000000/D33</f>
        <v>6.2384067888269563E-2</v>
      </c>
      <c r="W46" s="355">
        <f>F33/(D33*1000000)</f>
        <v>5.3793011404146517E-2</v>
      </c>
      <c r="X46" s="264"/>
      <c r="Y46" s="355">
        <f>H33/($D33*1000000)</f>
        <v>5.3793011404146517E-2</v>
      </c>
      <c r="Z46" s="355"/>
      <c r="AA46" s="355"/>
      <c r="AB46" s="355"/>
      <c r="AC46" s="355"/>
      <c r="AD46" s="214"/>
      <c r="AE46" s="214"/>
      <c r="AF46" s="214"/>
      <c r="AG46" s="214"/>
      <c r="AH46" s="214"/>
      <c r="AI46" s="214"/>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row>
    <row r="47" spans="1:66" ht="15" customHeight="1" x14ac:dyDescent="0.3">
      <c r="A47" s="214"/>
      <c r="B47" s="240">
        <v>2020</v>
      </c>
      <c r="C47" s="262">
        <f t="shared" ref="C47:C49" si="10">C34/1000000</f>
        <v>1960.9759407803974</v>
      </c>
      <c r="D47" s="263">
        <f>F34/1000000</f>
        <v>1652.4</v>
      </c>
      <c r="E47" s="264"/>
      <c r="F47" s="264"/>
      <c r="G47" s="264"/>
      <c r="H47" s="264"/>
      <c r="I47" s="264"/>
      <c r="J47" s="264"/>
      <c r="K47" s="214"/>
      <c r="L47" s="214"/>
      <c r="M47" s="214"/>
      <c r="N47" s="214"/>
      <c r="O47" s="214"/>
      <c r="P47" s="214"/>
      <c r="Q47" s="214"/>
      <c r="R47" s="214"/>
      <c r="S47" s="214"/>
      <c r="T47" s="214"/>
      <c r="U47" s="240">
        <v>2020</v>
      </c>
      <c r="V47" s="355">
        <f t="shared" ref="V47:V50" si="11">C34/1000000/D34</f>
        <v>7.0388557529456858E-2</v>
      </c>
      <c r="W47" s="355">
        <f t="shared" ref="W47:W50" si="12">F34/(D34*1000000)</f>
        <v>5.9312330173407084E-2</v>
      </c>
      <c r="X47" s="264"/>
      <c r="Y47" s="355"/>
      <c r="Z47" s="355"/>
      <c r="AA47" s="355"/>
      <c r="AB47" s="355"/>
      <c r="AC47" s="355"/>
      <c r="AD47" s="214"/>
      <c r="AE47" s="214"/>
      <c r="AF47" s="214"/>
      <c r="AG47" s="214"/>
      <c r="AH47" s="214"/>
      <c r="AI47" s="214"/>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row>
    <row r="48" spans="1:66" ht="15" customHeight="1" x14ac:dyDescent="0.3">
      <c r="A48" s="214"/>
      <c r="B48" s="232">
        <v>2021</v>
      </c>
      <c r="C48" s="262">
        <f t="shared" si="10"/>
        <v>2220.2232417480036</v>
      </c>
      <c r="D48" s="263">
        <f>F35/1000000</f>
        <v>2146.1999999999998</v>
      </c>
      <c r="E48" s="264"/>
      <c r="F48" s="264"/>
      <c r="G48" s="264"/>
      <c r="H48" s="264"/>
      <c r="I48" s="264"/>
      <c r="J48" s="264"/>
      <c r="K48" s="214"/>
      <c r="L48" s="214"/>
      <c r="M48" s="214"/>
      <c r="N48" s="214"/>
      <c r="O48" s="214"/>
      <c r="P48" s="214"/>
      <c r="Q48" s="214"/>
      <c r="R48" s="214"/>
      <c r="S48" s="214"/>
      <c r="T48" s="214"/>
      <c r="U48" s="232">
        <v>2021</v>
      </c>
      <c r="V48" s="355">
        <f t="shared" si="11"/>
        <v>7.0581419298834686E-2</v>
      </c>
      <c r="W48" s="355">
        <f t="shared" si="12"/>
        <v>6.8228203025158793E-2</v>
      </c>
      <c r="X48" s="264"/>
      <c r="Y48" s="355"/>
      <c r="Z48" s="355"/>
      <c r="AA48" s="355"/>
      <c r="AB48" s="355"/>
      <c r="AC48" s="355"/>
      <c r="AD48" s="214"/>
      <c r="AE48" s="214"/>
      <c r="AF48" s="214"/>
      <c r="AG48" s="214"/>
      <c r="AH48" s="214"/>
      <c r="AI48" s="214"/>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row>
    <row r="49" spans="1:66" ht="15" customHeight="1" x14ac:dyDescent="0.3">
      <c r="A49" s="214"/>
      <c r="B49" s="240">
        <v>2022</v>
      </c>
      <c r="C49" s="262">
        <f t="shared" si="10"/>
        <v>2505.3093022920025</v>
      </c>
      <c r="D49" s="263">
        <f>F36/1000000</f>
        <v>2279.4</v>
      </c>
      <c r="E49" s="264"/>
      <c r="F49" s="264"/>
      <c r="G49" s="264"/>
      <c r="H49" s="264"/>
      <c r="I49" s="264"/>
      <c r="J49" s="264"/>
      <c r="K49" s="214"/>
      <c r="L49" s="214"/>
      <c r="M49" s="214"/>
      <c r="N49" s="214"/>
      <c r="O49" s="214"/>
      <c r="P49" s="214"/>
      <c r="Q49" s="214"/>
      <c r="R49" s="214"/>
      <c r="S49" s="214"/>
      <c r="T49" s="214"/>
      <c r="U49" s="240">
        <v>2022</v>
      </c>
      <c r="V49" s="355">
        <f t="shared" si="11"/>
        <v>6.874634501992169E-2</v>
      </c>
      <c r="W49" s="355">
        <f t="shared" si="12"/>
        <v>6.254733445289605E-2</v>
      </c>
      <c r="X49" s="264"/>
      <c r="Y49" s="355"/>
      <c r="Z49" s="355"/>
      <c r="AA49" s="355"/>
      <c r="AB49" s="355"/>
      <c r="AC49" s="355"/>
      <c r="AD49" s="214"/>
      <c r="AE49" s="214"/>
      <c r="AF49" s="214"/>
      <c r="AG49" s="214"/>
      <c r="AH49" s="214"/>
      <c r="AI49" s="214"/>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row>
    <row r="50" spans="1:66" ht="15" customHeight="1" x14ac:dyDescent="0.3">
      <c r="A50" s="214"/>
      <c r="B50" s="232">
        <v>2023</v>
      </c>
      <c r="C50" s="262">
        <f>C37/1000000</f>
        <v>2657.161837417204</v>
      </c>
      <c r="D50" s="263">
        <f>F37/1000000</f>
        <v>2390.6999999999998</v>
      </c>
      <c r="E50" s="264"/>
      <c r="F50" s="262">
        <f t="shared" ref="F50:K50" si="13">H37/1000000</f>
        <v>2390.6999999999998</v>
      </c>
      <c r="G50" s="262">
        <f t="shared" si="13"/>
        <v>2629.3354809890147</v>
      </c>
      <c r="H50" s="262">
        <f t="shared" si="13"/>
        <v>2208.8539172999326</v>
      </c>
      <c r="I50" s="262">
        <f t="shared" si="13"/>
        <v>2329.1785772611879</v>
      </c>
      <c r="J50" s="262">
        <f t="shared" si="13"/>
        <v>2237.2913196487953</v>
      </c>
      <c r="K50" s="418">
        <f t="shared" si="13"/>
        <v>2488.230527630627</v>
      </c>
      <c r="L50" s="214"/>
      <c r="M50" s="214"/>
      <c r="N50" s="214"/>
      <c r="O50" s="214"/>
      <c r="P50" s="214"/>
      <c r="Q50" s="214"/>
      <c r="R50" s="214"/>
      <c r="S50" s="214"/>
      <c r="T50" s="214"/>
      <c r="U50" s="232">
        <v>2023</v>
      </c>
      <c r="V50" s="355">
        <f t="shared" si="11"/>
        <v>6.9581432745987035E-2</v>
      </c>
      <c r="W50" s="355">
        <f t="shared" si="12"/>
        <v>6.2603763505622217E-2</v>
      </c>
      <c r="X50" s="264"/>
      <c r="Y50" s="355">
        <f>H37/($D37*1000000)</f>
        <v>6.2603763505622217E-2</v>
      </c>
      <c r="Z50" s="355">
        <f t="shared" ref="Z50:AC50" si="14">I37/($D37*1000000)</f>
        <v>6.885276137900101E-2</v>
      </c>
      <c r="AA50" s="355">
        <f t="shared" si="14"/>
        <v>5.7841874035685019E-2</v>
      </c>
      <c r="AB50" s="355">
        <f t="shared" si="14"/>
        <v>6.0992740541774809E-2</v>
      </c>
      <c r="AC50" s="355">
        <f t="shared" si="14"/>
        <v>5.8586546479472375E-2</v>
      </c>
      <c r="AD50" s="214"/>
      <c r="AE50" s="214"/>
      <c r="AF50" s="214"/>
      <c r="AG50" s="214"/>
      <c r="AH50" s="214"/>
      <c r="AI50" s="214"/>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row>
    <row r="51" spans="1:66" ht="15" customHeight="1" x14ac:dyDescent="0.3">
      <c r="A51" s="214"/>
      <c r="B51" s="240">
        <v>2024</v>
      </c>
      <c r="C51" s="264"/>
      <c r="D51" s="264"/>
      <c r="E51" s="264"/>
      <c r="F51" s="264"/>
      <c r="G51" s="264"/>
      <c r="H51" s="264"/>
      <c r="I51" s="264"/>
      <c r="J51" s="264"/>
      <c r="K51" s="214"/>
      <c r="L51" s="214"/>
      <c r="M51" s="214"/>
      <c r="N51" s="214"/>
      <c r="O51" s="214"/>
      <c r="P51" s="214"/>
      <c r="Q51" s="214"/>
      <c r="R51" s="214"/>
      <c r="S51" s="214"/>
      <c r="T51" s="214"/>
      <c r="U51" s="240">
        <v>2024</v>
      </c>
      <c r="V51" s="264"/>
      <c r="W51" s="264"/>
      <c r="X51" s="264"/>
      <c r="Y51" s="355"/>
      <c r="Z51" s="355"/>
      <c r="AA51" s="355"/>
      <c r="AB51" s="355"/>
      <c r="AC51" s="355"/>
      <c r="AD51" s="214"/>
      <c r="AE51" s="214"/>
      <c r="AF51" s="214"/>
      <c r="AG51" s="214"/>
      <c r="AH51" s="214"/>
      <c r="AI51" s="214"/>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row>
    <row r="52" spans="1:66" ht="15" customHeight="1" x14ac:dyDescent="0.3">
      <c r="A52" s="214"/>
      <c r="B52" s="232">
        <v>2025</v>
      </c>
      <c r="C52" s="264"/>
      <c r="D52" s="264"/>
      <c r="E52" s="264"/>
      <c r="F52" s="264"/>
      <c r="G52" s="264"/>
      <c r="H52" s="264"/>
      <c r="I52" s="264"/>
      <c r="J52" s="264"/>
      <c r="K52" s="214"/>
      <c r="L52" s="214"/>
      <c r="M52" s="214"/>
      <c r="N52" s="214"/>
      <c r="O52" s="214"/>
      <c r="P52" s="214"/>
      <c r="Q52" s="214"/>
      <c r="R52" s="214"/>
      <c r="S52" s="214"/>
      <c r="T52" s="214"/>
      <c r="U52" s="232">
        <v>2025</v>
      </c>
      <c r="V52" s="264"/>
      <c r="W52" s="264"/>
      <c r="X52" s="264"/>
      <c r="Y52" s="355"/>
      <c r="Z52" s="355"/>
      <c r="AA52" s="355"/>
      <c r="AB52" s="355"/>
      <c r="AC52" s="355"/>
      <c r="AD52" s="214"/>
      <c r="AE52" s="214"/>
      <c r="AF52" s="214"/>
      <c r="AG52" s="214"/>
      <c r="AH52" s="214"/>
      <c r="AI52" s="214"/>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row>
    <row r="53" spans="1:66" ht="15" customHeight="1" x14ac:dyDescent="0.3">
      <c r="A53" s="214"/>
      <c r="B53" s="240">
        <v>2026</v>
      </c>
      <c r="C53" s="262"/>
      <c r="D53" s="264"/>
      <c r="E53" s="264"/>
      <c r="F53" s="264"/>
      <c r="G53" s="262"/>
      <c r="H53" s="262"/>
      <c r="I53" s="262"/>
      <c r="J53" s="262"/>
      <c r="K53" s="214"/>
      <c r="L53" s="214"/>
      <c r="M53" s="214"/>
      <c r="N53" s="214"/>
      <c r="O53" s="214"/>
      <c r="P53" s="214"/>
      <c r="Q53" s="214"/>
      <c r="R53" s="214"/>
      <c r="S53" s="214"/>
      <c r="T53" s="214"/>
      <c r="U53" s="240">
        <v>2026</v>
      </c>
      <c r="V53" s="262"/>
      <c r="W53" s="264"/>
      <c r="X53" s="264"/>
      <c r="Y53" s="355"/>
      <c r="Z53" s="355"/>
      <c r="AA53" s="355"/>
      <c r="AB53" s="355"/>
      <c r="AC53" s="355"/>
      <c r="AD53" s="214"/>
      <c r="AE53" s="214"/>
      <c r="AF53" s="214"/>
      <c r="AG53" s="214"/>
      <c r="AH53" s="214"/>
      <c r="AI53" s="214"/>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row>
    <row r="54" spans="1:66" ht="12.6" customHeight="1" x14ac:dyDescent="0.3">
      <c r="A54" s="214"/>
      <c r="B54" s="214"/>
      <c r="C54" s="214"/>
      <c r="D54" s="214"/>
      <c r="E54" s="214"/>
      <c r="F54" s="214"/>
      <c r="G54" s="214"/>
      <c r="H54" s="214"/>
      <c r="I54" s="214"/>
      <c r="J54" s="214"/>
      <c r="K54" s="214"/>
      <c r="L54" s="214"/>
      <c r="M54" s="214"/>
      <c r="N54" s="214"/>
      <c r="O54" s="214"/>
      <c r="P54" s="214"/>
      <c r="Q54" s="214"/>
      <c r="R54" s="214"/>
      <c r="S54" s="214"/>
      <c r="T54" s="214"/>
      <c r="U54" s="214"/>
      <c r="V54" s="214"/>
      <c r="W54" s="214"/>
      <c r="X54" s="214"/>
      <c r="Y54" s="214"/>
      <c r="Z54" s="214"/>
      <c r="AA54" s="214"/>
      <c r="AB54" s="214"/>
      <c r="AC54" s="214"/>
      <c r="AD54" s="214"/>
      <c r="AE54" s="214"/>
      <c r="AF54" s="214"/>
      <c r="AG54" s="214"/>
      <c r="AH54" s="214"/>
      <c r="AI54" s="214"/>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row>
    <row r="55" spans="1:66" ht="12.6" customHeight="1" x14ac:dyDescent="0.3">
      <c r="A55" s="214"/>
      <c r="B55" s="214"/>
      <c r="C55" s="214"/>
      <c r="D55" s="214"/>
      <c r="E55" s="214"/>
      <c r="F55" s="214"/>
      <c r="G55" s="214"/>
      <c r="H55" s="214"/>
      <c r="I55" s="214"/>
      <c r="J55" s="214"/>
      <c r="K55" s="214"/>
      <c r="L55" s="214"/>
      <c r="M55" s="214"/>
      <c r="N55" s="214"/>
      <c r="O55" s="214"/>
      <c r="P55" s="214"/>
      <c r="Q55" s="214"/>
      <c r="R55" s="214"/>
      <c r="S55" s="214"/>
      <c r="T55" s="214"/>
      <c r="U55" s="214"/>
      <c r="V55" s="214"/>
      <c r="W55" s="214"/>
      <c r="X55" s="214"/>
      <c r="Y55" s="214"/>
      <c r="Z55" s="214"/>
      <c r="AA55" s="214"/>
      <c r="AB55" s="214"/>
      <c r="AC55" s="214"/>
      <c r="AD55" s="214"/>
      <c r="AE55" s="214"/>
      <c r="AF55" s="214"/>
      <c r="AG55" s="214"/>
      <c r="AH55" s="214"/>
      <c r="AI55" s="214"/>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row>
    <row r="56" spans="1:66" ht="12.6" customHeight="1" x14ac:dyDescent="0.3">
      <c r="A56" s="214"/>
      <c r="B56" s="214"/>
      <c r="C56" s="214"/>
      <c r="D56" s="214"/>
      <c r="E56" s="214"/>
      <c r="F56" s="214"/>
      <c r="G56" s="214"/>
      <c r="H56" s="214"/>
      <c r="I56" s="214"/>
      <c r="J56" s="214"/>
      <c r="K56" s="214"/>
      <c r="L56" s="214"/>
      <c r="M56" s="214"/>
      <c r="N56" s="214"/>
      <c r="O56" s="214"/>
      <c r="P56" s="214"/>
      <c r="Q56" s="214"/>
      <c r="R56" s="214"/>
      <c r="S56" s="214"/>
      <c r="T56" s="214"/>
      <c r="U56" s="214"/>
      <c r="V56" s="214"/>
      <c r="W56" s="214"/>
      <c r="X56" s="214"/>
      <c r="Y56" s="214"/>
      <c r="Z56" s="214"/>
      <c r="AA56" s="214"/>
      <c r="AB56" s="214"/>
      <c r="AC56" s="214"/>
      <c r="AD56" s="214"/>
      <c r="AE56" s="214"/>
      <c r="AF56" s="214"/>
      <c r="AG56" s="214"/>
      <c r="AH56" s="214"/>
      <c r="AI56" s="214"/>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row>
    <row r="57" spans="1:66" ht="12.6" customHeight="1" x14ac:dyDescent="0.3">
      <c r="A57" s="214"/>
      <c r="B57" s="214"/>
      <c r="C57" s="214"/>
      <c r="D57" s="214"/>
      <c r="E57" s="214"/>
      <c r="F57" s="214"/>
      <c r="G57" s="214"/>
      <c r="H57" s="214"/>
      <c r="I57" s="214"/>
      <c r="J57" s="214"/>
      <c r="K57" s="214"/>
      <c r="L57" s="214"/>
      <c r="M57" s="214"/>
      <c r="N57" s="214"/>
      <c r="O57" s="214"/>
      <c r="P57" s="214"/>
      <c r="Q57" s="214"/>
      <c r="R57" s="214"/>
      <c r="S57" s="214"/>
      <c r="T57" s="214"/>
      <c r="U57" s="214"/>
      <c r="V57" s="214"/>
      <c r="W57" s="214"/>
      <c r="X57" s="214"/>
      <c r="Y57" s="214"/>
      <c r="Z57" s="214"/>
      <c r="AA57" s="214"/>
      <c r="AB57" s="214"/>
      <c r="AC57" s="214"/>
      <c r="AD57" s="214"/>
      <c r="AE57" s="214"/>
      <c r="AF57" s="214"/>
      <c r="AG57" s="214"/>
      <c r="AH57" s="214"/>
      <c r="AI57" s="214"/>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row>
    <row r="58" spans="1:66" ht="12.6" customHeight="1" x14ac:dyDescent="0.3">
      <c r="A58" s="214"/>
      <c r="B58" s="214"/>
      <c r="C58" s="214"/>
      <c r="D58" s="214"/>
      <c r="E58" s="214"/>
      <c r="F58" s="214"/>
      <c r="G58" s="214"/>
      <c r="H58" s="214"/>
      <c r="I58" s="214"/>
      <c r="J58" s="214"/>
      <c r="K58" s="214"/>
      <c r="L58" s="214"/>
      <c r="M58" s="214"/>
      <c r="N58" s="214"/>
      <c r="O58" s="214"/>
      <c r="P58" s="214"/>
      <c r="Q58" s="214"/>
      <c r="R58" s="214"/>
      <c r="S58" s="214"/>
      <c r="T58" s="214"/>
      <c r="U58" s="214"/>
      <c r="V58" s="214"/>
      <c r="W58" s="214"/>
      <c r="X58" s="214"/>
      <c r="Y58" s="214"/>
      <c r="Z58" s="214"/>
      <c r="AA58" s="214"/>
      <c r="AB58" s="214"/>
      <c r="AC58" s="214"/>
      <c r="AD58" s="214"/>
      <c r="AE58" s="214"/>
      <c r="AF58" s="214"/>
      <c r="AG58" s="214"/>
      <c r="AH58" s="214"/>
      <c r="AI58" s="214"/>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row>
    <row r="59" spans="1:66" ht="12.6"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row>
    <row r="60" spans="1:66" ht="12" customHeight="1" thickBot="1" x14ac:dyDescent="0.35">
      <c r="A60" s="98"/>
      <c r="B60" s="98"/>
      <c r="C60" s="98"/>
      <c r="D60" s="98"/>
      <c r="E60" s="98"/>
      <c r="F60" s="98"/>
      <c r="G60" s="98"/>
      <c r="H60" s="98"/>
      <c r="I60" s="98"/>
      <c r="J60" s="98"/>
      <c r="K60" s="98"/>
      <c r="L60" s="98"/>
      <c r="M60" s="98"/>
      <c r="N60" s="98"/>
      <c r="O60" s="98"/>
      <c r="P60" s="98"/>
      <c r="Q60" s="98"/>
      <c r="R60" s="98"/>
      <c r="S60" s="98"/>
      <c r="T60" s="265"/>
      <c r="U60" s="265"/>
      <c r="V60" s="265"/>
      <c r="W60" s="265"/>
      <c r="X60" s="55"/>
      <c r="Y60" s="55"/>
      <c r="Z60" s="55"/>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row>
    <row r="61" spans="1:66" ht="12" customHeight="1" thickBot="1" x14ac:dyDescent="0.35">
      <c r="A61" s="98"/>
      <c r="B61" s="266" t="s">
        <v>200</v>
      </c>
      <c r="C61" s="267"/>
      <c r="D61" s="267"/>
      <c r="E61" s="267"/>
      <c r="F61" s="267"/>
      <c r="G61" s="267"/>
      <c r="H61" s="267"/>
      <c r="I61" s="267"/>
      <c r="J61" s="267"/>
      <c r="K61" s="267"/>
      <c r="L61" s="267"/>
      <c r="M61" s="267"/>
      <c r="N61" s="267"/>
      <c r="O61" s="267"/>
      <c r="P61" s="267"/>
      <c r="Q61" s="267"/>
      <c r="R61" s="267"/>
      <c r="S61" s="267"/>
      <c r="T61" s="268"/>
      <c r="U61" s="268"/>
      <c r="V61" s="269"/>
      <c r="W61" s="265"/>
      <c r="X61" s="55"/>
      <c r="Y61" s="55"/>
      <c r="Z61" s="55"/>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row>
    <row r="62" spans="1:66" ht="21.6" customHeight="1" x14ac:dyDescent="0.3">
      <c r="A62" s="98"/>
      <c r="B62" s="270"/>
      <c r="C62" s="98"/>
      <c r="D62" s="98"/>
      <c r="E62" s="98"/>
      <c r="F62" s="98"/>
      <c r="G62" s="98"/>
      <c r="H62" s="98"/>
      <c r="I62" s="98"/>
      <c r="J62" s="98"/>
      <c r="K62" s="98"/>
      <c r="L62" s="98"/>
      <c r="M62" s="98"/>
      <c r="N62" s="98"/>
      <c r="O62" s="98"/>
      <c r="P62" s="98"/>
      <c r="Q62" s="98"/>
      <c r="R62" s="98"/>
      <c r="S62" s="98"/>
      <c r="T62" s="98"/>
      <c r="U62" s="98"/>
      <c r="V62" s="98"/>
      <c r="W62" s="98"/>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row>
    <row r="63" spans="1:66" ht="21" customHeight="1" x14ac:dyDescent="0.3">
      <c r="A63" s="98"/>
      <c r="B63" s="98"/>
      <c r="C63" s="98"/>
      <c r="D63" s="98"/>
      <c r="E63" s="98"/>
      <c r="F63" s="98"/>
      <c r="G63" s="98"/>
      <c r="H63" s="98"/>
      <c r="I63" s="98"/>
      <c r="J63" s="98"/>
      <c r="K63" s="98"/>
      <c r="L63" s="98"/>
      <c r="M63" s="98"/>
      <c r="N63" s="98"/>
      <c r="O63" s="98"/>
      <c r="P63" s="98"/>
      <c r="Q63" s="98"/>
      <c r="R63" s="98"/>
      <c r="S63" s="98"/>
      <c r="T63" s="98"/>
      <c r="U63" s="98"/>
      <c r="V63" s="98"/>
      <c r="W63" s="98"/>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row>
    <row r="64" spans="1:66" ht="42.6" customHeight="1" x14ac:dyDescent="0.3">
      <c r="A64" s="98"/>
      <c r="B64" s="356" t="s">
        <v>201</v>
      </c>
      <c r="C64" s="271" t="s">
        <v>202</v>
      </c>
      <c r="D64" s="272" t="s">
        <v>172</v>
      </c>
      <c r="E64" s="272" t="s">
        <v>173</v>
      </c>
      <c r="F64" s="273" t="s">
        <v>174</v>
      </c>
      <c r="G64" s="272" t="s">
        <v>175</v>
      </c>
      <c r="H64" s="274"/>
      <c r="I64" s="274"/>
      <c r="J64" s="274"/>
      <c r="K64" s="274"/>
      <c r="L64" s="274"/>
      <c r="M64" s="274"/>
      <c r="N64" s="274"/>
      <c r="O64" s="274"/>
      <c r="P64" s="274"/>
      <c r="Q64" s="274"/>
      <c r="R64" s="274"/>
      <c r="S64" s="274"/>
      <c r="T64" s="274"/>
      <c r="U64" s="274"/>
      <c r="V64" s="274"/>
      <c r="W64" s="98"/>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row>
    <row r="65" spans="1:66" ht="15.6" customHeight="1" x14ac:dyDescent="0.3">
      <c r="A65" s="98"/>
      <c r="B65" s="275">
        <v>2019</v>
      </c>
      <c r="C65" s="357">
        <f>C22/P22*100</f>
        <v>12.919237474019168</v>
      </c>
      <c r="D65" s="276"/>
      <c r="E65" s="276"/>
      <c r="F65" s="276"/>
      <c r="G65" s="276"/>
      <c r="H65" s="277"/>
      <c r="I65" s="277"/>
      <c r="J65" s="277"/>
      <c r="K65" s="277"/>
      <c r="L65" s="277"/>
      <c r="M65" s="277"/>
      <c r="N65" s="277"/>
      <c r="O65" s="277"/>
      <c r="P65" s="277"/>
      <c r="Q65" s="277"/>
      <c r="R65" s="277"/>
      <c r="S65" s="277"/>
      <c r="T65" s="277"/>
      <c r="U65" s="277"/>
      <c r="V65" s="277"/>
      <c r="W65" s="278"/>
      <c r="X65" s="44"/>
      <c r="Y65" s="44"/>
      <c r="Z65" s="44"/>
      <c r="AA65" s="46"/>
      <c r="AB65" s="46"/>
      <c r="AC65" s="46"/>
      <c r="AD65" s="46"/>
      <c r="AE65" s="46"/>
      <c r="AF65" s="46"/>
      <c r="AG65" s="44"/>
      <c r="AH65" s="44"/>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row>
    <row r="66" spans="1:66" s="51" customFormat="1" ht="15.6" customHeight="1" x14ac:dyDescent="0.3">
      <c r="A66" s="279"/>
      <c r="B66" s="280">
        <v>2020</v>
      </c>
      <c r="C66" s="357">
        <f>D22/Q22*100</f>
        <v>13.40418702480218</v>
      </c>
      <c r="D66" s="276"/>
      <c r="E66" s="276"/>
      <c r="F66" s="276"/>
      <c r="G66" s="276"/>
      <c r="H66" s="281"/>
      <c r="I66" s="281"/>
      <c r="J66" s="281"/>
      <c r="K66" s="281"/>
      <c r="L66" s="281"/>
      <c r="M66" s="281"/>
      <c r="N66" s="281"/>
      <c r="O66" s="281"/>
      <c r="P66" s="281"/>
      <c r="Q66" s="281"/>
      <c r="R66" s="281"/>
      <c r="S66" s="281"/>
      <c r="T66" s="281"/>
      <c r="U66" s="281"/>
      <c r="V66" s="281"/>
      <c r="W66" s="282"/>
      <c r="X66" s="48"/>
      <c r="Y66" s="48"/>
      <c r="Z66" s="48"/>
      <c r="AA66" s="48"/>
      <c r="AB66" s="48"/>
      <c r="AC66" s="48"/>
      <c r="AD66" s="48"/>
      <c r="AE66" s="48"/>
      <c r="AF66" s="48"/>
      <c r="AG66" s="48"/>
      <c r="AH66" s="48"/>
      <c r="AI66" s="47"/>
      <c r="AJ66" s="47"/>
      <c r="AK66" s="47"/>
      <c r="AL66" s="47"/>
      <c r="AM66" s="47"/>
      <c r="AN66" s="47"/>
      <c r="AO66" s="47"/>
      <c r="AP66" s="47"/>
      <c r="AQ66" s="47"/>
      <c r="AR66" s="47"/>
      <c r="AS66" s="47"/>
      <c r="AT66" s="47"/>
      <c r="AU66" s="47"/>
      <c r="AV66" s="47"/>
      <c r="AW66" s="47"/>
      <c r="AX66" s="47"/>
      <c r="AY66" s="47"/>
      <c r="AZ66" s="47"/>
      <c r="BA66" s="47"/>
      <c r="BB66" s="47"/>
      <c r="BC66" s="47"/>
      <c r="BD66" s="47"/>
      <c r="BE66" s="47"/>
      <c r="BF66" s="47"/>
      <c r="BG66" s="47"/>
      <c r="BH66" s="47"/>
      <c r="BI66" s="47"/>
      <c r="BJ66" s="47"/>
      <c r="BK66" s="47"/>
      <c r="BL66" s="47"/>
      <c r="BM66" s="47"/>
      <c r="BN66" s="47"/>
    </row>
    <row r="67" spans="1:66" ht="15.6" customHeight="1" x14ac:dyDescent="0.3">
      <c r="A67" s="98"/>
      <c r="B67" s="275">
        <v>2021</v>
      </c>
      <c r="C67" s="357">
        <f>E22/R22*100</f>
        <v>14.011155205658484</v>
      </c>
      <c r="D67" s="276"/>
      <c r="E67" s="276"/>
      <c r="F67" s="276"/>
      <c r="G67" s="276"/>
      <c r="H67" s="281"/>
      <c r="I67" s="281"/>
      <c r="J67" s="281"/>
      <c r="K67" s="281"/>
      <c r="L67" s="281"/>
      <c r="M67" s="281"/>
      <c r="N67" s="281"/>
      <c r="O67" s="281"/>
      <c r="P67" s="281"/>
      <c r="Q67" s="281"/>
      <c r="R67" s="281"/>
      <c r="S67" s="281"/>
      <c r="T67" s="281"/>
      <c r="U67" s="281"/>
      <c r="V67" s="281"/>
      <c r="W67" s="283"/>
      <c r="X67" s="52"/>
      <c r="Y67" s="52"/>
      <c r="Z67" s="52"/>
      <c r="AA67" s="43"/>
      <c r="AB67" s="43"/>
      <c r="AC67" s="43"/>
      <c r="AD67" s="43"/>
      <c r="AE67" s="43"/>
      <c r="AF67" s="43"/>
      <c r="AG67" s="43"/>
      <c r="AH67" s="43"/>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row>
    <row r="68" spans="1:66" ht="15.6" customHeight="1" x14ac:dyDescent="0.3">
      <c r="A68" s="98"/>
      <c r="B68" s="280">
        <v>2022</v>
      </c>
      <c r="C68" s="357">
        <f>F22/S22*100</f>
        <v>14.602321547016494</v>
      </c>
      <c r="D68" s="276"/>
      <c r="E68" s="276"/>
      <c r="F68" s="276"/>
      <c r="G68" s="276"/>
      <c r="H68" s="284"/>
      <c r="I68" s="284"/>
      <c r="J68" s="284"/>
      <c r="K68" s="284"/>
      <c r="L68" s="284"/>
      <c r="M68" s="284"/>
      <c r="N68" s="284"/>
      <c r="O68" s="284"/>
      <c r="P68" s="284"/>
      <c r="Q68" s="284"/>
      <c r="R68" s="284"/>
      <c r="S68" s="284"/>
      <c r="T68" s="284"/>
      <c r="U68" s="284"/>
      <c r="V68" s="284"/>
      <c r="W68" s="98"/>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row>
    <row r="69" spans="1:66" ht="15.6" customHeight="1" x14ac:dyDescent="0.3">
      <c r="A69" s="98"/>
      <c r="B69" s="275">
        <v>2023</v>
      </c>
      <c r="C69" s="357">
        <f>G22/$T22*100</f>
        <v>14.00068594969372</v>
      </c>
      <c r="D69" s="357">
        <f>H22/$T22*100</f>
        <v>15.398209865610104</v>
      </c>
      <c r="E69" s="357">
        <f>I22/$T22*100</f>
        <v>12.935738488671561</v>
      </c>
      <c r="F69" s="357">
        <f>J22/$T22*100</f>
        <v>13.640397281544454</v>
      </c>
      <c r="G69" s="357">
        <f>K22/$T22*100</f>
        <v>13.102276799422183</v>
      </c>
      <c r="H69" s="277"/>
      <c r="I69" s="277"/>
      <c r="J69" s="277"/>
      <c r="K69" s="277"/>
      <c r="L69" s="277"/>
      <c r="M69" s="277"/>
      <c r="N69" s="277"/>
      <c r="O69" s="277"/>
      <c r="P69" s="277"/>
      <c r="Q69" s="277"/>
      <c r="R69" s="277"/>
      <c r="S69" s="277"/>
      <c r="T69" s="277"/>
      <c r="U69" s="277"/>
      <c r="V69" s="277"/>
      <c r="W69" s="98"/>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row>
    <row r="70" spans="1:66" ht="15.6" customHeight="1" x14ac:dyDescent="0.3">
      <c r="A70" s="98"/>
      <c r="B70" s="280">
        <v>2024</v>
      </c>
      <c r="C70" s="276"/>
      <c r="D70" s="358"/>
      <c r="E70" s="357"/>
      <c r="F70" s="357"/>
      <c r="G70" s="357"/>
      <c r="H70" s="284"/>
      <c r="I70" s="284"/>
      <c r="J70" s="284"/>
      <c r="K70" s="284"/>
      <c r="L70" s="284"/>
      <c r="M70" s="284"/>
      <c r="N70" s="284"/>
      <c r="O70" s="284"/>
      <c r="P70" s="284"/>
      <c r="Q70" s="284"/>
      <c r="R70" s="284"/>
      <c r="S70" s="284"/>
      <c r="T70" s="284"/>
      <c r="U70" s="284"/>
      <c r="V70" s="284"/>
      <c r="W70" s="98"/>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row>
    <row r="71" spans="1:66" ht="15.6" customHeight="1" x14ac:dyDescent="0.3">
      <c r="A71" s="98"/>
      <c r="B71" s="275">
        <v>2025</v>
      </c>
      <c r="C71" s="276"/>
      <c r="D71" s="358"/>
      <c r="E71" s="357"/>
      <c r="F71" s="357"/>
      <c r="G71" s="357"/>
      <c r="H71" s="284"/>
      <c r="I71" s="284"/>
      <c r="J71" s="284"/>
      <c r="K71" s="284"/>
      <c r="L71" s="284"/>
      <c r="M71" s="284"/>
      <c r="N71" s="284"/>
      <c r="O71" s="284"/>
      <c r="P71" s="284"/>
      <c r="Q71" s="284"/>
      <c r="R71" s="284"/>
      <c r="S71" s="284"/>
      <c r="T71" s="284"/>
      <c r="U71" s="284"/>
      <c r="V71" s="284"/>
      <c r="W71" s="98"/>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row>
    <row r="72" spans="1:66" ht="15.6" customHeight="1" x14ac:dyDescent="0.3">
      <c r="A72" s="98"/>
      <c r="B72" s="280">
        <v>2026</v>
      </c>
      <c r="C72" s="276"/>
      <c r="D72" s="357"/>
      <c r="E72" s="357"/>
      <c r="F72" s="357"/>
      <c r="G72" s="357"/>
      <c r="H72" s="277"/>
      <c r="I72" s="277"/>
      <c r="J72" s="277"/>
      <c r="K72" s="277"/>
      <c r="L72" s="277"/>
      <c r="M72" s="277"/>
      <c r="N72" s="277"/>
      <c r="O72" s="277"/>
      <c r="P72" s="277"/>
      <c r="Q72" s="277"/>
      <c r="R72" s="277"/>
      <c r="S72" s="277"/>
      <c r="T72" s="277"/>
      <c r="U72" s="277"/>
      <c r="V72" s="277"/>
      <c r="W72" s="98"/>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row>
    <row r="73" spans="1:66" ht="12.6" customHeight="1" x14ac:dyDescent="0.3">
      <c r="A73" s="98"/>
      <c r="B73" s="98"/>
      <c r="C73" s="98"/>
      <c r="D73" s="98"/>
      <c r="E73" s="98"/>
      <c r="F73" s="98"/>
      <c r="G73" s="98"/>
      <c r="H73" s="98"/>
      <c r="I73" s="98"/>
      <c r="J73" s="98"/>
      <c r="K73" s="98"/>
      <c r="L73" s="98"/>
      <c r="M73" s="98"/>
      <c r="N73" s="98"/>
      <c r="O73" s="98"/>
      <c r="P73" s="98"/>
      <c r="Q73" s="98"/>
      <c r="R73" s="98"/>
      <c r="S73" s="98"/>
      <c r="T73" s="98"/>
      <c r="U73" s="98"/>
      <c r="V73" s="98"/>
      <c r="W73" s="98"/>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row>
    <row r="74" spans="1:66" ht="12.6" customHeight="1" x14ac:dyDescent="0.3">
      <c r="A74" s="98"/>
      <c r="B74" s="98"/>
      <c r="C74" s="285"/>
      <c r="D74" s="98"/>
      <c r="E74" s="98"/>
      <c r="F74" s="98"/>
      <c r="G74" s="98"/>
      <c r="H74" s="98"/>
      <c r="I74" s="98"/>
      <c r="J74" s="98"/>
      <c r="K74" s="98"/>
      <c r="L74" s="98"/>
      <c r="M74" s="98"/>
      <c r="N74" s="98"/>
      <c r="O74" s="98"/>
      <c r="P74" s="98"/>
      <c r="Q74" s="98"/>
      <c r="R74" s="98"/>
      <c r="S74" s="98"/>
      <c r="T74" s="98"/>
      <c r="U74" s="98"/>
      <c r="V74" s="98"/>
      <c r="W74" s="98"/>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row>
    <row r="75" spans="1:66" ht="12.6" customHeight="1" x14ac:dyDescent="0.3">
      <c r="A75" s="98"/>
      <c r="B75" s="98"/>
      <c r="C75" s="98"/>
      <c r="D75" s="98"/>
      <c r="E75" s="98"/>
      <c r="F75" s="98"/>
      <c r="G75" s="98"/>
      <c r="H75" s="98"/>
      <c r="I75" s="98"/>
      <c r="J75" s="98"/>
      <c r="K75" s="98"/>
      <c r="L75" s="98"/>
      <c r="M75" s="98"/>
      <c r="N75" s="98"/>
      <c r="O75" s="98"/>
      <c r="P75" s="98"/>
      <c r="Q75" s="98"/>
      <c r="R75" s="98"/>
      <c r="S75" s="98"/>
      <c r="T75" s="98"/>
      <c r="U75" s="98"/>
      <c r="V75" s="98"/>
      <c r="W75" s="98"/>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row>
    <row r="76" spans="1:66" ht="18" customHeight="1" x14ac:dyDescent="0.3">
      <c r="A76" s="98"/>
      <c r="B76" s="98"/>
      <c r="C76" s="98"/>
      <c r="D76" s="98"/>
      <c r="E76" s="98"/>
      <c r="F76" s="98"/>
      <c r="G76" s="98"/>
      <c r="H76" s="98"/>
      <c r="I76" s="98"/>
      <c r="J76" s="98"/>
      <c r="K76" s="98"/>
      <c r="L76" s="98"/>
      <c r="M76" s="98"/>
      <c r="N76" s="98"/>
      <c r="O76" s="98"/>
      <c r="P76" s="98"/>
      <c r="Q76" s="98"/>
      <c r="R76" s="98"/>
      <c r="S76" s="98"/>
      <c r="T76" s="98"/>
      <c r="U76" s="98"/>
      <c r="V76" s="98"/>
      <c r="W76" s="98"/>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row>
    <row r="77" spans="1:66" ht="42" customHeight="1" x14ac:dyDescent="0.3">
      <c r="A77" s="98"/>
      <c r="B77" s="356" t="s">
        <v>203</v>
      </c>
      <c r="C77" s="271" t="s">
        <v>202</v>
      </c>
      <c r="D77" s="272" t="s">
        <v>172</v>
      </c>
      <c r="E77" s="272" t="s">
        <v>173</v>
      </c>
      <c r="F77" s="273" t="s">
        <v>174</v>
      </c>
      <c r="G77" s="272" t="s">
        <v>175</v>
      </c>
      <c r="H77" s="98"/>
      <c r="I77" s="98"/>
      <c r="J77" s="98"/>
      <c r="K77" s="98"/>
      <c r="L77" s="98"/>
      <c r="M77" s="98"/>
      <c r="N77" s="98"/>
      <c r="O77" s="98"/>
      <c r="P77" s="98"/>
      <c r="Q77" s="98"/>
      <c r="R77" s="98"/>
      <c r="S77" s="98"/>
      <c r="T77" s="98"/>
      <c r="U77" s="98"/>
      <c r="V77" s="98"/>
      <c r="W77" s="98"/>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row>
    <row r="78" spans="1:66" ht="15.6" customHeight="1" x14ac:dyDescent="0.3">
      <c r="A78" s="98"/>
      <c r="B78" s="275">
        <v>2019</v>
      </c>
      <c r="C78" s="357">
        <f>C65</f>
        <v>12.919237474019168</v>
      </c>
      <c r="D78" s="276"/>
      <c r="E78" s="276"/>
      <c r="F78" s="276"/>
      <c r="G78" s="276"/>
      <c r="H78" s="98"/>
      <c r="I78" s="98"/>
      <c r="J78" s="98"/>
      <c r="K78" s="98"/>
      <c r="L78" s="98"/>
      <c r="M78" s="98"/>
      <c r="N78" s="98"/>
      <c r="O78" s="98"/>
      <c r="P78" s="98"/>
      <c r="Q78" s="98"/>
      <c r="R78" s="98"/>
      <c r="S78" s="98"/>
      <c r="T78" s="98"/>
      <c r="U78" s="98"/>
      <c r="V78" s="98"/>
      <c r="W78" s="98"/>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row>
    <row r="79" spans="1:66" s="1" customFormat="1" ht="15" customHeight="1" x14ac:dyDescent="0.3">
      <c r="A79" s="98"/>
      <c r="B79" s="280">
        <v>2020</v>
      </c>
      <c r="C79" s="357">
        <f>C66</f>
        <v>13.40418702480218</v>
      </c>
      <c r="D79" s="276"/>
      <c r="E79" s="276"/>
      <c r="F79" s="276"/>
      <c r="G79" s="276"/>
      <c r="H79" s="98"/>
      <c r="I79" s="98"/>
      <c r="J79" s="98"/>
      <c r="K79" s="98"/>
      <c r="L79" s="98"/>
      <c r="M79" s="98"/>
      <c r="N79" s="98"/>
      <c r="O79" s="98"/>
      <c r="P79" s="98"/>
      <c r="Q79" s="98"/>
      <c r="R79" s="98"/>
      <c r="S79" s="98"/>
      <c r="T79" s="98"/>
      <c r="U79" s="98"/>
      <c r="V79" s="98"/>
      <c r="W79" s="98"/>
    </row>
    <row r="80" spans="1:66" s="1" customFormat="1" ht="15" customHeight="1" x14ac:dyDescent="0.3">
      <c r="A80" s="98"/>
      <c r="B80" s="275">
        <v>2021</v>
      </c>
      <c r="C80" s="357">
        <f>C67</f>
        <v>14.011155205658484</v>
      </c>
      <c r="D80" s="276"/>
      <c r="E80" s="276"/>
      <c r="F80" s="276"/>
      <c r="G80" s="276"/>
      <c r="H80" s="98"/>
      <c r="I80" s="98"/>
      <c r="J80" s="98"/>
      <c r="K80" s="98"/>
      <c r="L80" s="98"/>
      <c r="M80" s="98"/>
      <c r="N80" s="98"/>
      <c r="O80" s="98"/>
      <c r="P80" s="98"/>
      <c r="Q80" s="98"/>
      <c r="R80" s="98"/>
      <c r="S80" s="98"/>
      <c r="T80" s="98"/>
      <c r="U80" s="98"/>
      <c r="V80" s="98"/>
      <c r="W80" s="98"/>
    </row>
    <row r="81" spans="1:23" s="1" customFormat="1" ht="15" customHeight="1" x14ac:dyDescent="0.3">
      <c r="A81" s="98"/>
      <c r="B81" s="280">
        <v>2022</v>
      </c>
      <c r="C81" s="357">
        <f>C68</f>
        <v>14.602321547016494</v>
      </c>
      <c r="D81" s="276"/>
      <c r="E81" s="276"/>
      <c r="F81" s="276"/>
      <c r="G81" s="276"/>
      <c r="H81" s="98"/>
      <c r="I81" s="98"/>
      <c r="J81" s="98"/>
      <c r="K81" s="98"/>
      <c r="L81" s="98"/>
      <c r="M81" s="98"/>
      <c r="N81" s="98"/>
      <c r="O81" s="98"/>
      <c r="P81" s="98"/>
      <c r="Q81" s="98"/>
      <c r="R81" s="98"/>
      <c r="S81" s="98"/>
      <c r="T81" s="98"/>
      <c r="U81" s="98"/>
      <c r="V81" s="98"/>
      <c r="W81" s="98"/>
    </row>
    <row r="82" spans="1:23" s="1" customFormat="1" ht="15" customHeight="1" x14ac:dyDescent="0.3">
      <c r="A82" s="98"/>
      <c r="B82" s="275">
        <v>2023</v>
      </c>
      <c r="C82" s="357">
        <f>C69</f>
        <v>14.00068594969372</v>
      </c>
      <c r="D82" s="357">
        <f>D69</f>
        <v>15.398209865610104</v>
      </c>
      <c r="E82" s="357">
        <f>E69</f>
        <v>12.935738488671561</v>
      </c>
      <c r="F82" s="357">
        <f>F69</f>
        <v>13.640397281544454</v>
      </c>
      <c r="G82" s="357">
        <f>G69</f>
        <v>13.102276799422183</v>
      </c>
      <c r="H82" s="98"/>
      <c r="I82" s="98"/>
      <c r="J82" s="98"/>
      <c r="K82" s="98"/>
      <c r="L82" s="98"/>
      <c r="M82" s="98"/>
      <c r="N82" s="98"/>
      <c r="O82" s="98"/>
      <c r="P82" s="98"/>
      <c r="Q82" s="98"/>
      <c r="R82" s="98"/>
      <c r="S82" s="98"/>
      <c r="T82" s="98"/>
      <c r="U82" s="98"/>
      <c r="V82" s="98"/>
      <c r="W82" s="98"/>
    </row>
    <row r="83" spans="1:23" s="1" customFormat="1" ht="15" customHeight="1" x14ac:dyDescent="0.3">
      <c r="A83" s="98"/>
      <c r="B83" s="280">
        <v>2024</v>
      </c>
      <c r="C83" s="357"/>
      <c r="D83" s="358"/>
      <c r="E83" s="358"/>
      <c r="F83" s="358"/>
      <c r="G83" s="358"/>
      <c r="H83" s="98"/>
      <c r="I83" s="98"/>
      <c r="J83" s="98"/>
      <c r="K83" s="98"/>
      <c r="L83" s="98"/>
      <c r="M83" s="98"/>
      <c r="N83" s="98"/>
      <c r="O83" s="98"/>
      <c r="P83" s="98"/>
      <c r="Q83" s="98"/>
      <c r="R83" s="98"/>
      <c r="S83" s="98"/>
      <c r="T83" s="98"/>
      <c r="U83" s="98"/>
      <c r="V83" s="98"/>
      <c r="W83" s="98"/>
    </row>
    <row r="84" spans="1:23" s="1" customFormat="1" ht="15" customHeight="1" x14ac:dyDescent="0.3">
      <c r="A84" s="98"/>
      <c r="B84" s="275">
        <v>2025</v>
      </c>
      <c r="C84" s="357"/>
      <c r="D84" s="358"/>
      <c r="E84" s="358"/>
      <c r="F84" s="358"/>
      <c r="G84" s="358"/>
      <c r="H84" s="98"/>
      <c r="I84" s="98"/>
      <c r="J84" s="98"/>
      <c r="K84" s="98"/>
      <c r="L84" s="98"/>
      <c r="M84" s="98"/>
      <c r="N84" s="98"/>
      <c r="O84" s="98"/>
      <c r="P84" s="98"/>
      <c r="Q84" s="98"/>
      <c r="R84" s="98"/>
      <c r="S84" s="98"/>
      <c r="T84" s="98"/>
      <c r="U84" s="98"/>
      <c r="V84" s="98"/>
      <c r="W84" s="98"/>
    </row>
    <row r="85" spans="1:23" s="1" customFormat="1" ht="15" customHeight="1" x14ac:dyDescent="0.3">
      <c r="A85" s="98"/>
      <c r="B85" s="280">
        <v>2026</v>
      </c>
      <c r="C85" s="357"/>
      <c r="D85" s="357"/>
      <c r="E85" s="357"/>
      <c r="F85" s="357"/>
      <c r="G85" s="357"/>
      <c r="H85" s="98"/>
      <c r="I85" s="98"/>
      <c r="J85" s="98"/>
      <c r="K85" s="98"/>
      <c r="L85" s="98"/>
      <c r="M85" s="98"/>
      <c r="N85" s="98"/>
      <c r="O85" s="98"/>
      <c r="P85" s="98"/>
      <c r="Q85" s="98"/>
      <c r="R85" s="98"/>
      <c r="S85" s="98"/>
      <c r="T85" s="98"/>
      <c r="U85" s="98"/>
      <c r="V85" s="98"/>
      <c r="W85" s="98"/>
    </row>
    <row r="86" spans="1:23" s="1" customFormat="1" ht="12.6" customHeight="1" x14ac:dyDescent="0.3">
      <c r="A86" s="98"/>
      <c r="B86" s="98"/>
      <c r="C86" s="98"/>
      <c r="D86" s="285"/>
      <c r="E86" s="98"/>
      <c r="F86" s="98"/>
      <c r="G86" s="98"/>
      <c r="H86" s="98"/>
      <c r="I86" s="98"/>
      <c r="J86" s="98"/>
      <c r="K86" s="98"/>
      <c r="L86" s="98"/>
      <c r="M86" s="98"/>
      <c r="N86" s="98"/>
      <c r="O86" s="98"/>
      <c r="P86" s="98"/>
      <c r="Q86" s="98"/>
      <c r="R86" s="98"/>
      <c r="S86" s="98"/>
      <c r="T86" s="98"/>
      <c r="U86" s="98"/>
      <c r="V86" s="98"/>
      <c r="W86" s="98"/>
    </row>
    <row r="87" spans="1:23" s="1" customFormat="1" ht="12.6" customHeight="1" x14ac:dyDescent="0.3">
      <c r="A87" s="98"/>
      <c r="B87" s="98"/>
      <c r="C87" s="98"/>
      <c r="D87" s="98"/>
      <c r="E87" s="98"/>
      <c r="F87" s="98"/>
      <c r="G87" s="98"/>
      <c r="H87" s="98"/>
      <c r="I87" s="98"/>
      <c r="J87" s="98"/>
      <c r="K87" s="98"/>
      <c r="L87" s="98"/>
      <c r="M87" s="98"/>
      <c r="N87" s="98"/>
      <c r="O87" s="98"/>
      <c r="P87" s="98"/>
      <c r="Q87" s="98"/>
      <c r="R87" s="98"/>
      <c r="S87" s="98"/>
      <c r="T87" s="98"/>
      <c r="U87" s="98"/>
      <c r="V87" s="98"/>
      <c r="W87" s="98"/>
    </row>
    <row r="88" spans="1:23" s="1" customFormat="1" ht="12.6" customHeight="1" x14ac:dyDescent="0.3">
      <c r="A88" s="98"/>
      <c r="B88" s="98"/>
      <c r="C88" s="98"/>
      <c r="D88" s="98"/>
      <c r="E88" s="98"/>
      <c r="F88" s="98"/>
      <c r="G88" s="98"/>
      <c r="H88" s="98"/>
      <c r="I88" s="98"/>
      <c r="J88" s="98"/>
      <c r="K88" s="98"/>
      <c r="L88" s="98"/>
      <c r="M88" s="98"/>
      <c r="N88" s="98"/>
      <c r="O88" s="98"/>
      <c r="P88" s="98"/>
      <c r="Q88" s="98"/>
      <c r="R88" s="98"/>
      <c r="S88" s="98"/>
      <c r="T88" s="98"/>
      <c r="U88" s="98"/>
      <c r="V88" s="98"/>
      <c r="W88" s="98"/>
    </row>
    <row r="89" spans="1:23" s="1" customFormat="1" ht="12.6" customHeight="1" x14ac:dyDescent="0.3"/>
    <row r="90" spans="1:23" s="1" customFormat="1" ht="12.6" customHeight="1" x14ac:dyDescent="0.3"/>
    <row r="91" spans="1:23" s="1" customFormat="1" x14ac:dyDescent="0.3"/>
    <row r="92" spans="1:23" s="1" customFormat="1" x14ac:dyDescent="0.3"/>
    <row r="93" spans="1:23" s="1" customFormat="1" x14ac:dyDescent="0.3"/>
    <row r="94" spans="1:23" s="1" customFormat="1" x14ac:dyDescent="0.3"/>
    <row r="95" spans="1:23" s="1" customFormat="1" x14ac:dyDescent="0.3"/>
    <row r="96" spans="1:23" s="1" customFormat="1" x14ac:dyDescent="0.3"/>
    <row r="97" s="1" customFormat="1" x14ac:dyDescent="0.3"/>
    <row r="98" s="1" customFormat="1" x14ac:dyDescent="0.3"/>
    <row r="99" s="1" customFormat="1" x14ac:dyDescent="0.3"/>
    <row r="100" s="1" customFormat="1" x14ac:dyDescent="0.3"/>
    <row r="101" s="1" customFormat="1" x14ac:dyDescent="0.3"/>
    <row r="102" s="1" customFormat="1" x14ac:dyDescent="0.3"/>
    <row r="103" s="1" customFormat="1" x14ac:dyDescent="0.3"/>
    <row r="104" s="1" customFormat="1" x14ac:dyDescent="0.3"/>
    <row r="105" s="1" customFormat="1" x14ac:dyDescent="0.3"/>
    <row r="106" s="1" customFormat="1" x14ac:dyDescent="0.3"/>
    <row r="107" s="1" customFormat="1" x14ac:dyDescent="0.3"/>
    <row r="108" s="1" customFormat="1" x14ac:dyDescent="0.3"/>
    <row r="109" s="1" customFormat="1" x14ac:dyDescent="0.3"/>
    <row r="110" s="1" customFormat="1" x14ac:dyDescent="0.3"/>
    <row r="111" s="1" customFormat="1" x14ac:dyDescent="0.3"/>
    <row r="112" s="1" customFormat="1" x14ac:dyDescent="0.3"/>
    <row r="113" s="1" customFormat="1" x14ac:dyDescent="0.3"/>
    <row r="114" s="1" customFormat="1" x14ac:dyDescent="0.3"/>
    <row r="115" s="1" customFormat="1" x14ac:dyDescent="0.3"/>
    <row r="116" s="1" customFormat="1" x14ac:dyDescent="0.3"/>
    <row r="117" s="1" customFormat="1" x14ac:dyDescent="0.3"/>
    <row r="118" s="1" customFormat="1" x14ac:dyDescent="0.3"/>
    <row r="119" s="1" customFormat="1" x14ac:dyDescent="0.3"/>
    <row r="120" s="1" customFormat="1" x14ac:dyDescent="0.3"/>
    <row r="121" s="1" customFormat="1" x14ac:dyDescent="0.3"/>
  </sheetData>
  <pageMargins left="0.7" right="0.7" top="0.75" bottom="0.75" header="0.3" footer="0.3"/>
  <pageSetup paperSize="9" orientation="portrait" r:id="rId1"/>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0BD79B-985F-4961-B671-52E7FC64A0B5}">
  <dimension ref="A1:FQ27"/>
  <sheetViews>
    <sheetView zoomScale="85" zoomScaleNormal="85" workbookViewId="0">
      <selection activeCell="D8" sqref="D8"/>
    </sheetView>
  </sheetViews>
  <sheetFormatPr baseColWidth="10" defaultColWidth="8.6640625" defaultRowHeight="14.4" x14ac:dyDescent="0.3"/>
  <cols>
    <col min="1" max="1" width="4.33203125" customWidth="1"/>
    <col min="3" max="3" width="15.6640625" customWidth="1"/>
    <col min="4" max="7" width="14.5546875" customWidth="1"/>
    <col min="8" max="15" width="18" customWidth="1"/>
    <col min="16" max="17" width="18.6640625" customWidth="1"/>
    <col min="18" max="18" width="15.33203125" customWidth="1"/>
    <col min="19" max="22" width="18" customWidth="1"/>
    <col min="23" max="31" width="14.6640625" customWidth="1"/>
    <col min="32" max="32" width="15.33203125" customWidth="1"/>
    <col min="33" max="33" width="14.6640625" customWidth="1"/>
    <col min="34" max="41" width="13.5546875" customWidth="1"/>
    <col min="42" max="42" width="15.5546875" customWidth="1"/>
    <col min="43" max="43" width="13" customWidth="1"/>
    <col min="44" max="44" width="11.33203125" customWidth="1"/>
    <col min="45" max="45" width="12.33203125" customWidth="1"/>
    <col min="46" max="50" width="11.33203125" customWidth="1"/>
    <col min="51" max="51" width="13.44140625" customWidth="1"/>
    <col min="56" max="56" width="9.6640625" customWidth="1"/>
    <col min="60" max="60" width="16.44140625" customWidth="1"/>
    <col min="61" max="61" width="16.33203125" customWidth="1"/>
    <col min="62" max="63" width="15.33203125" customWidth="1"/>
    <col min="68" max="68" width="11.44140625" bestFit="1" customWidth="1"/>
    <col min="69" max="69" width="13.5546875" customWidth="1"/>
    <col min="70" max="70" width="13.6640625" customWidth="1"/>
    <col min="71" max="71" width="12.44140625" customWidth="1"/>
    <col min="72" max="77" width="12.6640625" customWidth="1"/>
    <col min="78" max="80" width="11.33203125" customWidth="1"/>
    <col min="81" max="85" width="11.6640625" hidden="1" customWidth="1"/>
    <col min="86" max="86" width="13.33203125" hidden="1" customWidth="1"/>
    <col min="87" max="88" width="11.6640625" hidden="1" customWidth="1"/>
    <col min="89" max="94" width="12.6640625" customWidth="1"/>
    <col min="95" max="96" width="11.33203125" customWidth="1"/>
    <col min="97" max="104" width="11.6640625" customWidth="1"/>
    <col min="105" max="108" width="13.44140625" customWidth="1"/>
    <col min="110" max="130" width="0.5546875" customWidth="1"/>
    <col min="131" max="132" width="15.5546875" customWidth="1"/>
    <col min="133" max="133" width="15.33203125" customWidth="1"/>
    <col min="134" max="134" width="14.5546875" customWidth="1"/>
    <col min="135" max="135" width="16.5546875" customWidth="1"/>
    <col min="136" max="138" width="18" customWidth="1"/>
    <col min="139" max="142" width="15.33203125" customWidth="1"/>
    <col min="143" max="143" width="11" customWidth="1"/>
    <col min="144" max="145" width="16" customWidth="1"/>
    <col min="146" max="146" width="9.33203125" customWidth="1"/>
    <col min="147" max="150" width="17" customWidth="1"/>
    <col min="153" max="153" width="10.6640625" customWidth="1"/>
    <col min="156" max="157" width="11.33203125" customWidth="1"/>
    <col min="158" max="161" width="9.6640625" customWidth="1"/>
    <col min="162" max="165" width="11.5546875" customWidth="1"/>
  </cols>
  <sheetData>
    <row r="1" spans="1:173" ht="15" thickBot="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ht="18" customHeight="1" thickBot="1" x14ac:dyDescent="0.35">
      <c r="A2" s="1"/>
      <c r="B2" s="2" t="s">
        <v>579</v>
      </c>
      <c r="C2" s="3"/>
      <c r="D2" s="3"/>
      <c r="E2" s="3"/>
      <c r="F2" s="3"/>
      <c r="G2" s="3"/>
      <c r="H2" s="4"/>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18" customHeight="1" x14ac:dyDescent="0.3">
      <c r="A3" s="1"/>
      <c r="B3" s="5" t="s">
        <v>0</v>
      </c>
      <c r="C3" s="6"/>
      <c r="D3" s="6"/>
      <c r="E3" s="6"/>
      <c r="F3" s="6"/>
      <c r="G3" s="6"/>
      <c r="H3" s="7"/>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18" customHeight="1" x14ac:dyDescent="0.3">
      <c r="A4" s="1"/>
      <c r="B4" s="8" t="s">
        <v>1</v>
      </c>
      <c r="C4" s="9"/>
      <c r="D4" s="9"/>
      <c r="E4" s="9"/>
      <c r="F4" s="9"/>
      <c r="G4" s="9"/>
      <c r="H4" s="10"/>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12.6" customHeight="1" x14ac:dyDescent="0.3">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row>
    <row r="6" spans="1:173" ht="12.6" customHeight="1" x14ac:dyDescent="0.3">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row>
    <row r="7" spans="1:173" ht="12.6" customHeight="1" x14ac:dyDescent="0.3">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c r="EU7" s="1"/>
      <c r="EV7" s="1"/>
      <c r="EW7" s="1"/>
      <c r="EX7" s="1"/>
      <c r="EY7" s="1"/>
      <c r="EZ7" s="1"/>
      <c r="FA7" s="1"/>
      <c r="FB7" s="1"/>
      <c r="FC7" s="1"/>
      <c r="FD7" s="1"/>
      <c r="FE7" s="1"/>
      <c r="FF7" s="1"/>
      <c r="FG7" s="1"/>
      <c r="FH7" s="1"/>
      <c r="FI7" s="1"/>
      <c r="FJ7" s="1"/>
      <c r="FK7" s="1"/>
      <c r="FL7" s="1"/>
      <c r="FM7" s="1"/>
      <c r="FN7" s="1"/>
      <c r="FO7" s="1"/>
      <c r="FP7" s="1"/>
      <c r="FQ7" s="1"/>
    </row>
    <row r="8" spans="1:173" ht="17.7" customHeight="1" x14ac:dyDescent="0.3">
      <c r="A8" s="1"/>
      <c r="B8" s="11" t="s">
        <v>2</v>
      </c>
      <c r="C8" s="12" t="s">
        <v>217</v>
      </c>
      <c r="D8" s="12" t="s">
        <v>658</v>
      </c>
      <c r="E8" s="124" t="s">
        <v>519</v>
      </c>
      <c r="F8" s="125"/>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56"/>
      <c r="CD8" s="56"/>
      <c r="CE8" s="56"/>
      <c r="CF8" s="56"/>
      <c r="CG8" s="56"/>
      <c r="CH8" s="56"/>
      <c r="CI8" s="56"/>
      <c r="CJ8" s="56"/>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row>
    <row r="9" spans="1:173" ht="10.35" customHeight="1" x14ac:dyDescent="0.3">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56"/>
      <c r="CD9" s="56"/>
      <c r="CE9" s="56"/>
      <c r="CF9" s="56"/>
      <c r="CG9" s="56"/>
      <c r="CH9" s="56"/>
      <c r="CI9" s="56"/>
      <c r="CJ9" s="56"/>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row>
    <row r="10" spans="1:173" x14ac:dyDescent="0.3">
      <c r="A10" s="1"/>
      <c r="B10" s="1"/>
      <c r="C10" s="13" t="s">
        <v>6</v>
      </c>
      <c r="D10" s="14"/>
      <c r="E10" s="14"/>
      <c r="F10" s="14"/>
      <c r="G10" s="14"/>
      <c r="H10" s="14"/>
      <c r="I10" s="14"/>
      <c r="J10" s="14"/>
      <c r="K10" s="14"/>
      <c r="L10" s="14"/>
      <c r="M10" s="14"/>
      <c r="N10" s="14"/>
      <c r="O10" s="14"/>
      <c r="P10" s="15" t="s">
        <v>580</v>
      </c>
      <c r="Q10" s="16"/>
      <c r="R10" s="16"/>
      <c r="S10" s="16"/>
      <c r="T10" s="16"/>
      <c r="U10" s="16"/>
      <c r="V10" s="16"/>
      <c r="W10" s="13" t="s">
        <v>628</v>
      </c>
      <c r="X10" s="17"/>
      <c r="Y10" s="17"/>
      <c r="Z10" s="17"/>
      <c r="AA10" s="17"/>
      <c r="AB10" s="17"/>
      <c r="AC10" s="17"/>
      <c r="AD10" s="13" t="s">
        <v>629</v>
      </c>
      <c r="AE10" s="17"/>
      <c r="AF10" s="17"/>
      <c r="AG10" s="18"/>
      <c r="AH10" s="19" t="s">
        <v>630</v>
      </c>
      <c r="AI10" s="20"/>
      <c r="AJ10" s="16"/>
      <c r="AK10" s="16"/>
      <c r="AL10" s="16"/>
      <c r="AM10" s="16"/>
      <c r="AN10" s="16"/>
      <c r="AO10" s="16"/>
      <c r="AP10" s="21"/>
      <c r="AQ10" s="19" t="s">
        <v>9</v>
      </c>
      <c r="AR10" s="16"/>
      <c r="AS10" s="16"/>
      <c r="AT10" s="16"/>
      <c r="AU10" s="16"/>
      <c r="AV10" s="16"/>
      <c r="AW10" s="16"/>
      <c r="AX10" s="16"/>
      <c r="AY10" s="21"/>
      <c r="AZ10" s="22" t="s">
        <v>10</v>
      </c>
      <c r="BA10" s="23"/>
      <c r="BB10" s="23"/>
      <c r="BC10" s="23"/>
      <c r="BD10" s="23"/>
      <c r="BE10" s="23"/>
      <c r="BF10" s="23"/>
      <c r="BG10" s="23"/>
      <c r="BH10" s="23"/>
      <c r="BI10" s="23"/>
      <c r="BJ10" s="23"/>
      <c r="BK10" s="23"/>
      <c r="BL10" s="23"/>
      <c r="BM10" s="23"/>
      <c r="BN10" s="23"/>
      <c r="BO10" s="23"/>
      <c r="BP10" s="23"/>
      <c r="BQ10" s="23"/>
      <c r="BR10" s="24"/>
      <c r="BS10" s="11"/>
      <c r="BT10" s="19"/>
      <c r="BU10" s="16"/>
      <c r="BV10" s="16"/>
      <c r="BW10" s="16"/>
      <c r="BX10" s="16"/>
      <c r="BY10" s="16"/>
      <c r="BZ10" s="16"/>
      <c r="CA10" s="16"/>
      <c r="CB10" s="16"/>
      <c r="CC10" s="58" t="s">
        <v>12</v>
      </c>
      <c r="CD10" s="59"/>
      <c r="CE10" s="59"/>
      <c r="CF10" s="59"/>
      <c r="CG10" s="59"/>
      <c r="CH10" s="59"/>
      <c r="CI10" s="59"/>
      <c r="CJ10" s="59"/>
      <c r="CK10" s="19" t="s">
        <v>581</v>
      </c>
      <c r="CL10" s="16"/>
      <c r="CM10" s="16"/>
      <c r="CN10" s="16"/>
      <c r="CO10" s="16"/>
      <c r="CP10" s="16"/>
      <c r="CQ10" s="16"/>
      <c r="CR10" s="16"/>
      <c r="CS10" s="19" t="s">
        <v>582</v>
      </c>
      <c r="CT10" s="127"/>
      <c r="CU10" s="59"/>
      <c r="CV10" s="59"/>
      <c r="CW10" s="59"/>
      <c r="CX10" s="59"/>
      <c r="CY10" s="59"/>
      <c r="CZ10" s="59"/>
      <c r="DA10" s="15" t="s">
        <v>15</v>
      </c>
      <c r="DB10" s="60"/>
      <c r="DC10" s="60"/>
      <c r="DD10" s="8" t="s">
        <v>16</v>
      </c>
      <c r="DE10" s="10"/>
      <c r="DF10" s="1"/>
      <c r="DG10" s="1"/>
      <c r="DH10" s="1"/>
      <c r="DI10" s="1"/>
      <c r="DJ10" s="1"/>
      <c r="DK10" s="1"/>
      <c r="DL10" s="1"/>
      <c r="DM10" s="1"/>
      <c r="DN10" s="1"/>
      <c r="DO10" s="1"/>
      <c r="DP10" s="1"/>
      <c r="DQ10" s="1"/>
      <c r="DR10" s="1"/>
      <c r="DS10" s="1"/>
      <c r="DT10" s="1"/>
      <c r="DU10" s="1"/>
      <c r="DV10" s="1"/>
      <c r="DW10" s="1"/>
      <c r="DX10" s="1"/>
      <c r="DY10" s="1"/>
      <c r="DZ10" s="1"/>
      <c r="EA10" s="13" t="s">
        <v>17</v>
      </c>
      <c r="EB10" s="14"/>
      <c r="EC10" s="14"/>
      <c r="ED10" s="14"/>
      <c r="EE10" s="14"/>
      <c r="EF10" s="14"/>
      <c r="EG10" s="14"/>
      <c r="EH10" s="14"/>
      <c r="EI10" s="14"/>
      <c r="EJ10" s="14"/>
      <c r="EK10" s="14"/>
      <c r="EL10" s="14"/>
      <c r="EM10" s="14"/>
      <c r="EN10" s="15" t="s">
        <v>583</v>
      </c>
      <c r="EO10" s="16"/>
      <c r="EP10" s="16"/>
      <c r="EQ10" s="16"/>
      <c r="ER10" s="16"/>
      <c r="ES10" s="16"/>
      <c r="ET10" s="16"/>
      <c r="EU10" s="16"/>
      <c r="EV10" s="13" t="s">
        <v>631</v>
      </c>
      <c r="EW10" s="14"/>
      <c r="EX10" s="14"/>
      <c r="EY10" s="61"/>
      <c r="EZ10" s="62" t="s">
        <v>19</v>
      </c>
      <c r="FA10" s="10"/>
      <c r="FB10" s="14" t="s">
        <v>632</v>
      </c>
      <c r="FC10" s="17"/>
      <c r="FD10" s="17"/>
      <c r="FE10" s="17"/>
      <c r="FF10" s="17"/>
      <c r="FG10" s="17"/>
      <c r="FH10" s="17"/>
      <c r="FI10" s="18"/>
      <c r="FJ10" s="1"/>
      <c r="FK10" s="1"/>
      <c r="FL10" s="1"/>
      <c r="FM10" s="1"/>
      <c r="FN10" s="1"/>
      <c r="FO10" s="1"/>
      <c r="FP10" s="1"/>
      <c r="FQ10" s="1"/>
    </row>
    <row r="11" spans="1:173" ht="78.75" customHeight="1" x14ac:dyDescent="0.3">
      <c r="A11" s="1"/>
      <c r="B11" s="25" t="s">
        <v>20</v>
      </c>
      <c r="C11" s="26" t="s">
        <v>21</v>
      </c>
      <c r="D11" s="27" t="s">
        <v>22</v>
      </c>
      <c r="E11" s="27" t="s">
        <v>23</v>
      </c>
      <c r="F11" s="27" t="s">
        <v>24</v>
      </c>
      <c r="G11" s="27" t="s">
        <v>25</v>
      </c>
      <c r="H11" s="27" t="s">
        <v>26</v>
      </c>
      <c r="I11" s="27" t="s">
        <v>27</v>
      </c>
      <c r="J11" s="121"/>
      <c r="K11" s="27" t="s">
        <v>29</v>
      </c>
      <c r="L11" s="27" t="s">
        <v>30</v>
      </c>
      <c r="M11" s="27" t="s">
        <v>31</v>
      </c>
      <c r="N11" s="27" t="s">
        <v>32</v>
      </c>
      <c r="O11" s="27" t="s">
        <v>33</v>
      </c>
      <c r="P11" s="26" t="s">
        <v>21</v>
      </c>
      <c r="Q11" s="27" t="s">
        <v>22</v>
      </c>
      <c r="R11" s="27" t="s">
        <v>34</v>
      </c>
      <c r="S11" s="27" t="s">
        <v>29</v>
      </c>
      <c r="T11" s="27" t="s">
        <v>30</v>
      </c>
      <c r="U11" s="27" t="s">
        <v>31</v>
      </c>
      <c r="V11" s="27" t="s">
        <v>32</v>
      </c>
      <c r="W11" s="27" t="s">
        <v>22</v>
      </c>
      <c r="X11" s="27" t="s">
        <v>23</v>
      </c>
      <c r="Y11" s="27" t="s">
        <v>35</v>
      </c>
      <c r="Z11" s="27" t="s">
        <v>36</v>
      </c>
      <c r="AA11" s="27" t="s">
        <v>26</v>
      </c>
      <c r="AB11" s="27" t="s">
        <v>27</v>
      </c>
      <c r="AC11" s="27" t="s">
        <v>28</v>
      </c>
      <c r="AD11" s="27" t="s">
        <v>29</v>
      </c>
      <c r="AE11" s="27" t="s">
        <v>30</v>
      </c>
      <c r="AF11" s="27" t="s">
        <v>31</v>
      </c>
      <c r="AG11" s="27" t="s">
        <v>32</v>
      </c>
      <c r="AH11" s="27" t="s">
        <v>37</v>
      </c>
      <c r="AI11" s="27" t="s">
        <v>38</v>
      </c>
      <c r="AJ11" s="27" t="s">
        <v>39</v>
      </c>
      <c r="AK11" s="27" t="s">
        <v>40</v>
      </c>
      <c r="AL11" s="27" t="s">
        <v>41</v>
      </c>
      <c r="AM11" s="27" t="s">
        <v>42</v>
      </c>
      <c r="AN11" s="121" t="s">
        <v>43</v>
      </c>
      <c r="AO11" s="27" t="s">
        <v>44</v>
      </c>
      <c r="AP11" s="27" t="s">
        <v>45</v>
      </c>
      <c r="AQ11" s="27" t="s">
        <v>37</v>
      </c>
      <c r="AR11" s="27" t="s">
        <v>38</v>
      </c>
      <c r="AS11" s="27" t="s">
        <v>39</v>
      </c>
      <c r="AT11" s="27" t="s">
        <v>40</v>
      </c>
      <c r="AU11" s="27" t="s">
        <v>41</v>
      </c>
      <c r="AV11" s="27" t="s">
        <v>42</v>
      </c>
      <c r="AW11" s="121"/>
      <c r="AX11" s="27" t="s">
        <v>44</v>
      </c>
      <c r="AY11" s="27" t="s">
        <v>45</v>
      </c>
      <c r="AZ11" s="27" t="s">
        <v>633</v>
      </c>
      <c r="BA11" s="27" t="s">
        <v>634</v>
      </c>
      <c r="BB11" s="27" t="s">
        <v>635</v>
      </c>
      <c r="BC11" s="27" t="s">
        <v>636</v>
      </c>
      <c r="BD11" s="27" t="s">
        <v>46</v>
      </c>
      <c r="BE11" s="27" t="s">
        <v>47</v>
      </c>
      <c r="BF11" s="27" t="s">
        <v>48</v>
      </c>
      <c r="BG11" s="27" t="s">
        <v>49</v>
      </c>
      <c r="BH11" s="27" t="s">
        <v>50</v>
      </c>
      <c r="BI11" s="27" t="s">
        <v>51</v>
      </c>
      <c r="BJ11" s="27" t="s">
        <v>52</v>
      </c>
      <c r="BK11" s="27" t="s">
        <v>53</v>
      </c>
      <c r="BL11" s="27" t="s">
        <v>54</v>
      </c>
      <c r="BM11" s="27" t="s">
        <v>55</v>
      </c>
      <c r="BN11" s="27" t="s">
        <v>56</v>
      </c>
      <c r="BO11" s="27" t="s">
        <v>57</v>
      </c>
      <c r="BP11" s="27" t="s">
        <v>637</v>
      </c>
      <c r="BQ11" s="27" t="s">
        <v>638</v>
      </c>
      <c r="BR11" s="27" t="s">
        <v>273</v>
      </c>
      <c r="BS11" s="27" t="s">
        <v>584</v>
      </c>
      <c r="BT11" s="27"/>
      <c r="BU11" s="27"/>
      <c r="BV11" s="27"/>
      <c r="BW11" s="27"/>
      <c r="BX11" s="27"/>
      <c r="BY11" s="27"/>
      <c r="BZ11" s="27"/>
      <c r="CA11" s="27"/>
      <c r="CB11" s="27"/>
      <c r="CC11" s="63" t="s">
        <v>68</v>
      </c>
      <c r="CD11" s="63" t="s">
        <v>69</v>
      </c>
      <c r="CE11" s="63" t="s">
        <v>70</v>
      </c>
      <c r="CF11" s="63" t="s">
        <v>71</v>
      </c>
      <c r="CG11" s="63" t="s">
        <v>72</v>
      </c>
      <c r="CH11" s="63" t="s">
        <v>73</v>
      </c>
      <c r="CI11" s="63" t="s">
        <v>74</v>
      </c>
      <c r="CJ11" s="63" t="s">
        <v>75</v>
      </c>
      <c r="CK11" s="27" t="s">
        <v>585</v>
      </c>
      <c r="CL11" s="27" t="s">
        <v>586</v>
      </c>
      <c r="CM11" s="27" t="s">
        <v>587</v>
      </c>
      <c r="CN11" s="27" t="s">
        <v>588</v>
      </c>
      <c r="CO11" s="27" t="s">
        <v>80</v>
      </c>
      <c r="CP11" s="27" t="s">
        <v>81</v>
      </c>
      <c r="CQ11" s="27" t="s">
        <v>82</v>
      </c>
      <c r="CR11" s="27" t="s">
        <v>589</v>
      </c>
      <c r="CS11" s="128" t="s">
        <v>590</v>
      </c>
      <c r="CT11" s="128" t="s">
        <v>591</v>
      </c>
      <c r="CU11" s="128" t="s">
        <v>592</v>
      </c>
      <c r="CV11" s="128" t="s">
        <v>593</v>
      </c>
      <c r="CW11" s="128" t="s">
        <v>88</v>
      </c>
      <c r="CX11" s="128" t="s">
        <v>89</v>
      </c>
      <c r="CY11" s="128" t="s">
        <v>90</v>
      </c>
      <c r="CZ11" s="128" t="s">
        <v>91</v>
      </c>
      <c r="DA11" s="64" t="s">
        <v>92</v>
      </c>
      <c r="DB11" s="64" t="s">
        <v>93</v>
      </c>
      <c r="DC11" s="64" t="s">
        <v>94</v>
      </c>
      <c r="DD11" s="64" t="s">
        <v>95</v>
      </c>
      <c r="DE11" s="64" t="s">
        <v>96</v>
      </c>
      <c r="DF11" s="1"/>
      <c r="DG11" s="1"/>
      <c r="DH11" s="1"/>
      <c r="DI11" s="1"/>
      <c r="DJ11" s="1"/>
      <c r="DK11" s="1"/>
      <c r="DL11" s="1"/>
      <c r="DM11" s="1"/>
      <c r="DN11" s="1"/>
      <c r="DO11" s="1"/>
      <c r="DP11" s="1"/>
      <c r="DQ11" s="1"/>
      <c r="DR11" s="1"/>
      <c r="DS11" s="1"/>
      <c r="DT11" s="1"/>
      <c r="DU11" s="1"/>
      <c r="DV11" s="1"/>
      <c r="DW11" s="1"/>
      <c r="DX11" s="1"/>
      <c r="DY11" s="1"/>
      <c r="DZ11" s="1"/>
      <c r="EA11" s="26" t="s">
        <v>97</v>
      </c>
      <c r="EB11" s="27" t="s">
        <v>98</v>
      </c>
      <c r="EC11" s="27" t="s">
        <v>99</v>
      </c>
      <c r="ED11" s="27" t="s">
        <v>100</v>
      </c>
      <c r="EE11" s="27" t="s">
        <v>101</v>
      </c>
      <c r="EF11" s="27" t="s">
        <v>102</v>
      </c>
      <c r="EG11" s="27" t="s">
        <v>103</v>
      </c>
      <c r="EH11" s="121"/>
      <c r="EI11" s="27" t="s">
        <v>104</v>
      </c>
      <c r="EJ11" s="27" t="s">
        <v>105</v>
      </c>
      <c r="EK11" s="27" t="s">
        <v>106</v>
      </c>
      <c r="EL11" s="27" t="s">
        <v>107</v>
      </c>
      <c r="EM11" s="27" t="s">
        <v>33</v>
      </c>
      <c r="EN11" s="27" t="s">
        <v>97</v>
      </c>
      <c r="EO11" s="27" t="s">
        <v>98</v>
      </c>
      <c r="EP11" s="27" t="s">
        <v>108</v>
      </c>
      <c r="EQ11" s="27" t="s">
        <v>104</v>
      </c>
      <c r="ER11" s="27" t="s">
        <v>105</v>
      </c>
      <c r="ES11" s="27" t="s">
        <v>106</v>
      </c>
      <c r="ET11" s="27" t="s">
        <v>107</v>
      </c>
      <c r="EU11" s="27" t="s">
        <v>594</v>
      </c>
      <c r="EV11" s="64" t="s">
        <v>639</v>
      </c>
      <c r="EW11" s="27" t="s">
        <v>99</v>
      </c>
      <c r="EX11" s="64" t="s">
        <v>110</v>
      </c>
      <c r="EY11" s="64" t="s">
        <v>640</v>
      </c>
      <c r="EZ11" s="64" t="s">
        <v>111</v>
      </c>
      <c r="FA11" s="64" t="s">
        <v>112</v>
      </c>
      <c r="FB11" s="27" t="s">
        <v>641</v>
      </c>
      <c r="FC11" s="27" t="s">
        <v>642</v>
      </c>
      <c r="FD11" s="27" t="s">
        <v>643</v>
      </c>
      <c r="FE11" s="27" t="s">
        <v>644</v>
      </c>
      <c r="FF11" s="27" t="s">
        <v>645</v>
      </c>
      <c r="FG11" s="27" t="s">
        <v>646</v>
      </c>
      <c r="FH11" s="27" t="s">
        <v>647</v>
      </c>
      <c r="FI11" s="27" t="s">
        <v>648</v>
      </c>
      <c r="FJ11" s="1"/>
      <c r="FK11" s="1"/>
      <c r="FL11" s="1"/>
      <c r="FM11" s="1"/>
      <c r="FN11" s="1"/>
      <c r="FO11" s="1"/>
      <c r="FP11" s="1"/>
      <c r="FQ11" s="1"/>
    </row>
    <row r="12" spans="1:173" x14ac:dyDescent="0.3">
      <c r="A12" s="1"/>
      <c r="B12" s="28">
        <v>1</v>
      </c>
      <c r="C12" s="129">
        <f>+'[37]2. Distributional by deciles o'!B64</f>
        <v>30103115.750399992</v>
      </c>
      <c r="D12" s="129">
        <f>+'[37]2. Distributional by deciles o'!C64</f>
        <v>30459451.719599996</v>
      </c>
      <c r="E12" s="129">
        <f>+'[37]2. Distributional by deciles o'!D64</f>
        <v>30385478.061600015</v>
      </c>
      <c r="F12" s="129">
        <f>+'[37]2. Distributional by deciles o'!E64</f>
        <v>30459451.719599996</v>
      </c>
      <c r="G12" s="129">
        <f>+'[37]2. Distributional by deciles o'!F64</f>
        <v>30390804.650400005</v>
      </c>
      <c r="H12" s="129">
        <f>+'[37]2. Distributional by deciles o'!G64</f>
        <v>30385478.061600015</v>
      </c>
      <c r="I12" s="129">
        <f>+'[37]2. Distributional by deciles o'!H64</f>
        <v>30385478.061600015</v>
      </c>
      <c r="J12" s="122"/>
      <c r="K12" s="130" t="s">
        <v>113</v>
      </c>
      <c r="L12" s="130" t="s">
        <v>113</v>
      </c>
      <c r="M12" s="130" t="s">
        <v>113</v>
      </c>
      <c r="N12" s="130" t="s">
        <v>113</v>
      </c>
      <c r="O12" s="131">
        <f>C12/C$22*100</f>
        <v>0.39421413220312695</v>
      </c>
      <c r="P12" s="129">
        <f>+'[37]2. Distributional by deciles o'!B82</f>
        <v>1058546892.9515988</v>
      </c>
      <c r="Q12" s="129">
        <f>+'[37]2. Distributional by deciles o'!C82</f>
        <v>1069099895.0099995</v>
      </c>
      <c r="R12" s="131">
        <f t="shared" ref="R12:R21" si="0">(Q12/P12-1)*100</f>
        <v>0.99693288305586769</v>
      </c>
      <c r="S12" s="130" t="s">
        <v>113</v>
      </c>
      <c r="T12" s="130" t="s">
        <v>113</v>
      </c>
      <c r="U12" s="130" t="s">
        <v>113</v>
      </c>
      <c r="V12" s="130" t="s">
        <v>113</v>
      </c>
      <c r="W12" s="132">
        <f>IF(D12&lt;&gt;0,((D12-$C12)/ABS($C12)) / ($Q12/$P12-1),0)</f>
        <v>1.1873596696487376</v>
      </c>
      <c r="X12" s="132">
        <f>IF(E12&lt;&gt;0,((E12-$C12)/ABS($C12)) / ($Q12/$P12-1),0)</f>
        <v>0.94086943089243813</v>
      </c>
      <c r="Y12" s="132">
        <f t="shared" ref="Y12:AA22" si="1">IF(F12&lt;&gt;0,MAX(((F12-$C12)/ABS($C12)) / ($Q12/$P12-1),0),0)</f>
        <v>1.1873596696487376</v>
      </c>
      <c r="Z12" s="132">
        <f t="shared" si="1"/>
        <v>0.95861834558132197</v>
      </c>
      <c r="AA12" s="132">
        <f t="shared" si="1"/>
        <v>0.94086943089243813</v>
      </c>
      <c r="AB12" s="132">
        <f>IF(I12&lt;&gt;0,MAX(((I12-$C12)/ABS($C12)) / ($Q12/$P12-1),0),AA12)</f>
        <v>0.94086943089243813</v>
      </c>
      <c r="AC12" s="132">
        <f>IF(J12&lt;&gt;0,MAX(((J12-$C12)/ABS($C12)) / ($Q12/$P12-1),0),AB12)</f>
        <v>0.94086943089243813</v>
      </c>
      <c r="AD12" s="130" t="s">
        <v>113</v>
      </c>
      <c r="AE12" s="130" t="s">
        <v>113</v>
      </c>
      <c r="AF12" s="130" t="s">
        <v>113</v>
      </c>
      <c r="AG12" s="130" t="s">
        <v>113</v>
      </c>
      <c r="AH12" s="133">
        <f t="shared" ref="AH12:AH22" si="2">MIN(W12,1)</f>
        <v>1</v>
      </c>
      <c r="AI12" s="134">
        <f>IF(W12&gt;1,MAX(W12-SUM(AH12,AJ12:AO12),0),0)</f>
        <v>0</v>
      </c>
      <c r="AJ12" s="134">
        <f t="shared" ref="AJ12:AJ22" si="3">IF(W12&gt;1,MIN($W12-Y12,W12-AH12),0)</f>
        <v>0</v>
      </c>
      <c r="AK12" s="134">
        <f t="shared" ref="AK12:AK20" si="4">IF(W12&gt;1,MAX(MIN(Y12-Z12,W12-AH12-AJ12),0),0)</f>
        <v>0.18735966964873763</v>
      </c>
      <c r="AL12" s="134">
        <f>IF(W12&gt;1,MAX(MIN(Z12-AA12,W12-AH12-AJ12-AK12),0),0)</f>
        <v>0</v>
      </c>
      <c r="AM12" s="134">
        <f>IF(I12&lt;&gt;0,IF(W12&gt;1,MAX(MIN(AA12-AB12,W12-AH12-AJ12-AK12-AL12),0),0),0)</f>
        <v>0</v>
      </c>
      <c r="AN12" s="135">
        <f t="shared" ref="AN12:AN13" si="5">IF(J12&lt;&gt;0,IF(W12&gt;1,MAX(MIN(AB12-AC12,W12-AH12-AJ12-AK12-AL12-AM12),0),0),0)</f>
        <v>0</v>
      </c>
      <c r="AO12" s="134">
        <f>IF(W12&gt;1,MAX(0,MIN(W12-AH12-AJ12-AK12-AL12-AM12,W12-AH12-AJ12-AK12-AL12-AM12-X12+1)),0)</f>
        <v>0</v>
      </c>
      <c r="AP12" s="134">
        <f t="shared" ref="AP12:AP22" si="6">AI12+AO12</f>
        <v>0</v>
      </c>
      <c r="AQ12" s="136" t="s">
        <v>113</v>
      </c>
      <c r="AR12" s="137">
        <f t="shared" ref="AR12:AY22" si="7">AI12/($W12-1)*100</f>
        <v>0</v>
      </c>
      <c r="AS12" s="137">
        <f t="shared" si="7"/>
        <v>0</v>
      </c>
      <c r="AT12" s="137">
        <f t="shared" si="7"/>
        <v>100</v>
      </c>
      <c r="AU12" s="137">
        <f t="shared" si="7"/>
        <v>0</v>
      </c>
      <c r="AV12" s="137">
        <f t="shared" si="7"/>
        <v>0</v>
      </c>
      <c r="AW12" s="138">
        <f t="shared" si="7"/>
        <v>0</v>
      </c>
      <c r="AX12" s="137">
        <f t="shared" si="7"/>
        <v>0</v>
      </c>
      <c r="AY12" s="137">
        <f t="shared" si="7"/>
        <v>0</v>
      </c>
      <c r="AZ12" s="139" t="s">
        <v>113</v>
      </c>
      <c r="BA12" s="139" t="s">
        <v>113</v>
      </c>
      <c r="BB12" s="139" t="s">
        <v>113</v>
      </c>
      <c r="BC12" s="139" t="s">
        <v>113</v>
      </c>
      <c r="BD12" s="139" t="s">
        <v>113</v>
      </c>
      <c r="BE12" s="139" t="s">
        <v>113</v>
      </c>
      <c r="BF12" s="139" t="s">
        <v>113</v>
      </c>
      <c r="BG12" s="139" t="s">
        <v>113</v>
      </c>
      <c r="BH12" s="140">
        <f>+'[37]2. Distributional by deciles o'!B100</f>
        <v>377615176.47959971</v>
      </c>
      <c r="BI12" s="140">
        <f>+'[37]2. Distributional by deciles o'!B118</f>
        <v>252426153.21719998</v>
      </c>
      <c r="BJ12" s="140">
        <f>+'[37]2. Distributional by deciles o'!B136</f>
        <v>389871389.66880029</v>
      </c>
      <c r="BK12" s="140">
        <f>+'[37]2. Distributional by deciles o'!B154</f>
        <v>38634408.507599995</v>
      </c>
      <c r="BL12" s="141">
        <f>BH12/SUM($BH12:$BK12)</f>
        <v>0.35672967838313668</v>
      </c>
      <c r="BM12" s="141">
        <f t="shared" ref="BM12:BO12" si="8">BI12/SUM($BH12:$BK12)</f>
        <v>0.23846472827748988</v>
      </c>
      <c r="BN12" s="141">
        <f t="shared" si="8"/>
        <v>0.36830801331643848</v>
      </c>
      <c r="BO12" s="141">
        <f t="shared" si="8"/>
        <v>3.6497580022934878E-2</v>
      </c>
      <c r="BP12" s="139" t="s">
        <v>113</v>
      </c>
      <c r="BQ12" s="139" t="s">
        <v>113</v>
      </c>
      <c r="BR12" s="139" t="s">
        <v>113</v>
      </c>
      <c r="BS12" s="131">
        <f>P12/P$22*100</f>
        <v>1.2227065636341838</v>
      </c>
      <c r="BT12" s="139"/>
      <c r="BU12" s="139"/>
      <c r="BV12" s="139"/>
      <c r="BW12" s="139"/>
      <c r="BX12" s="139"/>
      <c r="BY12" s="139"/>
      <c r="BZ12" s="139"/>
      <c r="CA12" s="139"/>
      <c r="CB12" s="139"/>
      <c r="CC12" s="142" t="s">
        <v>113</v>
      </c>
      <c r="CD12" s="142" t="s">
        <v>113</v>
      </c>
      <c r="CE12" s="142" t="s">
        <v>113</v>
      </c>
      <c r="CF12" s="142" t="s">
        <v>113</v>
      </c>
      <c r="CG12" s="142" t="s">
        <v>113</v>
      </c>
      <c r="CH12" s="142" t="s">
        <v>113</v>
      </c>
      <c r="CI12" s="142" t="s">
        <v>113</v>
      </c>
      <c r="CJ12" s="142"/>
      <c r="CK12" s="139" t="s">
        <v>113</v>
      </c>
      <c r="CL12" s="139" t="s">
        <v>113</v>
      </c>
      <c r="CM12" s="139" t="s">
        <v>113</v>
      </c>
      <c r="CN12" s="139" t="s">
        <v>113</v>
      </c>
      <c r="CO12" s="139" t="s">
        <v>113</v>
      </c>
      <c r="CP12" s="139" t="s">
        <v>113</v>
      </c>
      <c r="CQ12" s="139" t="s">
        <v>113</v>
      </c>
      <c r="CR12" s="139"/>
      <c r="CS12" s="143" t="s">
        <v>113</v>
      </c>
      <c r="CT12" s="143" t="s">
        <v>113</v>
      </c>
      <c r="CU12" s="143" t="s">
        <v>113</v>
      </c>
      <c r="CV12" s="143" t="s">
        <v>113</v>
      </c>
      <c r="CW12" s="143" t="s">
        <v>113</v>
      </c>
      <c r="CX12" s="143" t="s">
        <v>113</v>
      </c>
      <c r="CY12" s="143" t="s">
        <v>113</v>
      </c>
      <c r="CZ12" s="143"/>
      <c r="DA12" s="139" t="s">
        <v>113</v>
      </c>
      <c r="DB12" s="139" t="s">
        <v>113</v>
      </c>
      <c r="DC12" s="139" t="s">
        <v>113</v>
      </c>
      <c r="DD12" s="144">
        <f>(1-DE12)*100</f>
        <v>87.648248736475608</v>
      </c>
      <c r="DE12" s="145">
        <f>+'[37]2. Distributional by deciles o'!J28</f>
        <v>0.1235175126352439</v>
      </c>
      <c r="DF12" s="1"/>
      <c r="DG12" s="1"/>
      <c r="DH12" s="1"/>
      <c r="DI12" s="1"/>
      <c r="DJ12" s="1"/>
      <c r="DK12" s="1"/>
      <c r="DL12" s="1"/>
      <c r="DM12" s="1"/>
      <c r="DN12" s="1"/>
      <c r="DO12" s="1"/>
      <c r="DP12" s="1"/>
      <c r="DQ12" s="1"/>
      <c r="DR12" s="1"/>
      <c r="DS12" s="1"/>
      <c r="DT12" s="1"/>
      <c r="DU12" s="1"/>
      <c r="DV12" s="1"/>
      <c r="DW12" s="1"/>
      <c r="DX12" s="1"/>
      <c r="DY12" s="1"/>
      <c r="DZ12" s="1"/>
      <c r="EA12" s="146">
        <f>+'[38]2. Distributional by deciles o'!B64</f>
        <v>16430207.408399995</v>
      </c>
      <c r="EB12" s="146">
        <f>+'[38]2. Distributional by deciles o'!C64</f>
        <v>16645782.4452</v>
      </c>
      <c r="EC12" s="146">
        <f>+'[38]2. Distributional by deciles o'!D64</f>
        <v>16617742.458000004</v>
      </c>
      <c r="ED12" s="146">
        <f>+'[38]2. Distributional by deciles o'!E64</f>
        <v>16635313.712400001</v>
      </c>
      <c r="EE12" s="146">
        <f>+'[38]2. Distributional by deciles o'!F64</f>
        <v>16620040.518000003</v>
      </c>
      <c r="EF12" s="146">
        <f>+'[38]2. Distributional by deciles o'!G64</f>
        <v>16617742.458000004</v>
      </c>
      <c r="EG12" s="146">
        <f>+'[38]2. Distributional by deciles o'!H64</f>
        <v>16617742.458000004</v>
      </c>
      <c r="EH12" s="122"/>
      <c r="EI12" s="130" t="s">
        <v>113</v>
      </c>
      <c r="EJ12" s="130" t="s">
        <v>113</v>
      </c>
      <c r="EK12" s="130" t="s">
        <v>113</v>
      </c>
      <c r="EL12" s="130" t="s">
        <v>113</v>
      </c>
      <c r="EM12" s="131">
        <f t="shared" ref="EM12:EM21" si="9">EA12/EA$22*100</f>
        <v>0.20285973166143484</v>
      </c>
      <c r="EN12" s="146">
        <f>+'[38]2. Distributional by deciles o'!B82</f>
        <v>1180900917.8267994</v>
      </c>
      <c r="EO12" s="146">
        <f>+'[38]2. Distributional by deciles o'!C82</f>
        <v>1192710949.5551996</v>
      </c>
      <c r="EP12" s="131">
        <f t="shared" ref="EP12:EP21" si="10">(EO12/EN12-1)*100</f>
        <v>1.0000865906797829</v>
      </c>
      <c r="EQ12" s="130" t="s">
        <v>113</v>
      </c>
      <c r="ER12" s="130" t="s">
        <v>113</v>
      </c>
      <c r="ES12" s="130" t="s">
        <v>113</v>
      </c>
      <c r="ET12" s="130" t="s">
        <v>113</v>
      </c>
      <c r="EU12" s="131">
        <f>EN12/EN$22*100</f>
        <v>1.2649028021477948</v>
      </c>
      <c r="EV12" s="132">
        <f>((EB12-$EA12)/ABS($EA12)) / ($EO12/$EN12-1)</f>
        <v>1.3119516161253688</v>
      </c>
      <c r="EW12" s="132">
        <f>IF(EC12&lt;&gt;0,((EC12-$EA12)/ABS($EA12)) / ($EO12/$EN12-1),0)</f>
        <v>1.1413052042344713</v>
      </c>
      <c r="EX12" s="132"/>
      <c r="EY12" s="148">
        <f t="shared" ref="EY12:EY21" si="11">EV12-W12</f>
        <v>0.12459194647663119</v>
      </c>
      <c r="EZ12" s="144">
        <f>(1-FA12)*100</f>
        <v>88.15638876658889</v>
      </c>
      <c r="FA12" s="145">
        <f>+'[38]2. Distributional by deciles o'!J28</f>
        <v>0.1184361123341111</v>
      </c>
      <c r="FB12" s="130" t="s">
        <v>113</v>
      </c>
      <c r="FC12" s="130" t="s">
        <v>113</v>
      </c>
      <c r="FD12" s="130" t="s">
        <v>113</v>
      </c>
      <c r="FE12" s="130" t="s">
        <v>113</v>
      </c>
      <c r="FF12" s="130" t="s">
        <v>113</v>
      </c>
      <c r="FG12" s="130" t="s">
        <v>113</v>
      </c>
      <c r="FH12" s="130" t="s">
        <v>113</v>
      </c>
      <c r="FI12" s="130" t="s">
        <v>113</v>
      </c>
      <c r="FJ12" s="1"/>
      <c r="FK12" s="1"/>
      <c r="FL12" s="1"/>
      <c r="FM12" s="1"/>
      <c r="FN12" s="1"/>
      <c r="FO12" s="1"/>
      <c r="FP12" s="1"/>
      <c r="FQ12" s="1"/>
    </row>
    <row r="13" spans="1:173" x14ac:dyDescent="0.3">
      <c r="A13" s="1"/>
      <c r="B13" s="28">
        <v>2</v>
      </c>
      <c r="C13" s="129">
        <f>+'[37]2. Distributional by deciles o'!B65</f>
        <v>75703595.18280001</v>
      </c>
      <c r="D13" s="129">
        <f>+'[37]2. Distributional by deciles o'!C65</f>
        <v>77217757.196400002</v>
      </c>
      <c r="E13" s="129">
        <f>+'[37]2. Distributional by deciles o'!D65</f>
        <v>76298553.222000018</v>
      </c>
      <c r="F13" s="129">
        <f>+'[37]2. Distributional by deciles o'!E65</f>
        <v>77217757.196400002</v>
      </c>
      <c r="G13" s="129">
        <f>+'[37]2. Distributional by deciles o'!F65</f>
        <v>76301775.411600024</v>
      </c>
      <c r="H13" s="129">
        <f>+'[37]2. Distributional by deciles o'!G65</f>
        <v>76298553.222000018</v>
      </c>
      <c r="I13" s="129">
        <f>+'[37]2. Distributional by deciles o'!H65</f>
        <v>76298553.222000018</v>
      </c>
      <c r="J13" s="122"/>
      <c r="K13" s="130" t="s">
        <v>113</v>
      </c>
      <c r="L13" s="130" t="s">
        <v>113</v>
      </c>
      <c r="M13" s="130" t="s">
        <v>113</v>
      </c>
      <c r="N13" s="130" t="s">
        <v>113</v>
      </c>
      <c r="O13" s="131">
        <f t="shared" ref="O13:O21" si="12">C13/C$22*100</f>
        <v>0.99137336238185858</v>
      </c>
      <c r="P13" s="129">
        <f>+'[37]2. Distributional by deciles o'!B83</f>
        <v>3277122406.9235959</v>
      </c>
      <c r="Q13" s="129">
        <f>+'[37]2. Distributional by deciles o'!C83</f>
        <v>3309877415.5368032</v>
      </c>
      <c r="R13" s="131">
        <f t="shared" si="0"/>
        <v>0.99950519223834799</v>
      </c>
      <c r="S13" s="130" t="s">
        <v>113</v>
      </c>
      <c r="T13" s="130" t="s">
        <v>113</v>
      </c>
      <c r="U13" s="130" t="s">
        <v>113</v>
      </c>
      <c r="V13" s="130" t="s">
        <v>113</v>
      </c>
      <c r="W13" s="132">
        <f t="shared" ref="W13:X22" si="13">IF(D13&lt;&gt;0,((D13-$C13)/ABS($C13)) / ($Q13/$P13-1),0)</f>
        <v>2.001109194301343</v>
      </c>
      <c r="X13" s="132">
        <f t="shared" si="13"/>
        <v>0.78629366723841121</v>
      </c>
      <c r="Y13" s="132">
        <f t="shared" si="1"/>
        <v>2.001109194301343</v>
      </c>
      <c r="Z13" s="132">
        <f t="shared" si="1"/>
        <v>0.79055209743045085</v>
      </c>
      <c r="AA13" s="132">
        <f t="shared" si="1"/>
        <v>0.78629366723841121</v>
      </c>
      <c r="AB13" s="132">
        <f t="shared" ref="AB13:AC22" si="14">IF(I13&lt;&gt;0,MAX(((I13-$C13)/ABS($C13)) / ($Q13/$P13-1),0),AA13)</f>
        <v>0.78629366723841121</v>
      </c>
      <c r="AC13" s="132">
        <f t="shared" si="14"/>
        <v>0.78629366723841121</v>
      </c>
      <c r="AD13" s="130" t="s">
        <v>113</v>
      </c>
      <c r="AE13" s="130" t="s">
        <v>113</v>
      </c>
      <c r="AF13" s="130" t="s">
        <v>113</v>
      </c>
      <c r="AG13" s="130" t="s">
        <v>113</v>
      </c>
      <c r="AH13" s="133">
        <f t="shared" si="2"/>
        <v>1</v>
      </c>
      <c r="AI13" s="134">
        <f t="shared" ref="AI13:AI22" si="15">IF(W13&gt;1,MAX(W13-SUM(AH13,AJ13:AO13),0),0)</f>
        <v>0</v>
      </c>
      <c r="AJ13" s="134">
        <f t="shared" si="3"/>
        <v>0</v>
      </c>
      <c r="AK13" s="134">
        <f t="shared" si="4"/>
        <v>1.001109194301343</v>
      </c>
      <c r="AL13" s="134">
        <f t="shared" ref="AL13:AL22" si="16">IF(W13&gt;1,MAX(MIN(Z13-AA13,W13-AH13-AJ13-AK13),0),0)</f>
        <v>0</v>
      </c>
      <c r="AM13" s="134">
        <f t="shared" ref="AM13:AM22" si="17">IF(I13&lt;&gt;0,IF(W13&gt;1,MAX(MIN(AA13-AB13,W13-AH13-AJ13-AK13-AL13),0),0),0)</f>
        <v>0</v>
      </c>
      <c r="AN13" s="135">
        <f t="shared" si="5"/>
        <v>0</v>
      </c>
      <c r="AO13" s="134">
        <f t="shared" ref="AO13:AO22" si="18">IF(W13&gt;1,MAX(0,MIN(W13-AH13-AJ13-AK13-AL13-AM13,W13-AH13-AJ13-AK13-AL13-AM13-X13+1)),0)</f>
        <v>0</v>
      </c>
      <c r="AP13" s="134">
        <f t="shared" si="6"/>
        <v>0</v>
      </c>
      <c r="AQ13" s="136" t="s">
        <v>113</v>
      </c>
      <c r="AR13" s="137">
        <f t="shared" si="7"/>
        <v>0</v>
      </c>
      <c r="AS13" s="137">
        <f t="shared" si="7"/>
        <v>0</v>
      </c>
      <c r="AT13" s="137">
        <f t="shared" si="7"/>
        <v>100</v>
      </c>
      <c r="AU13" s="137">
        <f t="shared" si="7"/>
        <v>0</v>
      </c>
      <c r="AV13" s="137">
        <f t="shared" si="7"/>
        <v>0</v>
      </c>
      <c r="AW13" s="138">
        <f t="shared" si="7"/>
        <v>0</v>
      </c>
      <c r="AX13" s="137">
        <f t="shared" si="7"/>
        <v>0</v>
      </c>
      <c r="AY13" s="137">
        <f t="shared" si="7"/>
        <v>0</v>
      </c>
      <c r="AZ13" s="139" t="s">
        <v>113</v>
      </c>
      <c r="BA13" s="139" t="s">
        <v>113</v>
      </c>
      <c r="BB13" s="139" t="s">
        <v>113</v>
      </c>
      <c r="BC13" s="139" t="s">
        <v>113</v>
      </c>
      <c r="BD13" s="139" t="s">
        <v>113</v>
      </c>
      <c r="BE13" s="139" t="s">
        <v>113</v>
      </c>
      <c r="BF13" s="139" t="s">
        <v>113</v>
      </c>
      <c r="BG13" s="139" t="s">
        <v>113</v>
      </c>
      <c r="BH13" s="140">
        <f>+'[37]2. Distributional by deciles o'!B101</f>
        <v>1227927743.7348003</v>
      </c>
      <c r="BI13" s="140">
        <f>+'[37]2. Distributional by deciles o'!B119</f>
        <v>1278770503.7459991</v>
      </c>
      <c r="BJ13" s="140">
        <f>+'[37]2. Distributional by deciles o'!B137</f>
        <v>730587811.25639987</v>
      </c>
      <c r="BK13" s="140">
        <f>+'[37]2. Distributional by deciles o'!B155</f>
        <v>39836526.435599983</v>
      </c>
      <c r="BL13" s="141">
        <f t="shared" ref="BL13:BL22" si="19">BH13/SUM($BH13:$BK13)</f>
        <v>0.37469692140614658</v>
      </c>
      <c r="BM13" s="141">
        <f t="shared" ref="BM13:BM22" si="20">BI13/SUM($BH13:$BK13)</f>
        <v>0.39021137309044873</v>
      </c>
      <c r="BN13" s="141">
        <f t="shared" ref="BN13:BO22" si="21">BJ13/SUM($BH13:$BK13)</f>
        <v>0.22293575912048974</v>
      </c>
      <c r="BO13" s="141">
        <f t="shared" si="21"/>
        <v>1.2155946382914888E-2</v>
      </c>
      <c r="BP13" s="139" t="s">
        <v>113</v>
      </c>
      <c r="BQ13" s="139" t="s">
        <v>113</v>
      </c>
      <c r="BR13" s="139" t="s">
        <v>113</v>
      </c>
      <c r="BS13" s="131">
        <f t="shared" ref="BS13:BS21" si="22">P13/P$22*100</f>
        <v>3.7853392263098833</v>
      </c>
      <c r="BT13" s="139"/>
      <c r="BU13" s="139"/>
      <c r="BV13" s="139"/>
      <c r="BW13" s="139"/>
      <c r="BX13" s="139"/>
      <c r="BY13" s="139"/>
      <c r="BZ13" s="139"/>
      <c r="CA13" s="139"/>
      <c r="CB13" s="139"/>
      <c r="CC13" s="142" t="s">
        <v>113</v>
      </c>
      <c r="CD13" s="142" t="s">
        <v>113</v>
      </c>
      <c r="CE13" s="142" t="s">
        <v>113</v>
      </c>
      <c r="CF13" s="142" t="s">
        <v>113</v>
      </c>
      <c r="CG13" s="142" t="s">
        <v>113</v>
      </c>
      <c r="CH13" s="142" t="s">
        <v>113</v>
      </c>
      <c r="CI13" s="142" t="s">
        <v>113</v>
      </c>
      <c r="CJ13" s="142"/>
      <c r="CK13" s="139" t="s">
        <v>113</v>
      </c>
      <c r="CL13" s="139" t="s">
        <v>113</v>
      </c>
      <c r="CM13" s="139" t="s">
        <v>113</v>
      </c>
      <c r="CN13" s="139" t="s">
        <v>113</v>
      </c>
      <c r="CO13" s="139" t="s">
        <v>113</v>
      </c>
      <c r="CP13" s="139" t="s">
        <v>113</v>
      </c>
      <c r="CQ13" s="139" t="s">
        <v>113</v>
      </c>
      <c r="CR13" s="139"/>
      <c r="CS13" s="143" t="s">
        <v>113</v>
      </c>
      <c r="CT13" s="143" t="s">
        <v>113</v>
      </c>
      <c r="CU13" s="143" t="s">
        <v>113</v>
      </c>
      <c r="CV13" s="143" t="s">
        <v>113</v>
      </c>
      <c r="CW13" s="143" t="s">
        <v>113</v>
      </c>
      <c r="CX13" s="143" t="s">
        <v>113</v>
      </c>
      <c r="CY13" s="143" t="s">
        <v>113</v>
      </c>
      <c r="CZ13" s="143"/>
      <c r="DA13" s="139" t="s">
        <v>113</v>
      </c>
      <c r="DB13" s="139" t="s">
        <v>113</v>
      </c>
      <c r="DC13" s="139" t="s">
        <v>113</v>
      </c>
      <c r="DD13" s="144">
        <f t="shared" ref="DD13:DD22" si="23">(1-DE13)*100</f>
        <v>76.047527906314627</v>
      </c>
      <c r="DE13" s="145">
        <f>+'[37]2. Distributional by deciles o'!J29</f>
        <v>0.23952472093685376</v>
      </c>
      <c r="DF13" s="1"/>
      <c r="DG13" s="1"/>
      <c r="DH13" s="1"/>
      <c r="DI13" s="1"/>
      <c r="DJ13" s="1"/>
      <c r="DK13" s="1"/>
      <c r="DL13" s="1"/>
      <c r="DM13" s="1"/>
      <c r="DN13" s="1"/>
      <c r="DO13" s="1"/>
      <c r="DP13" s="1"/>
      <c r="DQ13" s="1"/>
      <c r="DR13" s="1"/>
      <c r="DS13" s="1"/>
      <c r="DT13" s="1"/>
      <c r="DU13" s="1"/>
      <c r="DV13" s="1"/>
      <c r="DW13" s="1"/>
      <c r="DX13" s="1"/>
      <c r="DY13" s="1"/>
      <c r="DZ13" s="1"/>
      <c r="EA13" s="146">
        <f>+'[38]2. Distributional by deciles o'!B65</f>
        <v>46693378.33200001</v>
      </c>
      <c r="EB13" s="146">
        <f>+'[38]2. Distributional by deciles o'!C65</f>
        <v>48432337.512000017</v>
      </c>
      <c r="EC13" s="146">
        <f>+'[38]2. Distributional by deciles o'!D65</f>
        <v>47177998.091999993</v>
      </c>
      <c r="ED13" s="146">
        <f>+'[38]2. Distributional by deciles o'!E65</f>
        <v>47790905.23800002</v>
      </c>
      <c r="EE13" s="146">
        <f>+'[38]2. Distributional by deciles o'!F65</f>
        <v>47180993.752800003</v>
      </c>
      <c r="EF13" s="146">
        <f>+'[38]2. Distributional by deciles o'!G65</f>
        <v>47177998.091999993</v>
      </c>
      <c r="EG13" s="146">
        <f>+'[38]2. Distributional by deciles o'!H65</f>
        <v>47177998.091999993</v>
      </c>
      <c r="EH13" s="122"/>
      <c r="EI13" s="130" t="s">
        <v>113</v>
      </c>
      <c r="EJ13" s="130" t="s">
        <v>113</v>
      </c>
      <c r="EK13" s="130" t="s">
        <v>113</v>
      </c>
      <c r="EL13" s="130" t="s">
        <v>113</v>
      </c>
      <c r="EM13" s="131">
        <f t="shared" si="9"/>
        <v>0.57651166314265034</v>
      </c>
      <c r="EN13" s="146">
        <f>+'[38]2. Distributional by deciles o'!B83</f>
        <v>3608840088.4212041</v>
      </c>
      <c r="EO13" s="146">
        <f>+'[38]2. Distributional by deciles o'!C83</f>
        <v>3644930443.6284018</v>
      </c>
      <c r="EP13" s="131">
        <f t="shared" si="10"/>
        <v>1.0000541537706686</v>
      </c>
      <c r="EQ13" s="130" t="s">
        <v>113</v>
      </c>
      <c r="ER13" s="130" t="s">
        <v>113</v>
      </c>
      <c r="ES13" s="130" t="s">
        <v>113</v>
      </c>
      <c r="ET13" s="130" t="s">
        <v>113</v>
      </c>
      <c r="EU13" s="131">
        <f t="shared" ref="EU13:EU21" si="24">EN13/EN$22*100</f>
        <v>3.8655503365582042</v>
      </c>
      <c r="EV13" s="132">
        <f t="shared" ref="EV13:EV22" si="25">((EB13-$EA13)/ABS($EA13)) / ($EO13/$EN13-1)</f>
        <v>3.7240077201934603</v>
      </c>
      <c r="EW13" s="132">
        <f t="shared" ref="EW13:EW22" si="26">IF(EC13&lt;&gt;0,((EC13-$EA13)/ABS($EA13)) / ($EO13/$EN13-1),0)</f>
        <v>1.0378206391240483</v>
      </c>
      <c r="EX13" s="132"/>
      <c r="EY13" s="148">
        <f t="shared" si="11"/>
        <v>1.7228985258921172</v>
      </c>
      <c r="EZ13" s="144">
        <f t="shared" ref="EZ13:EZ22" si="27">(1-FA13)*100</f>
        <v>73.784718230141209</v>
      </c>
      <c r="FA13" s="145">
        <f>+'[38]2. Distributional by deciles o'!J29</f>
        <v>0.26215281769858789</v>
      </c>
      <c r="FB13" s="130" t="s">
        <v>113</v>
      </c>
      <c r="FC13" s="130" t="s">
        <v>113</v>
      </c>
      <c r="FD13" s="130" t="s">
        <v>113</v>
      </c>
      <c r="FE13" s="130" t="s">
        <v>113</v>
      </c>
      <c r="FF13" s="130" t="s">
        <v>113</v>
      </c>
      <c r="FG13" s="130" t="s">
        <v>113</v>
      </c>
      <c r="FH13" s="130" t="s">
        <v>113</v>
      </c>
      <c r="FI13" s="130" t="s">
        <v>113</v>
      </c>
      <c r="FJ13" s="1"/>
      <c r="FK13" s="1"/>
      <c r="FL13" s="1"/>
      <c r="FM13" s="1"/>
      <c r="FN13" s="1"/>
      <c r="FO13" s="1"/>
      <c r="FP13" s="1"/>
      <c r="FQ13" s="1"/>
    </row>
    <row r="14" spans="1:173" x14ac:dyDescent="0.3">
      <c r="A14" s="1"/>
      <c r="B14" s="28">
        <v>3</v>
      </c>
      <c r="C14" s="129">
        <f>+'[37]2. Distributional by deciles o'!B66</f>
        <v>131703652.71960005</v>
      </c>
      <c r="D14" s="129">
        <f>+'[37]2. Distributional by deciles o'!C66</f>
        <v>135066970.96679991</v>
      </c>
      <c r="E14" s="129">
        <f>+'[37]2. Distributional by deciles o'!D66</f>
        <v>132633140.85839993</v>
      </c>
      <c r="F14" s="129">
        <f>+'[37]2. Distributional by deciles o'!E66</f>
        <v>135066970.96679991</v>
      </c>
      <c r="G14" s="129">
        <f>+'[37]2. Distributional by deciles o'!F66</f>
        <v>132641643.11039996</v>
      </c>
      <c r="H14" s="129">
        <f>+'[37]2. Distributional by deciles o'!G66</f>
        <v>132633140.85839993</v>
      </c>
      <c r="I14" s="129">
        <f>+'[37]2. Distributional by deciles o'!H66</f>
        <v>132633140.85839993</v>
      </c>
      <c r="J14" s="122"/>
      <c r="K14" s="130" t="s">
        <v>113</v>
      </c>
      <c r="L14" s="130" t="s">
        <v>113</v>
      </c>
      <c r="M14" s="130" t="s">
        <v>113</v>
      </c>
      <c r="N14" s="130" t="s">
        <v>113</v>
      </c>
      <c r="O14" s="131">
        <f t="shared" si="12"/>
        <v>1.7247198461225484</v>
      </c>
      <c r="P14" s="129">
        <f>+'[37]2. Distributional by deciles o'!B84</f>
        <v>4532488523.8920069</v>
      </c>
      <c r="Q14" s="129">
        <f>+'[37]2. Distributional by deciles o'!C84</f>
        <v>4577623162.9523926</v>
      </c>
      <c r="R14" s="131">
        <f t="shared" si="0"/>
        <v>0.99580261091603006</v>
      </c>
      <c r="S14" s="130" t="s">
        <v>113</v>
      </c>
      <c r="T14" s="130" t="s">
        <v>113</v>
      </c>
      <c r="U14" s="130" t="s">
        <v>113</v>
      </c>
      <c r="V14" s="130" t="s">
        <v>113</v>
      </c>
      <c r="W14" s="132">
        <f t="shared" si="13"/>
        <v>2.564465630005222</v>
      </c>
      <c r="X14" s="132">
        <f t="shared" si="13"/>
        <v>0.70871687133214634</v>
      </c>
      <c r="Y14" s="132">
        <f t="shared" si="1"/>
        <v>2.564465630005222</v>
      </c>
      <c r="Z14" s="132">
        <f t="shared" si="1"/>
        <v>0.71519967534567752</v>
      </c>
      <c r="AA14" s="132">
        <f t="shared" si="1"/>
        <v>0.70871687133214634</v>
      </c>
      <c r="AB14" s="132">
        <f t="shared" si="14"/>
        <v>0.70871687133214634</v>
      </c>
      <c r="AC14" s="132">
        <f t="shared" si="14"/>
        <v>0.70871687133214634</v>
      </c>
      <c r="AD14" s="130" t="s">
        <v>113</v>
      </c>
      <c r="AE14" s="130" t="s">
        <v>113</v>
      </c>
      <c r="AF14" s="130" t="s">
        <v>113</v>
      </c>
      <c r="AG14" s="130" t="s">
        <v>113</v>
      </c>
      <c r="AH14" s="133">
        <f t="shared" si="2"/>
        <v>1</v>
      </c>
      <c r="AI14" s="134">
        <f t="shared" si="15"/>
        <v>0</v>
      </c>
      <c r="AJ14" s="134">
        <f t="shared" si="3"/>
        <v>0</v>
      </c>
      <c r="AK14" s="134">
        <f t="shared" si="4"/>
        <v>1.564465630005222</v>
      </c>
      <c r="AL14" s="134">
        <f t="shared" si="16"/>
        <v>0</v>
      </c>
      <c r="AM14" s="134">
        <f t="shared" si="17"/>
        <v>0</v>
      </c>
      <c r="AN14" s="135">
        <f>IF(J14&lt;&gt;0,IF(W14&gt;1,MAX(MIN(AB14-AC14,W14-AH14-AJ14-AK14-AL14-AM14),0),0),0)</f>
        <v>0</v>
      </c>
      <c r="AO14" s="134">
        <f t="shared" si="18"/>
        <v>0</v>
      </c>
      <c r="AP14" s="134">
        <f t="shared" si="6"/>
        <v>0</v>
      </c>
      <c r="AQ14" s="136" t="s">
        <v>113</v>
      </c>
      <c r="AR14" s="137">
        <f t="shared" si="7"/>
        <v>0</v>
      </c>
      <c r="AS14" s="137">
        <f t="shared" si="7"/>
        <v>0</v>
      </c>
      <c r="AT14" s="137">
        <f t="shared" si="7"/>
        <v>100</v>
      </c>
      <c r="AU14" s="137">
        <f t="shared" si="7"/>
        <v>0</v>
      </c>
      <c r="AV14" s="137">
        <f t="shared" si="7"/>
        <v>0</v>
      </c>
      <c r="AW14" s="138">
        <f t="shared" si="7"/>
        <v>0</v>
      </c>
      <c r="AX14" s="137">
        <f t="shared" si="7"/>
        <v>0</v>
      </c>
      <c r="AY14" s="137">
        <f t="shared" si="7"/>
        <v>0</v>
      </c>
      <c r="AZ14" s="139" t="s">
        <v>113</v>
      </c>
      <c r="BA14" s="139" t="s">
        <v>113</v>
      </c>
      <c r="BB14" s="139" t="s">
        <v>113</v>
      </c>
      <c r="BC14" s="139" t="s">
        <v>113</v>
      </c>
      <c r="BD14" s="139" t="s">
        <v>113</v>
      </c>
      <c r="BE14" s="139" t="s">
        <v>113</v>
      </c>
      <c r="BF14" s="139" t="s">
        <v>113</v>
      </c>
      <c r="BG14" s="139" t="s">
        <v>113</v>
      </c>
      <c r="BH14" s="140">
        <f>+'[37]2. Distributional by deciles o'!B102</f>
        <v>1624564730.6484003</v>
      </c>
      <c r="BI14" s="140">
        <f>+'[37]2. Distributional by deciles o'!B120</f>
        <v>2048479048.5431993</v>
      </c>
      <c r="BJ14" s="140">
        <f>+'[37]2. Distributional by deciles o'!B138</f>
        <v>787276268.38559949</v>
      </c>
      <c r="BK14" s="140">
        <f>+'[37]2. Distributional by deciles o'!B156</f>
        <v>72169048.101600021</v>
      </c>
      <c r="BL14" s="141">
        <f t="shared" si="19"/>
        <v>0.35842661644729246</v>
      </c>
      <c r="BM14" s="141">
        <f t="shared" si="20"/>
        <v>0.4519545453504093</v>
      </c>
      <c r="BN14" s="141">
        <f t="shared" si="21"/>
        <v>0.17369622998898682</v>
      </c>
      <c r="BO14" s="141">
        <f t="shared" si="21"/>
        <v>1.5922608213311491E-2</v>
      </c>
      <c r="BP14" s="139" t="s">
        <v>113</v>
      </c>
      <c r="BQ14" s="139" t="s">
        <v>113</v>
      </c>
      <c r="BR14" s="139" t="s">
        <v>113</v>
      </c>
      <c r="BS14" s="131">
        <f t="shared" si="22"/>
        <v>5.2353877798522523</v>
      </c>
      <c r="BT14" s="139"/>
      <c r="BU14" s="139"/>
      <c r="BV14" s="139"/>
      <c r="BW14" s="139"/>
      <c r="BX14" s="139"/>
      <c r="BY14" s="139"/>
      <c r="BZ14" s="139"/>
      <c r="CA14" s="139"/>
      <c r="CB14" s="139"/>
      <c r="CC14" s="142" t="s">
        <v>113</v>
      </c>
      <c r="CD14" s="142" t="s">
        <v>113</v>
      </c>
      <c r="CE14" s="142" t="s">
        <v>113</v>
      </c>
      <c r="CF14" s="142" t="s">
        <v>113</v>
      </c>
      <c r="CG14" s="142" t="s">
        <v>113</v>
      </c>
      <c r="CH14" s="142" t="s">
        <v>113</v>
      </c>
      <c r="CI14" s="142" t="s">
        <v>113</v>
      </c>
      <c r="CJ14" s="142"/>
      <c r="CK14" s="139" t="s">
        <v>113</v>
      </c>
      <c r="CL14" s="139" t="s">
        <v>113</v>
      </c>
      <c r="CM14" s="139" t="s">
        <v>113</v>
      </c>
      <c r="CN14" s="139" t="s">
        <v>113</v>
      </c>
      <c r="CO14" s="139" t="s">
        <v>113</v>
      </c>
      <c r="CP14" s="139" t="s">
        <v>113</v>
      </c>
      <c r="CQ14" s="139" t="s">
        <v>113</v>
      </c>
      <c r="CR14" s="139"/>
      <c r="CS14" s="143" t="s">
        <v>113</v>
      </c>
      <c r="CT14" s="143" t="s">
        <v>113</v>
      </c>
      <c r="CU14" s="143" t="s">
        <v>113</v>
      </c>
      <c r="CV14" s="143" t="s">
        <v>113</v>
      </c>
      <c r="CW14" s="143" t="s">
        <v>113</v>
      </c>
      <c r="CX14" s="143" t="s">
        <v>113</v>
      </c>
      <c r="CY14" s="143" t="s">
        <v>113</v>
      </c>
      <c r="CZ14" s="143"/>
      <c r="DA14" s="139" t="s">
        <v>113</v>
      </c>
      <c r="DB14" s="139" t="s">
        <v>113</v>
      </c>
      <c r="DC14" s="139" t="s">
        <v>113</v>
      </c>
      <c r="DD14" s="144">
        <f t="shared" si="23"/>
        <v>58.706880411882899</v>
      </c>
      <c r="DE14" s="145">
        <f>+'[37]2. Distributional by deciles o'!J30</f>
        <v>0.41293119588117105</v>
      </c>
      <c r="DF14" s="1"/>
      <c r="DG14" s="1"/>
      <c r="DH14" s="1"/>
      <c r="DI14" s="1"/>
      <c r="DJ14" s="1"/>
      <c r="DK14" s="1"/>
      <c r="DL14" s="1"/>
      <c r="DM14" s="1"/>
      <c r="DN14" s="1"/>
      <c r="DO14" s="1"/>
      <c r="DP14" s="1"/>
      <c r="DQ14" s="1"/>
      <c r="DR14" s="1"/>
      <c r="DS14" s="1"/>
      <c r="DT14" s="1"/>
      <c r="DU14" s="1"/>
      <c r="DV14" s="1"/>
      <c r="DW14" s="1"/>
      <c r="DX14" s="1"/>
      <c r="DY14" s="1"/>
      <c r="DZ14" s="1"/>
      <c r="EA14" s="146">
        <f>+'[38]2. Distributional by deciles o'!B66</f>
        <v>97799249.97480014</v>
      </c>
      <c r="EB14" s="146">
        <f>+'[38]2. Distributional by deciles o'!C66</f>
        <v>101690637.08760011</v>
      </c>
      <c r="EC14" s="146">
        <f>+'[38]2. Distributional by deciles o'!D66</f>
        <v>98765847.433199987</v>
      </c>
      <c r="ED14" s="146">
        <f>+'[38]2. Distributional by deciles o'!E66</f>
        <v>100182447.29040003</v>
      </c>
      <c r="EE14" s="146">
        <f>+'[38]2. Distributional by deciles o'!F66</f>
        <v>98774331.460799977</v>
      </c>
      <c r="EF14" s="146">
        <f>+'[38]2. Distributional by deciles o'!G66</f>
        <v>98765847.433199987</v>
      </c>
      <c r="EG14" s="146">
        <f>+'[38]2. Distributional by deciles o'!H66</f>
        <v>98765847.433199987</v>
      </c>
      <c r="EH14" s="122"/>
      <c r="EI14" s="130" t="s">
        <v>113</v>
      </c>
      <c r="EJ14" s="130" t="s">
        <v>113</v>
      </c>
      <c r="EK14" s="130" t="s">
        <v>113</v>
      </c>
      <c r="EL14" s="130" t="s">
        <v>113</v>
      </c>
      <c r="EM14" s="131">
        <f t="shared" si="9"/>
        <v>1.2075032964242753</v>
      </c>
      <c r="EN14" s="146">
        <f>+'[38]2. Distributional by deciles o'!B84</f>
        <v>4933751521.9752016</v>
      </c>
      <c r="EO14" s="146">
        <f>+'[38]2. Distributional by deciles o'!C84</f>
        <v>4983089054.5452147</v>
      </c>
      <c r="EP14" s="131">
        <f t="shared" si="10"/>
        <v>1.000000351664676</v>
      </c>
      <c r="EQ14" s="130" t="s">
        <v>113</v>
      </c>
      <c r="ER14" s="130" t="s">
        <v>113</v>
      </c>
      <c r="ES14" s="130" t="s">
        <v>113</v>
      </c>
      <c r="ET14" s="130" t="s">
        <v>113</v>
      </c>
      <c r="EU14" s="131">
        <f t="shared" si="24"/>
        <v>5.2847076592438516</v>
      </c>
      <c r="EV14" s="132">
        <f t="shared" si="25"/>
        <v>3.9789525434395001</v>
      </c>
      <c r="EW14" s="132">
        <f t="shared" si="26"/>
        <v>0.9883481915565272</v>
      </c>
      <c r="EX14" s="132"/>
      <c r="EY14" s="148">
        <f t="shared" si="11"/>
        <v>1.4144869134342781</v>
      </c>
      <c r="EZ14" s="144">
        <f t="shared" si="27"/>
        <v>53.446587388875599</v>
      </c>
      <c r="FA14" s="145">
        <f>+'[38]2. Distributional by deciles o'!J30</f>
        <v>0.46553412611124406</v>
      </c>
      <c r="FB14" s="130" t="s">
        <v>113</v>
      </c>
      <c r="FC14" s="130" t="s">
        <v>113</v>
      </c>
      <c r="FD14" s="130" t="s">
        <v>113</v>
      </c>
      <c r="FE14" s="130" t="s">
        <v>113</v>
      </c>
      <c r="FF14" s="130" t="s">
        <v>113</v>
      </c>
      <c r="FG14" s="130" t="s">
        <v>113</v>
      </c>
      <c r="FH14" s="130" t="s">
        <v>113</v>
      </c>
      <c r="FI14" s="130" t="s">
        <v>113</v>
      </c>
      <c r="FJ14" s="1"/>
      <c r="FK14" s="1"/>
      <c r="FL14" s="1"/>
      <c r="FM14" s="1"/>
      <c r="FN14" s="1"/>
      <c r="FO14" s="1"/>
      <c r="FP14" s="1"/>
      <c r="FQ14" s="1"/>
    </row>
    <row r="15" spans="1:173" x14ac:dyDescent="0.3">
      <c r="A15" s="1"/>
      <c r="B15" s="28">
        <v>4</v>
      </c>
      <c r="C15" s="129">
        <f>+'[37]2. Distributional by deciles o'!B67</f>
        <v>186145345.89840001</v>
      </c>
      <c r="D15" s="129">
        <f>+'[37]2. Distributional by deciles o'!C67</f>
        <v>190468626.72479999</v>
      </c>
      <c r="E15" s="129">
        <f>+'[37]2. Distributional by deciles o'!D67</f>
        <v>187342023.29160005</v>
      </c>
      <c r="F15" s="129">
        <f>+'[37]2. Distributional by deciles o'!E67</f>
        <v>190468626.72479999</v>
      </c>
      <c r="G15" s="129">
        <f>+'[37]2. Distributional by deciles o'!F67</f>
        <v>187363495.8120001</v>
      </c>
      <c r="H15" s="129">
        <f>+'[37]2. Distributional by deciles o'!G67</f>
        <v>187342023.29160005</v>
      </c>
      <c r="I15" s="129">
        <f>+'[37]2. Distributional by deciles o'!H67</f>
        <v>187342023.29160005</v>
      </c>
      <c r="J15" s="122"/>
      <c r="K15" s="130" t="s">
        <v>113</v>
      </c>
      <c r="L15" s="130" t="s">
        <v>113</v>
      </c>
      <c r="M15" s="130" t="s">
        <v>113</v>
      </c>
      <c r="N15" s="130" t="s">
        <v>113</v>
      </c>
      <c r="O15" s="131">
        <f t="shared" si="12"/>
        <v>2.4376588325749506</v>
      </c>
      <c r="P15" s="129">
        <f>+'[37]2. Distributional by deciles o'!B85</f>
        <v>5595660175.0296078</v>
      </c>
      <c r="Q15" s="129">
        <f>+'[37]2. Distributional by deciles o'!C85</f>
        <v>5651279600.7480049</v>
      </c>
      <c r="R15" s="131">
        <f t="shared" si="0"/>
        <v>0.99397432972425648</v>
      </c>
      <c r="S15" s="130" t="s">
        <v>113</v>
      </c>
      <c r="T15" s="130" t="s">
        <v>113</v>
      </c>
      <c r="U15" s="130" t="s">
        <v>113</v>
      </c>
      <c r="V15" s="130" t="s">
        <v>113</v>
      </c>
      <c r="W15" s="132">
        <f t="shared" si="13"/>
        <v>2.3366092740559461</v>
      </c>
      <c r="X15" s="132">
        <f t="shared" si="13"/>
        <v>0.64676980452659838</v>
      </c>
      <c r="Y15" s="132">
        <f t="shared" si="1"/>
        <v>2.3366092740559461</v>
      </c>
      <c r="Z15" s="132">
        <f t="shared" si="1"/>
        <v>0.65837508586703941</v>
      </c>
      <c r="AA15" s="132">
        <f t="shared" si="1"/>
        <v>0.64676980452659838</v>
      </c>
      <c r="AB15" s="132">
        <f t="shared" si="14"/>
        <v>0.64676980452659838</v>
      </c>
      <c r="AC15" s="132">
        <f t="shared" si="14"/>
        <v>0.64676980452659838</v>
      </c>
      <c r="AD15" s="130" t="s">
        <v>113</v>
      </c>
      <c r="AE15" s="130" t="s">
        <v>113</v>
      </c>
      <c r="AF15" s="130" t="s">
        <v>113</v>
      </c>
      <c r="AG15" s="130" t="s">
        <v>113</v>
      </c>
      <c r="AH15" s="133">
        <f t="shared" si="2"/>
        <v>1</v>
      </c>
      <c r="AI15" s="134">
        <f t="shared" si="15"/>
        <v>0</v>
      </c>
      <c r="AJ15" s="134">
        <f t="shared" si="3"/>
        <v>0</v>
      </c>
      <c r="AK15" s="134">
        <f t="shared" si="4"/>
        <v>1.3366092740559461</v>
      </c>
      <c r="AL15" s="134">
        <f t="shared" si="16"/>
        <v>0</v>
      </c>
      <c r="AM15" s="134">
        <f t="shared" si="17"/>
        <v>0</v>
      </c>
      <c r="AN15" s="135">
        <f t="shared" ref="AN15:AN22" si="28">IF(J15&lt;&gt;0,IF(W15&gt;1,MAX(MIN(AB15-AC15,W15-AH15-AJ15-AK15-AL15-AM15),0),0),0)</f>
        <v>0</v>
      </c>
      <c r="AO15" s="134">
        <f t="shared" si="18"/>
        <v>0</v>
      </c>
      <c r="AP15" s="134">
        <f t="shared" si="6"/>
        <v>0</v>
      </c>
      <c r="AQ15" s="136" t="s">
        <v>113</v>
      </c>
      <c r="AR15" s="137">
        <f t="shared" si="7"/>
        <v>0</v>
      </c>
      <c r="AS15" s="137">
        <f t="shared" si="7"/>
        <v>0</v>
      </c>
      <c r="AT15" s="137">
        <f t="shared" si="7"/>
        <v>100</v>
      </c>
      <c r="AU15" s="137">
        <f t="shared" si="7"/>
        <v>0</v>
      </c>
      <c r="AV15" s="137">
        <f t="shared" si="7"/>
        <v>0</v>
      </c>
      <c r="AW15" s="138">
        <f t="shared" si="7"/>
        <v>0</v>
      </c>
      <c r="AX15" s="137">
        <f t="shared" si="7"/>
        <v>0</v>
      </c>
      <c r="AY15" s="137">
        <f t="shared" si="7"/>
        <v>0</v>
      </c>
      <c r="AZ15" s="139" t="s">
        <v>113</v>
      </c>
      <c r="BA15" s="139" t="s">
        <v>113</v>
      </c>
      <c r="BB15" s="139" t="s">
        <v>113</v>
      </c>
      <c r="BC15" s="139" t="s">
        <v>113</v>
      </c>
      <c r="BD15" s="139" t="s">
        <v>113</v>
      </c>
      <c r="BE15" s="139" t="s">
        <v>113</v>
      </c>
      <c r="BF15" s="139" t="s">
        <v>113</v>
      </c>
      <c r="BG15" s="139" t="s">
        <v>113</v>
      </c>
      <c r="BH15" s="140">
        <f>+'[37]2. Distributional by deciles o'!B103</f>
        <v>2026152031.6667976</v>
      </c>
      <c r="BI15" s="140">
        <f>+'[37]2. Distributional by deciles o'!B121</f>
        <v>2630558621.014802</v>
      </c>
      <c r="BJ15" s="140">
        <f>+'[37]2. Distributional by deciles o'!B139</f>
        <v>867586542.72359967</v>
      </c>
      <c r="BK15" s="140">
        <f>+'[37]2. Distributional by deciles o'!B157</f>
        <v>71363730.91080004</v>
      </c>
      <c r="BL15" s="141">
        <f t="shared" si="19"/>
        <v>0.36209342530708882</v>
      </c>
      <c r="BM15" s="141">
        <f t="shared" si="20"/>
        <v>0.47010686595455958</v>
      </c>
      <c r="BN15" s="141">
        <f t="shared" si="21"/>
        <v>0.15504630358201321</v>
      </c>
      <c r="BO15" s="141">
        <f t="shared" si="21"/>
        <v>1.2753405156338448E-2</v>
      </c>
      <c r="BP15" s="139" t="s">
        <v>113</v>
      </c>
      <c r="BQ15" s="139" t="s">
        <v>113</v>
      </c>
      <c r="BR15" s="139" t="s">
        <v>113</v>
      </c>
      <c r="BS15" s="131">
        <f t="shared" si="22"/>
        <v>6.4634363101266468</v>
      </c>
      <c r="BT15" s="139"/>
      <c r="BU15" s="139"/>
      <c r="BV15" s="139"/>
      <c r="BW15" s="139"/>
      <c r="BX15" s="139"/>
      <c r="BY15" s="139"/>
      <c r="BZ15" s="139"/>
      <c r="CA15" s="139"/>
      <c r="CB15" s="139"/>
      <c r="CC15" s="142" t="s">
        <v>113</v>
      </c>
      <c r="CD15" s="142" t="s">
        <v>113</v>
      </c>
      <c r="CE15" s="142" t="s">
        <v>113</v>
      </c>
      <c r="CF15" s="142" t="s">
        <v>113</v>
      </c>
      <c r="CG15" s="142" t="s">
        <v>113</v>
      </c>
      <c r="CH15" s="142" t="s">
        <v>113</v>
      </c>
      <c r="CI15" s="142" t="s">
        <v>113</v>
      </c>
      <c r="CJ15" s="142"/>
      <c r="CK15" s="139" t="s">
        <v>113</v>
      </c>
      <c r="CL15" s="139" t="s">
        <v>113</v>
      </c>
      <c r="CM15" s="139" t="s">
        <v>113</v>
      </c>
      <c r="CN15" s="139" t="s">
        <v>113</v>
      </c>
      <c r="CO15" s="139" t="s">
        <v>113</v>
      </c>
      <c r="CP15" s="139" t="s">
        <v>113</v>
      </c>
      <c r="CQ15" s="139" t="s">
        <v>113</v>
      </c>
      <c r="CR15" s="139"/>
      <c r="CS15" s="143" t="s">
        <v>113</v>
      </c>
      <c r="CT15" s="143" t="s">
        <v>113</v>
      </c>
      <c r="CU15" s="143" t="s">
        <v>113</v>
      </c>
      <c r="CV15" s="143" t="s">
        <v>113</v>
      </c>
      <c r="CW15" s="143" t="s">
        <v>113</v>
      </c>
      <c r="CX15" s="143" t="s">
        <v>113</v>
      </c>
      <c r="CY15" s="143" t="s">
        <v>113</v>
      </c>
      <c r="CZ15" s="143"/>
      <c r="DA15" s="139" t="s">
        <v>113</v>
      </c>
      <c r="DB15" s="139" t="s">
        <v>113</v>
      </c>
      <c r="DC15" s="139" t="s">
        <v>113</v>
      </c>
      <c r="DD15" s="144">
        <f t="shared" si="23"/>
        <v>54.434081800485544</v>
      </c>
      <c r="DE15" s="145">
        <f>+'[37]2. Distributional by deciles o'!J31</f>
        <v>0.45565918199514455</v>
      </c>
      <c r="DF15" s="1"/>
      <c r="DG15" s="1"/>
      <c r="DH15" s="1"/>
      <c r="DI15" s="1"/>
      <c r="DJ15" s="1"/>
      <c r="DK15" s="1"/>
      <c r="DL15" s="1"/>
      <c r="DM15" s="1"/>
      <c r="DN15" s="1"/>
      <c r="DO15" s="1"/>
      <c r="DP15" s="1"/>
      <c r="DQ15" s="1"/>
      <c r="DR15" s="1"/>
      <c r="DS15" s="1"/>
      <c r="DT15" s="1"/>
      <c r="DU15" s="1"/>
      <c r="DV15" s="1"/>
      <c r="DW15" s="1"/>
      <c r="DX15" s="1"/>
      <c r="DY15" s="1"/>
      <c r="DZ15" s="1"/>
      <c r="EA15" s="146">
        <f>+'[38]2. Distributional by deciles o'!B67</f>
        <v>149442643.46280015</v>
      </c>
      <c r="EB15" s="146">
        <f>+'[38]2. Distributional by deciles o'!C67</f>
        <v>154245861.78480014</v>
      </c>
      <c r="EC15" s="146">
        <f>+'[38]2. Distributional by deciles o'!D67</f>
        <v>150582833.65679985</v>
      </c>
      <c r="ED15" s="146">
        <f>+'[38]2. Distributional by deciles o'!E67</f>
        <v>152241522.82679993</v>
      </c>
      <c r="EE15" s="146">
        <f>+'[38]2. Distributional by deciles o'!F67</f>
        <v>150599381.20319992</v>
      </c>
      <c r="EF15" s="146">
        <f>+'[38]2. Distributional by deciles o'!G67</f>
        <v>150582833.65679985</v>
      </c>
      <c r="EG15" s="146">
        <f>+'[38]2. Distributional by deciles o'!H67</f>
        <v>150582833.65679985</v>
      </c>
      <c r="EH15" s="122"/>
      <c r="EI15" s="130" t="s">
        <v>113</v>
      </c>
      <c r="EJ15" s="130" t="s">
        <v>113</v>
      </c>
      <c r="EK15" s="130" t="s">
        <v>113</v>
      </c>
      <c r="EL15" s="130" t="s">
        <v>113</v>
      </c>
      <c r="EM15" s="131">
        <f t="shared" si="9"/>
        <v>1.8451315797839545</v>
      </c>
      <c r="EN15" s="146">
        <f>+'[38]2. Distributional by deciles o'!B85</f>
        <v>5962805381.0808029</v>
      </c>
      <c r="EO15" s="146">
        <f>+'[38]2. Distributional by deciles o'!C85</f>
        <v>6022432344</v>
      </c>
      <c r="EP15" s="131">
        <f t="shared" si="10"/>
        <v>0.9999817050609261</v>
      </c>
      <c r="EQ15" s="130" t="s">
        <v>113</v>
      </c>
      <c r="ER15" s="130" t="s">
        <v>113</v>
      </c>
      <c r="ES15" s="130" t="s">
        <v>113</v>
      </c>
      <c r="ET15" s="130" t="s">
        <v>113</v>
      </c>
      <c r="EU15" s="131">
        <f t="shared" si="24"/>
        <v>6.3869619553444057</v>
      </c>
      <c r="EV15" s="132">
        <f t="shared" si="25"/>
        <v>3.2141469709680988</v>
      </c>
      <c r="EW15" s="132">
        <f t="shared" si="26"/>
        <v>0.76297569935270826</v>
      </c>
      <c r="EX15" s="132"/>
      <c r="EY15" s="148">
        <f t="shared" si="11"/>
        <v>0.87753769691215266</v>
      </c>
      <c r="EZ15" s="144">
        <f t="shared" si="27"/>
        <v>51.243856477320818</v>
      </c>
      <c r="FA15" s="145">
        <f>+'[38]2. Distributional by deciles o'!J31</f>
        <v>0.48756143522679191</v>
      </c>
      <c r="FB15" s="130" t="s">
        <v>113</v>
      </c>
      <c r="FC15" s="130" t="s">
        <v>113</v>
      </c>
      <c r="FD15" s="130" t="s">
        <v>113</v>
      </c>
      <c r="FE15" s="130" t="s">
        <v>113</v>
      </c>
      <c r="FF15" s="130" t="s">
        <v>113</v>
      </c>
      <c r="FG15" s="130" t="s">
        <v>113</v>
      </c>
      <c r="FH15" s="130" t="s">
        <v>113</v>
      </c>
      <c r="FI15" s="130" t="s">
        <v>113</v>
      </c>
      <c r="FJ15" s="1"/>
      <c r="FK15" s="1"/>
      <c r="FL15" s="1"/>
      <c r="FM15" s="1"/>
      <c r="FN15" s="1"/>
      <c r="FO15" s="1"/>
      <c r="FP15" s="1"/>
      <c r="FQ15" s="1"/>
    </row>
    <row r="16" spans="1:173" x14ac:dyDescent="0.3">
      <c r="A16" s="1"/>
      <c r="B16" s="28">
        <v>5</v>
      </c>
      <c r="C16" s="129">
        <f>+'[37]2. Distributional by deciles o'!B68</f>
        <v>266447299.08720034</v>
      </c>
      <c r="D16" s="129">
        <f>+'[37]2. Distributional by deciles o'!C68</f>
        <v>273204513.01440036</v>
      </c>
      <c r="E16" s="129">
        <f>+'[37]2. Distributional by deciles o'!D68</f>
        <v>268401949.17000067</v>
      </c>
      <c r="F16" s="129">
        <f>+'[37]2. Distributional by deciles o'!E68</f>
        <v>273169963.38240033</v>
      </c>
      <c r="G16" s="129">
        <f>+'[37]2. Distributional by deciles o'!F68</f>
        <v>268415553.20400068</v>
      </c>
      <c r="H16" s="129">
        <f>+'[37]2. Distributional by deciles o'!G68</f>
        <v>268401949.17000067</v>
      </c>
      <c r="I16" s="129">
        <f>+'[37]2. Distributional by deciles o'!H68</f>
        <v>268401949.17000067</v>
      </c>
      <c r="J16" s="122"/>
      <c r="K16" s="130" t="s">
        <v>113</v>
      </c>
      <c r="L16" s="130" t="s">
        <v>113</v>
      </c>
      <c r="M16" s="130" t="s">
        <v>113</v>
      </c>
      <c r="N16" s="130" t="s">
        <v>113</v>
      </c>
      <c r="O16" s="131">
        <f t="shared" si="12"/>
        <v>3.4892498058488193</v>
      </c>
      <c r="P16" s="129">
        <f>+'[37]2. Distributional by deciles o'!B86</f>
        <v>6617702455.4988041</v>
      </c>
      <c r="Q16" s="129">
        <f>+'[37]2. Distributional by deciles o'!C86</f>
        <v>6683617166.809206</v>
      </c>
      <c r="R16" s="131">
        <f t="shared" si="0"/>
        <v>0.99603618859642751</v>
      </c>
      <c r="S16" s="130" t="s">
        <v>113</v>
      </c>
      <c r="T16" s="130" t="s">
        <v>113</v>
      </c>
      <c r="U16" s="130" t="s">
        <v>113</v>
      </c>
      <c r="V16" s="130" t="s">
        <v>113</v>
      </c>
      <c r="W16" s="132">
        <f t="shared" si="13"/>
        <v>2.5461338368098563</v>
      </c>
      <c r="X16" s="132">
        <f t="shared" si="13"/>
        <v>0.73651667219056605</v>
      </c>
      <c r="Y16" s="132">
        <f t="shared" si="1"/>
        <v>2.5331154555609658</v>
      </c>
      <c r="Z16" s="132">
        <f t="shared" si="1"/>
        <v>0.74164270366710516</v>
      </c>
      <c r="AA16" s="132">
        <f t="shared" si="1"/>
        <v>0.73651667219056605</v>
      </c>
      <c r="AB16" s="132">
        <f t="shared" si="14"/>
        <v>0.73651667219056605</v>
      </c>
      <c r="AC16" s="132">
        <f t="shared" si="14"/>
        <v>0.73651667219056605</v>
      </c>
      <c r="AD16" s="130" t="s">
        <v>113</v>
      </c>
      <c r="AE16" s="130" t="s">
        <v>113</v>
      </c>
      <c r="AF16" s="130" t="s">
        <v>113</v>
      </c>
      <c r="AG16" s="130" t="s">
        <v>113</v>
      </c>
      <c r="AH16" s="133">
        <f t="shared" si="2"/>
        <v>1</v>
      </c>
      <c r="AI16" s="134">
        <f t="shared" si="15"/>
        <v>0</v>
      </c>
      <c r="AJ16" s="134">
        <f t="shared" si="3"/>
        <v>1.3018381248890432E-2</v>
      </c>
      <c r="AK16" s="134">
        <f t="shared" si="4"/>
        <v>1.5331154555609658</v>
      </c>
      <c r="AL16" s="134">
        <f t="shared" si="16"/>
        <v>0</v>
      </c>
      <c r="AM16" s="134">
        <f t="shared" si="17"/>
        <v>0</v>
      </c>
      <c r="AN16" s="135">
        <f t="shared" si="28"/>
        <v>0</v>
      </c>
      <c r="AO16" s="134">
        <f t="shared" si="18"/>
        <v>0</v>
      </c>
      <c r="AP16" s="134">
        <f t="shared" si="6"/>
        <v>0</v>
      </c>
      <c r="AQ16" s="136" t="s">
        <v>113</v>
      </c>
      <c r="AR16" s="137">
        <f t="shared" si="7"/>
        <v>0</v>
      </c>
      <c r="AS16" s="137">
        <f t="shared" si="7"/>
        <v>0.84199575346926669</v>
      </c>
      <c r="AT16" s="137">
        <f t="shared" si="7"/>
        <v>99.158004246530723</v>
      </c>
      <c r="AU16" s="137">
        <f t="shared" si="7"/>
        <v>0</v>
      </c>
      <c r="AV16" s="137">
        <f t="shared" si="7"/>
        <v>0</v>
      </c>
      <c r="AW16" s="138">
        <f t="shared" si="7"/>
        <v>0</v>
      </c>
      <c r="AX16" s="137">
        <f t="shared" si="7"/>
        <v>0</v>
      </c>
      <c r="AY16" s="137">
        <f t="shared" si="7"/>
        <v>0</v>
      </c>
      <c r="AZ16" s="139" t="s">
        <v>113</v>
      </c>
      <c r="BA16" s="139" t="s">
        <v>113</v>
      </c>
      <c r="BB16" s="139" t="s">
        <v>113</v>
      </c>
      <c r="BC16" s="139" t="s">
        <v>113</v>
      </c>
      <c r="BD16" s="139" t="s">
        <v>113</v>
      </c>
      <c r="BE16" s="139" t="s">
        <v>113</v>
      </c>
      <c r="BF16" s="139" t="s">
        <v>113</v>
      </c>
      <c r="BG16" s="139" t="s">
        <v>113</v>
      </c>
      <c r="BH16" s="140">
        <f>+'[37]2. Distributional by deciles o'!B104</f>
        <v>2797570357.8683991</v>
      </c>
      <c r="BI16" s="140">
        <f>+'[37]2. Distributional by deciles o'!B122</f>
        <v>2712381139.3247986</v>
      </c>
      <c r="BJ16" s="140">
        <f>+'[37]2. Distributional by deciles o'!B140</f>
        <v>948528353.33879936</v>
      </c>
      <c r="BK16" s="140">
        <f>+'[37]2. Distributional by deciles o'!B158</f>
        <v>159223285.98960006</v>
      </c>
      <c r="BL16" s="141">
        <f t="shared" si="19"/>
        <v>0.4227403829025278</v>
      </c>
      <c r="BM16" s="141">
        <f t="shared" si="20"/>
        <v>0.40986745451843926</v>
      </c>
      <c r="BN16" s="141">
        <f t="shared" si="21"/>
        <v>0.14333195880366517</v>
      </c>
      <c r="BO16" s="141">
        <f t="shared" si="21"/>
        <v>2.4060203775367772E-2</v>
      </c>
      <c r="BP16" s="139" t="s">
        <v>113</v>
      </c>
      <c r="BQ16" s="139" t="s">
        <v>113</v>
      </c>
      <c r="BR16" s="139" t="s">
        <v>113</v>
      </c>
      <c r="BS16" s="131">
        <f t="shared" si="22"/>
        <v>7.6439771184387411</v>
      </c>
      <c r="BT16" s="139"/>
      <c r="BU16" s="139"/>
      <c r="BV16" s="139"/>
      <c r="BW16" s="139"/>
      <c r="BX16" s="139"/>
      <c r="BY16" s="139"/>
      <c r="BZ16" s="139"/>
      <c r="CA16" s="139"/>
      <c r="CB16" s="139"/>
      <c r="CC16" s="142" t="s">
        <v>113</v>
      </c>
      <c r="CD16" s="142" t="s">
        <v>113</v>
      </c>
      <c r="CE16" s="142" t="s">
        <v>113</v>
      </c>
      <c r="CF16" s="142" t="s">
        <v>113</v>
      </c>
      <c r="CG16" s="142" t="s">
        <v>113</v>
      </c>
      <c r="CH16" s="142" t="s">
        <v>113</v>
      </c>
      <c r="CI16" s="142" t="s">
        <v>113</v>
      </c>
      <c r="CJ16" s="142"/>
      <c r="CK16" s="139" t="s">
        <v>113</v>
      </c>
      <c r="CL16" s="139" t="s">
        <v>113</v>
      </c>
      <c r="CM16" s="139" t="s">
        <v>113</v>
      </c>
      <c r="CN16" s="139" t="s">
        <v>113</v>
      </c>
      <c r="CO16" s="139" t="s">
        <v>113</v>
      </c>
      <c r="CP16" s="139" t="s">
        <v>113</v>
      </c>
      <c r="CQ16" s="139" t="s">
        <v>113</v>
      </c>
      <c r="CR16" s="139"/>
      <c r="CS16" s="143" t="s">
        <v>113</v>
      </c>
      <c r="CT16" s="143" t="s">
        <v>113</v>
      </c>
      <c r="CU16" s="143" t="s">
        <v>113</v>
      </c>
      <c r="CV16" s="143" t="s">
        <v>113</v>
      </c>
      <c r="CW16" s="143" t="s">
        <v>113</v>
      </c>
      <c r="CX16" s="143" t="s">
        <v>113</v>
      </c>
      <c r="CY16" s="143" t="s">
        <v>113</v>
      </c>
      <c r="CZ16" s="143"/>
      <c r="DA16" s="139" t="s">
        <v>113</v>
      </c>
      <c r="DB16" s="139" t="s">
        <v>113</v>
      </c>
      <c r="DC16" s="139" t="s">
        <v>113</v>
      </c>
      <c r="DD16" s="144">
        <f t="shared" si="23"/>
        <v>33.53837377489095</v>
      </c>
      <c r="DE16" s="145">
        <f>+'[37]2. Distributional by deciles o'!J32</f>
        <v>0.66461626225109049</v>
      </c>
      <c r="DF16" s="1"/>
      <c r="DG16" s="1"/>
      <c r="DH16" s="1"/>
      <c r="DI16" s="1"/>
      <c r="DJ16" s="1"/>
      <c r="DK16" s="1"/>
      <c r="DL16" s="1"/>
      <c r="DM16" s="1"/>
      <c r="DN16" s="1"/>
      <c r="DO16" s="1"/>
      <c r="DP16" s="1"/>
      <c r="DQ16" s="1"/>
      <c r="DR16" s="1"/>
      <c r="DS16" s="1"/>
      <c r="DT16" s="1"/>
      <c r="DU16" s="1"/>
      <c r="DV16" s="1"/>
      <c r="DW16" s="1"/>
      <c r="DX16" s="1"/>
      <c r="DY16" s="1"/>
      <c r="DZ16" s="1"/>
      <c r="EA16" s="146">
        <f>+'[38]2. Distributional by deciles o'!B68</f>
        <v>251471395.27319983</v>
      </c>
      <c r="EB16" s="146">
        <f>+'[38]2. Distributional by deciles o'!C68</f>
        <v>259301116.0643996</v>
      </c>
      <c r="EC16" s="146">
        <f>+'[38]2. Distributional by deciles o'!D68</f>
        <v>253688705.09159991</v>
      </c>
      <c r="ED16" s="146">
        <f>+'[38]2. Distributional by deciles o'!E68</f>
        <v>256550156.53319985</v>
      </c>
      <c r="EE16" s="146">
        <f>+'[38]2. Distributional by deciles o'!F68</f>
        <v>253705387.14239997</v>
      </c>
      <c r="EF16" s="146">
        <f>+'[38]2. Distributional by deciles o'!G68</f>
        <v>253688705.09159991</v>
      </c>
      <c r="EG16" s="146">
        <f>+'[38]2. Distributional by deciles o'!H68</f>
        <v>253688705.09159991</v>
      </c>
      <c r="EH16" s="122"/>
      <c r="EI16" s="130" t="s">
        <v>113</v>
      </c>
      <c r="EJ16" s="130" t="s">
        <v>113</v>
      </c>
      <c r="EK16" s="130" t="s">
        <v>113</v>
      </c>
      <c r="EL16" s="130" t="s">
        <v>113</v>
      </c>
      <c r="EM16" s="131">
        <f t="shared" si="9"/>
        <v>3.1048554955896144</v>
      </c>
      <c r="EN16" s="146">
        <f>+'[38]2. Distributional by deciles o'!B86</f>
        <v>7041819882.552</v>
      </c>
      <c r="EO16" s="146">
        <f>+'[38]2. Distributional by deciles o'!C86</f>
        <v>7112237288.6051903</v>
      </c>
      <c r="EP16" s="131">
        <f t="shared" si="10"/>
        <v>0.99998874193967247</v>
      </c>
      <c r="EQ16" s="130" t="s">
        <v>113</v>
      </c>
      <c r="ER16" s="130" t="s">
        <v>113</v>
      </c>
      <c r="ES16" s="130" t="s">
        <v>113</v>
      </c>
      <c r="ET16" s="130" t="s">
        <v>113</v>
      </c>
      <c r="EU16" s="131">
        <f t="shared" si="24"/>
        <v>7.5427307805399524</v>
      </c>
      <c r="EV16" s="132">
        <f t="shared" si="25"/>
        <v>3.1135982409270939</v>
      </c>
      <c r="EW16" s="132">
        <f t="shared" si="26"/>
        <v>0.88174433473035574</v>
      </c>
      <c r="EX16" s="132"/>
      <c r="EY16" s="148">
        <f t="shared" si="11"/>
        <v>0.56746440411723764</v>
      </c>
      <c r="EZ16" s="144">
        <f t="shared" si="27"/>
        <v>19.616141586072843</v>
      </c>
      <c r="FA16" s="145">
        <f>+'[38]2. Distributional by deciles o'!J32</f>
        <v>0.80383858413927156</v>
      </c>
      <c r="FB16" s="130" t="s">
        <v>113</v>
      </c>
      <c r="FC16" s="130" t="s">
        <v>113</v>
      </c>
      <c r="FD16" s="130" t="s">
        <v>113</v>
      </c>
      <c r="FE16" s="130" t="s">
        <v>113</v>
      </c>
      <c r="FF16" s="130" t="s">
        <v>113</v>
      </c>
      <c r="FG16" s="130" t="s">
        <v>113</v>
      </c>
      <c r="FH16" s="130" t="s">
        <v>113</v>
      </c>
      <c r="FI16" s="130" t="s">
        <v>113</v>
      </c>
      <c r="FJ16" s="1"/>
      <c r="FK16" s="1"/>
      <c r="FL16" s="1"/>
      <c r="FM16" s="1"/>
      <c r="FN16" s="1"/>
      <c r="FO16" s="1"/>
      <c r="FP16" s="1"/>
      <c r="FQ16" s="1"/>
    </row>
    <row r="17" spans="1:173" x14ac:dyDescent="0.3">
      <c r="A17" s="1"/>
      <c r="B17" s="28">
        <v>6</v>
      </c>
      <c r="C17" s="129">
        <f>+'[37]2. Distributional by deciles o'!B69</f>
        <v>391104144.92999965</v>
      </c>
      <c r="D17" s="129">
        <f>+'[37]2. Distributional by deciles o'!C69</f>
        <v>401393583.58679986</v>
      </c>
      <c r="E17" s="129">
        <f>+'[37]2. Distributional by deciles o'!D69</f>
        <v>394410823.08599973</v>
      </c>
      <c r="F17" s="129">
        <f>+'[37]2. Distributional by deciles o'!E69</f>
        <v>401233737.03359985</v>
      </c>
      <c r="G17" s="129">
        <f>+'[37]2. Distributional by deciles o'!F69</f>
        <v>394437373.10999966</v>
      </c>
      <c r="H17" s="129">
        <f>+'[37]2. Distributional by deciles o'!G69</f>
        <v>394410823.08599973</v>
      </c>
      <c r="I17" s="129">
        <f>+'[37]2. Distributional by deciles o'!H69</f>
        <v>394410823.08599973</v>
      </c>
      <c r="J17" s="122"/>
      <c r="K17" s="130" t="s">
        <v>113</v>
      </c>
      <c r="L17" s="130" t="s">
        <v>113</v>
      </c>
      <c r="M17" s="130" t="s">
        <v>113</v>
      </c>
      <c r="N17" s="130" t="s">
        <v>113</v>
      </c>
      <c r="O17" s="131">
        <f t="shared" si="12"/>
        <v>5.1216884781296166</v>
      </c>
      <c r="P17" s="129">
        <f>+'[37]2. Distributional by deciles o'!B87</f>
        <v>7698122086.5336199</v>
      </c>
      <c r="Q17" s="129">
        <f>+'[37]2. Distributional by deciles o'!C87</f>
        <v>7774947270.6863852</v>
      </c>
      <c r="R17" s="131">
        <f t="shared" si="0"/>
        <v>0.99797305484614629</v>
      </c>
      <c r="S17" s="130" t="s">
        <v>113</v>
      </c>
      <c r="T17" s="130" t="s">
        <v>113</v>
      </c>
      <c r="U17" s="130" t="s">
        <v>113</v>
      </c>
      <c r="V17" s="130" t="s">
        <v>113</v>
      </c>
      <c r="W17" s="132">
        <f t="shared" si="13"/>
        <v>2.6362127014930095</v>
      </c>
      <c r="X17" s="132">
        <f t="shared" si="13"/>
        <v>0.84718974915466549</v>
      </c>
      <c r="Y17" s="132">
        <f t="shared" si="1"/>
        <v>2.5952591054912255</v>
      </c>
      <c r="Z17" s="132">
        <f t="shared" si="1"/>
        <v>0.85399201629751886</v>
      </c>
      <c r="AA17" s="132">
        <f t="shared" si="1"/>
        <v>0.84718974915466549</v>
      </c>
      <c r="AB17" s="132">
        <f t="shared" si="14"/>
        <v>0.84718974915466549</v>
      </c>
      <c r="AC17" s="132">
        <f t="shared" si="14"/>
        <v>0.84718974915466549</v>
      </c>
      <c r="AD17" s="130" t="s">
        <v>113</v>
      </c>
      <c r="AE17" s="130" t="s">
        <v>113</v>
      </c>
      <c r="AF17" s="130" t="s">
        <v>113</v>
      </c>
      <c r="AG17" s="130" t="s">
        <v>113</v>
      </c>
      <c r="AH17" s="133">
        <f t="shared" si="2"/>
        <v>1</v>
      </c>
      <c r="AI17" s="134">
        <f t="shared" si="15"/>
        <v>0</v>
      </c>
      <c r="AJ17" s="134">
        <f t="shared" si="3"/>
        <v>4.0953596001783943E-2</v>
      </c>
      <c r="AK17" s="134">
        <f t="shared" si="4"/>
        <v>1.5952591054912255</v>
      </c>
      <c r="AL17" s="134">
        <f t="shared" si="16"/>
        <v>0</v>
      </c>
      <c r="AM17" s="134">
        <f t="shared" si="17"/>
        <v>0</v>
      </c>
      <c r="AN17" s="135">
        <f t="shared" si="28"/>
        <v>0</v>
      </c>
      <c r="AO17" s="134">
        <f t="shared" si="18"/>
        <v>0</v>
      </c>
      <c r="AP17" s="134">
        <f t="shared" si="6"/>
        <v>0</v>
      </c>
      <c r="AQ17" s="136" t="s">
        <v>113</v>
      </c>
      <c r="AR17" s="137">
        <f t="shared" si="7"/>
        <v>0</v>
      </c>
      <c r="AS17" s="137">
        <f t="shared" si="7"/>
        <v>2.5029506227652831</v>
      </c>
      <c r="AT17" s="137">
        <f t="shared" si="7"/>
        <v>97.497049377234717</v>
      </c>
      <c r="AU17" s="137">
        <f t="shared" si="7"/>
        <v>0</v>
      </c>
      <c r="AV17" s="137">
        <f t="shared" si="7"/>
        <v>0</v>
      </c>
      <c r="AW17" s="138">
        <f t="shared" si="7"/>
        <v>0</v>
      </c>
      <c r="AX17" s="137">
        <f t="shared" si="7"/>
        <v>0</v>
      </c>
      <c r="AY17" s="137">
        <f t="shared" si="7"/>
        <v>0</v>
      </c>
      <c r="AZ17" s="139" t="s">
        <v>113</v>
      </c>
      <c r="BA17" s="139" t="s">
        <v>113</v>
      </c>
      <c r="BB17" s="139" t="s">
        <v>113</v>
      </c>
      <c r="BC17" s="139" t="s">
        <v>113</v>
      </c>
      <c r="BD17" s="139" t="s">
        <v>113</v>
      </c>
      <c r="BE17" s="139" t="s">
        <v>113</v>
      </c>
      <c r="BF17" s="139" t="s">
        <v>113</v>
      </c>
      <c r="BG17" s="139" t="s">
        <v>113</v>
      </c>
      <c r="BH17" s="140">
        <f>+'[37]2. Distributional by deciles o'!B105</f>
        <v>3424298357.4671988</v>
      </c>
      <c r="BI17" s="140">
        <f>+'[37]2. Distributional by deciles o'!B123</f>
        <v>3062981581.4039989</v>
      </c>
      <c r="BJ17" s="140">
        <f>+'[37]2. Distributional by deciles o'!B141</f>
        <v>1059147048.0971994</v>
      </c>
      <c r="BK17" s="140">
        <f>+'[37]2. Distributional by deciles o'!B159</f>
        <v>151695653.36759996</v>
      </c>
      <c r="BL17" s="141">
        <f t="shared" si="19"/>
        <v>0.44482252588765459</v>
      </c>
      <c r="BM17" s="141">
        <f t="shared" si="20"/>
        <v>0.39788682572486406</v>
      </c>
      <c r="BN17" s="141">
        <f t="shared" si="21"/>
        <v>0.13758510971851332</v>
      </c>
      <c r="BO17" s="141">
        <f t="shared" si="21"/>
        <v>1.9705538668968122E-2</v>
      </c>
      <c r="BP17" s="139" t="s">
        <v>113</v>
      </c>
      <c r="BQ17" s="139" t="s">
        <v>113</v>
      </c>
      <c r="BR17" s="139" t="s">
        <v>113</v>
      </c>
      <c r="BS17" s="131">
        <f t="shared" si="22"/>
        <v>8.8919484488934373</v>
      </c>
      <c r="BT17" s="139"/>
      <c r="BU17" s="139"/>
      <c r="BV17" s="139"/>
      <c r="BW17" s="139"/>
      <c r="BX17" s="139"/>
      <c r="BY17" s="139"/>
      <c r="BZ17" s="139"/>
      <c r="CA17" s="139"/>
      <c r="CB17" s="139"/>
      <c r="CC17" s="142" t="s">
        <v>113</v>
      </c>
      <c r="CD17" s="142" t="s">
        <v>113</v>
      </c>
      <c r="CE17" s="142" t="s">
        <v>113</v>
      </c>
      <c r="CF17" s="142" t="s">
        <v>113</v>
      </c>
      <c r="CG17" s="142" t="s">
        <v>113</v>
      </c>
      <c r="CH17" s="142" t="s">
        <v>113</v>
      </c>
      <c r="CI17" s="142" t="s">
        <v>113</v>
      </c>
      <c r="CJ17" s="142"/>
      <c r="CK17" s="139" t="s">
        <v>113</v>
      </c>
      <c r="CL17" s="139" t="s">
        <v>113</v>
      </c>
      <c r="CM17" s="139" t="s">
        <v>113</v>
      </c>
      <c r="CN17" s="139" t="s">
        <v>113</v>
      </c>
      <c r="CO17" s="139" t="s">
        <v>113</v>
      </c>
      <c r="CP17" s="139" t="s">
        <v>113</v>
      </c>
      <c r="CQ17" s="139" t="s">
        <v>113</v>
      </c>
      <c r="CR17" s="139"/>
      <c r="CS17" s="143" t="s">
        <v>113</v>
      </c>
      <c r="CT17" s="143" t="s">
        <v>113</v>
      </c>
      <c r="CU17" s="143" t="s">
        <v>113</v>
      </c>
      <c r="CV17" s="143" t="s">
        <v>113</v>
      </c>
      <c r="CW17" s="143" t="s">
        <v>113</v>
      </c>
      <c r="CX17" s="143" t="s">
        <v>113</v>
      </c>
      <c r="CY17" s="143" t="s">
        <v>113</v>
      </c>
      <c r="CZ17" s="143"/>
      <c r="DA17" s="139" t="s">
        <v>113</v>
      </c>
      <c r="DB17" s="139" t="s">
        <v>113</v>
      </c>
      <c r="DC17" s="139" t="s">
        <v>113</v>
      </c>
      <c r="DD17" s="144">
        <f t="shared" si="23"/>
        <v>11.763053920195476</v>
      </c>
      <c r="DE17" s="145">
        <f>+'[37]2. Distributional by deciles o'!J33</f>
        <v>0.88236946079804524</v>
      </c>
      <c r="DF17" s="1"/>
      <c r="DG17" s="1"/>
      <c r="DH17" s="1"/>
      <c r="DI17" s="1"/>
      <c r="DJ17" s="1"/>
      <c r="DK17" s="1"/>
      <c r="DL17" s="1"/>
      <c r="DM17" s="1"/>
      <c r="DN17" s="1"/>
      <c r="DO17" s="1"/>
      <c r="DP17" s="1"/>
      <c r="DQ17" s="1"/>
      <c r="DR17" s="1"/>
      <c r="DS17" s="1"/>
      <c r="DT17" s="1"/>
      <c r="DU17" s="1"/>
      <c r="DV17" s="1"/>
      <c r="DW17" s="1"/>
      <c r="DX17" s="1"/>
      <c r="DY17" s="1"/>
      <c r="DZ17" s="1"/>
      <c r="EA17" s="146">
        <f>+'[38]2. Distributional by deciles o'!B69</f>
        <v>366805634.9400003</v>
      </c>
      <c r="EB17" s="146">
        <f>+'[38]2. Distributional by deciles o'!C69</f>
        <v>377487529.22879976</v>
      </c>
      <c r="EC17" s="146">
        <f>+'[38]2. Distributional by deciles o'!D69</f>
        <v>369370592.85600078</v>
      </c>
      <c r="ED17" s="146">
        <f>+'[38]2. Distributional by deciles o'!E69</f>
        <v>372992303.74800038</v>
      </c>
      <c r="EE17" s="146">
        <f>+'[38]2. Distributional by deciles o'!F69</f>
        <v>369390977.98800075</v>
      </c>
      <c r="EF17" s="146">
        <f>+'[38]2. Distributional by deciles o'!G69</f>
        <v>369370592.85600078</v>
      </c>
      <c r="EG17" s="146">
        <f>+'[38]2. Distributional by deciles o'!H69</f>
        <v>369370592.85600078</v>
      </c>
      <c r="EH17" s="122"/>
      <c r="EI17" s="130" t="s">
        <v>113</v>
      </c>
      <c r="EJ17" s="130" t="s">
        <v>113</v>
      </c>
      <c r="EK17" s="130" t="s">
        <v>113</v>
      </c>
      <c r="EL17" s="130" t="s">
        <v>113</v>
      </c>
      <c r="EM17" s="131">
        <f t="shared" si="9"/>
        <v>4.5288589989307306</v>
      </c>
      <c r="EN17" s="146">
        <f>+'[38]2. Distributional by deciles o'!B87</f>
        <v>8337061715.4444046</v>
      </c>
      <c r="EO17" s="146">
        <f>+'[38]2. Distributional by deciles o'!C87</f>
        <v>8420433068.9075918</v>
      </c>
      <c r="EP17" s="131">
        <f t="shared" si="10"/>
        <v>1.0000088317535294</v>
      </c>
      <c r="EQ17" s="130" t="s">
        <v>113</v>
      </c>
      <c r="ER17" s="130" t="s">
        <v>113</v>
      </c>
      <c r="ES17" s="130" t="s">
        <v>113</v>
      </c>
      <c r="ET17" s="130" t="s">
        <v>113</v>
      </c>
      <c r="EU17" s="131">
        <f t="shared" si="24"/>
        <v>8.930107993269786</v>
      </c>
      <c r="EV17" s="132">
        <f t="shared" si="25"/>
        <v>2.9121144639782641</v>
      </c>
      <c r="EW17" s="132">
        <f t="shared" si="26"/>
        <v>0.69926277537802228</v>
      </c>
      <c r="EX17" s="132"/>
      <c r="EY17" s="148">
        <f t="shared" si="11"/>
        <v>0.27590176248525466</v>
      </c>
      <c r="EZ17" s="144">
        <f t="shared" si="27"/>
        <v>7.9091759303643645</v>
      </c>
      <c r="FA17" s="145">
        <f>+'[38]2. Distributional by deciles o'!J33</f>
        <v>0.92090824069635635</v>
      </c>
      <c r="FB17" s="130" t="s">
        <v>113</v>
      </c>
      <c r="FC17" s="130" t="s">
        <v>113</v>
      </c>
      <c r="FD17" s="130" t="s">
        <v>113</v>
      </c>
      <c r="FE17" s="130" t="s">
        <v>113</v>
      </c>
      <c r="FF17" s="130" t="s">
        <v>113</v>
      </c>
      <c r="FG17" s="130" t="s">
        <v>113</v>
      </c>
      <c r="FH17" s="130" t="s">
        <v>113</v>
      </c>
      <c r="FI17" s="130" t="s">
        <v>113</v>
      </c>
      <c r="FJ17" s="1"/>
      <c r="FK17" s="1"/>
      <c r="FL17" s="1"/>
      <c r="FM17" s="1"/>
      <c r="FN17" s="1"/>
      <c r="FO17" s="1"/>
      <c r="FP17" s="1"/>
      <c r="FQ17" s="1"/>
    </row>
    <row r="18" spans="1:173" x14ac:dyDescent="0.3">
      <c r="A18" s="1"/>
      <c r="B18" s="28">
        <v>7</v>
      </c>
      <c r="C18" s="129">
        <f>+'[37]2. Distributional by deciles o'!B70</f>
        <v>540438391.45800006</v>
      </c>
      <c r="D18" s="129">
        <f>+'[37]2. Distributional by deciles o'!C70</f>
        <v>552757258.05719948</v>
      </c>
      <c r="E18" s="129">
        <f>+'[37]2. Distributional by deciles o'!D70</f>
        <v>544164953.25479889</v>
      </c>
      <c r="F18" s="129">
        <f>+'[37]2. Distributional by deciles o'!E70</f>
        <v>552420592.3355993</v>
      </c>
      <c r="G18" s="129">
        <f>+'[37]2. Distributional by deciles o'!F70</f>
        <v>544187405.89199901</v>
      </c>
      <c r="H18" s="129">
        <f>+'[37]2. Distributional by deciles o'!G70</f>
        <v>544164953.25479889</v>
      </c>
      <c r="I18" s="129">
        <f>+'[37]2. Distributional by deciles o'!H70</f>
        <v>544164953.25479889</v>
      </c>
      <c r="J18" s="122"/>
      <c r="K18" s="130" t="s">
        <v>113</v>
      </c>
      <c r="L18" s="130" t="s">
        <v>113</v>
      </c>
      <c r="M18" s="130" t="s">
        <v>113</v>
      </c>
      <c r="N18" s="130" t="s">
        <v>113</v>
      </c>
      <c r="O18" s="131">
        <f t="shared" si="12"/>
        <v>7.0772890508863178</v>
      </c>
      <c r="P18" s="129">
        <f>+'[37]2. Distributional by deciles o'!B88</f>
        <v>9032318402.4599781</v>
      </c>
      <c r="Q18" s="129">
        <f>+'[37]2. Distributional by deciles o'!C88</f>
        <v>9122058470.7719955</v>
      </c>
      <c r="R18" s="131">
        <f t="shared" si="0"/>
        <v>0.99354411916630081</v>
      </c>
      <c r="S18" s="130" t="s">
        <v>113</v>
      </c>
      <c r="T18" s="130" t="s">
        <v>113</v>
      </c>
      <c r="U18" s="130" t="s">
        <v>113</v>
      </c>
      <c r="V18" s="130" t="s">
        <v>113</v>
      </c>
      <c r="W18" s="132">
        <f t="shared" si="13"/>
        <v>2.2942323670459368</v>
      </c>
      <c r="X18" s="132">
        <f t="shared" si="13"/>
        <v>0.69402478086485275</v>
      </c>
      <c r="Y18" s="132">
        <f t="shared" si="1"/>
        <v>2.2315326544424905</v>
      </c>
      <c r="Z18" s="132">
        <f t="shared" si="1"/>
        <v>0.69820629923549549</v>
      </c>
      <c r="AA18" s="132">
        <f t="shared" si="1"/>
        <v>0.69402478086485275</v>
      </c>
      <c r="AB18" s="132">
        <f t="shared" si="14"/>
        <v>0.69402478086485275</v>
      </c>
      <c r="AC18" s="132">
        <f t="shared" si="14"/>
        <v>0.69402478086485275</v>
      </c>
      <c r="AD18" s="130" t="s">
        <v>113</v>
      </c>
      <c r="AE18" s="130" t="s">
        <v>113</v>
      </c>
      <c r="AF18" s="130" t="s">
        <v>113</v>
      </c>
      <c r="AG18" s="130" t="s">
        <v>113</v>
      </c>
      <c r="AH18" s="133">
        <f t="shared" si="2"/>
        <v>1</v>
      </c>
      <c r="AI18" s="134">
        <f t="shared" si="15"/>
        <v>0</v>
      </c>
      <c r="AJ18" s="134">
        <f t="shared" si="3"/>
        <v>6.2699712603446311E-2</v>
      </c>
      <c r="AK18" s="134">
        <f t="shared" si="4"/>
        <v>1.2315326544424905</v>
      </c>
      <c r="AL18" s="134">
        <f t="shared" si="16"/>
        <v>0</v>
      </c>
      <c r="AM18" s="134">
        <f t="shared" si="17"/>
        <v>0</v>
      </c>
      <c r="AN18" s="135">
        <f t="shared" si="28"/>
        <v>0</v>
      </c>
      <c r="AO18" s="134">
        <f t="shared" si="18"/>
        <v>0</v>
      </c>
      <c r="AP18" s="134">
        <f t="shared" si="6"/>
        <v>0</v>
      </c>
      <c r="AQ18" s="136" t="s">
        <v>113</v>
      </c>
      <c r="AR18" s="137">
        <f t="shared" si="7"/>
        <v>0</v>
      </c>
      <c r="AS18" s="137">
        <f t="shared" si="7"/>
        <v>4.8445483361351354</v>
      </c>
      <c r="AT18" s="137">
        <f t="shared" si="7"/>
        <v>95.155451663864866</v>
      </c>
      <c r="AU18" s="137">
        <f t="shared" si="7"/>
        <v>0</v>
      </c>
      <c r="AV18" s="137">
        <f t="shared" si="7"/>
        <v>0</v>
      </c>
      <c r="AW18" s="138">
        <f t="shared" si="7"/>
        <v>0</v>
      </c>
      <c r="AX18" s="137">
        <f t="shared" si="7"/>
        <v>0</v>
      </c>
      <c r="AY18" s="137">
        <f t="shared" si="7"/>
        <v>0</v>
      </c>
      <c r="AZ18" s="139" t="s">
        <v>113</v>
      </c>
      <c r="BA18" s="139" t="s">
        <v>113</v>
      </c>
      <c r="BB18" s="139" t="s">
        <v>113</v>
      </c>
      <c r="BC18" s="139" t="s">
        <v>113</v>
      </c>
      <c r="BD18" s="139" t="s">
        <v>113</v>
      </c>
      <c r="BE18" s="139" t="s">
        <v>113</v>
      </c>
      <c r="BF18" s="139" t="s">
        <v>113</v>
      </c>
      <c r="BG18" s="139" t="s">
        <v>113</v>
      </c>
      <c r="BH18" s="140">
        <f>+'[37]2. Distributional by deciles o'!B106</f>
        <v>4599640007.4035997</v>
      </c>
      <c r="BI18" s="140">
        <f>+'[37]2. Distributional by deciles o'!B124</f>
        <v>2841586793.6663985</v>
      </c>
      <c r="BJ18" s="140">
        <f>+'[37]2. Distributional by deciles o'!B142</f>
        <v>1358123663.281199</v>
      </c>
      <c r="BK18" s="140">
        <f>+'[37]2. Distributional by deciles o'!B160</f>
        <v>232968724.14720002</v>
      </c>
      <c r="BL18" s="141">
        <f t="shared" si="19"/>
        <v>0.50924241176736806</v>
      </c>
      <c r="BM18" s="141">
        <f t="shared" si="20"/>
        <v>0.31460212314959235</v>
      </c>
      <c r="BN18" s="141">
        <f t="shared" si="21"/>
        <v>0.15036267374282022</v>
      </c>
      <c r="BO18" s="141">
        <f t="shared" si="21"/>
        <v>2.5792791340219518E-2</v>
      </c>
      <c r="BP18" s="139" t="s">
        <v>113</v>
      </c>
      <c r="BQ18" s="139" t="s">
        <v>113</v>
      </c>
      <c r="BR18" s="139" t="s">
        <v>113</v>
      </c>
      <c r="BS18" s="131">
        <f t="shared" si="22"/>
        <v>10.433052204921653</v>
      </c>
      <c r="BT18" s="139"/>
      <c r="BU18" s="139"/>
      <c r="BV18" s="139"/>
      <c r="BW18" s="139"/>
      <c r="BX18" s="139"/>
      <c r="BY18" s="139"/>
      <c r="BZ18" s="139"/>
      <c r="CA18" s="139"/>
      <c r="CB18" s="139"/>
      <c r="CC18" s="142" t="s">
        <v>113</v>
      </c>
      <c r="CD18" s="142" t="s">
        <v>113</v>
      </c>
      <c r="CE18" s="142" t="s">
        <v>113</v>
      </c>
      <c r="CF18" s="142" t="s">
        <v>113</v>
      </c>
      <c r="CG18" s="142" t="s">
        <v>113</v>
      </c>
      <c r="CH18" s="142" t="s">
        <v>113</v>
      </c>
      <c r="CI18" s="142" t="s">
        <v>113</v>
      </c>
      <c r="CJ18" s="142"/>
      <c r="CK18" s="139" t="s">
        <v>113</v>
      </c>
      <c r="CL18" s="139" t="s">
        <v>113</v>
      </c>
      <c r="CM18" s="139" t="s">
        <v>113</v>
      </c>
      <c r="CN18" s="139" t="s">
        <v>113</v>
      </c>
      <c r="CO18" s="139" t="s">
        <v>113</v>
      </c>
      <c r="CP18" s="139" t="s">
        <v>113</v>
      </c>
      <c r="CQ18" s="139" t="s">
        <v>113</v>
      </c>
      <c r="CR18" s="139"/>
      <c r="CS18" s="143" t="s">
        <v>113</v>
      </c>
      <c r="CT18" s="143" t="s">
        <v>113</v>
      </c>
      <c r="CU18" s="143" t="s">
        <v>113</v>
      </c>
      <c r="CV18" s="143" t="s">
        <v>113</v>
      </c>
      <c r="CW18" s="143" t="s">
        <v>113</v>
      </c>
      <c r="CX18" s="143" t="s">
        <v>113</v>
      </c>
      <c r="CY18" s="143" t="s">
        <v>113</v>
      </c>
      <c r="CZ18" s="143"/>
      <c r="DA18" s="139" t="s">
        <v>113</v>
      </c>
      <c r="DB18" s="139" t="s">
        <v>113</v>
      </c>
      <c r="DC18" s="139" t="s">
        <v>113</v>
      </c>
      <c r="DD18" s="144">
        <f t="shared" si="23"/>
        <v>2.6789224413757529</v>
      </c>
      <c r="DE18" s="145">
        <f>+'[37]2. Distributional by deciles o'!J34</f>
        <v>0.97321077558624247</v>
      </c>
      <c r="DF18" s="1"/>
      <c r="DG18" s="1"/>
      <c r="DH18" s="1"/>
      <c r="DI18" s="1"/>
      <c r="DJ18" s="1"/>
      <c r="DK18" s="1"/>
      <c r="DL18" s="1"/>
      <c r="DM18" s="1"/>
      <c r="DN18" s="1"/>
      <c r="DO18" s="1"/>
      <c r="DP18" s="1"/>
      <c r="DQ18" s="1"/>
      <c r="DR18" s="1"/>
      <c r="DS18" s="1"/>
      <c r="DT18" s="1"/>
      <c r="DU18" s="1"/>
      <c r="DV18" s="1"/>
      <c r="DW18" s="1"/>
      <c r="DX18" s="1"/>
      <c r="DY18" s="1"/>
      <c r="DZ18" s="1"/>
      <c r="EA18" s="146">
        <f>+'[38]2. Distributional by deciles o'!B70</f>
        <v>517539895.71839964</v>
      </c>
      <c r="EB18" s="146">
        <f>+'[38]2. Distributional by deciles o'!C70</f>
        <v>531970141.29360032</v>
      </c>
      <c r="EC18" s="146">
        <f>+'[38]2. Distributional by deciles o'!D70</f>
        <v>521710359.18240076</v>
      </c>
      <c r="ED18" s="146">
        <f>+'[38]2. Distributional by deciles o'!E70</f>
        <v>526075852.56479967</v>
      </c>
      <c r="EE18" s="146">
        <f>+'[38]2. Distributional by deciles o'!F70</f>
        <v>521731458.37320095</v>
      </c>
      <c r="EF18" s="146">
        <f>+'[38]2. Distributional by deciles o'!G70</f>
        <v>521710359.18240076</v>
      </c>
      <c r="EG18" s="146">
        <f>+'[38]2. Distributional by deciles o'!H70</f>
        <v>521710359.18240076</v>
      </c>
      <c r="EH18" s="122"/>
      <c r="EI18" s="130" t="s">
        <v>113</v>
      </c>
      <c r="EJ18" s="130" t="s">
        <v>113</v>
      </c>
      <c r="EK18" s="130" t="s">
        <v>113</v>
      </c>
      <c r="EL18" s="130" t="s">
        <v>113</v>
      </c>
      <c r="EM18" s="131">
        <f t="shared" si="9"/>
        <v>6.3899378601785672</v>
      </c>
      <c r="EN18" s="146">
        <f>+'[38]2. Distributional by deciles o'!B88</f>
        <v>9763161907.4195976</v>
      </c>
      <c r="EO18" s="146">
        <f>+'[38]2. Distributional by deciles o'!C88</f>
        <v>9860795544.1416302</v>
      </c>
      <c r="EP18" s="131">
        <f t="shared" si="10"/>
        <v>1.0000206659262156</v>
      </c>
      <c r="EQ18" s="130" t="s">
        <v>113</v>
      </c>
      <c r="ER18" s="130" t="s">
        <v>113</v>
      </c>
      <c r="ES18" s="130" t="s">
        <v>113</v>
      </c>
      <c r="ET18" s="130" t="s">
        <v>113</v>
      </c>
      <c r="EU18" s="131">
        <f t="shared" si="24"/>
        <v>10.457652007963746</v>
      </c>
      <c r="EV18" s="132">
        <f t="shared" si="25"/>
        <v>2.788180676765569</v>
      </c>
      <c r="EW18" s="132">
        <f t="shared" si="26"/>
        <v>0.80580788337159071</v>
      </c>
      <c r="EX18" s="132"/>
      <c r="EY18" s="148">
        <f t="shared" si="11"/>
        <v>0.49394830971963222</v>
      </c>
      <c r="EZ18" s="144">
        <f t="shared" si="27"/>
        <v>0.99400253930049809</v>
      </c>
      <c r="FA18" s="145">
        <f>+'[38]2. Distributional by deciles o'!J34</f>
        <v>0.99005997460699502</v>
      </c>
      <c r="FB18" s="130" t="s">
        <v>113</v>
      </c>
      <c r="FC18" s="130" t="s">
        <v>113</v>
      </c>
      <c r="FD18" s="130" t="s">
        <v>113</v>
      </c>
      <c r="FE18" s="130" t="s">
        <v>113</v>
      </c>
      <c r="FF18" s="130" t="s">
        <v>113</v>
      </c>
      <c r="FG18" s="130" t="s">
        <v>113</v>
      </c>
      <c r="FH18" s="130" t="s">
        <v>113</v>
      </c>
      <c r="FI18" s="130" t="s">
        <v>113</v>
      </c>
      <c r="FJ18" s="1"/>
      <c r="FK18" s="1"/>
      <c r="FL18" s="1"/>
      <c r="FM18" s="1"/>
      <c r="FN18" s="1"/>
      <c r="FO18" s="1"/>
      <c r="FP18" s="1"/>
      <c r="FQ18" s="1"/>
    </row>
    <row r="19" spans="1:173" x14ac:dyDescent="0.3">
      <c r="A19" s="1"/>
      <c r="B19" s="28">
        <v>8</v>
      </c>
      <c r="C19" s="129">
        <f>+'[37]2. Distributional by deciles o'!B71</f>
        <v>777536279.79120004</v>
      </c>
      <c r="D19" s="129">
        <f>+'[37]2. Distributional by deciles o'!C71</f>
        <v>794135264.3076005</v>
      </c>
      <c r="E19" s="129">
        <f>+'[37]2. Distributional by deciles o'!D71</f>
        <v>783592521.22080064</v>
      </c>
      <c r="F19" s="129">
        <f>+'[37]2. Distributional by deciles o'!E71</f>
        <v>793774382.31480026</v>
      </c>
      <c r="G19" s="129">
        <f>+'[37]2. Distributional by deciles o'!F71</f>
        <v>783617070.04080021</v>
      </c>
      <c r="H19" s="129">
        <f>+'[37]2. Distributional by deciles o'!G71</f>
        <v>783592521.22080064</v>
      </c>
      <c r="I19" s="129">
        <f>+'[37]2. Distributional by deciles o'!H71</f>
        <v>783592521.22080064</v>
      </c>
      <c r="J19" s="122"/>
      <c r="K19" s="130" t="s">
        <v>113</v>
      </c>
      <c r="L19" s="130" t="s">
        <v>113</v>
      </c>
      <c r="M19" s="130" t="s">
        <v>113</v>
      </c>
      <c r="N19" s="130" t="s">
        <v>113</v>
      </c>
      <c r="O19" s="131">
        <f t="shared" si="12"/>
        <v>10.182194837764023</v>
      </c>
      <c r="P19" s="129">
        <f>+'[37]2. Distributional by deciles o'!B89</f>
        <v>11023245097.831192</v>
      </c>
      <c r="Q19" s="129">
        <f>+'[37]2. Distributional by deciles o'!C89</f>
        <v>11133197302.291195</v>
      </c>
      <c r="R19" s="131">
        <f t="shared" si="0"/>
        <v>0.99745767679280117</v>
      </c>
      <c r="S19" s="130" t="s">
        <v>113</v>
      </c>
      <c r="T19" s="130" t="s">
        <v>113</v>
      </c>
      <c r="U19" s="130" t="s">
        <v>113</v>
      </c>
      <c r="V19" s="130" t="s">
        <v>113</v>
      </c>
      <c r="W19" s="132">
        <f t="shared" si="13"/>
        <v>2.1402592383045724</v>
      </c>
      <c r="X19" s="132">
        <f t="shared" si="13"/>
        <v>0.78088672570895323</v>
      </c>
      <c r="Y19" s="132">
        <f t="shared" si="1"/>
        <v>2.0937274147303451</v>
      </c>
      <c r="Z19" s="132">
        <f t="shared" si="1"/>
        <v>0.78405203011306646</v>
      </c>
      <c r="AA19" s="132">
        <f t="shared" si="1"/>
        <v>0.78088672570895323</v>
      </c>
      <c r="AB19" s="132">
        <f t="shared" si="14"/>
        <v>0.78088672570895323</v>
      </c>
      <c r="AC19" s="132">
        <f t="shared" si="14"/>
        <v>0.78088672570895323</v>
      </c>
      <c r="AD19" s="130" t="s">
        <v>113</v>
      </c>
      <c r="AE19" s="130" t="s">
        <v>113</v>
      </c>
      <c r="AF19" s="130" t="s">
        <v>113</v>
      </c>
      <c r="AG19" s="130" t="s">
        <v>113</v>
      </c>
      <c r="AH19" s="133">
        <f t="shared" si="2"/>
        <v>1</v>
      </c>
      <c r="AI19" s="134">
        <f t="shared" si="15"/>
        <v>0</v>
      </c>
      <c r="AJ19" s="134">
        <f t="shared" si="3"/>
        <v>4.653182357422736E-2</v>
      </c>
      <c r="AK19" s="134">
        <f t="shared" si="4"/>
        <v>1.0937274147303451</v>
      </c>
      <c r="AL19" s="134">
        <f t="shared" si="16"/>
        <v>0</v>
      </c>
      <c r="AM19" s="134">
        <f t="shared" si="17"/>
        <v>0</v>
      </c>
      <c r="AN19" s="135">
        <f t="shared" si="28"/>
        <v>0</v>
      </c>
      <c r="AO19" s="134">
        <f t="shared" si="18"/>
        <v>0</v>
      </c>
      <c r="AP19" s="134">
        <f t="shared" si="6"/>
        <v>0</v>
      </c>
      <c r="AQ19" s="136" t="s">
        <v>113</v>
      </c>
      <c r="AR19" s="137">
        <f t="shared" si="7"/>
        <v>0</v>
      </c>
      <c r="AS19" s="137">
        <f t="shared" si="7"/>
        <v>4.0808109253659328</v>
      </c>
      <c r="AT19" s="137">
        <f t="shared" si="7"/>
        <v>95.919189074634076</v>
      </c>
      <c r="AU19" s="137">
        <f t="shared" si="7"/>
        <v>0</v>
      </c>
      <c r="AV19" s="137">
        <f t="shared" si="7"/>
        <v>0</v>
      </c>
      <c r="AW19" s="138">
        <f t="shared" si="7"/>
        <v>0</v>
      </c>
      <c r="AX19" s="137">
        <f t="shared" si="7"/>
        <v>0</v>
      </c>
      <c r="AY19" s="137">
        <f t="shared" si="7"/>
        <v>0</v>
      </c>
      <c r="AZ19" s="139" t="s">
        <v>113</v>
      </c>
      <c r="BA19" s="139" t="s">
        <v>113</v>
      </c>
      <c r="BB19" s="139" t="s">
        <v>113</v>
      </c>
      <c r="BC19" s="139" t="s">
        <v>113</v>
      </c>
      <c r="BD19" s="139" t="s">
        <v>113</v>
      </c>
      <c r="BE19" s="139" t="s">
        <v>113</v>
      </c>
      <c r="BF19" s="139" t="s">
        <v>113</v>
      </c>
      <c r="BG19" s="139" t="s">
        <v>113</v>
      </c>
      <c r="BH19" s="140">
        <f>+'[37]2. Distributional by deciles o'!B107</f>
        <v>5424138663.6120024</v>
      </c>
      <c r="BI19" s="140">
        <f>+'[37]2. Distributional by deciles o'!B125</f>
        <v>3789116908.1411977</v>
      </c>
      <c r="BJ19" s="140">
        <f>+'[37]2. Distributional by deciles o'!B143</f>
        <v>1531806780.6684</v>
      </c>
      <c r="BK19" s="140">
        <f>+'[37]2. Distributional by deciles o'!B161</f>
        <v>278183142.07920009</v>
      </c>
      <c r="BL19" s="141">
        <f t="shared" si="19"/>
        <v>0.49206367274664786</v>
      </c>
      <c r="BM19" s="141">
        <f t="shared" si="20"/>
        <v>0.34373877548417892</v>
      </c>
      <c r="BN19" s="141">
        <f t="shared" si="21"/>
        <v>0.13896150470681043</v>
      </c>
      <c r="BO19" s="141">
        <f t="shared" si="21"/>
        <v>2.5236047062362724E-2</v>
      </c>
      <c r="BP19" s="139" t="s">
        <v>113</v>
      </c>
      <c r="BQ19" s="139" t="s">
        <v>113</v>
      </c>
      <c r="BR19" s="139" t="s">
        <v>113</v>
      </c>
      <c r="BS19" s="131">
        <f t="shared" si="22"/>
        <v>12.732732223212734</v>
      </c>
      <c r="BT19" s="139"/>
      <c r="BU19" s="139"/>
      <c r="BV19" s="139"/>
      <c r="BW19" s="139"/>
      <c r="BX19" s="139"/>
      <c r="BY19" s="139"/>
      <c r="BZ19" s="139"/>
      <c r="CA19" s="139"/>
      <c r="CB19" s="139"/>
      <c r="CC19" s="142" t="s">
        <v>113</v>
      </c>
      <c r="CD19" s="142" t="s">
        <v>113</v>
      </c>
      <c r="CE19" s="142" t="s">
        <v>113</v>
      </c>
      <c r="CF19" s="142" t="s">
        <v>113</v>
      </c>
      <c r="CG19" s="142" t="s">
        <v>113</v>
      </c>
      <c r="CH19" s="142" t="s">
        <v>113</v>
      </c>
      <c r="CI19" s="142" t="s">
        <v>113</v>
      </c>
      <c r="CJ19" s="142"/>
      <c r="CK19" s="139" t="s">
        <v>113</v>
      </c>
      <c r="CL19" s="139" t="s">
        <v>113</v>
      </c>
      <c r="CM19" s="139" t="s">
        <v>113</v>
      </c>
      <c r="CN19" s="139" t="s">
        <v>113</v>
      </c>
      <c r="CO19" s="139" t="s">
        <v>113</v>
      </c>
      <c r="CP19" s="139" t="s">
        <v>113</v>
      </c>
      <c r="CQ19" s="139" t="s">
        <v>113</v>
      </c>
      <c r="CR19" s="139"/>
      <c r="CS19" s="143" t="s">
        <v>113</v>
      </c>
      <c r="CT19" s="143" t="s">
        <v>113</v>
      </c>
      <c r="CU19" s="143" t="s">
        <v>113</v>
      </c>
      <c r="CV19" s="143" t="s">
        <v>113</v>
      </c>
      <c r="CW19" s="143" t="s">
        <v>113</v>
      </c>
      <c r="CX19" s="143" t="s">
        <v>113</v>
      </c>
      <c r="CY19" s="143" t="s">
        <v>113</v>
      </c>
      <c r="CZ19" s="143"/>
      <c r="DA19" s="139" t="s">
        <v>113</v>
      </c>
      <c r="DB19" s="139" t="s">
        <v>113</v>
      </c>
      <c r="DC19" s="139" t="s">
        <v>113</v>
      </c>
      <c r="DD19" s="144">
        <f t="shared" si="23"/>
        <v>1.9809499789391616E-2</v>
      </c>
      <c r="DE19" s="145">
        <f>+'[37]2. Distributional by deciles o'!J35</f>
        <v>0.99980190500210608</v>
      </c>
      <c r="DF19" s="1"/>
      <c r="DG19" s="1"/>
      <c r="DH19" s="1"/>
      <c r="DI19" s="1"/>
      <c r="DJ19" s="1"/>
      <c r="DK19" s="1"/>
      <c r="DL19" s="1"/>
      <c r="DM19" s="1"/>
      <c r="DN19" s="1"/>
      <c r="DO19" s="1"/>
      <c r="DP19" s="1"/>
      <c r="DQ19" s="1"/>
      <c r="DR19" s="1"/>
      <c r="DS19" s="1"/>
      <c r="DT19" s="1"/>
      <c r="DU19" s="1"/>
      <c r="DV19" s="1"/>
      <c r="DW19" s="1"/>
      <c r="DX19" s="1"/>
      <c r="DY19" s="1"/>
      <c r="DZ19" s="1"/>
      <c r="EA19" s="146">
        <f>+'[38]2. Distributional by deciles o'!B71</f>
        <v>765395402.04719961</v>
      </c>
      <c r="EB19" s="146">
        <f>+'[38]2. Distributional by deciles o'!C71</f>
        <v>784900685.39400005</v>
      </c>
      <c r="EC19" s="146">
        <f>+'[38]2. Distributional by deciles o'!D71</f>
        <v>771505014.96600008</v>
      </c>
      <c r="ED19" s="146">
        <f>+'[38]2. Distributional by deciles o'!E71</f>
        <v>777026100.37079906</v>
      </c>
      <c r="EE19" s="146">
        <f>+'[38]2. Distributional by deciles o'!F71</f>
        <v>771528430.81200004</v>
      </c>
      <c r="EF19" s="146">
        <f>+'[38]2. Distributional by deciles o'!G71</f>
        <v>771505014.96600008</v>
      </c>
      <c r="EG19" s="146">
        <f>+'[38]2. Distributional by deciles o'!H71</f>
        <v>771505014.96600008</v>
      </c>
      <c r="EH19" s="122"/>
      <c r="EI19" s="130" t="s">
        <v>113</v>
      </c>
      <c r="EJ19" s="130" t="s">
        <v>113</v>
      </c>
      <c r="EK19" s="130" t="s">
        <v>113</v>
      </c>
      <c r="EL19" s="130" t="s">
        <v>113</v>
      </c>
      <c r="EM19" s="131">
        <f t="shared" si="9"/>
        <v>9.4501488639035518</v>
      </c>
      <c r="EN19" s="146">
        <f>+'[38]2. Distributional by deciles o'!B89</f>
        <v>11863842274.119583</v>
      </c>
      <c r="EO19" s="146">
        <f>+'[38]2. Distributional by deciles o'!C89</f>
        <v>11982483837.0312</v>
      </c>
      <c r="EP19" s="131">
        <f t="shared" si="10"/>
        <v>1.0000264684100646</v>
      </c>
      <c r="EQ19" s="130" t="s">
        <v>113</v>
      </c>
      <c r="ER19" s="130" t="s">
        <v>113</v>
      </c>
      <c r="ES19" s="130" t="s">
        <v>113</v>
      </c>
      <c r="ET19" s="130" t="s">
        <v>113</v>
      </c>
      <c r="EU19" s="131">
        <f t="shared" si="24"/>
        <v>12.707761599838404</v>
      </c>
      <c r="EV19" s="132">
        <f t="shared" si="25"/>
        <v>2.5483256150295222</v>
      </c>
      <c r="EW19" s="132">
        <f t="shared" si="26"/>
        <v>0.79820850700169088</v>
      </c>
      <c r="EX19" s="132"/>
      <c r="EY19" s="148">
        <f t="shared" si="11"/>
        <v>0.40806637672494972</v>
      </c>
      <c r="EZ19" s="144">
        <f t="shared" si="27"/>
        <v>5.1591921655980144E-2</v>
      </c>
      <c r="FA19" s="145">
        <f>+'[38]2. Distributional by deciles o'!J35</f>
        <v>0.9994840807834402</v>
      </c>
      <c r="FB19" s="130" t="s">
        <v>113</v>
      </c>
      <c r="FC19" s="130" t="s">
        <v>113</v>
      </c>
      <c r="FD19" s="130" t="s">
        <v>113</v>
      </c>
      <c r="FE19" s="130" t="s">
        <v>113</v>
      </c>
      <c r="FF19" s="130" t="s">
        <v>113</v>
      </c>
      <c r="FG19" s="130" t="s">
        <v>113</v>
      </c>
      <c r="FH19" s="130" t="s">
        <v>113</v>
      </c>
      <c r="FI19" s="130" t="s">
        <v>113</v>
      </c>
      <c r="FJ19" s="1"/>
      <c r="FK19" s="1"/>
      <c r="FL19" s="1"/>
      <c r="FM19" s="1"/>
      <c r="FN19" s="1"/>
      <c r="FO19" s="1"/>
      <c r="FP19" s="1"/>
      <c r="FQ19" s="1"/>
    </row>
    <row r="20" spans="1:173" x14ac:dyDescent="0.3">
      <c r="A20" s="1"/>
      <c r="B20" s="28">
        <v>9</v>
      </c>
      <c r="C20" s="129">
        <f>+'[37]2. Distributional by deciles o'!B72</f>
        <v>1143547322.6184011</v>
      </c>
      <c r="D20" s="129">
        <f>+'[37]2. Distributional by deciles o'!C72</f>
        <v>1165899149.8475997</v>
      </c>
      <c r="E20" s="129">
        <f>+'[37]2. Distributional by deciles o'!D72</f>
        <v>1152732963.8784003</v>
      </c>
      <c r="F20" s="129">
        <f>+'[37]2. Distributional by deciles o'!E72</f>
        <v>1164745687.7147994</v>
      </c>
      <c r="G20" s="129">
        <f>+'[37]2. Distributional by deciles o'!F72</f>
        <v>1152750946.3932002</v>
      </c>
      <c r="H20" s="129">
        <f>+'[37]2. Distributional by deciles o'!G72</f>
        <v>1152732963.8784003</v>
      </c>
      <c r="I20" s="129">
        <f>+'[37]2. Distributional by deciles o'!H72</f>
        <v>1152732963.8784003</v>
      </c>
      <c r="J20" s="122"/>
      <c r="K20" s="130" t="s">
        <v>113</v>
      </c>
      <c r="L20" s="130" t="s">
        <v>113</v>
      </c>
      <c r="M20" s="130" t="s">
        <v>113</v>
      </c>
      <c r="N20" s="130" t="s">
        <v>113</v>
      </c>
      <c r="O20" s="131">
        <f t="shared" si="12"/>
        <v>14.975277614352336</v>
      </c>
      <c r="P20" s="129">
        <f>+'[37]2. Distributional by deciles o'!B90</f>
        <v>13547828471.374792</v>
      </c>
      <c r="Q20" s="129">
        <f>+'[37]2. Distributional by deciles o'!C90</f>
        <v>13683097586.878811</v>
      </c>
      <c r="R20" s="131">
        <f t="shared" si="0"/>
        <v>0.99845606836423961</v>
      </c>
      <c r="S20" s="130" t="s">
        <v>113</v>
      </c>
      <c r="T20" s="130" t="s">
        <v>113</v>
      </c>
      <c r="U20" s="130" t="s">
        <v>113</v>
      </c>
      <c r="V20" s="130" t="s">
        <v>113</v>
      </c>
      <c r="W20" s="132">
        <f t="shared" si="13"/>
        <v>1.957626924796801</v>
      </c>
      <c r="X20" s="132">
        <f t="shared" si="13"/>
        <v>0.80450061051870636</v>
      </c>
      <c r="Y20" s="132">
        <f t="shared" si="1"/>
        <v>1.8566039299092174</v>
      </c>
      <c r="Z20" s="132">
        <f t="shared" si="1"/>
        <v>0.80607556252539159</v>
      </c>
      <c r="AA20" s="132">
        <f t="shared" si="1"/>
        <v>0.80450061051870636</v>
      </c>
      <c r="AB20" s="132">
        <f t="shared" si="14"/>
        <v>0.80450061051870636</v>
      </c>
      <c r="AC20" s="132">
        <f t="shared" si="14"/>
        <v>0.80450061051870636</v>
      </c>
      <c r="AD20" s="130" t="s">
        <v>113</v>
      </c>
      <c r="AE20" s="130" t="s">
        <v>113</v>
      </c>
      <c r="AF20" s="130" t="s">
        <v>113</v>
      </c>
      <c r="AG20" s="130" t="s">
        <v>113</v>
      </c>
      <c r="AH20" s="133">
        <f t="shared" si="2"/>
        <v>1</v>
      </c>
      <c r="AI20" s="134">
        <f t="shared" si="15"/>
        <v>0</v>
      </c>
      <c r="AJ20" s="134">
        <f t="shared" si="3"/>
        <v>0.10102299488758359</v>
      </c>
      <c r="AK20" s="134">
        <f t="shared" si="4"/>
        <v>0.85660392990921741</v>
      </c>
      <c r="AL20" s="134">
        <f t="shared" si="16"/>
        <v>0</v>
      </c>
      <c r="AM20" s="134">
        <f t="shared" si="17"/>
        <v>0</v>
      </c>
      <c r="AN20" s="135">
        <f t="shared" si="28"/>
        <v>0</v>
      </c>
      <c r="AO20" s="134">
        <f t="shared" si="18"/>
        <v>0</v>
      </c>
      <c r="AP20" s="134">
        <f t="shared" si="6"/>
        <v>0</v>
      </c>
      <c r="AQ20" s="136" t="s">
        <v>113</v>
      </c>
      <c r="AR20" s="137">
        <f t="shared" si="7"/>
        <v>0</v>
      </c>
      <c r="AS20" s="137">
        <f t="shared" si="7"/>
        <v>10.549306026354644</v>
      </c>
      <c r="AT20" s="137">
        <f t="shared" si="7"/>
        <v>89.450693973645357</v>
      </c>
      <c r="AU20" s="137">
        <f t="shared" si="7"/>
        <v>0</v>
      </c>
      <c r="AV20" s="137">
        <f t="shared" si="7"/>
        <v>0</v>
      </c>
      <c r="AW20" s="138">
        <f t="shared" si="7"/>
        <v>0</v>
      </c>
      <c r="AX20" s="137">
        <f t="shared" si="7"/>
        <v>0</v>
      </c>
      <c r="AY20" s="137">
        <f t="shared" si="7"/>
        <v>0</v>
      </c>
      <c r="AZ20" s="139" t="s">
        <v>113</v>
      </c>
      <c r="BA20" s="139" t="s">
        <v>113</v>
      </c>
      <c r="BB20" s="139" t="s">
        <v>113</v>
      </c>
      <c r="BC20" s="139" t="s">
        <v>113</v>
      </c>
      <c r="BD20" s="139" t="s">
        <v>113</v>
      </c>
      <c r="BE20" s="139" t="s">
        <v>113</v>
      </c>
      <c r="BF20" s="139" t="s">
        <v>113</v>
      </c>
      <c r="BG20" s="139" t="s">
        <v>113</v>
      </c>
      <c r="BH20" s="140">
        <f>+'[37]2. Distributional by deciles o'!B108</f>
        <v>6948786072.1608086</v>
      </c>
      <c r="BI20" s="140">
        <f>+'[37]2. Distributional by deciles o'!B126</f>
        <v>4258884735.1380033</v>
      </c>
      <c r="BJ20" s="140">
        <f>+'[37]2. Distributional by deciles o'!B144</f>
        <v>1849963777.3319998</v>
      </c>
      <c r="BK20" s="140">
        <f>+'[37]2. Distributional by deciles o'!B162</f>
        <v>490194048.65159988</v>
      </c>
      <c r="BL20" s="141">
        <f t="shared" si="19"/>
        <v>0.51290773305841808</v>
      </c>
      <c r="BM20" s="141">
        <f t="shared" si="20"/>
        <v>0.314359212123142</v>
      </c>
      <c r="BN20" s="141">
        <f t="shared" si="21"/>
        <v>0.13655057407408203</v>
      </c>
      <c r="BO20" s="141">
        <f t="shared" si="21"/>
        <v>3.618248074435778E-2</v>
      </c>
      <c r="BP20" s="139" t="s">
        <v>113</v>
      </c>
      <c r="BQ20" s="139" t="s">
        <v>113</v>
      </c>
      <c r="BR20" s="139" t="s">
        <v>113</v>
      </c>
      <c r="BS20" s="131">
        <f t="shared" si="22"/>
        <v>15.648828507493862</v>
      </c>
      <c r="BT20" s="139"/>
      <c r="BU20" s="139"/>
      <c r="BV20" s="139"/>
      <c r="BW20" s="139"/>
      <c r="BX20" s="139"/>
      <c r="BY20" s="139"/>
      <c r="BZ20" s="139"/>
      <c r="CA20" s="139"/>
      <c r="CB20" s="139"/>
      <c r="CC20" s="142" t="s">
        <v>113</v>
      </c>
      <c r="CD20" s="142" t="s">
        <v>113</v>
      </c>
      <c r="CE20" s="142" t="s">
        <v>113</v>
      </c>
      <c r="CF20" s="142" t="s">
        <v>113</v>
      </c>
      <c r="CG20" s="142" t="s">
        <v>113</v>
      </c>
      <c r="CH20" s="142" t="s">
        <v>113</v>
      </c>
      <c r="CI20" s="142" t="s">
        <v>113</v>
      </c>
      <c r="CJ20" s="142"/>
      <c r="CK20" s="139" t="s">
        <v>113</v>
      </c>
      <c r="CL20" s="139" t="s">
        <v>113</v>
      </c>
      <c r="CM20" s="139" t="s">
        <v>113</v>
      </c>
      <c r="CN20" s="139" t="s">
        <v>113</v>
      </c>
      <c r="CO20" s="139" t="s">
        <v>113</v>
      </c>
      <c r="CP20" s="139" t="s">
        <v>113</v>
      </c>
      <c r="CQ20" s="139" t="s">
        <v>113</v>
      </c>
      <c r="CR20" s="139"/>
      <c r="CS20" s="143" t="s">
        <v>113</v>
      </c>
      <c r="CT20" s="143" t="s">
        <v>113</v>
      </c>
      <c r="CU20" s="143" t="s">
        <v>113</v>
      </c>
      <c r="CV20" s="143" t="s">
        <v>113</v>
      </c>
      <c r="CW20" s="143" t="s">
        <v>113</v>
      </c>
      <c r="CX20" s="143" t="s">
        <v>113</v>
      </c>
      <c r="CY20" s="143" t="s">
        <v>113</v>
      </c>
      <c r="CZ20" s="143"/>
      <c r="DA20" s="139" t="s">
        <v>113</v>
      </c>
      <c r="DB20" s="139" t="s">
        <v>113</v>
      </c>
      <c r="DC20" s="139" t="s">
        <v>113</v>
      </c>
      <c r="DD20" s="144">
        <f t="shared" si="23"/>
        <v>0</v>
      </c>
      <c r="DE20" s="145">
        <f>+'[37]2. Distributional by deciles o'!J36</f>
        <v>1</v>
      </c>
      <c r="DF20" s="1"/>
      <c r="DG20" s="1"/>
      <c r="DH20" s="1"/>
      <c r="DI20" s="1"/>
      <c r="DJ20" s="1"/>
      <c r="DK20" s="1"/>
      <c r="DL20" s="1"/>
      <c r="DM20" s="1"/>
      <c r="DN20" s="1"/>
      <c r="DO20" s="1"/>
      <c r="DP20" s="1"/>
      <c r="DQ20" s="1"/>
      <c r="DR20" s="1"/>
      <c r="DS20" s="1"/>
      <c r="DT20" s="1"/>
      <c r="DU20" s="1"/>
      <c r="DV20" s="1"/>
      <c r="DW20" s="1"/>
      <c r="DX20" s="1"/>
      <c r="DY20" s="1"/>
      <c r="DZ20" s="1"/>
      <c r="EA20" s="146">
        <f>+'[38]2. Distributional by deciles o'!B72</f>
        <v>1176210004.1016006</v>
      </c>
      <c r="EB20" s="146">
        <f>+'[38]2. Distributional by deciles o'!C72</f>
        <v>1202323076.3220005</v>
      </c>
      <c r="EC20" s="146">
        <f>+'[38]2. Distributional by deciles o'!D72</f>
        <v>1185697291.3644025</v>
      </c>
      <c r="ED20" s="146">
        <f>+'[38]2. Distributional by deciles o'!E72</f>
        <v>1191935371.0811994</v>
      </c>
      <c r="EE20" s="146">
        <f>+'[38]2. Distributional by deciles o'!F72</f>
        <v>1185714661.2636025</v>
      </c>
      <c r="EF20" s="146">
        <f>+'[38]2. Distributional by deciles o'!G72</f>
        <v>1185697291.3644025</v>
      </c>
      <c r="EG20" s="146">
        <f>+'[38]2. Distributional by deciles o'!H72</f>
        <v>1185697291.3644025</v>
      </c>
      <c r="EH20" s="122"/>
      <c r="EI20" s="130" t="s">
        <v>113</v>
      </c>
      <c r="EJ20" s="130" t="s">
        <v>113</v>
      </c>
      <c r="EK20" s="130" t="s">
        <v>113</v>
      </c>
      <c r="EL20" s="130" t="s">
        <v>113</v>
      </c>
      <c r="EM20" s="131">
        <f t="shared" si="9"/>
        <v>14.52237576061018</v>
      </c>
      <c r="EN20" s="146">
        <f>+'[38]2. Distributional by deciles o'!B90</f>
        <v>14461894777.077587</v>
      </c>
      <c r="EO20" s="146">
        <f>+'[38]2. Distributional by deciles o'!C90</f>
        <v>14606513525.000389</v>
      </c>
      <c r="EP20" s="131">
        <f t="shared" si="10"/>
        <v>0.99999861810657897</v>
      </c>
      <c r="EQ20" s="130" t="s">
        <v>113</v>
      </c>
      <c r="ER20" s="130" t="s">
        <v>113</v>
      </c>
      <c r="ES20" s="130" t="s">
        <v>113</v>
      </c>
      <c r="ET20" s="130" t="s">
        <v>113</v>
      </c>
      <c r="EU20" s="131">
        <f t="shared" si="24"/>
        <v>15.490623262073699</v>
      </c>
      <c r="EV20" s="132">
        <f t="shared" si="25"/>
        <v>2.2201059517324753</v>
      </c>
      <c r="EW20" s="132">
        <f t="shared" si="26"/>
        <v>0.80659919063401753</v>
      </c>
      <c r="EX20" s="132"/>
      <c r="EY20" s="148">
        <f t="shared" si="11"/>
        <v>0.26247902693567426</v>
      </c>
      <c r="EZ20" s="144">
        <f t="shared" si="27"/>
        <v>0</v>
      </c>
      <c r="FA20" s="145">
        <f>+'[38]2. Distributional by deciles o'!J36</f>
        <v>1</v>
      </c>
      <c r="FB20" s="130" t="s">
        <v>113</v>
      </c>
      <c r="FC20" s="130" t="s">
        <v>113</v>
      </c>
      <c r="FD20" s="130" t="s">
        <v>113</v>
      </c>
      <c r="FE20" s="130" t="s">
        <v>113</v>
      </c>
      <c r="FF20" s="130" t="s">
        <v>113</v>
      </c>
      <c r="FG20" s="130" t="s">
        <v>113</v>
      </c>
      <c r="FH20" s="130" t="s">
        <v>113</v>
      </c>
      <c r="FI20" s="130" t="s">
        <v>113</v>
      </c>
      <c r="FJ20" s="1"/>
      <c r="FK20" s="1"/>
      <c r="FL20" s="1"/>
      <c r="FM20" s="1"/>
      <c r="FN20" s="1"/>
      <c r="FO20" s="1"/>
      <c r="FP20" s="1"/>
      <c r="FQ20" s="1"/>
    </row>
    <row r="21" spans="1:173" x14ac:dyDescent="0.3">
      <c r="A21" s="1"/>
      <c r="B21" s="33">
        <v>10</v>
      </c>
      <c r="C21" s="129">
        <f>+'[37]2. Distributional by deciles o'!B73</f>
        <v>4093505399.0435934</v>
      </c>
      <c r="D21" s="129">
        <f>+'[37]2. Distributional by deciles o'!C73</f>
        <v>4152978636.1823916</v>
      </c>
      <c r="E21" s="129">
        <f>+'[37]2. Distributional by deciles o'!D73</f>
        <v>4130298191.1564007</v>
      </c>
      <c r="F21" s="129">
        <f>+'[37]2. Distributional by deciles o'!E73</f>
        <v>4142996454.1739917</v>
      </c>
      <c r="G21" s="129">
        <f>+'[37]2. Distributional by deciles o'!F73</f>
        <v>4130306783.7372007</v>
      </c>
      <c r="H21" s="129">
        <f>+'[37]2. Distributional by deciles o'!G73</f>
        <v>4130298191.1564007</v>
      </c>
      <c r="I21" s="129">
        <f>+'[37]2. Distributional by deciles o'!H73</f>
        <v>4130298191.1564007</v>
      </c>
      <c r="J21" s="122"/>
      <c r="K21" s="130" t="s">
        <v>113</v>
      </c>
      <c r="L21" s="130" t="s">
        <v>113</v>
      </c>
      <c r="M21" s="130" t="s">
        <v>113</v>
      </c>
      <c r="N21" s="130" t="s">
        <v>113</v>
      </c>
      <c r="O21" s="131">
        <f t="shared" si="12"/>
        <v>53.606334039736169</v>
      </c>
      <c r="P21" s="129">
        <f>+'[37]2. Distributional by deciles o'!B91</f>
        <v>24191040121.187977</v>
      </c>
      <c r="Q21" s="129">
        <f>+'[37]2. Distributional by deciles o'!C91</f>
        <v>24432812114.948433</v>
      </c>
      <c r="R21" s="131">
        <f t="shared" si="0"/>
        <v>0.99942785655047217</v>
      </c>
      <c r="S21" s="130" t="s">
        <v>113</v>
      </c>
      <c r="T21" s="130" t="s">
        <v>113</v>
      </c>
      <c r="U21" s="130" t="s">
        <v>113</v>
      </c>
      <c r="V21" s="130" t="s">
        <v>113</v>
      </c>
      <c r="W21" s="132">
        <f t="shared" si="13"/>
        <v>1.4536998987554921</v>
      </c>
      <c r="X21" s="132">
        <f t="shared" si="13"/>
        <v>0.89932347291766346</v>
      </c>
      <c r="Y21" s="132">
        <f t="shared" si="1"/>
        <v>1.2097061685823045</v>
      </c>
      <c r="Z21" s="132">
        <f t="shared" si="1"/>
        <v>0.89953350072916372</v>
      </c>
      <c r="AA21" s="132">
        <f t="shared" si="1"/>
        <v>0.89932347291766346</v>
      </c>
      <c r="AB21" s="132">
        <f t="shared" si="14"/>
        <v>0.89932347291766346</v>
      </c>
      <c r="AC21" s="132">
        <f t="shared" si="14"/>
        <v>0.89932347291766346</v>
      </c>
      <c r="AD21" s="130" t="s">
        <v>113</v>
      </c>
      <c r="AE21" s="130" t="s">
        <v>113</v>
      </c>
      <c r="AF21" s="130" t="s">
        <v>113</v>
      </c>
      <c r="AG21" s="130" t="s">
        <v>113</v>
      </c>
      <c r="AH21" s="133">
        <f t="shared" si="2"/>
        <v>1</v>
      </c>
      <c r="AI21" s="134">
        <f t="shared" si="15"/>
        <v>0</v>
      </c>
      <c r="AJ21" s="134">
        <f t="shared" si="3"/>
        <v>0.2439937301731876</v>
      </c>
      <c r="AK21" s="134">
        <f>IF(W21&gt;1,MAX(MIN(Y21-Z21,W21-AH21-AJ21),0),0)</f>
        <v>0.20970616858230451</v>
      </c>
      <c r="AL21" s="134">
        <f t="shared" si="16"/>
        <v>0</v>
      </c>
      <c r="AM21" s="134">
        <f t="shared" si="17"/>
        <v>0</v>
      </c>
      <c r="AN21" s="135">
        <f t="shared" si="28"/>
        <v>0</v>
      </c>
      <c r="AO21" s="134">
        <f t="shared" si="18"/>
        <v>0</v>
      </c>
      <c r="AP21" s="134">
        <f t="shared" si="6"/>
        <v>0</v>
      </c>
      <c r="AQ21" s="136" t="s">
        <v>113</v>
      </c>
      <c r="AR21" s="137">
        <f t="shared" si="7"/>
        <v>0</v>
      </c>
      <c r="AS21" s="137">
        <f t="shared" si="7"/>
        <v>53.778660925970513</v>
      </c>
      <c r="AT21" s="137">
        <f t="shared" si="7"/>
        <v>46.221339074029487</v>
      </c>
      <c r="AU21" s="137">
        <f t="shared" si="7"/>
        <v>0</v>
      </c>
      <c r="AV21" s="137">
        <f t="shared" si="7"/>
        <v>0</v>
      </c>
      <c r="AW21" s="138">
        <f t="shared" si="7"/>
        <v>0</v>
      </c>
      <c r="AX21" s="137">
        <f t="shared" si="7"/>
        <v>0</v>
      </c>
      <c r="AY21" s="137">
        <f t="shared" si="7"/>
        <v>0</v>
      </c>
      <c r="AZ21" s="139" t="s">
        <v>113</v>
      </c>
      <c r="BA21" s="139" t="s">
        <v>113</v>
      </c>
      <c r="BB21" s="139" t="s">
        <v>113</v>
      </c>
      <c r="BC21" s="139" t="s">
        <v>113</v>
      </c>
      <c r="BD21" s="139" t="s">
        <v>113</v>
      </c>
      <c r="BE21" s="139" t="s">
        <v>113</v>
      </c>
      <c r="BF21" s="139" t="s">
        <v>113</v>
      </c>
      <c r="BG21" s="139" t="s">
        <v>113</v>
      </c>
      <c r="BH21" s="140">
        <f>+'[37]2. Distributional by deciles o'!B109</f>
        <v>10485652727.847605</v>
      </c>
      <c r="BI21" s="140">
        <f>+'[37]2. Distributional by deciles o'!B127</f>
        <v>5290005309.6515999</v>
      </c>
      <c r="BJ21" s="140">
        <f>+'[37]2. Distributional by deciles o'!B145</f>
        <v>6629260831.154398</v>
      </c>
      <c r="BK21" s="140">
        <f>+'[37]2. Distributional by deciles o'!B163</f>
        <v>1786122388.4027996</v>
      </c>
      <c r="BL21" s="141">
        <f t="shared" si="19"/>
        <v>0.43345189718896426</v>
      </c>
      <c r="BM21" s="141">
        <f t="shared" si="20"/>
        <v>0.21867621378672703</v>
      </c>
      <c r="BN21" s="141">
        <f t="shared" si="21"/>
        <v>0.27403784569300738</v>
      </c>
      <c r="BO21" s="141">
        <f t="shared" si="21"/>
        <v>7.383404333130128E-2</v>
      </c>
      <c r="BP21" s="139" t="s">
        <v>113</v>
      </c>
      <c r="BQ21" s="139" t="s">
        <v>113</v>
      </c>
      <c r="BR21" s="139" t="s">
        <v>113</v>
      </c>
      <c r="BS21" s="131">
        <f t="shared" si="22"/>
        <v>27.94259161711684</v>
      </c>
      <c r="BT21" s="139"/>
      <c r="BU21" s="139"/>
      <c r="BV21" s="139"/>
      <c r="BW21" s="139"/>
      <c r="BX21" s="139"/>
      <c r="BY21" s="139"/>
      <c r="BZ21" s="139"/>
      <c r="CA21" s="139"/>
      <c r="CB21" s="139"/>
      <c r="CC21" s="142" t="s">
        <v>113</v>
      </c>
      <c r="CD21" s="142" t="s">
        <v>113</v>
      </c>
      <c r="CE21" s="142" t="s">
        <v>113</v>
      </c>
      <c r="CF21" s="142" t="s">
        <v>113</v>
      </c>
      <c r="CG21" s="142" t="s">
        <v>113</v>
      </c>
      <c r="CH21" s="142" t="s">
        <v>113</v>
      </c>
      <c r="CI21" s="142" t="s">
        <v>113</v>
      </c>
      <c r="CJ21" s="142"/>
      <c r="CK21" s="139" t="s">
        <v>113</v>
      </c>
      <c r="CL21" s="139" t="s">
        <v>113</v>
      </c>
      <c r="CM21" s="139" t="s">
        <v>113</v>
      </c>
      <c r="CN21" s="139" t="s">
        <v>113</v>
      </c>
      <c r="CO21" s="139" t="s">
        <v>113</v>
      </c>
      <c r="CP21" s="139" t="s">
        <v>113</v>
      </c>
      <c r="CQ21" s="139" t="s">
        <v>113</v>
      </c>
      <c r="CR21" s="139"/>
      <c r="CS21" s="143" t="s">
        <v>113</v>
      </c>
      <c r="CT21" s="143" t="s">
        <v>113</v>
      </c>
      <c r="CU21" s="143" t="s">
        <v>113</v>
      </c>
      <c r="CV21" s="143" t="s">
        <v>113</v>
      </c>
      <c r="CW21" s="143" t="s">
        <v>113</v>
      </c>
      <c r="CX21" s="143" t="s">
        <v>113</v>
      </c>
      <c r="CY21" s="143" t="s">
        <v>113</v>
      </c>
      <c r="CZ21" s="143"/>
      <c r="DA21" s="139" t="s">
        <v>113</v>
      </c>
      <c r="DB21" s="139" t="s">
        <v>113</v>
      </c>
      <c r="DC21" s="139" t="s">
        <v>113</v>
      </c>
      <c r="DD21" s="144">
        <f t="shared" si="23"/>
        <v>0</v>
      </c>
      <c r="DE21" s="145">
        <f>+'[37]2. Distributional by deciles o'!J37</f>
        <v>1</v>
      </c>
      <c r="DF21" s="1"/>
      <c r="DG21" s="1"/>
      <c r="DH21" s="1"/>
      <c r="DI21" s="1"/>
      <c r="DJ21" s="1"/>
      <c r="DK21" s="1"/>
      <c r="DL21" s="1"/>
      <c r="DM21" s="1"/>
      <c r="DN21" s="1"/>
      <c r="DO21" s="1"/>
      <c r="DP21" s="1"/>
      <c r="DQ21" s="1"/>
      <c r="DR21" s="1"/>
      <c r="DS21" s="1"/>
      <c r="DT21" s="1"/>
      <c r="DU21" s="1"/>
      <c r="DV21" s="1"/>
      <c r="DW21" s="1"/>
      <c r="DX21" s="1"/>
      <c r="DY21" s="1"/>
      <c r="DZ21" s="1"/>
      <c r="EA21" s="146">
        <f>+'[38]2. Distributional by deciles o'!B73</f>
        <v>4711506846.1068029</v>
      </c>
      <c r="EB21" s="146">
        <f>+'[38]2. Distributional by deciles o'!C73</f>
        <v>4783550923.8384047</v>
      </c>
      <c r="EC21" s="146">
        <f>+'[38]2. Distributional by deciles o'!D73</f>
        <v>4755806253.266408</v>
      </c>
      <c r="ED21" s="146">
        <f>+'[38]2. Distributional by deciles o'!E73</f>
        <v>4761927739.7232046</v>
      </c>
      <c r="EE21" s="146">
        <f>+'[38]2. Distributional by deciles o'!F73</f>
        <v>4755814466.8488064</v>
      </c>
      <c r="EF21" s="146">
        <f>+'[38]2. Distributional by deciles o'!G73</f>
        <v>4755806253.266408</v>
      </c>
      <c r="EG21" s="146">
        <f>+'[38]2. Distributional by deciles o'!H73</f>
        <v>4755806253.266408</v>
      </c>
      <c r="EH21" s="122"/>
      <c r="EI21" s="130" t="s">
        <v>113</v>
      </c>
      <c r="EJ21" s="130" t="s">
        <v>113</v>
      </c>
      <c r="EK21" s="130" t="s">
        <v>113</v>
      </c>
      <c r="EL21" s="130" t="s">
        <v>113</v>
      </c>
      <c r="EM21" s="131">
        <f t="shared" si="9"/>
        <v>58.171816749774941</v>
      </c>
      <c r="EN21" s="146">
        <f>+'[38]2. Distributional by deciles o'!B91</f>
        <v>26204946102.740398</v>
      </c>
      <c r="EO21" s="146">
        <f>+'[38]2. Distributional by deciles o'!C91</f>
        <v>26466994656.879616</v>
      </c>
      <c r="EP21" s="131">
        <f t="shared" si="10"/>
        <v>0.99999653924802701</v>
      </c>
      <c r="EQ21" s="130" t="s">
        <v>113</v>
      </c>
      <c r="ER21" s="130" t="s">
        <v>113</v>
      </c>
      <c r="ES21" s="130" t="s">
        <v>113</v>
      </c>
      <c r="ET21" s="130" t="s">
        <v>113</v>
      </c>
      <c r="EU21" s="131">
        <f t="shared" si="24"/>
        <v>28.069001603020038</v>
      </c>
      <c r="EV21" s="132">
        <f t="shared" si="25"/>
        <v>1.529114345205296</v>
      </c>
      <c r="EW21" s="132">
        <f t="shared" si="26"/>
        <v>0.94024187837064899</v>
      </c>
      <c r="EX21" s="132"/>
      <c r="EY21" s="148">
        <f t="shared" si="11"/>
        <v>7.5414446449803885E-2</v>
      </c>
      <c r="EZ21" s="144">
        <f t="shared" si="27"/>
        <v>0</v>
      </c>
      <c r="FA21" s="145">
        <f>+'[38]2. Distributional by deciles o'!J37</f>
        <v>1</v>
      </c>
      <c r="FB21" s="130" t="s">
        <v>113</v>
      </c>
      <c r="FC21" s="130" t="s">
        <v>113</v>
      </c>
      <c r="FD21" s="130" t="s">
        <v>113</v>
      </c>
      <c r="FE21" s="130" t="s">
        <v>113</v>
      </c>
      <c r="FF21" s="130" t="s">
        <v>113</v>
      </c>
      <c r="FG21" s="130" t="s">
        <v>113</v>
      </c>
      <c r="FH21" s="130" t="s">
        <v>113</v>
      </c>
      <c r="FI21" s="130" t="s">
        <v>113</v>
      </c>
      <c r="FJ21" s="1"/>
      <c r="FK21" s="1"/>
      <c r="FL21" s="1"/>
      <c r="FM21" s="1"/>
      <c r="FN21" s="1"/>
      <c r="FO21" s="1"/>
      <c r="FP21" s="1"/>
      <c r="FQ21" s="1"/>
    </row>
    <row r="22" spans="1:173" ht="13.2" customHeight="1" x14ac:dyDescent="0.3">
      <c r="A22" s="1"/>
      <c r="B22" s="34" t="s">
        <v>114</v>
      </c>
      <c r="C22" s="150">
        <f>+'[37]2. Distributional by deciles o'!B74</f>
        <v>7636234546.4796124</v>
      </c>
      <c r="D22" s="150">
        <f>+'[37]2. Distributional by deciles o'!C74</f>
        <v>7773581211.6036072</v>
      </c>
      <c r="E22" s="150">
        <f>+'[37]2. Distributional by deciles o'!D74</f>
        <v>7700260597.1999903</v>
      </c>
      <c r="F22" s="150">
        <f>+'[37]2. Distributional by deciles o'!E74</f>
        <v>7761553623.5628119</v>
      </c>
      <c r="G22" s="150">
        <f>+'[37]2. Distributional by deciles o'!F74</f>
        <v>7700412851.3615999</v>
      </c>
      <c r="H22" s="150">
        <f>+'[37]2. Distributional by deciles o'!G74</f>
        <v>7700260597.1999903</v>
      </c>
      <c r="I22" s="150">
        <f>+'[37]2. Distributional by deciles o'!H74</f>
        <v>7700260597.1999903</v>
      </c>
      <c r="J22" s="122"/>
      <c r="K22" s="151">
        <f>+'[39]1. Fiscal'!D13</f>
        <v>7702493972.8200207</v>
      </c>
      <c r="L22" s="151">
        <f>+'[39]1. Fiscal'!E13</f>
        <v>7664806097.1924105</v>
      </c>
      <c r="M22" s="151">
        <f>+'[39]1. Fiscal'!F13</f>
        <v>7672445191.6103745</v>
      </c>
      <c r="N22" s="151">
        <f>+'[39]1. Fiscal'!G13</f>
        <v>7642535192.1767778</v>
      </c>
      <c r="O22" s="152" t="s">
        <v>113</v>
      </c>
      <c r="P22" s="150">
        <f>+'[37]2. Distributional by deciles o'!B92</f>
        <v>86574074633.682968</v>
      </c>
      <c r="Q22" s="150">
        <f>+'[37]2. Distributional by deciles o'!C92</f>
        <v>87437609986.633118</v>
      </c>
      <c r="R22" s="153">
        <f>(Q22/P22-1)*100</f>
        <v>0.99745259375163542</v>
      </c>
      <c r="S22" s="151">
        <f>+'[39]1. Fiscal'!D166</f>
        <v>86963426997.388275</v>
      </c>
      <c r="T22" s="151">
        <f>+'[39]1. Fiscal'!E166</f>
        <v>86853533523.526535</v>
      </c>
      <c r="U22" s="151">
        <f>+'[39]1. Fiscal'!F166</f>
        <v>86735592422.483765</v>
      </c>
      <c r="V22" s="151">
        <f>+'[39]1. Fiscal'!G166</f>
        <v>86607280779.702209</v>
      </c>
      <c r="W22" s="154">
        <f t="shared" si="13"/>
        <v>1.8032111978204031</v>
      </c>
      <c r="X22" s="154">
        <f t="shared" si="13"/>
        <v>0.84059188118600137</v>
      </c>
      <c r="Y22" s="154">
        <f t="shared" si="1"/>
        <v>1.645302147619927</v>
      </c>
      <c r="Z22" s="154">
        <f t="shared" si="1"/>
        <v>0.84259081147587345</v>
      </c>
      <c r="AA22" s="154">
        <f t="shared" si="1"/>
        <v>0.84059188118600137</v>
      </c>
      <c r="AB22" s="154">
        <f t="shared" si="14"/>
        <v>0.84059188118600137</v>
      </c>
      <c r="AC22" s="154">
        <f t="shared" si="14"/>
        <v>0.84059188118600137</v>
      </c>
      <c r="AD22" s="155">
        <f>(K22/$C22-1) / (S22/$P22-1)</f>
        <v>1.929360819718092</v>
      </c>
      <c r="AE22" s="155">
        <f>(L22/$C22-1) / (T22/$P22-1)</f>
        <v>1.1591095437536814</v>
      </c>
      <c r="AF22" s="155">
        <f>(M22/$C22-1) / (U22/$P22-1)</f>
        <v>2.5417012400277428</v>
      </c>
      <c r="AG22" s="155">
        <f>(N22/$C22-1) / (V22/$P22-1)</f>
        <v>2.151172237402577</v>
      </c>
      <c r="AH22" s="156">
        <f t="shared" si="2"/>
        <v>1</v>
      </c>
      <c r="AI22" s="155">
        <f t="shared" si="15"/>
        <v>0</v>
      </c>
      <c r="AJ22" s="155">
        <f t="shared" si="3"/>
        <v>0.15790905020047608</v>
      </c>
      <c r="AK22" s="155">
        <f>IF(W22&gt;1,MAX(MIN(Y22-Z22,W22-AH22-AJ22),0),0)</f>
        <v>0.64530214761992699</v>
      </c>
      <c r="AL22" s="155">
        <f t="shared" si="16"/>
        <v>0</v>
      </c>
      <c r="AM22" s="155">
        <f t="shared" si="17"/>
        <v>0</v>
      </c>
      <c r="AN22" s="157">
        <f t="shared" si="28"/>
        <v>0</v>
      </c>
      <c r="AO22" s="155">
        <f t="shared" si="18"/>
        <v>0</v>
      </c>
      <c r="AP22" s="155">
        <f t="shared" si="6"/>
        <v>0</v>
      </c>
      <c r="AQ22" s="136" t="s">
        <v>113</v>
      </c>
      <c r="AR22" s="137">
        <f>AI22/($W22-1)*100</f>
        <v>0</v>
      </c>
      <c r="AS22" s="137">
        <f t="shared" si="7"/>
        <v>19.659717223686457</v>
      </c>
      <c r="AT22" s="137">
        <f t="shared" si="7"/>
        <v>80.340282776313543</v>
      </c>
      <c r="AU22" s="137">
        <f t="shared" si="7"/>
        <v>0</v>
      </c>
      <c r="AV22" s="137">
        <f t="shared" si="7"/>
        <v>0</v>
      </c>
      <c r="AW22" s="138">
        <f t="shared" si="7"/>
        <v>0</v>
      </c>
      <c r="AX22" s="137">
        <f t="shared" si="7"/>
        <v>0</v>
      </c>
      <c r="AY22" s="137">
        <f t="shared" si="7"/>
        <v>0</v>
      </c>
      <c r="AZ22" s="158">
        <v>2.21</v>
      </c>
      <c r="BA22" s="158">
        <v>2.2999999999999998</v>
      </c>
      <c r="BB22" s="158">
        <v>2.14</v>
      </c>
      <c r="BC22" s="158">
        <v>1.59</v>
      </c>
      <c r="BD22" s="159">
        <f>W22-AZ22</f>
        <v>-0.4067888021795969</v>
      </c>
      <c r="BE22" s="159">
        <f>AD22-BA22</f>
        <v>-0.37063918028190779</v>
      </c>
      <c r="BF22" s="159">
        <f>AF22-BB22</f>
        <v>0.40170124002774266</v>
      </c>
      <c r="BG22" s="159">
        <f>AG22-BC22</f>
        <v>0.56117223740257693</v>
      </c>
      <c r="BH22" s="361">
        <f>+'[37]2. Distributional by deciles o'!B110</f>
        <v>38936345868.889267</v>
      </c>
      <c r="BI22" s="361">
        <f>+'[37]2. Distributional by deciles o'!B128</f>
        <v>28165190793.847031</v>
      </c>
      <c r="BJ22" s="361">
        <f>+'[37]2. Distributional by deciles o'!B146</f>
        <v>16152152465.906349</v>
      </c>
      <c r="BK22" s="361">
        <f>+'[37]2. Distributional by deciles o'!B164</f>
        <v>3320390956.5936027</v>
      </c>
      <c r="BL22" s="141">
        <f t="shared" si="19"/>
        <v>0.4497459959211188</v>
      </c>
      <c r="BM22" s="141">
        <f t="shared" si="20"/>
        <v>0.32533052347904917</v>
      </c>
      <c r="BN22" s="141">
        <f t="shared" si="21"/>
        <v>0.18657030429897492</v>
      </c>
      <c r="BO22" s="141">
        <f t="shared" si="21"/>
        <v>3.8353176300857279E-2</v>
      </c>
      <c r="BP22" s="159">
        <f>(AD22*BL22+AF22*BN22+AG22*BO22)/(BL22+BN22+BO22)</f>
        <v>2.1113042975714551</v>
      </c>
      <c r="BQ22" s="159">
        <f>W22-BP22</f>
        <v>-0.30809309975105204</v>
      </c>
      <c r="BR22" s="159">
        <f>BP22-AZ22</f>
        <v>-9.8695702428544863E-2</v>
      </c>
      <c r="BS22" s="152" t="s">
        <v>113</v>
      </c>
      <c r="BT22" s="161"/>
      <c r="BU22" s="161"/>
      <c r="BV22" s="161"/>
      <c r="BW22" s="161"/>
      <c r="BX22" s="162"/>
      <c r="BY22" s="162"/>
      <c r="BZ22" s="163"/>
      <c r="CA22" s="164"/>
      <c r="CB22" s="165"/>
      <c r="CC22" s="166"/>
      <c r="CD22" s="166"/>
      <c r="CE22" s="166"/>
      <c r="CF22" s="166"/>
      <c r="CG22" s="167"/>
      <c r="CH22" s="167"/>
      <c r="CI22" s="168"/>
      <c r="CJ22" s="169"/>
      <c r="CK22" s="161">
        <f>+'[37]3. Inequality and Poverty'!$B$7</f>
        <v>0.37750602696407098</v>
      </c>
      <c r="CL22" s="161">
        <f>+'[37]3. Inequality and Poverty'!$B$8</f>
        <v>0.35149361840947702</v>
      </c>
      <c r="CM22" s="161">
        <f>+'[37]3. Inequality and Poverty'!$C$7</f>
        <v>0.37751103429816202</v>
      </c>
      <c r="CN22" s="161">
        <f>+'[37]3. Inequality and Poverty'!$C$8</f>
        <v>0.351400629203866</v>
      </c>
      <c r="CO22" s="162">
        <f t="shared" ref="CO22" si="29">(CK22-CL22)/CK22</f>
        <v>6.8905942413125212E-2</v>
      </c>
      <c r="CP22" s="162">
        <f>(CM22-CN22)/CM22</f>
        <v>6.9164614334620372E-2</v>
      </c>
      <c r="CQ22" s="163">
        <f>(CP22-CO22)*100</f>
        <v>2.5867192149515994E-2</v>
      </c>
      <c r="CR22" s="165">
        <f>CN22-CL22</f>
        <v>-9.2989205611015979E-5</v>
      </c>
      <c r="CS22" s="170">
        <f>(SUM(P20:P21))/(SUM(P12:P13))</f>
        <v>8.7042774672987875</v>
      </c>
      <c r="CT22" s="170">
        <f>(SUM(P20:P21)-SUM(C20:C21))/(SUM(P12:P13)-SUM(C12:C13))</f>
        <v>7.6838940243281932</v>
      </c>
      <c r="CU22" s="170">
        <f>(SUM(Q20:Q21))/(SUM(Q12:Q13))</f>
        <v>8.7042948612738318</v>
      </c>
      <c r="CV22" s="170">
        <f>(SUM(Q20:Q21)-SUM(D20:D21))/(SUM(Q12:Q13)-SUM(D12:D13))</f>
        <v>7.678465838369724</v>
      </c>
      <c r="CW22" s="162">
        <f>(CS22-CT22)/CS22</f>
        <v>0.11722781664579122</v>
      </c>
      <c r="CX22" s="162">
        <f>(CU22-CV22)/CU22</f>
        <v>0.11785320227007827</v>
      </c>
      <c r="CY22" s="163">
        <f>(CX22-CW22)*100</f>
        <v>6.2538562428704481E-2</v>
      </c>
      <c r="CZ22" s="165">
        <f>CV22-CT22</f>
        <v>-5.4281859584692782E-3</v>
      </c>
      <c r="DA22" s="171">
        <f>+'[37]3. Inequality and Poverty'!$B$34</f>
        <v>0.27381981053198101</v>
      </c>
      <c r="DB22" s="171">
        <f>+'[37]3. Inequality and Poverty'!$C$34</f>
        <v>0.27243635701897401</v>
      </c>
      <c r="DC22" s="172">
        <f>DB22-DA22</f>
        <v>-1.3834535130070047E-3</v>
      </c>
      <c r="DD22" s="144">
        <f t="shared" si="23"/>
        <v>32.29242207454184</v>
      </c>
      <c r="DE22" s="145">
        <f>+'[37]2. Distributional by deciles o'!J38</f>
        <v>0.67707577925458162</v>
      </c>
      <c r="DF22" s="1"/>
      <c r="DG22" s="1"/>
      <c r="DH22" s="1"/>
      <c r="DI22" s="1"/>
      <c r="DJ22" s="1"/>
      <c r="DK22" s="1"/>
      <c r="DL22" s="1"/>
      <c r="DM22" s="1"/>
      <c r="DN22" s="1"/>
      <c r="DO22" s="1"/>
      <c r="DP22" s="1"/>
      <c r="DQ22" s="1"/>
      <c r="DR22" s="1"/>
      <c r="DS22" s="1"/>
      <c r="DT22" s="1"/>
      <c r="DU22" s="1"/>
      <c r="DV22" s="1"/>
      <c r="DW22" s="1"/>
      <c r="DX22" s="1"/>
      <c r="DY22" s="1"/>
      <c r="DZ22" s="1"/>
      <c r="EA22" s="151">
        <f>+'[38]2. Distributional by deciles o'!B74</f>
        <v>8099294657.3652115</v>
      </c>
      <c r="EB22" s="151">
        <f>+'[38]2. Distributional by deciles o'!C74</f>
        <v>8260548090.9708309</v>
      </c>
      <c r="EC22" s="151">
        <f>+'[38]2. Distributional by deciles o'!D74</f>
        <v>8170922638.366787</v>
      </c>
      <c r="ED22" s="151">
        <f>+'[38]2. Distributional by deciles o'!E74</f>
        <v>8203357713.0888176</v>
      </c>
      <c r="EE22" s="151">
        <f>+'[38]2. Distributional by deciles o'!F74</f>
        <v>8171060129.3627844</v>
      </c>
      <c r="EF22" s="151">
        <f>+'[38]2. Distributional by deciles o'!G74</f>
        <v>8170922638.366787</v>
      </c>
      <c r="EG22" s="151">
        <f>+'[38]2. Distributional by deciles o'!H74</f>
        <v>8170922638.366787</v>
      </c>
      <c r="EH22" s="123"/>
      <c r="EI22" s="151">
        <f>+'[40]2. Distributional by deciles o'!D74</f>
        <v>8179003943.2212162</v>
      </c>
      <c r="EJ22" s="151">
        <f>+'[40]2. Distributional by deciles o'!E74</f>
        <v>8125999059.0924425</v>
      </c>
      <c r="EK22" s="151">
        <f>+'[40]2. Distributional by deciles o'!F74</f>
        <v>8147480707.2828064</v>
      </c>
      <c r="EL22" s="151">
        <f>+'[40]2. Distributional by deciles o'!G74</f>
        <v>8105945099.6424026</v>
      </c>
      <c r="EM22" s="152" t="s">
        <v>113</v>
      </c>
      <c r="EN22" s="151">
        <f>+'[38]2. Distributional by deciles o'!B92</f>
        <v>93359024568.657684</v>
      </c>
      <c r="EO22" s="151">
        <f>+'[38]2. Distributional by deciles o'!C92</f>
        <v>94292620712.294388</v>
      </c>
      <c r="EP22" s="153">
        <f>(EO22/EN22-1)*100</f>
        <v>1.0000063174933072</v>
      </c>
      <c r="EQ22" s="151">
        <f>+'[40]2. Distributional by deciles o'!D92</f>
        <v>93781550078.609589</v>
      </c>
      <c r="ER22" s="151">
        <f>+'[40]2. Distributional by deciles o'!E92</f>
        <v>93654388238.459198</v>
      </c>
      <c r="ES22" s="151">
        <f>+'[40]2. Distributional by deciles o'!F92</f>
        <v>93540115139.075928</v>
      </c>
      <c r="ET22" s="151">
        <f>+'[40]2. Distributional by deciles o'!G92</f>
        <v>93393644941.596222</v>
      </c>
      <c r="EU22" s="152" t="s">
        <v>113</v>
      </c>
      <c r="EV22" s="154">
        <f t="shared" si="25"/>
        <v>1.9909439243321063</v>
      </c>
      <c r="EW22" s="154">
        <f t="shared" si="26"/>
        <v>0.88436748538353349</v>
      </c>
      <c r="EX22" s="174">
        <f>EW22-X22</f>
        <v>4.3775604197532125E-2</v>
      </c>
      <c r="EY22" s="175">
        <f>EV22-W22</f>
        <v>0.18773272651170325</v>
      </c>
      <c r="EZ22" s="144">
        <f t="shared" si="27"/>
        <v>29.686027042403285</v>
      </c>
      <c r="FA22" s="176">
        <f>+'[38]2. Distributional by deciles o'!J38</f>
        <v>0.70313972957596715</v>
      </c>
      <c r="FB22" s="155">
        <f>(EI22/$EA22-1) / (EQ22/$EN22-1)</f>
        <v>2.1745284292021241</v>
      </c>
      <c r="FC22" s="155">
        <f>(EJ22/$EA22-1) / (ER22/$EN22-1)</f>
        <v>1.0421611602778582</v>
      </c>
      <c r="FD22" s="155">
        <f>(EK22/$EA22-1) / (ES22/$EN22-1)</f>
        <v>3.0671470336117945</v>
      </c>
      <c r="FE22" s="155">
        <f>(EL22/$EA22-1) / (ET22/$EN22-1)</f>
        <v>2.2142563191965676</v>
      </c>
      <c r="FF22" s="75">
        <f>FB22-AD22</f>
        <v>0.24516760948403205</v>
      </c>
      <c r="FG22" s="75">
        <f>FC22-AE22</f>
        <v>-0.11694838347582315</v>
      </c>
      <c r="FH22" s="75">
        <f>FD22-AF22</f>
        <v>0.52544579358405175</v>
      </c>
      <c r="FI22" s="75">
        <f>FE22-AG22</f>
        <v>6.308408179399061E-2</v>
      </c>
      <c r="FJ22" s="1"/>
      <c r="FK22" s="1"/>
      <c r="FL22" s="1"/>
      <c r="FM22" s="1"/>
      <c r="FN22" s="1"/>
      <c r="FO22" s="1"/>
      <c r="FP22" s="1"/>
      <c r="FQ22" s="1"/>
    </row>
    <row r="23" spans="1:173" x14ac:dyDescent="0.3">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c r="ET23" s="1"/>
      <c r="EU23" s="1"/>
      <c r="EV23" s="1"/>
      <c r="EW23" s="1"/>
      <c r="EX23" s="1"/>
      <c r="EY23" s="1"/>
      <c r="EZ23" s="1"/>
      <c r="FA23" s="1"/>
      <c r="FB23" s="1"/>
      <c r="FC23" s="1"/>
      <c r="FD23" s="1"/>
      <c r="FE23" s="1"/>
      <c r="FF23" s="1"/>
      <c r="FG23" s="1"/>
      <c r="FH23" s="1"/>
      <c r="FI23" s="1"/>
      <c r="FJ23" s="1"/>
      <c r="FK23" s="1"/>
      <c r="FL23" s="1"/>
      <c r="FM23" s="1"/>
      <c r="FN23" s="1"/>
      <c r="FO23" s="1"/>
      <c r="FP23" s="1"/>
      <c r="FQ23" s="1"/>
    </row>
    <row r="24" spans="1:173" x14ac:dyDescent="0.3">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c r="EJ24" s="1"/>
      <c r="EK24" s="1"/>
      <c r="EL24" s="1"/>
      <c r="EM24" s="1"/>
      <c r="EN24" s="1"/>
      <c r="EO24" s="1"/>
      <c r="EP24" s="1"/>
      <c r="EQ24" s="1"/>
      <c r="ER24" s="1"/>
      <c r="ES24" s="1"/>
      <c r="ET24" s="1"/>
      <c r="EU24" s="1"/>
      <c r="EV24" s="1"/>
      <c r="EW24" s="1"/>
      <c r="EX24" s="1"/>
      <c r="EY24" s="1"/>
      <c r="EZ24" s="1"/>
      <c r="FA24" s="1"/>
      <c r="FB24" s="1"/>
      <c r="FC24" s="1"/>
      <c r="FD24" s="1"/>
      <c r="FE24" s="1"/>
      <c r="FF24" s="1"/>
      <c r="FG24" s="1"/>
      <c r="FH24" s="1"/>
      <c r="FI24" s="1"/>
      <c r="FJ24" s="1"/>
      <c r="FK24" s="1"/>
      <c r="FL24" s="1"/>
      <c r="FM24" s="1"/>
      <c r="FN24" s="1"/>
      <c r="FO24" s="1"/>
      <c r="FP24" s="1"/>
      <c r="FQ24" s="1"/>
    </row>
    <row r="25" spans="1:173" x14ac:dyDescent="0.3">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Q25" s="1"/>
    </row>
    <row r="26" spans="1:173" x14ac:dyDescent="0.3">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c r="ER26" s="1"/>
      <c r="ES26" s="1"/>
      <c r="ET26" s="1"/>
      <c r="EU26" s="1"/>
      <c r="EV26" s="1"/>
      <c r="EW26" s="1"/>
      <c r="EX26" s="1"/>
      <c r="EY26" s="1"/>
      <c r="EZ26" s="1"/>
      <c r="FA26" s="1"/>
      <c r="FB26" s="1"/>
      <c r="FC26" s="1"/>
      <c r="FD26" s="1"/>
      <c r="FE26" s="1"/>
      <c r="FF26" s="1"/>
      <c r="FG26" s="1"/>
      <c r="FH26" s="1"/>
      <c r="FI26" s="1"/>
      <c r="FJ26" s="1"/>
      <c r="FK26" s="1"/>
      <c r="FL26" s="1"/>
      <c r="FM26" s="1"/>
      <c r="FN26" s="1"/>
      <c r="FO26" s="1"/>
      <c r="FP26" s="1"/>
      <c r="FQ26" s="1"/>
    </row>
    <row r="27" spans="1:173" x14ac:dyDescent="0.3">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c r="CW27" s="1"/>
      <c r="CX27" s="1"/>
      <c r="CY27" s="1"/>
      <c r="CZ27" s="1"/>
      <c r="DA27" s="1"/>
      <c r="DB27" s="1"/>
      <c r="DC27" s="1"/>
      <c r="DD27" s="1"/>
      <c r="DE27" s="1"/>
      <c r="DF27" s="1"/>
      <c r="DG27" s="1"/>
      <c r="DH27" s="1"/>
      <c r="DI27" s="1"/>
      <c r="DJ27" s="1"/>
      <c r="DK27" s="1"/>
      <c r="DL27" s="1"/>
      <c r="DM27" s="1"/>
      <c r="DN27" s="1"/>
      <c r="DO27" s="1"/>
      <c r="DP27" s="1"/>
      <c r="DQ27" s="1"/>
      <c r="DR27" s="1"/>
      <c r="DS27" s="1"/>
      <c r="DT27" s="1"/>
      <c r="DU27" s="1"/>
      <c r="DV27" s="1"/>
      <c r="DW27" s="1"/>
      <c r="DX27" s="1"/>
      <c r="DY27" s="1"/>
      <c r="DZ27" s="1"/>
      <c r="EA27" s="1"/>
      <c r="EB27" s="1"/>
      <c r="EC27" s="1"/>
      <c r="ED27" s="1"/>
      <c r="EE27" s="1"/>
      <c r="EF27" s="1"/>
      <c r="EG27" s="1"/>
      <c r="EH27" s="1"/>
      <c r="EI27" s="1"/>
      <c r="EJ27" s="1"/>
      <c r="EK27" s="1"/>
      <c r="EL27" s="1"/>
      <c r="EM27" s="1"/>
      <c r="EN27" s="1"/>
      <c r="EO27" s="1"/>
      <c r="EP27" s="1"/>
      <c r="EQ27" s="1"/>
      <c r="ER27" s="1"/>
      <c r="ES27" s="1"/>
      <c r="ET27" s="1"/>
      <c r="EU27" s="1"/>
      <c r="EV27" s="1"/>
      <c r="EW27" s="1"/>
      <c r="EX27" s="1"/>
      <c r="EY27" s="1"/>
      <c r="EZ27" s="1"/>
      <c r="FA27" s="1"/>
      <c r="FB27" s="1"/>
      <c r="FC27" s="1"/>
      <c r="FD27" s="1"/>
      <c r="FE27" s="1"/>
      <c r="FF27" s="1"/>
      <c r="FG27" s="1"/>
      <c r="FH27" s="1"/>
      <c r="FI27" s="1"/>
      <c r="FJ27" s="1"/>
      <c r="FK27" s="1"/>
      <c r="FL27" s="1"/>
      <c r="FM27" s="1"/>
      <c r="FN27" s="1"/>
      <c r="FO27" s="1"/>
      <c r="FP27" s="1"/>
      <c r="FQ27" s="1"/>
    </row>
  </sheetData>
  <pageMargins left="0.7" right="0.7" top="0.75" bottom="0.75" header="0.3" footer="0.3"/>
  <pageSetup paperSize="9" orientation="portrait" r:id="rId1"/>
  <headerFooter>
    <oddHeader>&amp;R&amp;"Arial"&amp;10&amp;K000000 ECB-RESTRICTED&amp;1#_x000D_</oddHead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7B3311-707D-4921-9048-97BA94D10503}">
  <dimension ref="A1:BN121"/>
  <sheetViews>
    <sheetView zoomScale="55" zoomScaleNormal="55" workbookViewId="0">
      <selection activeCell="D8" sqref="D8"/>
    </sheetView>
  </sheetViews>
  <sheetFormatPr baseColWidth="10" defaultColWidth="8.6640625" defaultRowHeight="14.4" x14ac:dyDescent="0.3"/>
  <cols>
    <col min="1" max="1" width="4.33203125" customWidth="1"/>
    <col min="3" max="3" width="17.33203125" customWidth="1"/>
    <col min="4" max="4" width="15.6640625" customWidth="1"/>
    <col min="5" max="5" width="16.33203125" customWidth="1"/>
    <col min="6" max="6" width="15.6640625" customWidth="1"/>
    <col min="7" max="7" width="16" customWidth="1"/>
    <col min="8" max="8" width="19" customWidth="1"/>
    <col min="9" max="12" width="17" customWidth="1"/>
    <col min="13" max="13" width="17.33203125" customWidth="1"/>
    <col min="14" max="18" width="16.33203125" customWidth="1"/>
    <col min="19" max="19" width="17" customWidth="1"/>
    <col min="20" max="33" width="16.33203125" customWidth="1"/>
    <col min="34" max="34" width="14.6640625" customWidth="1"/>
    <col min="35" max="36" width="12.6640625" customWidth="1"/>
    <col min="37" max="37" width="17.33203125" customWidth="1"/>
    <col min="38" max="38" width="12.33203125" customWidth="1"/>
    <col min="39" max="39" width="9.6640625" customWidth="1"/>
    <col min="40" max="42" width="17.44140625" customWidth="1"/>
    <col min="43" max="50" width="9.6640625" customWidth="1"/>
    <col min="51" max="59" width="0.5546875" customWidth="1"/>
  </cols>
  <sheetData>
    <row r="1" spans="1:66" ht="15" thickBot="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row>
    <row r="2" spans="1:66" ht="18" customHeight="1" thickBot="1" x14ac:dyDescent="0.35">
      <c r="A2" s="1"/>
      <c r="B2" s="2" t="s">
        <v>654</v>
      </c>
      <c r="C2" s="3"/>
      <c r="D2" s="3"/>
      <c r="E2" s="3"/>
      <c r="F2" s="3"/>
      <c r="G2" s="3"/>
      <c r="H2" s="3"/>
      <c r="I2" s="3"/>
      <c r="J2" s="3"/>
      <c r="K2" s="3"/>
      <c r="L2" s="3"/>
      <c r="M2" s="4"/>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row>
    <row r="3" spans="1:66" ht="18" customHeight="1" x14ac:dyDescent="0.3">
      <c r="A3" s="1"/>
      <c r="B3" s="5" t="s">
        <v>115</v>
      </c>
      <c r="C3" s="6"/>
      <c r="D3" s="6"/>
      <c r="E3" s="6"/>
      <c r="F3" s="6"/>
      <c r="G3" s="6"/>
      <c r="H3" s="6"/>
      <c r="I3" s="6"/>
      <c r="J3" s="6"/>
      <c r="K3" s="6"/>
      <c r="L3" s="6"/>
      <c r="M3" s="7"/>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row>
    <row r="4" spans="1:66" ht="18" customHeight="1" x14ac:dyDescent="0.3">
      <c r="A4" s="1"/>
      <c r="B4" s="99" t="s">
        <v>1</v>
      </c>
      <c r="C4" s="296"/>
      <c r="D4" s="296"/>
      <c r="E4" s="296"/>
      <c r="F4" s="296"/>
      <c r="G4" s="296"/>
      <c r="H4" s="296"/>
      <c r="I4" s="296"/>
      <c r="J4" s="296"/>
      <c r="K4" s="296"/>
      <c r="L4" s="296"/>
      <c r="M4" s="100"/>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row>
    <row r="5" spans="1:66" ht="14.25" customHeight="1" x14ac:dyDescent="0.3">
      <c r="A5" s="1"/>
      <c r="B5" s="293" t="s">
        <v>116</v>
      </c>
      <c r="C5" s="294"/>
      <c r="D5" s="294"/>
      <c r="E5" s="294"/>
      <c r="F5" s="294"/>
      <c r="G5" s="294"/>
      <c r="H5" s="294"/>
      <c r="I5" s="294"/>
      <c r="J5" s="294"/>
      <c r="K5" s="294"/>
      <c r="L5" s="294"/>
      <c r="M5" s="295"/>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row>
    <row r="6" spans="1:66" ht="12.6" customHeight="1" x14ac:dyDescent="0.3">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row>
    <row r="7" spans="1:66" ht="12.6" customHeight="1" x14ac:dyDescent="0.3">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row>
    <row r="8" spans="1:66" ht="17.7" customHeight="1" x14ac:dyDescent="0.3">
      <c r="A8" s="1"/>
      <c r="B8" s="11" t="s">
        <v>2</v>
      </c>
      <c r="C8" s="12" t="s">
        <v>217</v>
      </c>
      <c r="D8" s="12" t="s">
        <v>658</v>
      </c>
      <c r="E8" s="124" t="s">
        <v>519</v>
      </c>
      <c r="F8" s="125"/>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row>
    <row r="9" spans="1:66" ht="10.35" customHeight="1" x14ac:dyDescent="0.3">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row>
    <row r="10" spans="1:66" x14ac:dyDescent="0.3">
      <c r="A10" s="1"/>
      <c r="B10" s="1"/>
      <c r="C10" s="13" t="s">
        <v>6</v>
      </c>
      <c r="D10" s="14"/>
      <c r="E10" s="14"/>
      <c r="F10" s="14"/>
      <c r="G10" s="14"/>
      <c r="H10" s="14"/>
      <c r="I10" s="14"/>
      <c r="J10" s="14"/>
      <c r="K10" s="14"/>
      <c r="L10" s="14"/>
      <c r="M10" s="14"/>
      <c r="N10" s="14"/>
      <c r="O10" s="14"/>
      <c r="P10" s="15" t="s">
        <v>596</v>
      </c>
      <c r="Q10" s="16"/>
      <c r="R10" s="16"/>
      <c r="S10" s="16"/>
      <c r="T10" s="16"/>
      <c r="U10" s="16"/>
      <c r="V10" s="16"/>
      <c r="W10" s="16"/>
      <c r="X10" s="13"/>
      <c r="Y10" s="17"/>
      <c r="Z10" s="17"/>
      <c r="AA10" s="17"/>
      <c r="AB10" s="17"/>
      <c r="AC10" s="17"/>
      <c r="AD10" s="17"/>
      <c r="AE10" s="19"/>
      <c r="AF10" s="16"/>
      <c r="AG10" s="16"/>
      <c r="AH10" s="16"/>
      <c r="AI10" s="16"/>
      <c r="AJ10" s="16"/>
      <c r="AK10" s="1"/>
      <c r="AL10" s="1"/>
      <c r="AM10" s="99" t="s">
        <v>562</v>
      </c>
      <c r="AN10" s="9"/>
      <c r="AO10" s="9"/>
      <c r="AP10" s="9"/>
      <c r="AQ10" s="9"/>
      <c r="AR10" s="9"/>
      <c r="AS10" s="10"/>
      <c r="AT10" s="1"/>
      <c r="AU10" s="1"/>
      <c r="AV10" s="1"/>
      <c r="AW10" s="1"/>
      <c r="AX10" s="1"/>
      <c r="AY10" s="1"/>
      <c r="AZ10" s="1"/>
      <c r="BA10" s="1"/>
      <c r="BB10" s="1"/>
      <c r="BC10" s="1"/>
      <c r="BD10" s="1"/>
      <c r="BE10" s="1"/>
      <c r="BF10" s="1"/>
      <c r="BG10" s="1"/>
      <c r="BH10" s="1"/>
      <c r="BI10" s="1"/>
      <c r="BJ10" s="1"/>
      <c r="BK10" s="1"/>
      <c r="BL10" s="1"/>
      <c r="BM10" s="1"/>
      <c r="BN10" s="1"/>
    </row>
    <row r="11" spans="1:66" ht="78.75" customHeight="1" x14ac:dyDescent="0.3">
      <c r="A11" s="1"/>
      <c r="B11" s="25" t="s">
        <v>20</v>
      </c>
      <c r="C11" s="26" t="s">
        <v>119</v>
      </c>
      <c r="D11" s="27" t="s">
        <v>120</v>
      </c>
      <c r="E11" s="26" t="s">
        <v>121</v>
      </c>
      <c r="F11" s="27" t="s">
        <v>122</v>
      </c>
      <c r="G11" s="27" t="s">
        <v>123</v>
      </c>
      <c r="H11" s="27" t="s">
        <v>124</v>
      </c>
      <c r="I11" s="27" t="s">
        <v>125</v>
      </c>
      <c r="J11" s="27" t="s">
        <v>126</v>
      </c>
      <c r="K11" s="27" t="s">
        <v>127</v>
      </c>
      <c r="L11" s="27"/>
      <c r="M11" s="27"/>
      <c r="N11" s="27"/>
      <c r="O11" s="27"/>
      <c r="P11" s="26" t="s">
        <v>119</v>
      </c>
      <c r="Q11" s="27" t="s">
        <v>120</v>
      </c>
      <c r="R11" s="27" t="s">
        <v>121</v>
      </c>
      <c r="S11" s="27" t="s">
        <v>122</v>
      </c>
      <c r="T11" s="27" t="s">
        <v>123</v>
      </c>
      <c r="U11" s="27" t="s">
        <v>130</v>
      </c>
      <c r="V11" s="27"/>
      <c r="W11" s="27"/>
      <c r="X11" s="27"/>
      <c r="Y11" s="27"/>
      <c r="Z11" s="27"/>
      <c r="AA11" s="27"/>
      <c r="AB11" s="27"/>
      <c r="AC11" s="27"/>
      <c r="AD11" s="27"/>
      <c r="AE11" s="27"/>
      <c r="AF11" s="27"/>
      <c r="AG11" s="27"/>
      <c r="AH11" s="27"/>
      <c r="AI11" s="27"/>
      <c r="AJ11" s="27"/>
      <c r="AK11" s="27" t="s">
        <v>150</v>
      </c>
      <c r="AL11" s="1"/>
      <c r="AM11" s="522" t="s">
        <v>563</v>
      </c>
      <c r="AN11" s="523" t="s">
        <v>568</v>
      </c>
      <c r="AO11" s="523" t="s">
        <v>569</v>
      </c>
      <c r="AP11" s="523" t="s">
        <v>570</v>
      </c>
      <c r="AQ11" s="523" t="s">
        <v>564</v>
      </c>
      <c r="AR11" s="523" t="s">
        <v>565</v>
      </c>
      <c r="AS11" s="523" t="s">
        <v>566</v>
      </c>
      <c r="AT11" s="1"/>
      <c r="AU11" s="1"/>
      <c r="AV11" s="1"/>
      <c r="AW11" s="1"/>
      <c r="AX11" s="1"/>
      <c r="AY11" s="1"/>
      <c r="AZ11" s="1"/>
      <c r="BA11" s="1"/>
      <c r="BB11" s="1"/>
      <c r="BC11" s="1"/>
      <c r="BD11" s="1"/>
      <c r="BE11" s="1"/>
      <c r="BF11" s="1"/>
      <c r="BG11" s="1"/>
      <c r="BH11" s="1"/>
      <c r="BI11" s="1"/>
      <c r="BJ11" s="1"/>
      <c r="BK11" s="1"/>
      <c r="BL11" s="1"/>
      <c r="BM11" s="1"/>
      <c r="BN11" s="1"/>
    </row>
    <row r="12" spans="1:66" x14ac:dyDescent="0.3">
      <c r="A12" s="1"/>
      <c r="B12" s="28">
        <v>1</v>
      </c>
      <c r="C12" s="129">
        <f>+'[41]2. Distributional by deciles o'!B64</f>
        <v>30103115.750399992</v>
      </c>
      <c r="D12" s="129">
        <f>+'[41]2. Distributional by deciles o'!C64</f>
        <v>14933419.861199997</v>
      </c>
      <c r="E12" s="129">
        <f>+'[41]2. Distributional by deciles o'!D64</f>
        <v>15247622.958000004</v>
      </c>
      <c r="F12" s="129">
        <f>+'[41]2. Distributional by deciles o'!E64</f>
        <v>15594361.172400003</v>
      </c>
      <c r="G12" s="129">
        <f>+'[41]2. Distributional by deciles o'!F64</f>
        <v>16724749.642799998</v>
      </c>
      <c r="H12" s="129">
        <f>+'[41]2. Distributional by deciles o'!H64</f>
        <v>34357110.4296</v>
      </c>
      <c r="I12" s="129">
        <f>+'[41]2. Distributional by deciles o'!I64</f>
        <v>33731728.180799998</v>
      </c>
      <c r="J12" s="129">
        <f>+'[41]2. Distributional by deciles o'!J64</f>
        <v>33657631.322400004</v>
      </c>
      <c r="K12" s="129">
        <f>+'[41]2. Distributional by deciles o'!K64</f>
        <v>33445003.264800005</v>
      </c>
      <c r="L12" s="139"/>
      <c r="M12" s="139"/>
      <c r="N12" s="139"/>
      <c r="O12" s="139"/>
      <c r="P12" s="129">
        <f>+'[41]2. Distributional by deciles o'!B82</f>
        <v>1058546892.9515988</v>
      </c>
      <c r="Q12" s="129">
        <f>+'[41]2. Distributional by deciles o'!C82</f>
        <v>1118909398.0775993</v>
      </c>
      <c r="R12" s="129">
        <f>+'[41]2. Distributional by deciles o'!D82</f>
        <v>1069439910.1980003</v>
      </c>
      <c r="S12" s="129">
        <f>+'[41]2. Distributional by deciles o'!E82</f>
        <v>1114516193.2680011</v>
      </c>
      <c r="T12" s="129">
        <f>+'[41]2. Distributional by deciles o'!F82</f>
        <v>1174281704.1348</v>
      </c>
      <c r="U12" s="209">
        <f t="shared" ref="U12:U22" si="0">T12/P12-1</f>
        <v>0.10933366481336693</v>
      </c>
      <c r="V12" s="139"/>
      <c r="W12" s="209"/>
      <c r="X12" s="132"/>
      <c r="Y12" s="132"/>
      <c r="Z12" s="132"/>
      <c r="AA12" s="132"/>
      <c r="AB12" s="132"/>
      <c r="AC12" s="132"/>
      <c r="AD12" s="132"/>
      <c r="AE12" s="139"/>
      <c r="AF12" s="139"/>
      <c r="AG12" s="139"/>
      <c r="AH12" s="139"/>
      <c r="AI12" s="139"/>
      <c r="AJ12" s="139"/>
      <c r="AK12" s="408">
        <f>+'[41]2. Distributional by deciles o'!L64</f>
        <v>16724749.642799998</v>
      </c>
      <c r="AL12" s="1"/>
      <c r="AM12" s="32" cm="1">
        <f t="array" aca="1" ref="AM12" ca="1">INDIRECT("'1"&amp;$C$8&amp;"'!W12")</f>
        <v>1.1873596696487376</v>
      </c>
      <c r="AN12" s="524">
        <f t="shared" ref="AN12:AN21" ca="1" si="1">C12+C12*U12*AM12</f>
        <v>34011053.594524264</v>
      </c>
      <c r="AO12" s="524">
        <f t="shared" ref="AO12:AO21" ca="1" si="2">C12+C12*U$22*AM12</f>
        <v>32904370.017939702</v>
      </c>
      <c r="AP12" s="524">
        <f t="shared" ref="AP12:AP21" ca="1" si="3">C12+C12*AR12*AM12</f>
        <v>34011053.594524264</v>
      </c>
      <c r="AQ12" s="525">
        <f t="shared" ref="AQ12:AQ21" si="4">U12</f>
        <v>0.10933366481336693</v>
      </c>
      <c r="AR12" s="344">
        <f>AQ12</f>
        <v>0.10933366481336693</v>
      </c>
      <c r="AS12" s="41">
        <f>P12/P$22</f>
        <v>1.2227065636341839E-2</v>
      </c>
      <c r="AT12" s="1"/>
      <c r="AU12" s="1"/>
      <c r="AV12" s="1"/>
      <c r="AW12" s="1"/>
      <c r="AX12" s="1"/>
      <c r="AY12" s="1"/>
      <c r="AZ12" s="1"/>
      <c r="BA12" s="1"/>
      <c r="BB12" s="1"/>
      <c r="BC12" s="1"/>
      <c r="BD12" s="1"/>
      <c r="BE12" s="1"/>
      <c r="BF12" s="1"/>
      <c r="BG12" s="1"/>
      <c r="BH12" s="1"/>
      <c r="BI12" s="1"/>
      <c r="BJ12" s="1"/>
      <c r="BK12" s="1"/>
      <c r="BL12" s="1"/>
      <c r="BM12" s="1"/>
      <c r="BN12" s="1"/>
    </row>
    <row r="13" spans="1:66" x14ac:dyDescent="0.3">
      <c r="A13" s="1"/>
      <c r="B13" s="28">
        <v>2</v>
      </c>
      <c r="C13" s="129">
        <f>+'[41]2. Distributional by deciles o'!B65</f>
        <v>75703595.18280001</v>
      </c>
      <c r="D13" s="129">
        <f>+'[41]2. Distributional by deciles o'!C65</f>
        <v>35835570.341999985</v>
      </c>
      <c r="E13" s="129">
        <f>+'[41]2. Distributional by deciles o'!D65</f>
        <v>35972990.149199992</v>
      </c>
      <c r="F13" s="129">
        <f>+'[41]2. Distributional by deciles o'!E65</f>
        <v>39736532.889599994</v>
      </c>
      <c r="G13" s="129">
        <f>+'[41]2. Distributional by deciles o'!F65</f>
        <v>47586266.19120001</v>
      </c>
      <c r="H13" s="129">
        <f>+'[41]2. Distributional by deciles o'!H65</f>
        <v>96824041.028399944</v>
      </c>
      <c r="I13" s="129">
        <f>+'[41]2. Distributional by deciles o'!I65</f>
        <v>86523859.295999974</v>
      </c>
      <c r="J13" s="129">
        <f>+'[41]2. Distributional by deciles o'!J65</f>
        <v>85254380.372399986</v>
      </c>
      <c r="K13" s="129">
        <f>+'[41]2. Distributional by deciles o'!K65</f>
        <v>81873420.377999991</v>
      </c>
      <c r="L13" s="139"/>
      <c r="M13" s="139"/>
      <c r="N13" s="139"/>
      <c r="O13" s="139"/>
      <c r="P13" s="129">
        <f>+'[41]2. Distributional by deciles o'!B83</f>
        <v>3277122406.9235959</v>
      </c>
      <c r="Q13" s="129">
        <f>+'[41]2. Distributional by deciles o'!C83</f>
        <v>3261047172.2975979</v>
      </c>
      <c r="R13" s="129">
        <f>+'[41]2. Distributional by deciles o'!D83</f>
        <v>3247162371.5616007</v>
      </c>
      <c r="S13" s="129">
        <f>+'[41]2. Distributional by deciles o'!E83</f>
        <v>3328998965.2680006</v>
      </c>
      <c r="T13" s="129">
        <f>+'[41]2. Distributional by deciles o'!F83</f>
        <v>3543159529.8936052</v>
      </c>
      <c r="U13" s="209">
        <f t="shared" si="0"/>
        <v>8.118009947017879E-2</v>
      </c>
      <c r="V13" s="139"/>
      <c r="W13" s="209"/>
      <c r="X13" s="132"/>
      <c r="Y13" s="132"/>
      <c r="Z13" s="132"/>
      <c r="AA13" s="132"/>
      <c r="AB13" s="132"/>
      <c r="AC13" s="132"/>
      <c r="AD13" s="132"/>
      <c r="AE13" s="139"/>
      <c r="AF13" s="139"/>
      <c r="AG13" s="139"/>
      <c r="AH13" s="139"/>
      <c r="AI13" s="139"/>
      <c r="AJ13" s="139"/>
      <c r="AK13" s="408">
        <f>+'[41]2. Distributional by deciles o'!L65</f>
        <v>47586266.19120001</v>
      </c>
      <c r="AL13" s="1"/>
      <c r="AM13" s="32" cm="1">
        <f t="array" aca="1" ref="AM13" ca="1">INDIRECT("'1"&amp;$C$8&amp;"'!W13")</f>
        <v>2.001109194301343</v>
      </c>
      <c r="AN13" s="524">
        <f t="shared" ca="1" si="1"/>
        <v>88001662.649837375</v>
      </c>
      <c r="AO13" s="524">
        <f t="shared" ca="1" si="2"/>
        <v>87576201.884012997</v>
      </c>
      <c r="AP13" s="524">
        <f t="shared" ca="1" si="3"/>
        <v>88001662.649837375</v>
      </c>
      <c r="AQ13" s="525">
        <f t="shared" si="4"/>
        <v>8.118009947017879E-2</v>
      </c>
      <c r="AR13" s="344">
        <f t="shared" ref="AR13:AR18" si="5">AQ13</f>
        <v>8.118009947017879E-2</v>
      </c>
      <c r="AS13" s="41">
        <f t="shared" ref="AS13:AS21" si="6">P13/P$22</f>
        <v>3.7853392263098834E-2</v>
      </c>
      <c r="AT13" s="1"/>
      <c r="AU13" s="1"/>
      <c r="AV13" s="1"/>
      <c r="AW13" s="1"/>
      <c r="AX13" s="1"/>
      <c r="AY13" s="1"/>
      <c r="AZ13" s="1"/>
      <c r="BA13" s="1"/>
      <c r="BB13" s="1"/>
      <c r="BC13" s="1"/>
      <c r="BD13" s="1"/>
      <c r="BE13" s="1"/>
      <c r="BF13" s="1"/>
      <c r="BG13" s="1"/>
      <c r="BH13" s="1"/>
      <c r="BI13" s="1"/>
      <c r="BJ13" s="1"/>
      <c r="BK13" s="1"/>
      <c r="BL13" s="1"/>
      <c r="BM13" s="1"/>
      <c r="BN13" s="1"/>
    </row>
    <row r="14" spans="1:66" x14ac:dyDescent="0.3">
      <c r="A14" s="1"/>
      <c r="B14" s="28">
        <v>3</v>
      </c>
      <c r="C14" s="129">
        <f>+'[41]2. Distributional by deciles o'!B66</f>
        <v>131703652.71960005</v>
      </c>
      <c r="D14" s="129">
        <f>+'[41]2. Distributional by deciles o'!C66</f>
        <v>75788023.92839998</v>
      </c>
      <c r="E14" s="129">
        <f>+'[41]2. Distributional by deciles o'!D66</f>
        <v>78867080.672400013</v>
      </c>
      <c r="F14" s="129">
        <f>+'[41]2. Distributional by deciles o'!E66</f>
        <v>85272643.497599989</v>
      </c>
      <c r="G14" s="129">
        <f>+'[41]2. Distributional by deciles o'!F66</f>
        <v>102244570.51560006</v>
      </c>
      <c r="H14" s="129">
        <f>+'[41]2. Distributional by deciles o'!H66</f>
        <v>166780811.01599994</v>
      </c>
      <c r="I14" s="129">
        <f>+'[41]2. Distributional by deciles o'!I66</f>
        <v>145627552.95119995</v>
      </c>
      <c r="J14" s="129">
        <f>+'[41]2. Distributional by deciles o'!J66</f>
        <v>142566413.28479996</v>
      </c>
      <c r="K14" s="129">
        <f>+'[41]2. Distributional by deciles o'!K66</f>
        <v>134578500.26519996</v>
      </c>
      <c r="L14" s="139"/>
      <c r="M14" s="139"/>
      <c r="N14" s="139"/>
      <c r="O14" s="139"/>
      <c r="P14" s="129">
        <f>+'[41]2. Distributional by deciles o'!B84</f>
        <v>4532488523.8920069</v>
      </c>
      <c r="Q14" s="129">
        <f>+'[41]2. Distributional by deciles o'!C84</f>
        <v>4489399805.2715979</v>
      </c>
      <c r="R14" s="129">
        <f>+'[41]2. Distributional by deciles o'!D84</f>
        <v>4491682855.8252048</v>
      </c>
      <c r="S14" s="129">
        <f>+'[41]2. Distributional by deciles o'!E84</f>
        <v>4579193632.0548</v>
      </c>
      <c r="T14" s="129">
        <f>+'[41]2. Distributional by deciles o'!F84</f>
        <v>4880904853.2000055</v>
      </c>
      <c r="U14" s="209">
        <f t="shared" si="0"/>
        <v>7.6870868502236567E-2</v>
      </c>
      <c r="V14" s="139"/>
      <c r="W14" s="209"/>
      <c r="X14" s="132"/>
      <c r="Y14" s="132"/>
      <c r="Z14" s="132"/>
      <c r="AA14" s="132"/>
      <c r="AB14" s="132"/>
      <c r="AC14" s="132"/>
      <c r="AD14" s="132"/>
      <c r="AE14" s="139"/>
      <c r="AF14" s="139"/>
      <c r="AG14" s="139"/>
      <c r="AH14" s="139"/>
      <c r="AI14" s="139"/>
      <c r="AJ14" s="139"/>
      <c r="AK14" s="408">
        <f>+'[41]2. Distributional by deciles o'!L66</f>
        <v>102245872.98840007</v>
      </c>
      <c r="AL14" s="1"/>
      <c r="AM14" s="32" cm="1">
        <f t="array" aca="1" ref="AM14" ca="1">INDIRECT("'1"&amp;$C$8&amp;"'!W14")</f>
        <v>2.564465630005222</v>
      </c>
      <c r="AN14" s="524">
        <f t="shared" ca="1" si="1"/>
        <v>157666749.40939921</v>
      </c>
      <c r="AO14" s="524">
        <f t="shared" ca="1" si="2"/>
        <v>158173625.34094447</v>
      </c>
      <c r="AP14" s="524">
        <f t="shared" ca="1" si="3"/>
        <v>157666749.40939921</v>
      </c>
      <c r="AQ14" s="525">
        <f t="shared" si="4"/>
        <v>7.6870868502236567E-2</v>
      </c>
      <c r="AR14" s="344">
        <f t="shared" si="5"/>
        <v>7.6870868502236567E-2</v>
      </c>
      <c r="AS14" s="41">
        <f t="shared" si="6"/>
        <v>5.2353877798522526E-2</v>
      </c>
      <c r="AT14" s="1"/>
      <c r="AU14" s="1"/>
      <c r="AV14" s="1"/>
      <c r="AW14" s="1"/>
      <c r="AX14" s="1"/>
      <c r="AY14" s="1"/>
      <c r="AZ14" s="1"/>
      <c r="BA14" s="1"/>
      <c r="BB14" s="1"/>
      <c r="BC14" s="1"/>
      <c r="BD14" s="1"/>
      <c r="BE14" s="1"/>
      <c r="BF14" s="1"/>
      <c r="BG14" s="1"/>
      <c r="BH14" s="1"/>
      <c r="BI14" s="1"/>
      <c r="BJ14" s="1"/>
      <c r="BK14" s="1"/>
      <c r="BL14" s="1"/>
      <c r="BM14" s="1"/>
      <c r="BN14" s="1"/>
    </row>
    <row r="15" spans="1:66" x14ac:dyDescent="0.3">
      <c r="A15" s="1"/>
      <c r="B15" s="28">
        <v>4</v>
      </c>
      <c r="C15" s="129">
        <f>+'[41]2. Distributional by deciles o'!B67</f>
        <v>186145345.89840001</v>
      </c>
      <c r="D15" s="129">
        <f>+'[41]2. Distributional by deciles o'!C67</f>
        <v>118167842.63399997</v>
      </c>
      <c r="E15" s="129">
        <f>+'[41]2. Distributional by deciles o'!D67</f>
        <v>122426510.07599998</v>
      </c>
      <c r="F15" s="129">
        <f>+'[41]2. Distributional by deciles o'!E67</f>
        <v>130453898.37599996</v>
      </c>
      <c r="G15" s="129">
        <f>+'[41]2. Distributional by deciles o'!F67</f>
        <v>156068172.90480006</v>
      </c>
      <c r="H15" s="129">
        <f>+'[41]2. Distributional by deciles o'!H67</f>
        <v>229126499.00879967</v>
      </c>
      <c r="I15" s="129">
        <f>+'[41]2. Distributional by deciles o'!I67</f>
        <v>202759146.71159989</v>
      </c>
      <c r="J15" s="129">
        <f>+'[41]2. Distributional by deciles o'!J67</f>
        <v>198793690.96679997</v>
      </c>
      <c r="K15" s="129">
        <f>+'[41]2. Distributional by deciles o'!K67</f>
        <v>186936683.94719979</v>
      </c>
      <c r="L15" s="139"/>
      <c r="M15" s="139"/>
      <c r="N15" s="139"/>
      <c r="O15" s="139"/>
      <c r="P15" s="129">
        <f>+'[41]2. Distributional by deciles o'!B85</f>
        <v>5595660175.0296078</v>
      </c>
      <c r="Q15" s="129">
        <f>+'[41]2. Distributional by deciles o'!C85</f>
        <v>5528438144.5031986</v>
      </c>
      <c r="R15" s="129">
        <f>+'[41]2. Distributional by deciles o'!D85</f>
        <v>5540603038.6896019</v>
      </c>
      <c r="S15" s="129">
        <f>+'[41]2. Distributional by deciles o'!E85</f>
        <v>5634572718.7391977</v>
      </c>
      <c r="T15" s="129">
        <f>+'[41]2. Distributional by deciles o'!F85</f>
        <v>6007597622.6435986</v>
      </c>
      <c r="U15" s="209">
        <f t="shared" si="0"/>
        <v>7.361730961652091E-2</v>
      </c>
      <c r="V15" s="139"/>
      <c r="W15" s="209"/>
      <c r="X15" s="132"/>
      <c r="Y15" s="132"/>
      <c r="Z15" s="132"/>
      <c r="AA15" s="132"/>
      <c r="AB15" s="132"/>
      <c r="AC15" s="132"/>
      <c r="AD15" s="132"/>
      <c r="AE15" s="139"/>
      <c r="AF15" s="139"/>
      <c r="AG15" s="139"/>
      <c r="AH15" s="139"/>
      <c r="AI15" s="139"/>
      <c r="AJ15" s="139"/>
      <c r="AK15" s="408">
        <f>+'[41]2. Distributional by deciles o'!L67</f>
        <v>156068172.90480006</v>
      </c>
      <c r="AL15" s="1"/>
      <c r="AM15" s="32" cm="1">
        <f t="array" aca="1" ref="AM15" ca="1">INDIRECT("'1"&amp;$C$8&amp;"'!W15")</f>
        <v>2.3366092740559461</v>
      </c>
      <c r="AN15" s="524">
        <f t="shared" ca="1" si="1"/>
        <v>218165116.79575792</v>
      </c>
      <c r="AO15" s="524">
        <f t="shared" ca="1" si="2"/>
        <v>220232996.33144319</v>
      </c>
      <c r="AP15" s="524">
        <f t="shared" ca="1" si="3"/>
        <v>218165116.79575792</v>
      </c>
      <c r="AQ15" s="525">
        <f t="shared" si="4"/>
        <v>7.361730961652091E-2</v>
      </c>
      <c r="AR15" s="344">
        <f t="shared" si="5"/>
        <v>7.361730961652091E-2</v>
      </c>
      <c r="AS15" s="41">
        <f t="shared" si="6"/>
        <v>6.4634363101266468E-2</v>
      </c>
      <c r="AT15" s="1"/>
      <c r="AU15" s="1"/>
      <c r="AV15" s="1"/>
      <c r="AW15" s="1"/>
      <c r="AX15" s="1"/>
      <c r="AY15" s="1"/>
      <c r="AZ15" s="1"/>
      <c r="BA15" s="1"/>
      <c r="BB15" s="1"/>
      <c r="BC15" s="1"/>
      <c r="BD15" s="1"/>
      <c r="BE15" s="1"/>
      <c r="BF15" s="1"/>
      <c r="BG15" s="1"/>
      <c r="BH15" s="1"/>
      <c r="BI15" s="1"/>
      <c r="BJ15" s="1"/>
      <c r="BK15" s="1"/>
      <c r="BL15" s="1"/>
      <c r="BM15" s="1"/>
      <c r="BN15" s="1"/>
    </row>
    <row r="16" spans="1:66" x14ac:dyDescent="0.3">
      <c r="A16" s="1"/>
      <c r="B16" s="28">
        <v>5</v>
      </c>
      <c r="C16" s="129">
        <f>+'[41]2. Distributional by deciles o'!B68</f>
        <v>266447299.08720034</v>
      </c>
      <c r="D16" s="129">
        <f>+'[41]2. Distributional by deciles o'!C68</f>
        <v>190345475.68799984</v>
      </c>
      <c r="E16" s="129">
        <f>+'[41]2. Distributional by deciles o'!D68</f>
        <v>197582962.23599991</v>
      </c>
      <c r="F16" s="129">
        <f>+'[41]2. Distributional by deciles o'!E68</f>
        <v>208264653.62400001</v>
      </c>
      <c r="G16" s="129">
        <f>+'[41]2. Distributional by deciles o'!F68</f>
        <v>245352200.98319981</v>
      </c>
      <c r="H16" s="129">
        <f>+'[41]2. Distributional by deciles o'!H68</f>
        <v>330959115.68519992</v>
      </c>
      <c r="I16" s="129">
        <f>+'[41]2. Distributional by deciles o'!I68</f>
        <v>286971713.10959995</v>
      </c>
      <c r="J16" s="129">
        <f>+'[41]2. Distributional by deciles o'!J68</f>
        <v>280772752.58759993</v>
      </c>
      <c r="K16" s="129">
        <f>+'[41]2. Distributional by deciles o'!K68</f>
        <v>264043037.05320007</v>
      </c>
      <c r="L16" s="139"/>
      <c r="M16" s="139"/>
      <c r="N16" s="139"/>
      <c r="O16" s="139"/>
      <c r="P16" s="129">
        <f>+'[41]2. Distributional by deciles o'!B86</f>
        <v>6617702455.4988041</v>
      </c>
      <c r="Q16" s="129">
        <f>+'[41]2. Distributional by deciles o'!C86</f>
        <v>6557870635.0056067</v>
      </c>
      <c r="R16" s="129">
        <f>+'[41]2. Distributional by deciles o'!D86</f>
        <v>6582717673.4783993</v>
      </c>
      <c r="S16" s="129">
        <f>+'[41]2. Distributional by deciles o'!E86</f>
        <v>6691899007.0128107</v>
      </c>
      <c r="T16" s="129">
        <f>+'[41]2. Distributional by deciles o'!F86</f>
        <v>7120043863.9404068</v>
      </c>
      <c r="U16" s="209">
        <f t="shared" si="0"/>
        <v>7.5908732950692892E-2</v>
      </c>
      <c r="V16" s="139"/>
      <c r="W16" s="209"/>
      <c r="X16" s="132"/>
      <c r="Y16" s="132"/>
      <c r="Z16" s="132"/>
      <c r="AA16" s="132"/>
      <c r="AB16" s="132"/>
      <c r="AC16" s="132"/>
      <c r="AD16" s="132"/>
      <c r="AE16" s="139"/>
      <c r="AF16" s="139"/>
      <c r="AG16" s="139"/>
      <c r="AH16" s="139"/>
      <c r="AI16" s="139"/>
      <c r="AJ16" s="139"/>
      <c r="AK16" s="408">
        <f>+'[41]2. Distributional by deciles o'!L68</f>
        <v>245367998.28959978</v>
      </c>
      <c r="AL16" s="1"/>
      <c r="AM16" s="32" cm="1">
        <f t="array" aca="1" ref="AM16" ca="1">INDIRECT("'1"&amp;$C$8&amp;"'!W16")</f>
        <v>2.5461338368098563</v>
      </c>
      <c r="AN16" s="524">
        <f t="shared" ca="1" si="1"/>
        <v>317944579.34298408</v>
      </c>
      <c r="AO16" s="524">
        <f t="shared" ca="1" si="2"/>
        <v>319615423.47455853</v>
      </c>
      <c r="AP16" s="524">
        <f t="shared" ca="1" si="3"/>
        <v>317944579.34298408</v>
      </c>
      <c r="AQ16" s="525">
        <f t="shared" si="4"/>
        <v>7.5908732950692892E-2</v>
      </c>
      <c r="AR16" s="344">
        <f t="shared" si="5"/>
        <v>7.5908732950692892E-2</v>
      </c>
      <c r="AS16" s="41">
        <f t="shared" si="6"/>
        <v>7.6439771184387412E-2</v>
      </c>
      <c r="AT16" s="1"/>
      <c r="AU16" s="1"/>
      <c r="AV16" s="1"/>
      <c r="AW16" s="1"/>
      <c r="AX16" s="1"/>
      <c r="AY16" s="1"/>
      <c r="AZ16" s="1"/>
      <c r="BA16" s="1"/>
      <c r="BB16" s="1"/>
      <c r="BC16" s="1"/>
      <c r="BD16" s="1"/>
      <c r="BE16" s="1"/>
      <c r="BF16" s="1"/>
      <c r="BG16" s="1"/>
      <c r="BH16" s="1"/>
      <c r="BI16" s="1"/>
      <c r="BJ16" s="1"/>
      <c r="BK16" s="1"/>
      <c r="BL16" s="1"/>
      <c r="BM16" s="1"/>
      <c r="BN16" s="1"/>
    </row>
    <row r="17" spans="1:66" x14ac:dyDescent="0.3">
      <c r="A17" s="1"/>
      <c r="B17" s="28">
        <v>6</v>
      </c>
      <c r="C17" s="129">
        <f>+'[41]2. Distributional by deciles o'!B69</f>
        <v>391104144.92999965</v>
      </c>
      <c r="D17" s="129">
        <f>+'[41]2. Distributional by deciles o'!C69</f>
        <v>282472404.06479943</v>
      </c>
      <c r="E17" s="129">
        <f>+'[41]2. Distributional by deciles o'!D69</f>
        <v>293730978.7055999</v>
      </c>
      <c r="F17" s="129">
        <f>+'[41]2. Distributional by deciles o'!E69</f>
        <v>307802598.74519944</v>
      </c>
      <c r="G17" s="129">
        <f>+'[41]2. Distributional by deciles o'!F69</f>
        <v>367624098.92280054</v>
      </c>
      <c r="H17" s="129">
        <f>+'[41]2. Distributional by deciles o'!H69</f>
        <v>482770788.99240035</v>
      </c>
      <c r="I17" s="129">
        <f>+'[41]2. Distributional by deciles o'!I69</f>
        <v>424651468.91640007</v>
      </c>
      <c r="J17" s="129">
        <f>+'[41]2. Distributional by deciles o'!J69</f>
        <v>415933237.57560027</v>
      </c>
      <c r="K17" s="129">
        <f>+'[41]2. Distributional by deciles o'!K69</f>
        <v>389960686.30080026</v>
      </c>
      <c r="L17" s="139"/>
      <c r="M17" s="139"/>
      <c r="N17" s="139"/>
      <c r="O17" s="139"/>
      <c r="P17" s="129">
        <f>+'[41]2. Distributional by deciles o'!B87</f>
        <v>7698122086.5336199</v>
      </c>
      <c r="Q17" s="129">
        <f>+'[41]2. Distributional by deciles o'!C87</f>
        <v>7635386114.1383915</v>
      </c>
      <c r="R17" s="129">
        <f>+'[41]2. Distributional by deciles o'!D87</f>
        <v>7679034609.1115799</v>
      </c>
      <c r="S17" s="129">
        <f>+'[41]2. Distributional by deciles o'!E87</f>
        <v>7796422504.3403921</v>
      </c>
      <c r="T17" s="129">
        <f>+'[41]2. Distributional by deciles o'!F87</f>
        <v>8302890390.9996033</v>
      </c>
      <c r="U17" s="209">
        <f t="shared" si="0"/>
        <v>7.8560497958834574E-2</v>
      </c>
      <c r="V17" s="139"/>
      <c r="W17" s="209"/>
      <c r="X17" s="132"/>
      <c r="Y17" s="132"/>
      <c r="Z17" s="132"/>
      <c r="AA17" s="132"/>
      <c r="AB17" s="132"/>
      <c r="AC17" s="132"/>
      <c r="AD17" s="132"/>
      <c r="AE17" s="139"/>
      <c r="AF17" s="139"/>
      <c r="AG17" s="139"/>
      <c r="AH17" s="139"/>
      <c r="AI17" s="139"/>
      <c r="AJ17" s="139"/>
      <c r="AK17" s="408">
        <f>+'[41]2. Distributional by deciles o'!L69</f>
        <v>367637904.88920045</v>
      </c>
      <c r="AL17" s="1"/>
      <c r="AM17" s="32" cm="1">
        <f t="array" aca="1" ref="AM17" ca="1">INDIRECT("'1"&amp;$C$8&amp;"'!W17")</f>
        <v>2.6362127014930095</v>
      </c>
      <c r="AN17" s="524">
        <f t="shared" ca="1" si="1"/>
        <v>472102666.95119047</v>
      </c>
      <c r="AO17" s="524">
        <f t="shared" ca="1" si="2"/>
        <v>471907920.92826164</v>
      </c>
      <c r="AP17" s="524">
        <f t="shared" ca="1" si="3"/>
        <v>472102666.95119047</v>
      </c>
      <c r="AQ17" s="525">
        <f t="shared" si="4"/>
        <v>7.8560497958834574E-2</v>
      </c>
      <c r="AR17" s="344">
        <f t="shared" si="5"/>
        <v>7.8560497958834574E-2</v>
      </c>
      <c r="AS17" s="41">
        <f t="shared" si="6"/>
        <v>8.8919484488934372E-2</v>
      </c>
      <c r="AT17" s="1"/>
      <c r="AU17" s="1"/>
      <c r="AV17" s="1"/>
      <c r="AW17" s="1"/>
      <c r="AX17" s="1"/>
      <c r="AY17" s="1"/>
      <c r="AZ17" s="1"/>
      <c r="BA17" s="1"/>
      <c r="BB17" s="1"/>
      <c r="BC17" s="1"/>
      <c r="BD17" s="1"/>
      <c r="BE17" s="1"/>
      <c r="BF17" s="1"/>
      <c r="BG17" s="1"/>
      <c r="BH17" s="1"/>
      <c r="BI17" s="1"/>
      <c r="BJ17" s="1"/>
      <c r="BK17" s="1"/>
      <c r="BL17" s="1"/>
      <c r="BM17" s="1"/>
      <c r="BN17" s="1"/>
    </row>
    <row r="18" spans="1:66" x14ac:dyDescent="0.3">
      <c r="A18" s="1"/>
      <c r="B18" s="28">
        <v>7</v>
      </c>
      <c r="C18" s="129">
        <f>+'[41]2. Distributional by deciles o'!B70</f>
        <v>540438391.45800006</v>
      </c>
      <c r="D18" s="129">
        <f>+'[41]2. Distributional by deciles o'!C70</f>
        <v>408480713.51880002</v>
      </c>
      <c r="E18" s="129">
        <f>+'[41]2. Distributional by deciles o'!D70</f>
        <v>426506078.57640034</v>
      </c>
      <c r="F18" s="129">
        <f>+'[41]2. Distributional by deciles o'!E70</f>
        <v>448695535.74479961</v>
      </c>
      <c r="G18" s="129">
        <f>+'[41]2. Distributional by deciles o'!F70</f>
        <v>524126010.03119928</v>
      </c>
      <c r="H18" s="129">
        <f>+'[41]2. Distributional by deciles o'!H70</f>
        <v>653678996.6351999</v>
      </c>
      <c r="I18" s="129">
        <f>+'[41]2. Distributional by deciles o'!I70</f>
        <v>581527366.3056004</v>
      </c>
      <c r="J18" s="129">
        <f>+'[41]2. Distributional by deciles o'!J70</f>
        <v>570607145.6015991</v>
      </c>
      <c r="K18" s="129">
        <f>+'[41]2. Distributional by deciles o'!K70</f>
        <v>538116055.94880021</v>
      </c>
      <c r="L18" s="139"/>
      <c r="M18" s="139"/>
      <c r="N18" s="139"/>
      <c r="O18" s="139"/>
      <c r="P18" s="129">
        <f>+'[41]2. Distributional by deciles o'!B88</f>
        <v>9032318402.4599781</v>
      </c>
      <c r="Q18" s="129">
        <f>+'[41]2. Distributional by deciles o'!C88</f>
        <v>8975140085.9052086</v>
      </c>
      <c r="R18" s="129">
        <f>+'[41]2. Distributional by deciles o'!D88</f>
        <v>9043333273.1856003</v>
      </c>
      <c r="S18" s="129">
        <f>+'[41]2. Distributional by deciles o'!E88</f>
        <v>9180672343.8360004</v>
      </c>
      <c r="T18" s="129">
        <f>+'[41]2. Distributional by deciles o'!F88</f>
        <v>9758433497.9423943</v>
      </c>
      <c r="U18" s="209">
        <f t="shared" si="0"/>
        <v>8.0390777110410205E-2</v>
      </c>
      <c r="V18" s="139"/>
      <c r="W18" s="209"/>
      <c r="X18" s="132"/>
      <c r="Y18" s="132"/>
      <c r="Z18" s="132"/>
      <c r="AA18" s="132"/>
      <c r="AB18" s="132"/>
      <c r="AC18" s="132"/>
      <c r="AD18" s="132"/>
      <c r="AE18" s="139"/>
      <c r="AF18" s="139"/>
      <c r="AG18" s="139"/>
      <c r="AH18" s="139"/>
      <c r="AI18" s="139"/>
      <c r="AJ18" s="139"/>
      <c r="AK18" s="408">
        <f>+'[41]2. Distributional by deciles o'!L70</f>
        <v>524162133.82439935</v>
      </c>
      <c r="AL18" s="1"/>
      <c r="AM18" s="32" cm="1">
        <f t="array" aca="1" ref="AM18" ca="1">INDIRECT("'1"&amp;$C$8&amp;"'!W18")</f>
        <v>2.2942323670459368</v>
      </c>
      <c r="AN18" s="524">
        <f t="shared" ca="1" si="1"/>
        <v>640114212.58410299</v>
      </c>
      <c r="AO18" s="524">
        <f t="shared" ca="1" si="2"/>
        <v>637610669.5583756</v>
      </c>
      <c r="AP18" s="524">
        <f t="shared" ca="1" si="3"/>
        <v>640114212.58410299</v>
      </c>
      <c r="AQ18" s="525">
        <f t="shared" si="4"/>
        <v>8.0390777110410205E-2</v>
      </c>
      <c r="AR18" s="344">
        <f t="shared" si="5"/>
        <v>8.0390777110410205E-2</v>
      </c>
      <c r="AS18" s="41">
        <f t="shared" si="6"/>
        <v>0.10433052204921653</v>
      </c>
      <c r="AT18" s="1"/>
      <c r="AU18" s="1"/>
      <c r="AV18" s="1"/>
      <c r="AW18" s="1"/>
      <c r="AX18" s="1"/>
      <c r="AY18" s="1"/>
      <c r="AZ18" s="1"/>
      <c r="BA18" s="1"/>
      <c r="BB18" s="1"/>
      <c r="BC18" s="1"/>
      <c r="BD18" s="1"/>
      <c r="BE18" s="1"/>
      <c r="BF18" s="1"/>
      <c r="BG18" s="1"/>
      <c r="BH18" s="1"/>
      <c r="BI18" s="1"/>
      <c r="BJ18" s="1"/>
      <c r="BK18" s="1"/>
      <c r="BL18" s="1"/>
      <c r="BM18" s="1"/>
      <c r="BN18" s="1"/>
    </row>
    <row r="19" spans="1:66" x14ac:dyDescent="0.3">
      <c r="A19" s="1"/>
      <c r="B19" s="28">
        <v>8</v>
      </c>
      <c r="C19" s="129">
        <f>+'[41]2. Distributional by deciles o'!B71</f>
        <v>777536279.79120004</v>
      </c>
      <c r="D19" s="129">
        <f>+'[41]2. Distributional by deciles o'!C71</f>
        <v>617521446.9143995</v>
      </c>
      <c r="E19" s="129">
        <f>+'[41]2. Distributional by deciles o'!D71</f>
        <v>643275071.98559856</v>
      </c>
      <c r="F19" s="129">
        <f>+'[41]2. Distributional by deciles o'!E71</f>
        <v>667530190.35479975</v>
      </c>
      <c r="G19" s="129">
        <f>+'[41]2. Distributional by deciles o'!F71</f>
        <v>771397810.54320014</v>
      </c>
      <c r="H19" s="129">
        <f>+'[41]2. Distributional by deciles o'!H71</f>
        <v>918400873.06920123</v>
      </c>
      <c r="I19" s="129">
        <f>+'[41]2. Distributional by deciles o'!I71</f>
        <v>831786332.54399967</v>
      </c>
      <c r="J19" s="129">
        <f>+'[41]2. Distributional by deciles o'!J71</f>
        <v>818586674.09159946</v>
      </c>
      <c r="K19" s="129">
        <f>+'[41]2. Distributional by deciles o'!K71</f>
        <v>778112157.54120123</v>
      </c>
      <c r="L19" s="139"/>
      <c r="M19" s="139"/>
      <c r="N19" s="139"/>
      <c r="O19" s="139"/>
      <c r="P19" s="129">
        <f>+'[41]2. Distributional by deciles o'!B89</f>
        <v>11023245097.831192</v>
      </c>
      <c r="Q19" s="129">
        <f>+'[41]2. Distributional by deciles o'!C89</f>
        <v>10924357087.053614</v>
      </c>
      <c r="R19" s="129">
        <f>+'[41]2. Distributional by deciles o'!D89</f>
        <v>11010814261.70401</v>
      </c>
      <c r="S19" s="129">
        <f>+'[41]2. Distributional by deciles o'!E89</f>
        <v>11151275429.791195</v>
      </c>
      <c r="T19" s="129">
        <f>+'[41]2. Distributional by deciles o'!F89</f>
        <v>11840213866.502384</v>
      </c>
      <c r="U19" s="209">
        <f t="shared" si="0"/>
        <v>7.4113272581767253E-2</v>
      </c>
      <c r="V19" s="139"/>
      <c r="W19" s="209"/>
      <c r="X19" s="132"/>
      <c r="Y19" s="132"/>
      <c r="Z19" s="132"/>
      <c r="AA19" s="132"/>
      <c r="AB19" s="132"/>
      <c r="AC19" s="132"/>
      <c r="AD19" s="132"/>
      <c r="AE19" s="139"/>
      <c r="AF19" s="139"/>
      <c r="AG19" s="139"/>
      <c r="AH19" s="139"/>
      <c r="AI19" s="139"/>
      <c r="AJ19" s="139"/>
      <c r="AK19" s="408">
        <f>+'[41]2. Distributional by deciles o'!L71</f>
        <v>771407216.84760022</v>
      </c>
      <c r="AL19" s="1"/>
      <c r="AM19" s="32" cm="1">
        <f t="array" aca="1" ref="AM19" ca="1">INDIRECT("'1"&amp;$C$8&amp;"'!W19")</f>
        <v>2.1402592383045724</v>
      </c>
      <c r="AN19" s="524">
        <f t="shared" ca="1" si="1"/>
        <v>900870341.24231744</v>
      </c>
      <c r="AO19" s="524">
        <f t="shared" ca="1" si="2"/>
        <v>907956771.09194958</v>
      </c>
      <c r="AP19" s="524">
        <f t="shared" ca="1" si="3"/>
        <v>818950810.38756895</v>
      </c>
      <c r="AQ19" s="525">
        <f t="shared" si="4"/>
        <v>7.4113272581767253E-2</v>
      </c>
      <c r="AR19" s="526">
        <f>U19-AP31*AS21/SUM(AS19:AS20)</f>
        <v>2.488660763151105E-2</v>
      </c>
      <c r="AS19" s="41">
        <f t="shared" si="6"/>
        <v>0.12732732223212734</v>
      </c>
      <c r="AT19" s="1"/>
      <c r="AU19" s="1"/>
      <c r="AV19" s="1"/>
      <c r="AW19" s="1"/>
      <c r="AX19" s="1"/>
      <c r="AY19" s="1"/>
      <c r="AZ19" s="1"/>
      <c r="BA19" s="1"/>
      <c r="BB19" s="1"/>
      <c r="BC19" s="1"/>
      <c r="BD19" s="1"/>
      <c r="BE19" s="1"/>
      <c r="BF19" s="1"/>
      <c r="BG19" s="1"/>
      <c r="BH19" s="1"/>
      <c r="BI19" s="1"/>
      <c r="BJ19" s="1"/>
      <c r="BK19" s="1"/>
      <c r="BL19" s="1"/>
      <c r="BM19" s="1"/>
      <c r="BN19" s="1"/>
    </row>
    <row r="20" spans="1:66" x14ac:dyDescent="0.3">
      <c r="A20" s="1"/>
      <c r="B20" s="28">
        <v>9</v>
      </c>
      <c r="C20" s="129">
        <f>+'[41]2. Distributional by deciles o'!B72</f>
        <v>1143547322.6184011</v>
      </c>
      <c r="D20" s="129">
        <f>+'[41]2. Distributional by deciles o'!C72</f>
        <v>978216603.05759883</v>
      </c>
      <c r="E20" s="129">
        <f>+'[41]2. Distributional by deciles o'!D72</f>
        <v>1014293102.7708006</v>
      </c>
      <c r="F20" s="129">
        <f>+'[41]2. Distributional by deciles o'!E72</f>
        <v>1050012929.4227977</v>
      </c>
      <c r="G20" s="129">
        <f>+'[41]2. Distributional by deciles o'!F72</f>
        <v>1180884347.1144009</v>
      </c>
      <c r="H20" s="129">
        <f>+'[41]2. Distributional by deciles o'!H72</f>
        <v>1322729511.6048017</v>
      </c>
      <c r="I20" s="129">
        <f>+'[41]2. Distributional by deciles o'!I72</f>
        <v>1217467175.3939991</v>
      </c>
      <c r="J20" s="129">
        <f>+'[41]2. Distributional by deciles o'!J72</f>
        <v>1201198462.9787989</v>
      </c>
      <c r="K20" s="129">
        <f>+'[41]2. Distributional by deciles o'!K72</f>
        <v>1150866196.4316022</v>
      </c>
      <c r="L20" s="139"/>
      <c r="M20" s="139"/>
      <c r="N20" s="139"/>
      <c r="O20" s="139"/>
      <c r="P20" s="129">
        <f>+'[41]2. Distributional by deciles o'!B90</f>
        <v>13547828471.374792</v>
      </c>
      <c r="Q20" s="129">
        <f>+'[41]2. Distributional by deciles o'!C90</f>
        <v>13430492023.864792</v>
      </c>
      <c r="R20" s="129">
        <f>+'[41]2. Distributional by deciles o'!D90</f>
        <v>13541429649.474007</v>
      </c>
      <c r="S20" s="129">
        <f>+'[41]2. Distributional by deciles o'!E90</f>
        <v>13710830234.326797</v>
      </c>
      <c r="T20" s="129">
        <f>+'[41]2. Distributional by deciles o'!F90</f>
        <v>14516299457.125183</v>
      </c>
      <c r="U20" s="209">
        <f t="shared" si="0"/>
        <v>7.1485329755737181E-2</v>
      </c>
      <c r="V20" s="139"/>
      <c r="W20" s="209"/>
      <c r="X20" s="132"/>
      <c r="Y20" s="132"/>
      <c r="Z20" s="132"/>
      <c r="AA20" s="132"/>
      <c r="AB20" s="132"/>
      <c r="AC20" s="132"/>
      <c r="AD20" s="132"/>
      <c r="AE20" s="139"/>
      <c r="AF20" s="139"/>
      <c r="AG20" s="139"/>
      <c r="AH20" s="139"/>
      <c r="AI20" s="139"/>
      <c r="AJ20" s="139"/>
      <c r="AK20" s="408">
        <f>+'[41]2. Distributional by deciles o'!L72</f>
        <v>1180905925.2924008</v>
      </c>
      <c r="AL20" s="1"/>
      <c r="AM20" s="32" cm="1">
        <f t="array" aca="1" ref="AM20" ca="1">INDIRECT("'1"&amp;$C$8&amp;"'!W20")</f>
        <v>1.957626924796801</v>
      </c>
      <c r="AN20" s="524">
        <f t="shared" ca="1" si="1"/>
        <v>1303577171.777437</v>
      </c>
      <c r="AO20" s="524">
        <f t="shared" ca="1" si="2"/>
        <v>1318993075.8115277</v>
      </c>
      <c r="AP20" s="524">
        <f t="shared" ca="1" si="3"/>
        <v>1193376438.3750753</v>
      </c>
      <c r="AQ20" s="525">
        <f t="shared" si="4"/>
        <v>7.1485329755737181E-2</v>
      </c>
      <c r="AR20" s="526">
        <f>U20-AP31*AS21/SUM(AS19:AS20)</f>
        <v>2.2258664805480978E-2</v>
      </c>
      <c r="AS20" s="41">
        <f t="shared" si="6"/>
        <v>0.15648828507493862</v>
      </c>
      <c r="AT20" s="1"/>
      <c r="AU20" s="1"/>
      <c r="AV20" s="1"/>
      <c r="AW20" s="1"/>
      <c r="AX20" s="1"/>
      <c r="AY20" s="1"/>
      <c r="AZ20" s="1"/>
      <c r="BA20" s="1"/>
      <c r="BB20" s="1"/>
      <c r="BC20" s="1"/>
      <c r="BD20" s="1"/>
      <c r="BE20" s="1"/>
      <c r="BF20" s="1"/>
      <c r="BG20" s="1"/>
      <c r="BH20" s="1"/>
      <c r="BI20" s="1"/>
      <c r="BJ20" s="1"/>
      <c r="BK20" s="1"/>
      <c r="BL20" s="1"/>
      <c r="BM20" s="1"/>
      <c r="BN20" s="1"/>
    </row>
    <row r="21" spans="1:66" x14ac:dyDescent="0.3">
      <c r="A21" s="1"/>
      <c r="B21" s="33">
        <v>10</v>
      </c>
      <c r="C21" s="129">
        <f>+'[41]2. Distributional by deciles o'!B73</f>
        <v>4093505399.0435934</v>
      </c>
      <c r="D21" s="129">
        <f>+'[41]2. Distributional by deciles o'!C73</f>
        <v>4036123474.5936055</v>
      </c>
      <c r="E21" s="129">
        <f>+'[41]2. Distributional by deciles o'!D73</f>
        <v>4155996905.9231973</v>
      </c>
      <c r="F21" s="129">
        <f>+'[41]2. Distributional by deciles o'!E73</f>
        <v>4270786719.8808041</v>
      </c>
      <c r="G21" s="129">
        <f>+'[41]2. Distributional by deciles o'!F73</f>
        <v>4687286430.5160036</v>
      </c>
      <c r="H21" s="129">
        <f>+'[41]2. Distributional by deciles o'!H73</f>
        <v>4700647480.973999</v>
      </c>
      <c r="I21" s="129">
        <f>+'[41]2. Distributional by deciles o'!I73</f>
        <v>4516384115.7732048</v>
      </c>
      <c r="J21" s="129">
        <f>+'[41]2. Distributional by deciles o'!J73</f>
        <v>4488258869.1119995</v>
      </c>
      <c r="K21" s="129">
        <f>+'[41]2. Distributional by deciles o'!K73</f>
        <v>4400972158.6716022</v>
      </c>
      <c r="L21" s="139"/>
      <c r="M21" s="139"/>
      <c r="N21" s="139"/>
      <c r="O21" s="139"/>
      <c r="P21" s="129">
        <f>+'[41]2. Distributional by deciles o'!B91</f>
        <v>24191040121.187977</v>
      </c>
      <c r="Q21" s="129">
        <f>+'[41]2. Distributional by deciles o'!C91</f>
        <v>24059713047.746365</v>
      </c>
      <c r="R21" s="129">
        <f>+'[41]2. Distributional by deciles o'!D91</f>
        <v>24325803351.328796</v>
      </c>
      <c r="S21" s="129">
        <f>+'[41]2. Distributional by deciles o'!E91</f>
        <v>24663583648.462803</v>
      </c>
      <c r="T21" s="129">
        <f>+'[41]2. Distributional by deciles o'!F91</f>
        <v>26215199782.275597</v>
      </c>
      <c r="U21" s="209">
        <f t="shared" si="0"/>
        <v>8.3673940886681342E-2</v>
      </c>
      <c r="V21" s="139"/>
      <c r="W21" s="209"/>
      <c r="X21" s="132"/>
      <c r="Y21" s="132"/>
      <c r="Z21" s="132"/>
      <c r="AA21" s="132"/>
      <c r="AB21" s="132"/>
      <c r="AC21" s="132"/>
      <c r="AD21" s="132"/>
      <c r="AE21" s="139"/>
      <c r="AF21" s="139"/>
      <c r="AG21" s="139"/>
      <c r="AH21" s="139"/>
      <c r="AI21" s="139"/>
      <c r="AJ21" s="139"/>
      <c r="AK21" s="408">
        <f>+'[41]2. Distributional by deciles o'!L73</f>
        <v>4687304907.8364029</v>
      </c>
      <c r="AL21" s="1"/>
      <c r="AM21" s="32" cm="1">
        <f t="array" aca="1" ref="AM21" ca="1">INDIRECT("'1"&amp;$C$8&amp;"'!W21")</f>
        <v>1.4536998987554921</v>
      </c>
      <c r="AN21" s="524">
        <f t="shared" ca="1" si="1"/>
        <v>4591426294.0912161</v>
      </c>
      <c r="AO21" s="524">
        <f t="shared" ca="1" si="2"/>
        <v>4559873585.2921162</v>
      </c>
      <c r="AP21" s="524">
        <f t="shared" ca="1" si="3"/>
        <v>4888962713.2984533</v>
      </c>
      <c r="AQ21" s="525">
        <f t="shared" si="4"/>
        <v>8.3673940886681342E-2</v>
      </c>
      <c r="AR21" s="527">
        <f>U21+AP31</f>
        <v>0.13367394088668133</v>
      </c>
      <c r="AS21" s="41">
        <f t="shared" si="6"/>
        <v>0.27942591617116841</v>
      </c>
      <c r="AT21" s="1"/>
      <c r="AU21" s="1"/>
      <c r="AV21" s="1"/>
      <c r="AW21" s="1"/>
      <c r="AX21" s="1"/>
      <c r="AY21" s="1"/>
      <c r="AZ21" s="1"/>
      <c r="BA21" s="1"/>
      <c r="BB21" s="1"/>
      <c r="BC21" s="1"/>
      <c r="BD21" s="1"/>
      <c r="BE21" s="1"/>
      <c r="BF21" s="1"/>
      <c r="BG21" s="1"/>
      <c r="BH21" s="1"/>
      <c r="BI21" s="1"/>
      <c r="BJ21" s="1"/>
      <c r="BK21" s="1"/>
      <c r="BL21" s="1"/>
      <c r="BM21" s="1"/>
      <c r="BN21" s="1"/>
    </row>
    <row r="22" spans="1:66" ht="13.2" customHeight="1" x14ac:dyDescent="0.3">
      <c r="A22" s="1"/>
      <c r="B22" s="34" t="s">
        <v>114</v>
      </c>
      <c r="C22" s="150">
        <f>+'[41]2. Distributional by deciles o'!B74</f>
        <v>7636234546.4796124</v>
      </c>
      <c r="D22" s="150">
        <f>+'[41]2. Distributional by deciles o'!C74</f>
        <v>6757884974.6027718</v>
      </c>
      <c r="E22" s="150">
        <f>+'[41]2. Distributional by deciles o'!D74</f>
        <v>6983899304.053194</v>
      </c>
      <c r="F22" s="150">
        <f>+'[41]2. Distributional by deciles o'!E74</f>
        <v>7224150063.7079792</v>
      </c>
      <c r="G22" s="150">
        <f>+'[41]2. Distributional by deciles o'!F74</f>
        <v>8099294657.3652115</v>
      </c>
      <c r="H22" s="150">
        <f>+'[41]2. Distributional by deciles o'!H74</f>
        <v>8936275228.443573</v>
      </c>
      <c r="I22" s="150">
        <f>+'[41]2. Distributional by deciles o'!I74</f>
        <v>8327430459.1824217</v>
      </c>
      <c r="J22" s="150">
        <f>+'[41]2. Distributional by deciles o'!J74</f>
        <v>8235629257.8936167</v>
      </c>
      <c r="K22" s="150">
        <f>+'[41]2. Distributional by deciles o'!K74</f>
        <v>7958903899.8024187</v>
      </c>
      <c r="L22" s="139"/>
      <c r="M22" s="139"/>
      <c r="N22" s="139"/>
      <c r="O22" s="139"/>
      <c r="P22" s="150">
        <f>+'[41]2. Distributional by deciles o'!B92</f>
        <v>86574074633.682968</v>
      </c>
      <c r="Q22" s="150">
        <f>+'[41]2. Distributional by deciles o'!C92</f>
        <v>85980753513.863434</v>
      </c>
      <c r="R22" s="150">
        <f>+'[41]2. Distributional by deciles o'!D92</f>
        <v>86532020994.556259</v>
      </c>
      <c r="S22" s="150">
        <f>+'[41]2. Distributional by deciles o'!E92</f>
        <v>87851964677.099075</v>
      </c>
      <c r="T22" s="150">
        <f>+'[41]2. Distributional by deciles o'!F92</f>
        <v>93359024568.657684</v>
      </c>
      <c r="U22" s="210">
        <f t="shared" si="0"/>
        <v>7.8371613715578992E-2</v>
      </c>
      <c r="V22" s="139"/>
      <c r="W22" s="210"/>
      <c r="X22" s="154"/>
      <c r="Y22" s="154"/>
      <c r="Z22" s="154"/>
      <c r="AA22" s="154"/>
      <c r="AB22" s="154"/>
      <c r="AC22" s="154"/>
      <c r="AD22" s="154"/>
      <c r="AE22" s="161"/>
      <c r="AF22" s="161"/>
      <c r="AG22" s="161"/>
      <c r="AH22" s="161"/>
      <c r="AI22" s="162"/>
      <c r="AJ22" s="162"/>
      <c r="AK22" s="409">
        <f>+'[41]2. Distributional by deciles o'!L74</f>
        <v>8099411148.70681</v>
      </c>
      <c r="AL22" s="1"/>
      <c r="AM22" s="534" cm="1">
        <f t="array" aca="1" ref="AM22" ca="1">INDIRECT("'1"&amp;$C$8&amp;"'!W22")</f>
        <v>1.8032111978204031</v>
      </c>
      <c r="AN22" s="528">
        <f ca="1">SUM(AN12:AN21)</f>
        <v>8723879848.4387665</v>
      </c>
      <c r="AO22" s="528">
        <f ca="1">SUM(AO12:AO21)</f>
        <v>8714844639.7311287</v>
      </c>
      <c r="AP22" s="528">
        <f ca="1">SUM(AP12:AP21)</f>
        <v>8829296003.3888931</v>
      </c>
      <c r="AQ22" s="529">
        <f>SUMPRODUCT(AQ12:AQ21,AS12:AS21)</f>
        <v>7.8371613715575522E-2</v>
      </c>
      <c r="AR22" s="529">
        <f>SUMPRODUCT(AR12:AR21,AS12:AS21)</f>
        <v>7.8371613715575522E-2</v>
      </c>
      <c r="AS22" s="530"/>
      <c r="AT22" s="1"/>
      <c r="AU22" s="1"/>
      <c r="AV22" s="1"/>
      <c r="AW22" s="1"/>
      <c r="AX22" s="1"/>
      <c r="AY22" s="1"/>
      <c r="AZ22" s="1"/>
      <c r="BA22" s="1"/>
      <c r="BB22" s="1"/>
      <c r="BC22" s="1"/>
      <c r="BD22" s="1"/>
      <c r="BE22" s="1"/>
      <c r="BF22" s="1"/>
      <c r="BG22" s="1"/>
      <c r="BH22" s="1"/>
      <c r="BI22" s="1"/>
      <c r="BJ22" s="1"/>
      <c r="BK22" s="1"/>
      <c r="BL22" s="1"/>
      <c r="BM22" s="1"/>
      <c r="BN22" s="1"/>
    </row>
    <row r="23" spans="1:66" ht="12.6" customHeight="1" x14ac:dyDescent="0.3">
      <c r="A23" s="1"/>
      <c r="B23" s="1"/>
      <c r="C23" s="1"/>
      <c r="D23" s="1"/>
      <c r="E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531"/>
      <c r="AO23" s="531"/>
      <c r="AP23" s="1"/>
      <c r="AQ23" s="1"/>
      <c r="AR23" s="525">
        <f>U22</f>
        <v>7.8371613715578992E-2</v>
      </c>
      <c r="AS23" s="1"/>
      <c r="AT23" s="1"/>
      <c r="AU23" s="1"/>
      <c r="AV23" s="1"/>
      <c r="AW23" s="1"/>
      <c r="AX23" s="1"/>
      <c r="AY23" s="1"/>
      <c r="AZ23" s="1"/>
      <c r="BA23" s="1"/>
      <c r="BB23" s="1"/>
      <c r="BC23" s="1"/>
      <c r="BD23" s="1"/>
      <c r="BE23" s="1"/>
      <c r="BF23" s="1"/>
      <c r="BG23" s="1"/>
      <c r="BH23" s="1"/>
      <c r="BI23" s="1"/>
      <c r="BJ23" s="1"/>
      <c r="BK23" s="1"/>
      <c r="BL23" s="1"/>
      <c r="BM23" s="1"/>
      <c r="BN23" s="1"/>
    </row>
    <row r="24" spans="1:66" ht="13.95" customHeight="1" x14ac:dyDescent="0.3">
      <c r="A24" s="1"/>
      <c r="B24" s="1"/>
      <c r="C24" s="1"/>
      <c r="D24" s="1"/>
      <c r="E24" s="1"/>
      <c r="F24" s="1"/>
      <c r="G24" s="11" t="s">
        <v>151</v>
      </c>
      <c r="H24" s="212">
        <f>U22</f>
        <v>7.8371613715578992E-2</v>
      </c>
      <c r="I24" s="1"/>
      <c r="J24" s="1"/>
      <c r="K24" s="11" t="s">
        <v>151</v>
      </c>
      <c r="L24" s="212"/>
      <c r="M24" s="1"/>
      <c r="O24" s="1"/>
      <c r="P24" s="1"/>
      <c r="Q24" s="1"/>
      <c r="R24" s="1"/>
      <c r="S24" s="1"/>
      <c r="T24" s="1"/>
      <c r="U24" s="1"/>
      <c r="V24" s="1"/>
      <c r="W24" s="1"/>
      <c r="X24" s="1"/>
      <c r="Y24" s="55"/>
      <c r="Z24" s="55"/>
      <c r="AA24" s="55"/>
      <c r="AB24" s="55"/>
      <c r="AC24" s="55"/>
      <c r="AD24" s="55"/>
      <c r="AE24" s="55"/>
      <c r="AF24" s="55"/>
      <c r="AG24" s="55"/>
      <c r="AH24" s="1"/>
      <c r="AI24" s="1"/>
      <c r="AJ24" s="1"/>
      <c r="AK24" s="1"/>
      <c r="AL24" s="1"/>
      <c r="AM24" s="1"/>
      <c r="AN24" s="531">
        <f ca="1">AN22/G22-1</f>
        <v>7.7115998058618462E-2</v>
      </c>
      <c r="AO24" s="531"/>
      <c r="AP24" s="1"/>
      <c r="AQ24" s="1"/>
      <c r="AR24" s="532" t="str">
        <f>IF(AR23-AR22&lt;0.0000000001,"ok","wrong")</f>
        <v>ok</v>
      </c>
      <c r="AS24" s="1"/>
      <c r="AT24" s="1"/>
      <c r="AU24" s="1"/>
      <c r="AV24" s="1"/>
      <c r="AW24" s="1"/>
      <c r="AX24" s="1"/>
      <c r="AY24" s="1"/>
      <c r="AZ24" s="1"/>
      <c r="BA24" s="1"/>
      <c r="BB24" s="1"/>
      <c r="BC24" s="1"/>
      <c r="BD24" s="1"/>
      <c r="BE24" s="1"/>
      <c r="BF24" s="1"/>
      <c r="BG24" s="1"/>
      <c r="BH24" s="1"/>
      <c r="BI24" s="1"/>
      <c r="BJ24" s="1"/>
      <c r="BK24" s="1"/>
      <c r="BL24" s="1"/>
      <c r="BM24" s="1"/>
      <c r="BN24" s="1"/>
    </row>
    <row r="25" spans="1:66" ht="13.95" customHeight="1" x14ac:dyDescent="0.3">
      <c r="A25" s="1"/>
      <c r="B25" s="1"/>
      <c r="C25" s="1"/>
      <c r="D25" s="1"/>
      <c r="E25" s="1"/>
      <c r="F25" s="1"/>
      <c r="G25" s="11" t="s">
        <v>152</v>
      </c>
      <c r="H25" s="213">
        <f>+'[42]Sheet 1'!$N$24</f>
        <v>9.0935844614479011E-2</v>
      </c>
      <c r="I25" s="1"/>
      <c r="J25" s="1"/>
      <c r="K25" s="11" t="s">
        <v>152</v>
      </c>
      <c r="L25" s="139"/>
      <c r="M25" s="1"/>
      <c r="N25" s="1"/>
      <c r="O25" s="1"/>
      <c r="P25" s="1"/>
      <c r="Q25" s="1"/>
      <c r="R25" s="1"/>
      <c r="S25" s="1"/>
      <c r="T25" s="1"/>
      <c r="U25" s="1"/>
      <c r="V25" s="1"/>
      <c r="W25" s="1"/>
      <c r="X25" s="1"/>
      <c r="Y25" s="55"/>
      <c r="Z25" s="55"/>
      <c r="AA25" s="55"/>
      <c r="AB25" s="55"/>
      <c r="AC25" s="55"/>
      <c r="AD25" s="55"/>
      <c r="AE25" s="55"/>
      <c r="AF25" s="55"/>
      <c r="AG25" s="55"/>
      <c r="AH25" s="1"/>
      <c r="AI25" s="1"/>
      <c r="AJ25" s="1"/>
      <c r="AK25" s="1"/>
      <c r="AL25" s="1"/>
      <c r="AM25" s="1"/>
      <c r="AN25" s="1"/>
      <c r="AO25" s="531"/>
      <c r="AP25" s="1"/>
      <c r="AQ25" s="1"/>
      <c r="AR25" s="532" t="str">
        <f>IF(AQ22-AR22&lt;0.0000000001,"ok","wrong")</f>
        <v>ok</v>
      </c>
      <c r="AS25" s="1"/>
      <c r="AT25" s="1"/>
      <c r="AU25" s="1"/>
      <c r="AV25" s="1"/>
      <c r="AW25" s="1"/>
      <c r="AX25" s="1"/>
      <c r="AY25" s="1"/>
      <c r="AZ25" s="1"/>
      <c r="BA25" s="1"/>
      <c r="BB25" s="1"/>
      <c r="BC25" s="1"/>
      <c r="BD25" s="1"/>
      <c r="BE25" s="1"/>
      <c r="BF25" s="1"/>
      <c r="BG25" s="1"/>
      <c r="BH25" s="1"/>
      <c r="BI25" s="1"/>
      <c r="BJ25" s="1"/>
      <c r="BK25" s="1"/>
      <c r="BL25" s="1"/>
      <c r="BM25" s="1"/>
      <c r="BN25" s="1"/>
    </row>
    <row r="26" spans="1:66" ht="13.95" customHeight="1" x14ac:dyDescent="0.3">
      <c r="A26" s="1"/>
      <c r="B26" s="1"/>
      <c r="C26" s="1"/>
      <c r="D26" s="1"/>
      <c r="E26" s="1">
        <v>1000000</v>
      </c>
      <c r="F26" s="1"/>
      <c r="G26" s="11" t="s">
        <v>153</v>
      </c>
      <c r="H26" s="213">
        <f>+'[42]Sheet 1'!$O$24</f>
        <v>0.13058754635955494</v>
      </c>
      <c r="I26" s="1"/>
      <c r="J26" s="1"/>
      <c r="K26" s="11" t="s">
        <v>153</v>
      </c>
      <c r="L26" s="139"/>
      <c r="M26" s="1"/>
      <c r="N26" s="1"/>
      <c r="O26" s="1"/>
      <c r="P26" s="1"/>
      <c r="Q26" s="1"/>
      <c r="R26" s="1"/>
      <c r="S26" s="1"/>
      <c r="T26" s="1"/>
      <c r="U26" s="1"/>
      <c r="V26" s="1"/>
      <c r="W26" s="1"/>
      <c r="X26" s="1"/>
      <c r="Y26" s="55"/>
      <c r="Z26" s="55"/>
      <c r="AA26" s="55"/>
      <c r="AB26" s="55"/>
      <c r="AC26" s="55"/>
      <c r="AD26" s="55"/>
      <c r="AE26" s="55"/>
      <c r="AF26" s="55"/>
      <c r="AG26" s="55"/>
      <c r="AH26" s="1"/>
      <c r="AI26" s="1"/>
      <c r="AJ26" s="1"/>
      <c r="AK26" s="1"/>
      <c r="AL26" s="1"/>
      <c r="AM26" s="8" t="s">
        <v>571</v>
      </c>
      <c r="AN26" s="533"/>
      <c r="AO26" s="535">
        <f ca="1">AO22/$AN22-1</f>
        <v>-1.035686972380101E-3</v>
      </c>
      <c r="AP26" s="536">
        <f ca="1">AP22/$AN22-1</f>
        <v>1.2083632143213396E-2</v>
      </c>
      <c r="AQ26" s="1"/>
      <c r="AR26" s="1"/>
      <c r="AS26" s="1"/>
      <c r="AT26" s="1"/>
      <c r="AU26" s="1"/>
      <c r="AV26" s="1"/>
      <c r="AW26" s="1"/>
      <c r="AX26" s="1"/>
      <c r="AY26" s="1"/>
      <c r="AZ26" s="1"/>
      <c r="BA26" s="1"/>
      <c r="BB26" s="1"/>
      <c r="BC26" s="1"/>
      <c r="BD26" s="1"/>
      <c r="BE26" s="1"/>
      <c r="BF26" s="1"/>
      <c r="BG26" s="1"/>
      <c r="BH26" s="1"/>
      <c r="BI26" s="1"/>
      <c r="BJ26" s="1"/>
      <c r="BK26" s="1"/>
      <c r="BL26" s="1"/>
      <c r="BM26" s="1"/>
      <c r="BN26" s="1"/>
    </row>
    <row r="27" spans="1:66" ht="9" customHeight="1" x14ac:dyDescent="0.3">
      <c r="A27" s="1"/>
      <c r="B27" s="1"/>
      <c r="C27" s="1"/>
      <c r="D27" s="1"/>
      <c r="E27" s="1"/>
      <c r="F27" s="1"/>
      <c r="G27" s="1"/>
      <c r="H27" s="1"/>
      <c r="I27" s="1"/>
      <c r="J27" s="1"/>
      <c r="K27" s="1"/>
      <c r="L27" s="1"/>
      <c r="M27" s="1"/>
      <c r="N27" s="1"/>
      <c r="O27" s="1"/>
      <c r="P27" s="1"/>
      <c r="Q27" s="1"/>
      <c r="R27" s="1"/>
      <c r="S27" s="1"/>
      <c r="T27" s="55"/>
      <c r="U27" s="55"/>
      <c r="V27" s="55"/>
      <c r="W27" s="55"/>
      <c r="X27" s="55"/>
      <c r="Y27" s="55"/>
      <c r="Z27" s="55"/>
      <c r="AA27" s="55"/>
      <c r="AB27" s="55"/>
      <c r="AC27" s="55"/>
      <c r="AD27" s="55"/>
      <c r="AE27" s="55"/>
      <c r="AF27" s="55"/>
      <c r="AG27" s="55"/>
      <c r="AH27" s="1"/>
      <c r="AI27" s="1"/>
      <c r="AJ27" s="1"/>
      <c r="AK27" s="1"/>
      <c r="AL27" s="1"/>
      <c r="AM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row>
    <row r="28" spans="1:66" ht="12" customHeight="1" thickBot="1" x14ac:dyDescent="0.35">
      <c r="A28" s="214"/>
      <c r="B28" s="214"/>
      <c r="C28" s="214"/>
      <c r="D28" s="214"/>
      <c r="E28" s="214"/>
      <c r="F28" s="214"/>
      <c r="G28" s="214"/>
      <c r="H28" s="214"/>
      <c r="I28" s="214"/>
      <c r="J28" s="214"/>
      <c r="K28" s="214"/>
      <c r="L28" s="214"/>
      <c r="M28" s="214"/>
      <c r="N28" s="214"/>
      <c r="O28" s="214"/>
      <c r="P28" s="214"/>
      <c r="Q28" s="214"/>
      <c r="R28" s="214"/>
      <c r="S28" s="214"/>
      <c r="T28" s="215"/>
      <c r="U28" s="215"/>
      <c r="V28" s="215"/>
      <c r="W28" s="215"/>
      <c r="X28" s="215"/>
      <c r="Y28" s="215"/>
      <c r="Z28" s="215"/>
      <c r="AA28" s="214"/>
      <c r="AB28" s="214"/>
      <c r="AC28" s="214"/>
      <c r="AD28" s="214"/>
      <c r="AE28" s="214"/>
      <c r="AF28" s="214"/>
      <c r="AG28" s="214"/>
      <c r="AH28" s="214"/>
      <c r="AI28" s="214"/>
      <c r="AJ28" s="1"/>
      <c r="AK28" s="1"/>
      <c r="AL28" s="1"/>
      <c r="AM28" s="8" t="s">
        <v>572</v>
      </c>
      <c r="AN28" s="8"/>
      <c r="AO28" s="535">
        <f ca="1">(AO22-$AN22)/($W$37*1000000)</f>
        <v>-7.172132368293822E-3</v>
      </c>
      <c r="AP28" s="536">
        <f ca="1">(AP22-$AN22)/($W$37*1000000)</f>
        <v>8.3679153578351415E-2</v>
      </c>
      <c r="AQ28" s="1"/>
      <c r="AR28" s="1"/>
      <c r="AS28" s="1"/>
      <c r="AT28" s="1"/>
      <c r="AU28" s="1"/>
      <c r="AV28" s="1"/>
      <c r="AW28" s="1"/>
      <c r="AX28" s="1"/>
      <c r="AY28" s="1"/>
      <c r="AZ28" s="1"/>
      <c r="BA28" s="1"/>
      <c r="BB28" s="1"/>
      <c r="BC28" s="1"/>
      <c r="BD28" s="1"/>
      <c r="BE28" s="1"/>
      <c r="BF28" s="1"/>
      <c r="BG28" s="1"/>
      <c r="BH28" s="1"/>
      <c r="BI28" s="1"/>
      <c r="BJ28" s="1"/>
      <c r="BK28" s="1"/>
      <c r="BL28" s="1"/>
      <c r="BM28" s="1"/>
      <c r="BN28" s="1"/>
    </row>
    <row r="29" spans="1:66" ht="12" customHeight="1" thickBot="1" x14ac:dyDescent="0.35">
      <c r="A29" s="214"/>
      <c r="B29" s="216" t="s">
        <v>154</v>
      </c>
      <c r="C29" s="217"/>
      <c r="D29" s="217"/>
      <c r="E29" s="217"/>
      <c r="F29" s="217"/>
      <c r="G29" s="217"/>
      <c r="H29" s="217"/>
      <c r="I29" s="217"/>
      <c r="J29" s="217"/>
      <c r="K29" s="217"/>
      <c r="L29" s="217"/>
      <c r="M29" s="217"/>
      <c r="N29" s="217"/>
      <c r="O29" s="217"/>
      <c r="P29" s="217"/>
      <c r="Q29" s="217"/>
      <c r="R29" s="217"/>
      <c r="S29" s="217"/>
      <c r="T29" s="218"/>
      <c r="U29" s="218"/>
      <c r="V29" s="219"/>
      <c r="W29" s="215"/>
      <c r="X29" s="215"/>
      <c r="Y29" s="215"/>
      <c r="Z29" s="215"/>
      <c r="AA29" s="214"/>
      <c r="AB29" s="214"/>
      <c r="AC29" s="214"/>
      <c r="AD29" s="214"/>
      <c r="AE29" s="214"/>
      <c r="AF29" s="214"/>
      <c r="AG29" s="214"/>
      <c r="AH29" s="214"/>
      <c r="AI29" s="214"/>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row>
    <row r="30" spans="1:66" ht="21.6" customHeight="1" thickBot="1" x14ac:dyDescent="0.35">
      <c r="A30" s="214"/>
      <c r="B30" s="220"/>
      <c r="C30" s="214"/>
      <c r="D30" s="214"/>
      <c r="E30" s="214"/>
      <c r="F30" s="214"/>
      <c r="G30" s="214"/>
      <c r="H30" s="214"/>
      <c r="I30" s="214"/>
      <c r="J30" s="214"/>
      <c r="K30" s="214"/>
      <c r="L30" s="214"/>
      <c r="M30" s="214"/>
      <c r="N30" s="214"/>
      <c r="O30" s="214"/>
      <c r="P30" s="214"/>
      <c r="Q30" s="214"/>
      <c r="R30" s="214"/>
      <c r="S30" s="214"/>
      <c r="T30" s="214"/>
      <c r="U30" s="214"/>
      <c r="V30" s="214"/>
      <c r="W30" s="214"/>
      <c r="X30" s="214"/>
      <c r="Y30" s="214"/>
      <c r="Z30" s="214"/>
      <c r="AA30" s="214"/>
      <c r="AB30" s="214"/>
      <c r="AC30" s="216" t="s">
        <v>158</v>
      </c>
      <c r="AD30" s="221"/>
      <c r="AE30" s="214"/>
      <c r="AF30" s="214"/>
      <c r="AG30" s="214"/>
      <c r="AH30" s="214"/>
      <c r="AI30" s="214"/>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row>
    <row r="31" spans="1:66" ht="21" customHeight="1" thickBot="1" x14ac:dyDescent="0.35">
      <c r="A31" s="214"/>
      <c r="B31" s="216" t="s">
        <v>159</v>
      </c>
      <c r="C31" s="221"/>
      <c r="D31" s="223"/>
      <c r="E31" s="222" t="s">
        <v>160</v>
      </c>
      <c r="F31" s="222" t="s">
        <v>160</v>
      </c>
      <c r="G31" s="223"/>
      <c r="H31" s="224" t="s">
        <v>161</v>
      </c>
      <c r="I31" s="222"/>
      <c r="J31" s="222"/>
      <c r="K31" s="222"/>
      <c r="L31" s="222"/>
      <c r="M31" s="223"/>
      <c r="N31" s="216" t="s">
        <v>162</v>
      </c>
      <c r="O31" s="221"/>
      <c r="P31" s="222" t="s">
        <v>163</v>
      </c>
      <c r="Q31" s="222"/>
      <c r="R31" s="222"/>
      <c r="S31" s="223"/>
      <c r="T31" s="224" t="s">
        <v>164</v>
      </c>
      <c r="U31" s="222"/>
      <c r="V31" s="222"/>
      <c r="W31" s="223"/>
      <c r="X31" s="225" t="s">
        <v>165</v>
      </c>
      <c r="Y31" s="222"/>
      <c r="Z31" s="222"/>
      <c r="AA31" s="223"/>
      <c r="AB31" s="214"/>
      <c r="AC31" s="347" t="s">
        <v>163</v>
      </c>
      <c r="AD31" s="348"/>
      <c r="AE31" s="223"/>
      <c r="AF31" s="224" t="s">
        <v>164</v>
      </c>
      <c r="AG31" s="222"/>
      <c r="AH31" s="223"/>
      <c r="AI31" s="214"/>
      <c r="AJ31" s="1"/>
      <c r="AK31" s="1"/>
      <c r="AL31" s="1"/>
      <c r="AM31" s="1"/>
      <c r="AN31" s="1"/>
      <c r="AO31" s="8" t="s">
        <v>567</v>
      </c>
      <c r="AP31" s="10">
        <v>0.05</v>
      </c>
      <c r="AQ31" s="1"/>
      <c r="AR31" s="1"/>
      <c r="AS31" s="1"/>
      <c r="AT31" s="1"/>
      <c r="AU31" s="1"/>
      <c r="AV31" s="1"/>
      <c r="AW31" s="1"/>
      <c r="AX31" s="1"/>
      <c r="AY31" s="1"/>
      <c r="AZ31" s="1"/>
      <c r="BA31" s="1"/>
      <c r="BB31" s="1"/>
      <c r="BC31" s="1"/>
      <c r="BD31" s="1"/>
      <c r="BE31" s="1"/>
      <c r="BF31" s="1"/>
      <c r="BG31" s="1"/>
      <c r="BH31" s="1"/>
      <c r="BI31" s="1"/>
      <c r="BJ31" s="1"/>
      <c r="BK31" s="1"/>
      <c r="BL31" s="1"/>
      <c r="BM31" s="1"/>
      <c r="BN31" s="1"/>
    </row>
    <row r="32" spans="1:66" ht="51" customHeight="1" x14ac:dyDescent="0.3">
      <c r="A32" s="214"/>
      <c r="B32" s="226"/>
      <c r="C32" s="227" t="s">
        <v>166</v>
      </c>
      <c r="D32" s="228" t="s">
        <v>167</v>
      </c>
      <c r="E32" s="228" t="s">
        <v>168</v>
      </c>
      <c r="F32" s="410" t="s">
        <v>169</v>
      </c>
      <c r="G32" s="228" t="s">
        <v>170</v>
      </c>
      <c r="H32" s="228" t="s">
        <v>171</v>
      </c>
      <c r="I32" s="229" t="s">
        <v>172</v>
      </c>
      <c r="J32" s="229" t="s">
        <v>173</v>
      </c>
      <c r="K32" s="230" t="s">
        <v>174</v>
      </c>
      <c r="L32" s="229" t="s">
        <v>175</v>
      </c>
      <c r="M32" s="411" t="s">
        <v>176</v>
      </c>
      <c r="N32" s="227"/>
      <c r="O32" s="227" t="s">
        <v>177</v>
      </c>
      <c r="P32" s="231" t="s">
        <v>178</v>
      </c>
      <c r="Q32" s="231" t="s">
        <v>179</v>
      </c>
      <c r="R32" s="231" t="s">
        <v>180</v>
      </c>
      <c r="S32" s="231" t="s">
        <v>181</v>
      </c>
      <c r="T32" s="231" t="s">
        <v>182</v>
      </c>
      <c r="U32" s="231" t="s">
        <v>183</v>
      </c>
      <c r="V32" s="231" t="s">
        <v>184</v>
      </c>
      <c r="W32" s="231" t="s">
        <v>185</v>
      </c>
      <c r="X32" s="231" t="s">
        <v>186</v>
      </c>
      <c r="Y32" s="231" t="s">
        <v>187</v>
      </c>
      <c r="Z32" s="231" t="s">
        <v>188</v>
      </c>
      <c r="AA32" s="231" t="s">
        <v>189</v>
      </c>
      <c r="AB32" s="214"/>
      <c r="AC32" s="231" t="s">
        <v>178</v>
      </c>
      <c r="AD32" s="231" t="s">
        <v>179</v>
      </c>
      <c r="AE32" s="231" t="s">
        <v>180</v>
      </c>
      <c r="AF32" s="231" t="s">
        <v>182</v>
      </c>
      <c r="AG32" s="231" t="s">
        <v>183</v>
      </c>
      <c r="AH32" s="231" t="s">
        <v>184</v>
      </c>
      <c r="AI32" s="214"/>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row>
    <row r="33" spans="1:66" ht="15.6" customHeight="1" x14ac:dyDescent="0.3">
      <c r="A33" s="214"/>
      <c r="B33" s="232">
        <v>2019</v>
      </c>
      <c r="C33" s="233">
        <f>C22</f>
        <v>7636234546.4796124</v>
      </c>
      <c r="D33" s="146">
        <v>185181.2</v>
      </c>
      <c r="E33" s="259">
        <f>(F33/1000000/D33)*100</f>
        <v>5.8618261464986716</v>
      </c>
      <c r="F33" s="146">
        <v>10855000000</v>
      </c>
      <c r="G33" s="234">
        <f>F33/C33</f>
        <v>1.4215121253713028</v>
      </c>
      <c r="H33" s="235">
        <f>C33*G33</f>
        <v>10855000000</v>
      </c>
      <c r="I33" s="235" t="s">
        <v>113</v>
      </c>
      <c r="J33" s="235" t="s">
        <v>113</v>
      </c>
      <c r="K33" s="235" t="s">
        <v>113</v>
      </c>
      <c r="L33" s="235" t="s">
        <v>113</v>
      </c>
      <c r="M33" s="214"/>
      <c r="N33" s="232">
        <v>2019</v>
      </c>
      <c r="O33" s="236">
        <f>G33</f>
        <v>1.4215121253713028</v>
      </c>
      <c r="P33" s="237"/>
      <c r="Q33" s="237"/>
      <c r="R33" s="237"/>
      <c r="S33" s="237"/>
      <c r="T33" s="237"/>
      <c r="U33" s="237"/>
      <c r="V33" s="238"/>
      <c r="W33" s="238"/>
      <c r="X33" s="238"/>
      <c r="Y33" s="238"/>
      <c r="Z33" s="238"/>
      <c r="AA33" s="238"/>
      <c r="AB33" s="214"/>
      <c r="AC33" s="237"/>
      <c r="AD33" s="237"/>
      <c r="AE33" s="237"/>
      <c r="AF33" s="237"/>
      <c r="AG33" s="237"/>
      <c r="AH33" s="238"/>
      <c r="AI33" s="214"/>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row>
    <row r="34" spans="1:66" s="51" customFormat="1" ht="15.6" customHeight="1" x14ac:dyDescent="0.3">
      <c r="A34" s="239"/>
      <c r="B34" s="240">
        <v>2020</v>
      </c>
      <c r="C34" s="241">
        <f>D22</f>
        <v>6757884974.6027718</v>
      </c>
      <c r="D34" s="146">
        <v>167539.5</v>
      </c>
      <c r="E34" s="259">
        <f t="shared" ref="E34:E36" si="7">(F34/1000000/D34)*100</f>
        <v>6.1830195267384713</v>
      </c>
      <c r="F34" s="146">
        <v>10359000000</v>
      </c>
      <c r="G34" s="234">
        <f>F34/C34</f>
        <v>1.5328760461195778</v>
      </c>
      <c r="H34" s="242">
        <f>C34*G34</f>
        <v>10359000000</v>
      </c>
      <c r="I34" s="243"/>
      <c r="J34" s="243"/>
      <c r="K34" s="243"/>
      <c r="L34" s="243"/>
      <c r="M34" s="214"/>
      <c r="N34" s="240">
        <v>2020</v>
      </c>
      <c r="O34" s="244"/>
      <c r="P34" s="245"/>
      <c r="Q34" s="245"/>
      <c r="R34" s="245"/>
      <c r="S34" s="245"/>
      <c r="T34" s="245"/>
      <c r="U34" s="245"/>
      <c r="V34" s="245"/>
      <c r="W34" s="245"/>
      <c r="X34" s="245"/>
      <c r="Y34" s="245"/>
      <c r="Z34" s="245"/>
      <c r="AA34" s="245"/>
      <c r="AB34" s="239"/>
      <c r="AC34" s="245"/>
      <c r="AD34" s="245"/>
      <c r="AE34" s="245"/>
      <c r="AF34" s="245"/>
      <c r="AG34" s="245"/>
      <c r="AH34" s="245"/>
      <c r="AI34" s="239"/>
      <c r="AJ34" s="47"/>
      <c r="AK34" s="47"/>
      <c r="AL34" s="47"/>
      <c r="AM34" s="47"/>
      <c r="AN34" s="47"/>
      <c r="AO34" s="47"/>
      <c r="AP34" s="47"/>
      <c r="AQ34" s="47"/>
      <c r="AR34" s="47"/>
      <c r="AS34" s="47"/>
      <c r="AT34" s="47"/>
      <c r="AU34" s="47"/>
      <c r="AV34" s="47"/>
      <c r="AW34" s="47"/>
      <c r="AX34" s="47"/>
      <c r="AY34" s="47"/>
      <c r="AZ34" s="47"/>
      <c r="BA34" s="47"/>
      <c r="BB34" s="47"/>
      <c r="BC34" s="47"/>
      <c r="BD34" s="47"/>
      <c r="BE34" s="47"/>
      <c r="BF34" s="47"/>
      <c r="BG34" s="47"/>
      <c r="BH34" s="47"/>
      <c r="BI34" s="47"/>
      <c r="BJ34" s="47"/>
      <c r="BK34" s="47"/>
      <c r="BL34" s="47"/>
      <c r="BM34" s="47"/>
      <c r="BN34" s="47"/>
    </row>
    <row r="35" spans="1:66" ht="15.6" customHeight="1" x14ac:dyDescent="0.3">
      <c r="A35" s="214"/>
      <c r="B35" s="232">
        <v>2021</v>
      </c>
      <c r="C35" s="241">
        <f>E22</f>
        <v>6983899304.053194</v>
      </c>
      <c r="D35" s="146">
        <v>184574.6</v>
      </c>
      <c r="E35" s="259">
        <f t="shared" si="7"/>
        <v>5.7998229442187608</v>
      </c>
      <c r="F35" s="146">
        <v>10705000000</v>
      </c>
      <c r="G35" s="234">
        <f>F35/C35</f>
        <v>1.53281133274462</v>
      </c>
      <c r="H35" s="242">
        <f>C35*G35</f>
        <v>10705000000</v>
      </c>
      <c r="I35" s="243"/>
      <c r="J35" s="243"/>
      <c r="K35" s="243"/>
      <c r="L35" s="243"/>
      <c r="M35" s="214"/>
      <c r="N35" s="232">
        <v>2021</v>
      </c>
      <c r="O35" s="244"/>
      <c r="P35" s="246"/>
      <c r="Q35" s="246"/>
      <c r="R35" s="246"/>
      <c r="S35" s="246"/>
      <c r="T35" s="246"/>
      <c r="U35" s="246"/>
      <c r="V35" s="247"/>
      <c r="W35" s="247"/>
      <c r="X35" s="247"/>
      <c r="Y35" s="247"/>
      <c r="Z35" s="247"/>
      <c r="AA35" s="247"/>
      <c r="AB35" s="214"/>
      <c r="AC35" s="246"/>
      <c r="AD35" s="246"/>
      <c r="AE35" s="246"/>
      <c r="AF35" s="246"/>
      <c r="AG35" s="246"/>
      <c r="AH35" s="247"/>
      <c r="AI35" s="214"/>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row>
    <row r="36" spans="1:66" ht="15.6" customHeight="1" x14ac:dyDescent="0.3">
      <c r="A36" s="214"/>
      <c r="B36" s="240">
        <v>2022</v>
      </c>
      <c r="C36" s="248">
        <f>F22</f>
        <v>7224150063.7079792</v>
      </c>
      <c r="D36" s="146">
        <v>207854.2</v>
      </c>
      <c r="E36" s="259">
        <f t="shared" si="7"/>
        <v>5.5000091410228897</v>
      </c>
      <c r="F36" s="146">
        <v>11432000000</v>
      </c>
      <c r="G36" s="234">
        <f>F36/C36</f>
        <v>1.5824698959993966</v>
      </c>
      <c r="H36" s="242">
        <f>C36*G36</f>
        <v>11432000000</v>
      </c>
      <c r="I36" s="249"/>
      <c r="J36" s="249"/>
      <c r="K36" s="249"/>
      <c r="L36" s="249"/>
      <c r="M36" s="214"/>
      <c r="N36" s="240">
        <v>2022</v>
      </c>
      <c r="O36" s="250"/>
      <c r="P36" s="225"/>
      <c r="Q36" s="225"/>
      <c r="R36" s="225"/>
      <c r="S36" s="225"/>
      <c r="T36" s="225"/>
      <c r="U36" s="225"/>
      <c r="V36" s="225"/>
      <c r="W36" s="225"/>
      <c r="X36" s="225"/>
      <c r="Y36" s="225"/>
      <c r="Z36" s="225"/>
      <c r="AA36" s="225"/>
      <c r="AB36" s="214"/>
      <c r="AC36" s="225"/>
      <c r="AD36" s="225"/>
      <c r="AE36" s="225"/>
      <c r="AF36" s="225"/>
      <c r="AG36" s="225"/>
      <c r="AH36" s="225"/>
      <c r="AI36" s="214"/>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row>
    <row r="37" spans="1:66" ht="15.6" customHeight="1" x14ac:dyDescent="0.3">
      <c r="A37" s="214"/>
      <c r="B37" s="232">
        <v>2023</v>
      </c>
      <c r="C37" s="251">
        <f>G22</f>
        <v>8099294657.3652115</v>
      </c>
      <c r="D37" s="146">
        <v>225196.9</v>
      </c>
      <c r="E37" s="259">
        <f>(F37/1000000/D37)*100</f>
        <v>5.9436875019149911</v>
      </c>
      <c r="F37" s="146">
        <v>13385000000</v>
      </c>
      <c r="G37" s="234">
        <f>F37/C37</f>
        <v>1.6526130442517184</v>
      </c>
      <c r="H37" s="242">
        <f>C37*G37</f>
        <v>13385000000</v>
      </c>
      <c r="I37" s="235">
        <f>H22*$G37</f>
        <v>14768205009.549353</v>
      </c>
      <c r="J37" s="235">
        <f>I22*$G37</f>
        <v>13762020201.943947</v>
      </c>
      <c r="K37" s="235">
        <f>J22*$G37</f>
        <v>13610308339.216091</v>
      </c>
      <c r="L37" s="235">
        <f>K22*$G37</f>
        <v>13152988402.759348</v>
      </c>
      <c r="M37" s="412">
        <f>AK22*$G37</f>
        <v>13385192515.110668</v>
      </c>
      <c r="N37" s="232">
        <v>2023</v>
      </c>
      <c r="O37" s="252">
        <f>G37</f>
        <v>1.6526130442517184</v>
      </c>
      <c r="P37" s="253">
        <f>($H37-J37)/1000000</f>
        <v>-377.02020194394686</v>
      </c>
      <c r="Q37" s="253">
        <f>($H37-K37)/1000000</f>
        <v>-225.30833921609116</v>
      </c>
      <c r="R37" s="253">
        <f>($H37-L37)/1000000</f>
        <v>232.01159724065209</v>
      </c>
      <c r="S37" s="253">
        <f>AVERAGE(P37:R37)</f>
        <v>-123.43898130646194</v>
      </c>
      <c r="T37" s="253">
        <f t="shared" ref="T37:V37" si="8">($I37-J37)/1000000</f>
        <v>1006.1848076054058</v>
      </c>
      <c r="U37" s="253">
        <f t="shared" si="8"/>
        <v>1157.8966703332615</v>
      </c>
      <c r="V37" s="253">
        <f t="shared" si="8"/>
        <v>1615.2166067900048</v>
      </c>
      <c r="W37" s="253">
        <f>AVERAGE(T37:V37)</f>
        <v>1259.7660282428908</v>
      </c>
      <c r="X37" s="254">
        <f>(T37-P37)/T37</f>
        <v>1.3747027376026557</v>
      </c>
      <c r="Y37" s="254">
        <f>(U37-Q37)/U37</f>
        <v>1.1945841498544458</v>
      </c>
      <c r="Z37" s="254">
        <f>(V37-R37)/V37</f>
        <v>0.85635883369120414</v>
      </c>
      <c r="AA37" s="254">
        <f>AVERAGE(X37:Z37)</f>
        <v>1.1418819070494353</v>
      </c>
      <c r="AB37" s="214"/>
      <c r="AC37" s="351">
        <f>P37/$D37</f>
        <v>-1.6741802482358632E-3</v>
      </c>
      <c r="AD37" s="351">
        <f>Q37/$D37</f>
        <v>-1.0004948523540563E-3</v>
      </c>
      <c r="AE37" s="351">
        <f>R37/$D37</f>
        <v>1.030261061500634E-3</v>
      </c>
      <c r="AF37" s="351">
        <f>T37/$D37</f>
        <v>4.4680224621449311E-3</v>
      </c>
      <c r="AG37" s="351">
        <f>U37/$D37</f>
        <v>5.1417078580267379E-3</v>
      </c>
      <c r="AH37" s="351">
        <f>V37/$D37</f>
        <v>7.1724637718814281E-3</v>
      </c>
      <c r="AI37" s="214"/>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row>
    <row r="38" spans="1:66" ht="15.6" customHeight="1" x14ac:dyDescent="0.3">
      <c r="A38" s="214"/>
      <c r="B38" s="240">
        <v>2024</v>
      </c>
      <c r="C38" s="255"/>
      <c r="D38" s="235"/>
      <c r="E38" s="256"/>
      <c r="F38" s="256"/>
      <c r="G38" s="257"/>
      <c r="H38" s="256"/>
      <c r="I38" s="249"/>
      <c r="J38" s="249"/>
      <c r="K38" s="249"/>
      <c r="L38" s="249"/>
      <c r="M38" s="214"/>
      <c r="N38" s="240">
        <v>2024</v>
      </c>
      <c r="O38" s="250"/>
      <c r="P38" s="225"/>
      <c r="Q38" s="225"/>
      <c r="R38" s="225"/>
      <c r="S38" s="225"/>
      <c r="T38" s="258"/>
      <c r="U38" s="258"/>
      <c r="V38" s="258"/>
      <c r="W38" s="258"/>
      <c r="X38" s="225"/>
      <c r="Y38" s="225"/>
      <c r="Z38" s="225"/>
      <c r="AA38" s="225"/>
      <c r="AB38" s="214"/>
      <c r="AC38" s="353"/>
      <c r="AD38" s="353"/>
      <c r="AE38" s="353"/>
      <c r="AF38" s="354"/>
      <c r="AG38" s="354"/>
      <c r="AH38" s="354"/>
      <c r="AI38" s="214"/>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row>
    <row r="39" spans="1:66" ht="15.6" customHeight="1" x14ac:dyDescent="0.3">
      <c r="A39" s="214"/>
      <c r="B39" s="232">
        <v>2025</v>
      </c>
      <c r="C39" s="255"/>
      <c r="D39" s="235"/>
      <c r="E39" s="256"/>
      <c r="F39" s="256"/>
      <c r="G39" s="257"/>
      <c r="H39" s="256"/>
      <c r="I39" s="249"/>
      <c r="J39" s="249"/>
      <c r="K39" s="249"/>
      <c r="L39" s="249"/>
      <c r="M39" s="214"/>
      <c r="N39" s="232">
        <v>2025</v>
      </c>
      <c r="O39" s="250"/>
      <c r="P39" s="225"/>
      <c r="Q39" s="225"/>
      <c r="R39" s="225"/>
      <c r="S39" s="225"/>
      <c r="T39" s="258"/>
      <c r="U39" s="258"/>
      <c r="V39" s="258"/>
      <c r="W39" s="258"/>
      <c r="X39" s="225"/>
      <c r="Y39" s="225"/>
      <c r="Z39" s="225"/>
      <c r="AA39" s="225"/>
      <c r="AB39" s="214"/>
      <c r="AC39" s="353"/>
      <c r="AD39" s="353"/>
      <c r="AE39" s="353"/>
      <c r="AF39" s="354"/>
      <c r="AG39" s="354"/>
      <c r="AH39" s="354"/>
      <c r="AI39" s="214"/>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row>
    <row r="40" spans="1:66" ht="15.6" customHeight="1" x14ac:dyDescent="0.3">
      <c r="A40" s="214"/>
      <c r="B40" s="240">
        <v>2026</v>
      </c>
      <c r="C40" s="251"/>
      <c r="D40" s="235"/>
      <c r="E40" s="256"/>
      <c r="F40" s="256"/>
      <c r="G40" s="259"/>
      <c r="H40" s="256"/>
      <c r="I40" s="235"/>
      <c r="J40" s="235"/>
      <c r="K40" s="235"/>
      <c r="L40" s="235"/>
      <c r="M40" s="214"/>
      <c r="N40" s="240">
        <v>2026</v>
      </c>
      <c r="O40" s="252"/>
      <c r="P40" s="225"/>
      <c r="Q40" s="225"/>
      <c r="R40" s="225"/>
      <c r="S40" s="225"/>
      <c r="T40" s="253"/>
      <c r="U40" s="253"/>
      <c r="V40" s="253"/>
      <c r="W40" s="253"/>
      <c r="X40" s="225"/>
      <c r="Y40" s="225"/>
      <c r="Z40" s="225"/>
      <c r="AA40" s="225"/>
      <c r="AB40" s="214"/>
      <c r="AC40" s="353"/>
      <c r="AD40" s="353"/>
      <c r="AE40" s="353"/>
      <c r="AF40" s="351"/>
      <c r="AG40" s="351"/>
      <c r="AH40" s="351"/>
      <c r="AI40" s="214"/>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row>
    <row r="41" spans="1:66" ht="12.6" customHeight="1" x14ac:dyDescent="0.3">
      <c r="A41" s="214"/>
      <c r="B41" s="214"/>
      <c r="C41" s="214"/>
      <c r="D41" s="214"/>
      <c r="E41" s="214"/>
      <c r="F41" s="214"/>
      <c r="G41" s="214"/>
      <c r="H41" s="214"/>
      <c r="I41" s="260"/>
      <c r="J41" s="214"/>
      <c r="K41" s="214"/>
      <c r="L41" s="214"/>
      <c r="M41" s="214"/>
      <c r="N41" s="214"/>
      <c r="O41" s="214"/>
      <c r="P41" s="214"/>
      <c r="Q41" s="214"/>
      <c r="R41" s="214"/>
      <c r="S41" s="214"/>
      <c r="T41" s="260"/>
      <c r="U41" s="214"/>
      <c r="V41" s="214"/>
      <c r="W41" s="214"/>
      <c r="X41" s="413" t="s">
        <v>190</v>
      </c>
      <c r="Y41" s="414"/>
      <c r="Z41" s="414"/>
      <c r="AA41" s="415"/>
      <c r="AB41" s="214"/>
      <c r="AC41" s="214"/>
      <c r="AD41" s="214"/>
      <c r="AE41" s="214"/>
      <c r="AF41" s="260"/>
      <c r="AG41" s="214"/>
      <c r="AH41" s="214"/>
      <c r="AI41" s="214"/>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row>
    <row r="42" spans="1:66" ht="12.6" customHeight="1" x14ac:dyDescent="0.3">
      <c r="A42" s="214"/>
      <c r="B42" s="214"/>
      <c r="C42" s="214"/>
      <c r="D42" s="214"/>
      <c r="E42" s="214"/>
      <c r="F42" s="214"/>
      <c r="G42" s="214"/>
      <c r="H42" s="214"/>
      <c r="I42" s="214"/>
      <c r="J42" s="214"/>
      <c r="K42" s="214"/>
      <c r="L42" s="214"/>
      <c r="M42" s="214"/>
      <c r="N42" s="214"/>
      <c r="O42" s="214"/>
      <c r="P42" s="214"/>
      <c r="Q42" s="214"/>
      <c r="R42" s="214"/>
      <c r="S42" s="214"/>
      <c r="T42" s="214"/>
      <c r="U42" s="214"/>
      <c r="V42" s="214"/>
      <c r="W42" s="416">
        <v>2023</v>
      </c>
      <c r="X42" s="417">
        <f>(($M37-$H37)/1000000)/T37</f>
        <v>1.913317605404362E-4</v>
      </c>
      <c r="Y42" s="417">
        <f t="shared" ref="Y42:Z42" si="9">(($M37-$H37)/1000000)/U37</f>
        <v>1.6626277249141185E-4</v>
      </c>
      <c r="Z42" s="417">
        <f t="shared" si="9"/>
        <v>1.1918841711934637E-4</v>
      </c>
      <c r="AA42" s="417">
        <f>AVERAGE(X42:Z42)</f>
        <v>1.5892765005039814E-4</v>
      </c>
      <c r="AB42" s="214"/>
      <c r="AC42" s="214"/>
      <c r="AD42" s="214"/>
      <c r="AE42" s="214"/>
      <c r="AF42" s="214"/>
      <c r="AG42" s="214"/>
      <c r="AH42" s="214"/>
      <c r="AI42" s="214"/>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row>
    <row r="43" spans="1:66" ht="12.6" customHeight="1" thickBot="1" x14ac:dyDescent="0.35">
      <c r="A43" s="214"/>
      <c r="B43" s="214"/>
      <c r="C43" s="214"/>
      <c r="D43" s="214"/>
      <c r="E43" s="214"/>
      <c r="F43" s="214"/>
      <c r="G43" s="214"/>
      <c r="H43" s="214"/>
      <c r="I43" s="214"/>
      <c r="J43" s="214"/>
      <c r="K43" s="214"/>
      <c r="L43" s="214"/>
      <c r="M43" s="214"/>
      <c r="N43" s="214"/>
      <c r="O43" s="214"/>
      <c r="P43" s="214"/>
      <c r="Q43" s="214"/>
      <c r="R43" s="214"/>
      <c r="S43" s="214"/>
      <c r="T43" s="214"/>
      <c r="U43" s="214"/>
      <c r="V43" s="214"/>
      <c r="W43" s="214"/>
      <c r="X43" s="214"/>
      <c r="Y43" s="214"/>
      <c r="Z43" s="214"/>
      <c r="AA43" s="214"/>
      <c r="AB43" s="214"/>
      <c r="AC43" s="214"/>
      <c r="AD43" s="214"/>
      <c r="AE43" s="214"/>
      <c r="AF43" s="214"/>
      <c r="AG43" s="214"/>
      <c r="AH43" s="214"/>
      <c r="AI43" s="214"/>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row>
    <row r="44" spans="1:66" ht="18" customHeight="1" thickBot="1" x14ac:dyDescent="0.35">
      <c r="A44" s="214"/>
      <c r="B44" s="216" t="s">
        <v>191</v>
      </c>
      <c r="C44" s="221"/>
      <c r="D44" s="222" t="s">
        <v>160</v>
      </c>
      <c r="E44" s="223"/>
      <c r="F44" s="224" t="s">
        <v>161</v>
      </c>
      <c r="G44" s="222"/>
      <c r="H44" s="222"/>
      <c r="I44" s="222"/>
      <c r="J44" s="223"/>
      <c r="K44" s="214"/>
      <c r="L44" s="214"/>
      <c r="M44" s="214"/>
      <c r="N44" s="214"/>
      <c r="O44" s="214"/>
      <c r="P44" s="214"/>
      <c r="Q44" s="214"/>
      <c r="R44" s="214"/>
      <c r="S44" s="214"/>
      <c r="T44" s="214"/>
      <c r="U44" s="216" t="s">
        <v>192</v>
      </c>
      <c r="V44" s="221"/>
      <c r="W44" s="222" t="s">
        <v>160</v>
      </c>
      <c r="X44" s="223"/>
      <c r="Y44" s="224" t="s">
        <v>161</v>
      </c>
      <c r="Z44" s="222"/>
      <c r="AA44" s="222"/>
      <c r="AB44" s="222"/>
      <c r="AC44" s="223"/>
      <c r="AD44" s="214"/>
      <c r="AE44" s="214"/>
      <c r="AF44" s="214"/>
      <c r="AG44" s="214"/>
      <c r="AH44" s="214"/>
      <c r="AI44" s="214"/>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row>
    <row r="45" spans="1:66" ht="42" customHeight="1" x14ac:dyDescent="0.3">
      <c r="A45" s="214"/>
      <c r="B45" s="227"/>
      <c r="C45" s="231" t="s">
        <v>193</v>
      </c>
      <c r="D45" s="228" t="s">
        <v>194</v>
      </c>
      <c r="E45" s="228" t="s">
        <v>170</v>
      </c>
      <c r="F45" s="229" t="s">
        <v>195</v>
      </c>
      <c r="G45" s="229" t="s">
        <v>196</v>
      </c>
      <c r="H45" s="261" t="s">
        <v>197</v>
      </c>
      <c r="I45" s="261" t="s">
        <v>198</v>
      </c>
      <c r="J45" s="261" t="s">
        <v>199</v>
      </c>
      <c r="K45" s="411" t="s">
        <v>176</v>
      </c>
      <c r="L45" s="214"/>
      <c r="M45" s="214"/>
      <c r="N45" s="214"/>
      <c r="O45" s="214"/>
      <c r="P45" s="214"/>
      <c r="Q45" s="214"/>
      <c r="R45" s="214"/>
      <c r="S45" s="214"/>
      <c r="T45" s="214"/>
      <c r="U45" s="227"/>
      <c r="V45" s="231" t="s">
        <v>193</v>
      </c>
      <c r="W45" s="228" t="s">
        <v>194</v>
      </c>
      <c r="X45" s="228" t="s">
        <v>170</v>
      </c>
      <c r="Y45" s="229" t="s">
        <v>195</v>
      </c>
      <c r="Z45" s="229" t="s">
        <v>196</v>
      </c>
      <c r="AA45" s="261" t="s">
        <v>197</v>
      </c>
      <c r="AB45" s="261" t="s">
        <v>198</v>
      </c>
      <c r="AC45" s="261" t="s">
        <v>199</v>
      </c>
      <c r="AD45" s="214"/>
      <c r="AE45" s="214"/>
      <c r="AF45" s="214"/>
      <c r="AG45" s="214"/>
      <c r="AH45" s="214"/>
      <c r="AI45" s="214"/>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row>
    <row r="46" spans="1:66" ht="15" customHeight="1" x14ac:dyDescent="0.3">
      <c r="A46" s="214"/>
      <c r="B46" s="232">
        <v>2019</v>
      </c>
      <c r="C46" s="262">
        <f>C33/1000000</f>
        <v>7636.2345464796126</v>
      </c>
      <c r="D46" s="263">
        <f>F33/1000000</f>
        <v>10855</v>
      </c>
      <c r="E46" s="264"/>
      <c r="F46" s="262">
        <f>H33/1000000</f>
        <v>10855</v>
      </c>
      <c r="G46" s="264"/>
      <c r="H46" s="264"/>
      <c r="I46" s="264"/>
      <c r="J46" s="264"/>
      <c r="K46" s="214"/>
      <c r="L46" s="214"/>
      <c r="M46" s="214"/>
      <c r="N46" s="214"/>
      <c r="O46" s="214"/>
      <c r="P46" s="214"/>
      <c r="Q46" s="214"/>
      <c r="R46" s="214"/>
      <c r="S46" s="214"/>
      <c r="T46" s="214"/>
      <c r="U46" s="232">
        <v>2019</v>
      </c>
      <c r="V46" s="355">
        <f>C33/1000000/D33</f>
        <v>4.1236553961631159E-2</v>
      </c>
      <c r="W46" s="355">
        <f>F33/(D33*1000000)</f>
        <v>5.8618261464986728E-2</v>
      </c>
      <c r="X46" s="264"/>
      <c r="Y46" s="355">
        <f>H33/($D33*1000000)</f>
        <v>5.8618261464986728E-2</v>
      </c>
      <c r="Z46" s="355"/>
      <c r="AA46" s="355"/>
      <c r="AB46" s="355"/>
      <c r="AC46" s="355"/>
      <c r="AD46" s="214"/>
      <c r="AE46" s="214"/>
      <c r="AF46" s="214"/>
      <c r="AG46" s="214"/>
      <c r="AH46" s="214"/>
      <c r="AI46" s="214"/>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row>
    <row r="47" spans="1:66" ht="15" customHeight="1" x14ac:dyDescent="0.3">
      <c r="A47" s="214"/>
      <c r="B47" s="240">
        <v>2020</v>
      </c>
      <c r="C47" s="262">
        <f t="shared" ref="C47:C49" si="10">C34/1000000</f>
        <v>6757.8849746027718</v>
      </c>
      <c r="D47" s="263">
        <f>F34/1000000</f>
        <v>10359</v>
      </c>
      <c r="E47" s="264"/>
      <c r="F47" s="264"/>
      <c r="G47" s="264"/>
      <c r="H47" s="264"/>
      <c r="I47" s="264"/>
      <c r="J47" s="264"/>
      <c r="K47" s="214"/>
      <c r="L47" s="214"/>
      <c r="M47" s="214"/>
      <c r="N47" s="214"/>
      <c r="O47" s="214"/>
      <c r="P47" s="214"/>
      <c r="Q47" s="214"/>
      <c r="R47" s="214"/>
      <c r="S47" s="214"/>
      <c r="T47" s="214"/>
      <c r="U47" s="240">
        <v>2020</v>
      </c>
      <c r="V47" s="355">
        <f t="shared" ref="V47:V50" si="11">C34/1000000/D34</f>
        <v>4.033606984981316E-2</v>
      </c>
      <c r="W47" s="355">
        <f t="shared" ref="W47:W50" si="12">F34/(D34*1000000)</f>
        <v>6.1830195267384709E-2</v>
      </c>
      <c r="X47" s="264"/>
      <c r="Y47" s="355"/>
      <c r="Z47" s="355"/>
      <c r="AA47" s="355"/>
      <c r="AB47" s="355"/>
      <c r="AC47" s="355"/>
      <c r="AD47" s="214"/>
      <c r="AE47" s="214"/>
      <c r="AF47" s="214"/>
      <c r="AG47" s="214"/>
      <c r="AH47" s="214"/>
      <c r="AI47" s="214"/>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row>
    <row r="48" spans="1:66" ht="15" customHeight="1" x14ac:dyDescent="0.3">
      <c r="A48" s="214"/>
      <c r="B48" s="232">
        <v>2021</v>
      </c>
      <c r="C48" s="262">
        <f t="shared" si="10"/>
        <v>6983.8993040531941</v>
      </c>
      <c r="D48" s="263">
        <f>F35/1000000</f>
        <v>10705</v>
      </c>
      <c r="E48" s="264"/>
      <c r="F48" s="264"/>
      <c r="G48" s="264"/>
      <c r="H48" s="264"/>
      <c r="I48" s="264"/>
      <c r="J48" s="264"/>
      <c r="K48" s="214"/>
      <c r="L48" s="214"/>
      <c r="M48" s="214"/>
      <c r="N48" s="214"/>
      <c r="O48" s="214"/>
      <c r="P48" s="214"/>
      <c r="Q48" s="214"/>
      <c r="R48" s="214"/>
      <c r="S48" s="214"/>
      <c r="T48" s="214"/>
      <c r="U48" s="232">
        <v>2021</v>
      </c>
      <c r="V48" s="355">
        <f t="shared" si="11"/>
        <v>3.7837813567268702E-2</v>
      </c>
      <c r="W48" s="355">
        <f t="shared" si="12"/>
        <v>5.7998229442187604E-2</v>
      </c>
      <c r="X48" s="264"/>
      <c r="Y48" s="355"/>
      <c r="Z48" s="355"/>
      <c r="AA48" s="355"/>
      <c r="AB48" s="355"/>
      <c r="AC48" s="355"/>
      <c r="AD48" s="214"/>
      <c r="AE48" s="214"/>
      <c r="AF48" s="214"/>
      <c r="AG48" s="214"/>
      <c r="AH48" s="214"/>
      <c r="AI48" s="214"/>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row>
    <row r="49" spans="1:66" ht="15" customHeight="1" x14ac:dyDescent="0.3">
      <c r="A49" s="214"/>
      <c r="B49" s="240">
        <v>2022</v>
      </c>
      <c r="C49" s="262">
        <f t="shared" si="10"/>
        <v>7224.1500637079789</v>
      </c>
      <c r="D49" s="263">
        <f>F36/1000000</f>
        <v>11432</v>
      </c>
      <c r="E49" s="264"/>
      <c r="F49" s="264"/>
      <c r="G49" s="264"/>
      <c r="H49" s="264"/>
      <c r="I49" s="264"/>
      <c r="J49" s="264"/>
      <c r="K49" s="214"/>
      <c r="L49" s="214"/>
      <c r="M49" s="214"/>
      <c r="N49" s="214"/>
      <c r="O49" s="214"/>
      <c r="P49" s="214"/>
      <c r="Q49" s="214"/>
      <c r="R49" s="214"/>
      <c r="S49" s="214"/>
      <c r="T49" s="214"/>
      <c r="U49" s="240">
        <v>2022</v>
      </c>
      <c r="V49" s="355">
        <f t="shared" si="11"/>
        <v>3.4755853207238431E-2</v>
      </c>
      <c r="W49" s="355">
        <f t="shared" si="12"/>
        <v>5.50000914102289E-2</v>
      </c>
      <c r="X49" s="264"/>
      <c r="Y49" s="355"/>
      <c r="Z49" s="355"/>
      <c r="AA49" s="355"/>
      <c r="AB49" s="355"/>
      <c r="AC49" s="355"/>
      <c r="AD49" s="214"/>
      <c r="AE49" s="214"/>
      <c r="AF49" s="214"/>
      <c r="AG49" s="214"/>
      <c r="AH49" s="214"/>
      <c r="AI49" s="214"/>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row>
    <row r="50" spans="1:66" ht="15" customHeight="1" x14ac:dyDescent="0.3">
      <c r="A50" s="214"/>
      <c r="B50" s="232">
        <v>2023</v>
      </c>
      <c r="C50" s="262">
        <f>C37/1000000</f>
        <v>8099.2946573652116</v>
      </c>
      <c r="D50" s="263">
        <f>F37/1000000</f>
        <v>13385</v>
      </c>
      <c r="E50" s="264"/>
      <c r="F50" s="262">
        <f t="shared" ref="F50:K50" si="13">H37/1000000</f>
        <v>13385</v>
      </c>
      <c r="G50" s="262">
        <f t="shared" si="13"/>
        <v>14768.205009549352</v>
      </c>
      <c r="H50" s="262">
        <f t="shared" si="13"/>
        <v>13762.020201943948</v>
      </c>
      <c r="I50" s="262">
        <f t="shared" si="13"/>
        <v>13610.308339216092</v>
      </c>
      <c r="J50" s="262">
        <f t="shared" si="13"/>
        <v>13152.988402759347</v>
      </c>
      <c r="K50" s="418">
        <f t="shared" si="13"/>
        <v>13385.192515110668</v>
      </c>
      <c r="L50" s="214"/>
      <c r="M50" s="214"/>
      <c r="N50" s="214"/>
      <c r="O50" s="214"/>
      <c r="P50" s="214"/>
      <c r="Q50" s="214"/>
      <c r="R50" s="214"/>
      <c r="S50" s="214"/>
      <c r="T50" s="214"/>
      <c r="U50" s="232">
        <v>2023</v>
      </c>
      <c r="V50" s="355">
        <f t="shared" si="11"/>
        <v>3.596539143018937E-2</v>
      </c>
      <c r="W50" s="355">
        <f t="shared" si="12"/>
        <v>5.9436875019149911E-2</v>
      </c>
      <c r="X50" s="264"/>
      <c r="Y50" s="355">
        <f>H37/($D37*1000000)</f>
        <v>5.9436875019149911E-2</v>
      </c>
      <c r="Z50" s="355">
        <f t="shared" ref="Z50:AC50" si="14">I37/($D37*1000000)</f>
        <v>6.5579077729530699E-2</v>
      </c>
      <c r="AA50" s="355">
        <f t="shared" si="14"/>
        <v>6.1111055267385771E-2</v>
      </c>
      <c r="AB50" s="355">
        <f t="shared" si="14"/>
        <v>6.0437369871503964E-2</v>
      </c>
      <c r="AC50" s="355">
        <f t="shared" si="14"/>
        <v>5.8406613957649275E-2</v>
      </c>
      <c r="AD50" s="214"/>
      <c r="AE50" s="214"/>
      <c r="AF50" s="214"/>
      <c r="AG50" s="214"/>
      <c r="AH50" s="214"/>
      <c r="AI50" s="214"/>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row>
    <row r="51" spans="1:66" ht="15" customHeight="1" x14ac:dyDescent="0.3">
      <c r="A51" s="214"/>
      <c r="B51" s="240">
        <v>2024</v>
      </c>
      <c r="C51" s="264"/>
      <c r="D51" s="264"/>
      <c r="E51" s="264"/>
      <c r="F51" s="264"/>
      <c r="G51" s="264"/>
      <c r="H51" s="264"/>
      <c r="I51" s="264"/>
      <c r="J51" s="264"/>
      <c r="K51" s="214"/>
      <c r="L51" s="214"/>
      <c r="M51" s="214"/>
      <c r="N51" s="214"/>
      <c r="O51" s="214"/>
      <c r="P51" s="214"/>
      <c r="Q51" s="214"/>
      <c r="R51" s="214"/>
      <c r="S51" s="214"/>
      <c r="T51" s="214"/>
      <c r="U51" s="240">
        <v>2024</v>
      </c>
      <c r="V51" s="264"/>
      <c r="W51" s="264"/>
      <c r="X51" s="264"/>
      <c r="Y51" s="355"/>
      <c r="Z51" s="355"/>
      <c r="AA51" s="355"/>
      <c r="AB51" s="355"/>
      <c r="AC51" s="355"/>
      <c r="AD51" s="214"/>
      <c r="AE51" s="214"/>
      <c r="AF51" s="214"/>
      <c r="AG51" s="214"/>
      <c r="AH51" s="214"/>
      <c r="AI51" s="214"/>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row>
    <row r="52" spans="1:66" ht="15" customHeight="1" x14ac:dyDescent="0.3">
      <c r="A52" s="214"/>
      <c r="B52" s="232">
        <v>2025</v>
      </c>
      <c r="C52" s="264"/>
      <c r="D52" s="264"/>
      <c r="E52" s="264"/>
      <c r="F52" s="264"/>
      <c r="G52" s="264"/>
      <c r="H52" s="264"/>
      <c r="I52" s="264"/>
      <c r="J52" s="264"/>
      <c r="K52" s="214"/>
      <c r="L52" s="214"/>
      <c r="M52" s="214"/>
      <c r="N52" s="214"/>
      <c r="O52" s="214"/>
      <c r="P52" s="214"/>
      <c r="Q52" s="214"/>
      <c r="R52" s="214"/>
      <c r="S52" s="214"/>
      <c r="T52" s="214"/>
      <c r="U52" s="232">
        <v>2025</v>
      </c>
      <c r="V52" s="264"/>
      <c r="W52" s="264"/>
      <c r="X52" s="264"/>
      <c r="Y52" s="355"/>
      <c r="Z52" s="355"/>
      <c r="AA52" s="355"/>
      <c r="AB52" s="355"/>
      <c r="AC52" s="355"/>
      <c r="AD52" s="214"/>
      <c r="AE52" s="214"/>
      <c r="AF52" s="214"/>
      <c r="AG52" s="214"/>
      <c r="AH52" s="214"/>
      <c r="AI52" s="214"/>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row>
    <row r="53" spans="1:66" ht="15" customHeight="1" x14ac:dyDescent="0.3">
      <c r="A53" s="214"/>
      <c r="B53" s="240">
        <v>2026</v>
      </c>
      <c r="C53" s="262"/>
      <c r="D53" s="264"/>
      <c r="E53" s="264"/>
      <c r="F53" s="264"/>
      <c r="G53" s="262"/>
      <c r="H53" s="262"/>
      <c r="I53" s="262"/>
      <c r="J53" s="262"/>
      <c r="K53" s="214"/>
      <c r="L53" s="214"/>
      <c r="M53" s="214"/>
      <c r="N53" s="214"/>
      <c r="O53" s="214"/>
      <c r="P53" s="214"/>
      <c r="Q53" s="214"/>
      <c r="R53" s="214"/>
      <c r="S53" s="214"/>
      <c r="T53" s="214"/>
      <c r="U53" s="240">
        <v>2026</v>
      </c>
      <c r="V53" s="262"/>
      <c r="W53" s="264"/>
      <c r="X53" s="264"/>
      <c r="Y53" s="355"/>
      <c r="Z53" s="355"/>
      <c r="AA53" s="355"/>
      <c r="AB53" s="355"/>
      <c r="AC53" s="355"/>
      <c r="AD53" s="214"/>
      <c r="AE53" s="214"/>
      <c r="AF53" s="214"/>
      <c r="AG53" s="214"/>
      <c r="AH53" s="214"/>
      <c r="AI53" s="214"/>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row>
    <row r="54" spans="1:66" ht="12.6" customHeight="1" x14ac:dyDescent="0.3">
      <c r="A54" s="214"/>
      <c r="B54" s="214"/>
      <c r="C54" s="214"/>
      <c r="D54" s="214"/>
      <c r="E54" s="214"/>
      <c r="F54" s="214"/>
      <c r="G54" s="214"/>
      <c r="H54" s="214"/>
      <c r="I54" s="214"/>
      <c r="J54" s="214"/>
      <c r="K54" s="214"/>
      <c r="L54" s="214"/>
      <c r="M54" s="214"/>
      <c r="N54" s="214"/>
      <c r="O54" s="214"/>
      <c r="P54" s="214"/>
      <c r="Q54" s="214"/>
      <c r="R54" s="214"/>
      <c r="S54" s="214"/>
      <c r="T54" s="214"/>
      <c r="U54" s="214"/>
      <c r="V54" s="214"/>
      <c r="W54" s="214"/>
      <c r="X54" s="214"/>
      <c r="Y54" s="214"/>
      <c r="Z54" s="214"/>
      <c r="AA54" s="214"/>
      <c r="AB54" s="214"/>
      <c r="AC54" s="214"/>
      <c r="AD54" s="214"/>
      <c r="AE54" s="214"/>
      <c r="AF54" s="214"/>
      <c r="AG54" s="214"/>
      <c r="AH54" s="214"/>
      <c r="AI54" s="214"/>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row>
    <row r="55" spans="1:66" ht="12.6" customHeight="1" x14ac:dyDescent="0.3">
      <c r="A55" s="214"/>
      <c r="B55" s="214"/>
      <c r="C55" s="214"/>
      <c r="D55" s="214"/>
      <c r="E55" s="214"/>
      <c r="F55" s="214"/>
      <c r="G55" s="214"/>
      <c r="H55" s="214"/>
      <c r="I55" s="214"/>
      <c r="J55" s="214"/>
      <c r="K55" s="214"/>
      <c r="L55" s="214"/>
      <c r="M55" s="214"/>
      <c r="N55" s="214"/>
      <c r="O55" s="214"/>
      <c r="P55" s="214"/>
      <c r="Q55" s="214"/>
      <c r="R55" s="214"/>
      <c r="S55" s="214"/>
      <c r="T55" s="214"/>
      <c r="U55" s="214"/>
      <c r="V55" s="214"/>
      <c r="W55" s="214"/>
      <c r="X55" s="214"/>
      <c r="Y55" s="214"/>
      <c r="Z55" s="214"/>
      <c r="AA55" s="214"/>
      <c r="AB55" s="214"/>
      <c r="AC55" s="214"/>
      <c r="AD55" s="214"/>
      <c r="AE55" s="214"/>
      <c r="AF55" s="214"/>
      <c r="AG55" s="214"/>
      <c r="AH55" s="214"/>
      <c r="AI55" s="214"/>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row>
    <row r="56" spans="1:66" ht="12.6" customHeight="1" x14ac:dyDescent="0.3">
      <c r="A56" s="214"/>
      <c r="B56" s="214"/>
      <c r="C56" s="214"/>
      <c r="D56" s="214"/>
      <c r="E56" s="214"/>
      <c r="F56" s="214"/>
      <c r="G56" s="214"/>
      <c r="H56" s="214"/>
      <c r="I56" s="214"/>
      <c r="J56" s="214"/>
      <c r="K56" s="214"/>
      <c r="L56" s="214"/>
      <c r="M56" s="214"/>
      <c r="N56" s="214"/>
      <c r="O56" s="214"/>
      <c r="P56" s="214"/>
      <c r="Q56" s="214"/>
      <c r="R56" s="214"/>
      <c r="S56" s="214"/>
      <c r="T56" s="214"/>
      <c r="U56" s="214"/>
      <c r="V56" s="214"/>
      <c r="W56" s="214"/>
      <c r="X56" s="214"/>
      <c r="Y56" s="214"/>
      <c r="Z56" s="214"/>
      <c r="AA56" s="214"/>
      <c r="AB56" s="214"/>
      <c r="AC56" s="214"/>
      <c r="AD56" s="214"/>
      <c r="AE56" s="214"/>
      <c r="AF56" s="214"/>
      <c r="AG56" s="214"/>
      <c r="AH56" s="214"/>
      <c r="AI56" s="214"/>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row>
    <row r="57" spans="1:66" ht="12.6" customHeight="1" x14ac:dyDescent="0.3">
      <c r="A57" s="214"/>
      <c r="B57" s="214"/>
      <c r="C57" s="214"/>
      <c r="D57" s="214"/>
      <c r="E57" s="214"/>
      <c r="F57" s="214"/>
      <c r="G57" s="214"/>
      <c r="H57" s="214"/>
      <c r="I57" s="214"/>
      <c r="J57" s="214"/>
      <c r="K57" s="214"/>
      <c r="L57" s="214"/>
      <c r="M57" s="214"/>
      <c r="N57" s="214"/>
      <c r="O57" s="214"/>
      <c r="P57" s="214"/>
      <c r="Q57" s="214"/>
      <c r="R57" s="214"/>
      <c r="S57" s="214"/>
      <c r="T57" s="214"/>
      <c r="U57" s="214"/>
      <c r="V57" s="214"/>
      <c r="W57" s="214"/>
      <c r="X57" s="214"/>
      <c r="Y57" s="214"/>
      <c r="Z57" s="214"/>
      <c r="AA57" s="214"/>
      <c r="AB57" s="214"/>
      <c r="AC57" s="214"/>
      <c r="AD57" s="214"/>
      <c r="AE57" s="214"/>
      <c r="AF57" s="214"/>
      <c r="AG57" s="214"/>
      <c r="AH57" s="214"/>
      <c r="AI57" s="214"/>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row>
    <row r="58" spans="1:66" ht="12.6" customHeight="1" x14ac:dyDescent="0.3">
      <c r="A58" s="214"/>
      <c r="B58" s="214"/>
      <c r="C58" s="214"/>
      <c r="D58" s="214"/>
      <c r="E58" s="214"/>
      <c r="F58" s="214"/>
      <c r="G58" s="214"/>
      <c r="H58" s="214"/>
      <c r="I58" s="214"/>
      <c r="J58" s="214"/>
      <c r="K58" s="214"/>
      <c r="L58" s="214"/>
      <c r="M58" s="214"/>
      <c r="N58" s="214"/>
      <c r="O58" s="214"/>
      <c r="P58" s="214"/>
      <c r="Q58" s="214"/>
      <c r="R58" s="214"/>
      <c r="S58" s="214"/>
      <c r="T58" s="214"/>
      <c r="U58" s="214"/>
      <c r="V58" s="214"/>
      <c r="W58" s="214"/>
      <c r="X58" s="214"/>
      <c r="Y58" s="214"/>
      <c r="Z58" s="214"/>
      <c r="AA58" s="214"/>
      <c r="AB58" s="214"/>
      <c r="AC58" s="214"/>
      <c r="AD58" s="214"/>
      <c r="AE58" s="214"/>
      <c r="AF58" s="214"/>
      <c r="AG58" s="214"/>
      <c r="AH58" s="214"/>
      <c r="AI58" s="214"/>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row>
    <row r="59" spans="1:66" ht="12.6"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row>
    <row r="60" spans="1:66" ht="12" customHeight="1" thickBot="1" x14ac:dyDescent="0.35">
      <c r="A60" s="98"/>
      <c r="B60" s="98"/>
      <c r="C60" s="98"/>
      <c r="D60" s="98"/>
      <c r="E60" s="98"/>
      <c r="F60" s="98"/>
      <c r="G60" s="98"/>
      <c r="H60" s="98"/>
      <c r="I60" s="98"/>
      <c r="J60" s="98"/>
      <c r="K60" s="98"/>
      <c r="L60" s="98"/>
      <c r="M60" s="98"/>
      <c r="N60" s="98"/>
      <c r="O60" s="98"/>
      <c r="P60" s="98"/>
      <c r="Q60" s="98"/>
      <c r="R60" s="98"/>
      <c r="S60" s="98"/>
      <c r="T60" s="265"/>
      <c r="U60" s="265"/>
      <c r="V60" s="265"/>
      <c r="W60" s="265"/>
      <c r="X60" s="55"/>
      <c r="Y60" s="55"/>
      <c r="Z60" s="55"/>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row>
    <row r="61" spans="1:66" ht="12" customHeight="1" thickBot="1" x14ac:dyDescent="0.35">
      <c r="A61" s="98"/>
      <c r="B61" s="266" t="s">
        <v>200</v>
      </c>
      <c r="C61" s="267"/>
      <c r="D61" s="267"/>
      <c r="E61" s="267"/>
      <c r="F61" s="267"/>
      <c r="G61" s="267"/>
      <c r="H61" s="267"/>
      <c r="I61" s="267"/>
      <c r="J61" s="267"/>
      <c r="K61" s="267"/>
      <c r="L61" s="267"/>
      <c r="M61" s="267"/>
      <c r="N61" s="267"/>
      <c r="O61" s="267"/>
      <c r="P61" s="267"/>
      <c r="Q61" s="267"/>
      <c r="R61" s="267"/>
      <c r="S61" s="267"/>
      <c r="T61" s="268"/>
      <c r="U61" s="268"/>
      <c r="V61" s="269"/>
      <c r="W61" s="265"/>
      <c r="X61" s="55"/>
      <c r="Y61" s="55"/>
      <c r="Z61" s="55"/>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row>
    <row r="62" spans="1:66" ht="21.6" customHeight="1" x14ac:dyDescent="0.3">
      <c r="A62" s="98"/>
      <c r="B62" s="270"/>
      <c r="C62" s="98"/>
      <c r="D62" s="98"/>
      <c r="E62" s="98"/>
      <c r="F62" s="98"/>
      <c r="G62" s="98"/>
      <c r="H62" s="98"/>
      <c r="I62" s="98"/>
      <c r="J62" s="98"/>
      <c r="K62" s="98"/>
      <c r="L62" s="98"/>
      <c r="M62" s="98"/>
      <c r="N62" s="98"/>
      <c r="O62" s="98"/>
      <c r="P62" s="98"/>
      <c r="Q62" s="98"/>
      <c r="R62" s="98"/>
      <c r="S62" s="98"/>
      <c r="T62" s="98"/>
      <c r="U62" s="98"/>
      <c r="V62" s="98"/>
      <c r="W62" s="98"/>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row>
    <row r="63" spans="1:66" ht="21" customHeight="1" x14ac:dyDescent="0.3">
      <c r="A63" s="98"/>
      <c r="B63" s="98"/>
      <c r="C63" s="98"/>
      <c r="D63" s="98"/>
      <c r="E63" s="98"/>
      <c r="F63" s="98"/>
      <c r="G63" s="98"/>
      <c r="H63" s="98"/>
      <c r="I63" s="98"/>
      <c r="J63" s="98"/>
      <c r="K63" s="98"/>
      <c r="L63" s="98"/>
      <c r="M63" s="98"/>
      <c r="N63" s="98"/>
      <c r="O63" s="98"/>
      <c r="P63" s="98"/>
      <c r="Q63" s="98"/>
      <c r="R63" s="98"/>
      <c r="S63" s="98"/>
      <c r="T63" s="98"/>
      <c r="U63" s="98"/>
      <c r="V63" s="98"/>
      <c r="W63" s="98"/>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row>
    <row r="64" spans="1:66" ht="42.6" customHeight="1" x14ac:dyDescent="0.3">
      <c r="A64" s="98"/>
      <c r="B64" s="356" t="s">
        <v>201</v>
      </c>
      <c r="C64" s="271" t="s">
        <v>202</v>
      </c>
      <c r="D64" s="272" t="s">
        <v>172</v>
      </c>
      <c r="E64" s="272" t="s">
        <v>173</v>
      </c>
      <c r="F64" s="273" t="s">
        <v>174</v>
      </c>
      <c r="G64" s="272" t="s">
        <v>175</v>
      </c>
      <c r="H64" s="274"/>
      <c r="I64" s="274"/>
      <c r="J64" s="274"/>
      <c r="K64" s="274"/>
      <c r="L64" s="274"/>
      <c r="M64" s="274"/>
      <c r="N64" s="274"/>
      <c r="O64" s="274"/>
      <c r="P64" s="274"/>
      <c r="Q64" s="274"/>
      <c r="R64" s="274"/>
      <c r="S64" s="274"/>
      <c r="T64" s="274"/>
      <c r="U64" s="274"/>
      <c r="V64" s="274"/>
      <c r="W64" s="98"/>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row>
    <row r="65" spans="1:66" ht="15.6" customHeight="1" x14ac:dyDescent="0.3">
      <c r="A65" s="98"/>
      <c r="B65" s="275">
        <v>2019</v>
      </c>
      <c r="C65" s="357">
        <f>C22/P22*100</f>
        <v>8.8204633763519524</v>
      </c>
      <c r="D65" s="276"/>
      <c r="E65" s="276"/>
      <c r="F65" s="276"/>
      <c r="G65" s="276"/>
      <c r="H65" s="277"/>
      <c r="I65" s="277"/>
      <c r="J65" s="277"/>
      <c r="K65" s="277"/>
      <c r="L65" s="277"/>
      <c r="M65" s="277"/>
      <c r="N65" s="277"/>
      <c r="O65" s="277"/>
      <c r="P65" s="277"/>
      <c r="Q65" s="277"/>
      <c r="R65" s="277"/>
      <c r="S65" s="277"/>
      <c r="T65" s="277"/>
      <c r="U65" s="277"/>
      <c r="V65" s="277"/>
      <c r="W65" s="278"/>
      <c r="X65" s="44"/>
      <c r="Y65" s="44"/>
      <c r="Z65" s="44"/>
      <c r="AA65" s="46"/>
      <c r="AB65" s="46"/>
      <c r="AC65" s="46"/>
      <c r="AD65" s="46"/>
      <c r="AE65" s="46"/>
      <c r="AF65" s="46"/>
      <c r="AG65" s="44"/>
      <c r="AH65" s="44"/>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row>
    <row r="66" spans="1:66" s="51" customFormat="1" ht="15.6" customHeight="1" x14ac:dyDescent="0.3">
      <c r="A66" s="279"/>
      <c r="B66" s="280">
        <v>2020</v>
      </c>
      <c r="C66" s="357">
        <f>D22/Q22*100</f>
        <v>7.8597647710927987</v>
      </c>
      <c r="D66" s="276"/>
      <c r="E66" s="276"/>
      <c r="F66" s="276"/>
      <c r="G66" s="276"/>
      <c r="H66" s="281"/>
      <c r="I66" s="281"/>
      <c r="J66" s="281"/>
      <c r="K66" s="281"/>
      <c r="L66" s="281"/>
      <c r="M66" s="281"/>
      <c r="N66" s="281"/>
      <c r="O66" s="281"/>
      <c r="P66" s="281"/>
      <c r="Q66" s="281"/>
      <c r="R66" s="281"/>
      <c r="S66" s="281"/>
      <c r="T66" s="281"/>
      <c r="U66" s="281"/>
      <c r="V66" s="281"/>
      <c r="W66" s="282"/>
      <c r="X66" s="48"/>
      <c r="Y66" s="48"/>
      <c r="Z66" s="48"/>
      <c r="AA66" s="48"/>
      <c r="AB66" s="48"/>
      <c r="AC66" s="48"/>
      <c r="AD66" s="48"/>
      <c r="AE66" s="48"/>
      <c r="AF66" s="48"/>
      <c r="AG66" s="48"/>
      <c r="AH66" s="48"/>
      <c r="AI66" s="47"/>
      <c r="AJ66" s="47"/>
      <c r="AK66" s="47"/>
      <c r="AL66" s="47"/>
      <c r="AM66" s="47"/>
      <c r="AN66" s="47"/>
      <c r="AO66" s="47"/>
      <c r="AP66" s="47"/>
      <c r="AQ66" s="47"/>
      <c r="AR66" s="47"/>
      <c r="AS66" s="47"/>
      <c r="AT66" s="47"/>
      <c r="AU66" s="47"/>
      <c r="AV66" s="47"/>
      <c r="AW66" s="47"/>
      <c r="AX66" s="47"/>
      <c r="AY66" s="47"/>
      <c r="AZ66" s="47"/>
      <c r="BA66" s="47"/>
      <c r="BB66" s="47"/>
      <c r="BC66" s="47"/>
      <c r="BD66" s="47"/>
      <c r="BE66" s="47"/>
      <c r="BF66" s="47"/>
      <c r="BG66" s="47"/>
      <c r="BH66" s="47"/>
      <c r="BI66" s="47"/>
      <c r="BJ66" s="47"/>
      <c r="BK66" s="47"/>
      <c r="BL66" s="47"/>
      <c r="BM66" s="47"/>
      <c r="BN66" s="47"/>
    </row>
    <row r="67" spans="1:66" ht="15.6" customHeight="1" x14ac:dyDescent="0.3">
      <c r="A67" s="98"/>
      <c r="B67" s="275">
        <v>2021</v>
      </c>
      <c r="C67" s="357">
        <f>E22/R22*100</f>
        <v>8.0708843082407054</v>
      </c>
      <c r="D67" s="276"/>
      <c r="E67" s="276"/>
      <c r="F67" s="276"/>
      <c r="G67" s="276"/>
      <c r="H67" s="281"/>
      <c r="I67" s="281"/>
      <c r="J67" s="281"/>
      <c r="K67" s="281"/>
      <c r="L67" s="281"/>
      <c r="M67" s="281"/>
      <c r="N67" s="281"/>
      <c r="O67" s="281"/>
      <c r="P67" s="281"/>
      <c r="Q67" s="281"/>
      <c r="R67" s="281"/>
      <c r="S67" s="281"/>
      <c r="T67" s="281"/>
      <c r="U67" s="281"/>
      <c r="V67" s="281"/>
      <c r="W67" s="283"/>
      <c r="X67" s="52"/>
      <c r="Y67" s="52"/>
      <c r="Z67" s="52"/>
      <c r="AA67" s="43"/>
      <c r="AB67" s="43"/>
      <c r="AC67" s="43"/>
      <c r="AD67" s="43"/>
      <c r="AE67" s="43"/>
      <c r="AF67" s="43"/>
      <c r="AG67" s="43"/>
      <c r="AH67" s="43"/>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row>
    <row r="68" spans="1:66" ht="15.6" customHeight="1" x14ac:dyDescent="0.3">
      <c r="A68" s="98"/>
      <c r="B68" s="280">
        <v>2022</v>
      </c>
      <c r="C68" s="357">
        <f>F22/S22*100</f>
        <v>8.2230944865723004</v>
      </c>
      <c r="D68" s="276"/>
      <c r="E68" s="276"/>
      <c r="F68" s="276"/>
      <c r="G68" s="276"/>
      <c r="H68" s="284"/>
      <c r="I68" s="284"/>
      <c r="J68" s="284"/>
      <c r="K68" s="284"/>
      <c r="L68" s="284"/>
      <c r="M68" s="284"/>
      <c r="N68" s="284"/>
      <c r="O68" s="284"/>
      <c r="P68" s="284"/>
      <c r="Q68" s="284"/>
      <c r="R68" s="284"/>
      <c r="S68" s="284"/>
      <c r="T68" s="284"/>
      <c r="U68" s="284"/>
      <c r="V68" s="284"/>
      <c r="W68" s="98"/>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row>
    <row r="69" spans="1:66" ht="15.6" customHeight="1" x14ac:dyDescent="0.3">
      <c r="A69" s="98"/>
      <c r="B69" s="275">
        <v>2023</v>
      </c>
      <c r="C69" s="357">
        <f>G22/$T22*100</f>
        <v>8.6754276780268444</v>
      </c>
      <c r="D69" s="357">
        <f>H22/$T22*100</f>
        <v>9.5719457971325479</v>
      </c>
      <c r="E69" s="357">
        <f>I22/$T22*100</f>
        <v>8.9197916298475253</v>
      </c>
      <c r="F69" s="357">
        <f>J22/$T22*100</f>
        <v>8.82146026690436</v>
      </c>
      <c r="G69" s="357">
        <f>K22/$T22*100</f>
        <v>8.5250504025449807</v>
      </c>
      <c r="H69" s="277"/>
      <c r="I69" s="277"/>
      <c r="J69" s="277"/>
      <c r="K69" s="277"/>
      <c r="L69" s="277"/>
      <c r="M69" s="277"/>
      <c r="N69" s="277"/>
      <c r="O69" s="277"/>
      <c r="P69" s="277"/>
      <c r="Q69" s="277"/>
      <c r="R69" s="277"/>
      <c r="S69" s="277"/>
      <c r="T69" s="277"/>
      <c r="U69" s="277"/>
      <c r="V69" s="277"/>
      <c r="W69" s="98"/>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row>
    <row r="70" spans="1:66" ht="15.6" customHeight="1" x14ac:dyDescent="0.3">
      <c r="A70" s="98"/>
      <c r="B70" s="280">
        <v>2024</v>
      </c>
      <c r="C70" s="276"/>
      <c r="D70" s="358"/>
      <c r="E70" s="357"/>
      <c r="F70" s="357"/>
      <c r="G70" s="357"/>
      <c r="H70" s="284"/>
      <c r="I70" s="284"/>
      <c r="J70" s="284"/>
      <c r="K70" s="284"/>
      <c r="L70" s="284"/>
      <c r="M70" s="284"/>
      <c r="N70" s="284"/>
      <c r="O70" s="284"/>
      <c r="P70" s="284"/>
      <c r="Q70" s="284"/>
      <c r="R70" s="284"/>
      <c r="S70" s="284"/>
      <c r="T70" s="284"/>
      <c r="U70" s="284"/>
      <c r="V70" s="284"/>
      <c r="W70" s="98"/>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row>
    <row r="71" spans="1:66" ht="15.6" customHeight="1" x14ac:dyDescent="0.3">
      <c r="A71" s="98"/>
      <c r="B71" s="275">
        <v>2025</v>
      </c>
      <c r="C71" s="276"/>
      <c r="D71" s="358"/>
      <c r="E71" s="357"/>
      <c r="F71" s="357"/>
      <c r="G71" s="357"/>
      <c r="H71" s="284"/>
      <c r="I71" s="284"/>
      <c r="J71" s="284"/>
      <c r="K71" s="284"/>
      <c r="L71" s="284"/>
      <c r="M71" s="284"/>
      <c r="N71" s="284"/>
      <c r="O71" s="284"/>
      <c r="P71" s="284"/>
      <c r="Q71" s="284"/>
      <c r="R71" s="284"/>
      <c r="S71" s="284"/>
      <c r="T71" s="284"/>
      <c r="U71" s="284"/>
      <c r="V71" s="284"/>
      <c r="W71" s="98"/>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row>
    <row r="72" spans="1:66" ht="15.6" customHeight="1" x14ac:dyDescent="0.3">
      <c r="A72" s="98"/>
      <c r="B72" s="280">
        <v>2026</v>
      </c>
      <c r="C72" s="276"/>
      <c r="D72" s="357"/>
      <c r="E72" s="357"/>
      <c r="F72" s="357"/>
      <c r="G72" s="357"/>
      <c r="H72" s="277"/>
      <c r="I72" s="277"/>
      <c r="J72" s="277"/>
      <c r="K72" s="277"/>
      <c r="L72" s="277"/>
      <c r="M72" s="277"/>
      <c r="N72" s="277"/>
      <c r="O72" s="277"/>
      <c r="P72" s="277"/>
      <c r="Q72" s="277"/>
      <c r="R72" s="277"/>
      <c r="S72" s="277"/>
      <c r="T72" s="277"/>
      <c r="U72" s="277"/>
      <c r="V72" s="277"/>
      <c r="W72" s="98"/>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row>
    <row r="73" spans="1:66" ht="12.6" customHeight="1" x14ac:dyDescent="0.3">
      <c r="A73" s="98"/>
      <c r="B73" s="98"/>
      <c r="C73" s="98"/>
      <c r="D73" s="98"/>
      <c r="E73" s="98"/>
      <c r="F73" s="98"/>
      <c r="G73" s="98"/>
      <c r="H73" s="98"/>
      <c r="I73" s="98"/>
      <c r="J73" s="98"/>
      <c r="K73" s="98"/>
      <c r="L73" s="98"/>
      <c r="M73" s="98"/>
      <c r="N73" s="98"/>
      <c r="O73" s="98"/>
      <c r="P73" s="98"/>
      <c r="Q73" s="98"/>
      <c r="R73" s="98"/>
      <c r="S73" s="98"/>
      <c r="T73" s="98"/>
      <c r="U73" s="98"/>
      <c r="V73" s="98"/>
      <c r="W73" s="98"/>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row>
    <row r="74" spans="1:66" ht="12.6" customHeight="1" x14ac:dyDescent="0.3">
      <c r="A74" s="98"/>
      <c r="B74" s="98"/>
      <c r="C74" s="285"/>
      <c r="D74" s="98"/>
      <c r="E74" s="98"/>
      <c r="F74" s="98"/>
      <c r="G74" s="98"/>
      <c r="H74" s="98"/>
      <c r="I74" s="98"/>
      <c r="J74" s="98"/>
      <c r="K74" s="98"/>
      <c r="L74" s="98"/>
      <c r="M74" s="98"/>
      <c r="N74" s="98"/>
      <c r="O74" s="98"/>
      <c r="P74" s="98"/>
      <c r="Q74" s="98"/>
      <c r="R74" s="98"/>
      <c r="S74" s="98"/>
      <c r="T74" s="98"/>
      <c r="U74" s="98"/>
      <c r="V74" s="98"/>
      <c r="W74" s="98"/>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row>
    <row r="75" spans="1:66" ht="12.6" customHeight="1" x14ac:dyDescent="0.3">
      <c r="A75" s="98"/>
      <c r="B75" s="98"/>
      <c r="C75" s="98"/>
      <c r="D75" s="98"/>
      <c r="E75" s="98"/>
      <c r="F75" s="98"/>
      <c r="G75" s="98"/>
      <c r="H75" s="98"/>
      <c r="I75" s="98"/>
      <c r="J75" s="98"/>
      <c r="K75" s="98"/>
      <c r="L75" s="98"/>
      <c r="M75" s="98"/>
      <c r="N75" s="98"/>
      <c r="O75" s="98"/>
      <c r="P75" s="98"/>
      <c r="Q75" s="98"/>
      <c r="R75" s="98"/>
      <c r="S75" s="98"/>
      <c r="T75" s="98"/>
      <c r="U75" s="98"/>
      <c r="V75" s="98"/>
      <c r="W75" s="98"/>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row>
    <row r="76" spans="1:66" ht="18" customHeight="1" x14ac:dyDescent="0.3">
      <c r="A76" s="98"/>
      <c r="B76" s="98"/>
      <c r="C76" s="98"/>
      <c r="D76" s="98"/>
      <c r="E76" s="98"/>
      <c r="F76" s="98"/>
      <c r="G76" s="98"/>
      <c r="H76" s="98"/>
      <c r="I76" s="98"/>
      <c r="J76" s="98"/>
      <c r="K76" s="98"/>
      <c r="L76" s="98"/>
      <c r="M76" s="98"/>
      <c r="N76" s="98"/>
      <c r="O76" s="98"/>
      <c r="P76" s="98"/>
      <c r="Q76" s="98"/>
      <c r="R76" s="98"/>
      <c r="S76" s="98"/>
      <c r="T76" s="98"/>
      <c r="U76" s="98"/>
      <c r="V76" s="98"/>
      <c r="W76" s="98"/>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row>
    <row r="77" spans="1:66" ht="42" customHeight="1" x14ac:dyDescent="0.3">
      <c r="A77" s="98"/>
      <c r="B77" s="356" t="s">
        <v>203</v>
      </c>
      <c r="C77" s="271" t="s">
        <v>202</v>
      </c>
      <c r="D77" s="272" t="s">
        <v>172</v>
      </c>
      <c r="E77" s="272" t="s">
        <v>173</v>
      </c>
      <c r="F77" s="273" t="s">
        <v>174</v>
      </c>
      <c r="G77" s="272" t="s">
        <v>175</v>
      </c>
      <c r="H77" s="98"/>
      <c r="I77" s="98"/>
      <c r="J77" s="98"/>
      <c r="K77" s="98"/>
      <c r="L77" s="98"/>
      <c r="M77" s="98"/>
      <c r="N77" s="98"/>
      <c r="O77" s="98"/>
      <c r="P77" s="98"/>
      <c r="Q77" s="98"/>
      <c r="R77" s="98"/>
      <c r="S77" s="98"/>
      <c r="T77" s="98"/>
      <c r="U77" s="98"/>
      <c r="V77" s="98"/>
      <c r="W77" s="98"/>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row>
    <row r="78" spans="1:66" ht="15.6" customHeight="1" x14ac:dyDescent="0.3">
      <c r="A78" s="98"/>
      <c r="B78" s="275">
        <v>2019</v>
      </c>
      <c r="C78" s="357">
        <f>C65</f>
        <v>8.8204633763519524</v>
      </c>
      <c r="D78" s="276"/>
      <c r="E78" s="276"/>
      <c r="F78" s="276"/>
      <c r="G78" s="276"/>
      <c r="H78" s="98"/>
      <c r="I78" s="98"/>
      <c r="J78" s="98"/>
      <c r="K78" s="98"/>
      <c r="L78" s="98"/>
      <c r="M78" s="98"/>
      <c r="N78" s="98"/>
      <c r="O78" s="98"/>
      <c r="P78" s="98"/>
      <c r="Q78" s="98"/>
      <c r="R78" s="98"/>
      <c r="S78" s="98"/>
      <c r="T78" s="98"/>
      <c r="U78" s="98"/>
      <c r="V78" s="98"/>
      <c r="W78" s="98"/>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row>
    <row r="79" spans="1:66" s="1" customFormat="1" ht="15" customHeight="1" x14ac:dyDescent="0.3">
      <c r="A79" s="98"/>
      <c r="B79" s="280">
        <v>2020</v>
      </c>
      <c r="C79" s="357">
        <f>C66</f>
        <v>7.8597647710927987</v>
      </c>
      <c r="D79" s="276"/>
      <c r="E79" s="276"/>
      <c r="F79" s="276"/>
      <c r="G79" s="276"/>
      <c r="H79" s="98"/>
      <c r="I79" s="98"/>
      <c r="J79" s="98"/>
      <c r="K79" s="98"/>
      <c r="L79" s="98"/>
      <c r="M79" s="98"/>
      <c r="N79" s="98"/>
      <c r="O79" s="98"/>
      <c r="P79" s="98"/>
      <c r="Q79" s="98"/>
      <c r="R79" s="98"/>
      <c r="S79" s="98"/>
      <c r="T79" s="98"/>
      <c r="U79" s="98"/>
      <c r="V79" s="98"/>
      <c r="W79" s="98"/>
    </row>
    <row r="80" spans="1:66" s="1" customFormat="1" ht="15" customHeight="1" x14ac:dyDescent="0.3">
      <c r="A80" s="98"/>
      <c r="B80" s="275">
        <v>2021</v>
      </c>
      <c r="C80" s="357">
        <f>C67</f>
        <v>8.0708843082407054</v>
      </c>
      <c r="D80" s="276"/>
      <c r="E80" s="276"/>
      <c r="F80" s="276"/>
      <c r="G80" s="276"/>
      <c r="H80" s="98"/>
      <c r="I80" s="98"/>
      <c r="J80" s="98"/>
      <c r="K80" s="98"/>
      <c r="L80" s="98"/>
      <c r="M80" s="98"/>
      <c r="N80" s="98"/>
      <c r="O80" s="98"/>
      <c r="P80" s="98"/>
      <c r="Q80" s="98"/>
      <c r="R80" s="98"/>
      <c r="S80" s="98"/>
      <c r="T80" s="98"/>
      <c r="U80" s="98"/>
      <c r="V80" s="98"/>
      <c r="W80" s="98"/>
    </row>
    <row r="81" spans="1:23" s="1" customFormat="1" ht="15" customHeight="1" x14ac:dyDescent="0.3">
      <c r="A81" s="98"/>
      <c r="B81" s="280">
        <v>2022</v>
      </c>
      <c r="C81" s="357">
        <f>C68</f>
        <v>8.2230944865723004</v>
      </c>
      <c r="D81" s="276"/>
      <c r="E81" s="276"/>
      <c r="F81" s="276"/>
      <c r="G81" s="276"/>
      <c r="H81" s="98"/>
      <c r="I81" s="98"/>
      <c r="J81" s="98"/>
      <c r="K81" s="98"/>
      <c r="L81" s="98"/>
      <c r="M81" s="98"/>
      <c r="N81" s="98"/>
      <c r="O81" s="98"/>
      <c r="P81" s="98"/>
      <c r="Q81" s="98"/>
      <c r="R81" s="98"/>
      <c r="S81" s="98"/>
      <c r="T81" s="98"/>
      <c r="U81" s="98"/>
      <c r="V81" s="98"/>
      <c r="W81" s="98"/>
    </row>
    <row r="82" spans="1:23" s="1" customFormat="1" ht="15" customHeight="1" x14ac:dyDescent="0.3">
      <c r="A82" s="98"/>
      <c r="B82" s="275">
        <v>2023</v>
      </c>
      <c r="C82" s="357">
        <f>C69</f>
        <v>8.6754276780268444</v>
      </c>
      <c r="D82" s="357">
        <f>D69</f>
        <v>9.5719457971325479</v>
      </c>
      <c r="E82" s="357">
        <f>E69</f>
        <v>8.9197916298475253</v>
      </c>
      <c r="F82" s="357">
        <f>F69</f>
        <v>8.82146026690436</v>
      </c>
      <c r="G82" s="357">
        <f>G69</f>
        <v>8.5250504025449807</v>
      </c>
      <c r="H82" s="98"/>
      <c r="I82" s="98"/>
      <c r="J82" s="98"/>
      <c r="K82" s="98"/>
      <c r="L82" s="98"/>
      <c r="M82" s="98"/>
      <c r="N82" s="98"/>
      <c r="O82" s="98"/>
      <c r="P82" s="98"/>
      <c r="Q82" s="98"/>
      <c r="R82" s="98"/>
      <c r="S82" s="98"/>
      <c r="T82" s="98"/>
      <c r="U82" s="98"/>
      <c r="V82" s="98"/>
      <c r="W82" s="98"/>
    </row>
    <row r="83" spans="1:23" s="1" customFormat="1" ht="15" customHeight="1" x14ac:dyDescent="0.3">
      <c r="A83" s="98"/>
      <c r="B83" s="280">
        <v>2024</v>
      </c>
      <c r="C83" s="357"/>
      <c r="D83" s="358"/>
      <c r="E83" s="358"/>
      <c r="F83" s="358"/>
      <c r="G83" s="358"/>
      <c r="H83" s="98"/>
      <c r="I83" s="98"/>
      <c r="J83" s="98"/>
      <c r="K83" s="98"/>
      <c r="L83" s="98"/>
      <c r="M83" s="98"/>
      <c r="N83" s="98"/>
      <c r="O83" s="98"/>
      <c r="P83" s="98"/>
      <c r="Q83" s="98"/>
      <c r="R83" s="98"/>
      <c r="S83" s="98"/>
      <c r="T83" s="98"/>
      <c r="U83" s="98"/>
      <c r="V83" s="98"/>
      <c r="W83" s="98"/>
    </row>
    <row r="84" spans="1:23" s="1" customFormat="1" ht="15" customHeight="1" x14ac:dyDescent="0.3">
      <c r="A84" s="98"/>
      <c r="B84" s="275">
        <v>2025</v>
      </c>
      <c r="C84" s="357"/>
      <c r="D84" s="358"/>
      <c r="E84" s="358"/>
      <c r="F84" s="358"/>
      <c r="G84" s="358"/>
      <c r="H84" s="98"/>
      <c r="I84" s="98"/>
      <c r="J84" s="98"/>
      <c r="K84" s="98"/>
      <c r="L84" s="98"/>
      <c r="M84" s="98"/>
      <c r="N84" s="98"/>
      <c r="O84" s="98"/>
      <c r="P84" s="98"/>
      <c r="Q84" s="98"/>
      <c r="R84" s="98"/>
      <c r="S84" s="98"/>
      <c r="T84" s="98"/>
      <c r="U84" s="98"/>
      <c r="V84" s="98"/>
      <c r="W84" s="98"/>
    </row>
    <row r="85" spans="1:23" s="1" customFormat="1" ht="15" customHeight="1" x14ac:dyDescent="0.3">
      <c r="A85" s="98"/>
      <c r="B85" s="280">
        <v>2026</v>
      </c>
      <c r="C85" s="357"/>
      <c r="D85" s="357"/>
      <c r="E85" s="357"/>
      <c r="F85" s="357"/>
      <c r="G85" s="357"/>
      <c r="H85" s="98"/>
      <c r="I85" s="98"/>
      <c r="J85" s="98"/>
      <c r="K85" s="98"/>
      <c r="L85" s="98"/>
      <c r="M85" s="98"/>
      <c r="N85" s="98"/>
      <c r="O85" s="98"/>
      <c r="P85" s="98"/>
      <c r="Q85" s="98"/>
      <c r="R85" s="98"/>
      <c r="S85" s="98"/>
      <c r="T85" s="98"/>
      <c r="U85" s="98"/>
      <c r="V85" s="98"/>
      <c r="W85" s="98"/>
    </row>
    <row r="86" spans="1:23" s="1" customFormat="1" ht="12.6" customHeight="1" x14ac:dyDescent="0.3">
      <c r="A86" s="98"/>
      <c r="B86" s="98"/>
      <c r="C86" s="98"/>
      <c r="D86" s="285"/>
      <c r="E86" s="98"/>
      <c r="F86" s="98"/>
      <c r="G86" s="98"/>
      <c r="H86" s="98"/>
      <c r="I86" s="98"/>
      <c r="J86" s="98"/>
      <c r="K86" s="98"/>
      <c r="L86" s="98"/>
      <c r="M86" s="98"/>
      <c r="N86" s="98"/>
      <c r="O86" s="98"/>
      <c r="P86" s="98"/>
      <c r="Q86" s="98"/>
      <c r="R86" s="98"/>
      <c r="S86" s="98"/>
      <c r="T86" s="98"/>
      <c r="U86" s="98"/>
      <c r="V86" s="98"/>
      <c r="W86" s="98"/>
    </row>
    <row r="87" spans="1:23" s="1" customFormat="1" ht="12.6" customHeight="1" x14ac:dyDescent="0.3">
      <c r="A87" s="98"/>
      <c r="B87" s="98"/>
      <c r="C87" s="98"/>
      <c r="D87" s="98"/>
      <c r="E87" s="98"/>
      <c r="F87" s="98"/>
      <c r="G87" s="98"/>
      <c r="H87" s="98"/>
      <c r="I87" s="98"/>
      <c r="J87" s="98"/>
      <c r="K87" s="98"/>
      <c r="L87" s="98"/>
      <c r="M87" s="98"/>
      <c r="N87" s="98"/>
      <c r="O87" s="98"/>
      <c r="P87" s="98"/>
      <c r="Q87" s="98"/>
      <c r="R87" s="98"/>
      <c r="S87" s="98"/>
      <c r="T87" s="98"/>
      <c r="U87" s="98"/>
      <c r="V87" s="98"/>
      <c r="W87" s="98"/>
    </row>
    <row r="88" spans="1:23" s="1" customFormat="1" ht="12.6" customHeight="1" x14ac:dyDescent="0.3">
      <c r="A88" s="98"/>
      <c r="B88" s="98"/>
      <c r="C88" s="98"/>
      <c r="D88" s="98"/>
      <c r="E88" s="98"/>
      <c r="F88" s="98"/>
      <c r="G88" s="98"/>
      <c r="H88" s="98"/>
      <c r="I88" s="98"/>
      <c r="J88" s="98"/>
      <c r="K88" s="98"/>
      <c r="L88" s="98"/>
      <c r="M88" s="98"/>
      <c r="N88" s="98"/>
      <c r="O88" s="98"/>
      <c r="P88" s="98"/>
      <c r="Q88" s="98"/>
      <c r="R88" s="98"/>
      <c r="S88" s="98"/>
      <c r="T88" s="98"/>
      <c r="U88" s="98"/>
      <c r="V88" s="98"/>
      <c r="W88" s="98"/>
    </row>
    <row r="89" spans="1:23" s="1" customFormat="1" ht="12.6" customHeight="1" x14ac:dyDescent="0.3"/>
    <row r="90" spans="1:23" s="1" customFormat="1" ht="12.6" customHeight="1" x14ac:dyDescent="0.3"/>
    <row r="91" spans="1:23" s="1" customFormat="1" x14ac:dyDescent="0.3"/>
    <row r="92" spans="1:23" s="1" customFormat="1" x14ac:dyDescent="0.3"/>
    <row r="93" spans="1:23" s="1" customFormat="1" x14ac:dyDescent="0.3"/>
    <row r="94" spans="1:23" s="1" customFormat="1" x14ac:dyDescent="0.3"/>
    <row r="95" spans="1:23" s="1" customFormat="1" x14ac:dyDescent="0.3"/>
    <row r="96" spans="1:23" s="1" customFormat="1" x14ac:dyDescent="0.3"/>
    <row r="97" s="1" customFormat="1" x14ac:dyDescent="0.3"/>
    <row r="98" s="1" customFormat="1" x14ac:dyDescent="0.3"/>
    <row r="99" s="1" customFormat="1" x14ac:dyDescent="0.3"/>
    <row r="100" s="1" customFormat="1" x14ac:dyDescent="0.3"/>
    <row r="101" s="1" customFormat="1" x14ac:dyDescent="0.3"/>
    <row r="102" s="1" customFormat="1" x14ac:dyDescent="0.3"/>
    <row r="103" s="1" customFormat="1" x14ac:dyDescent="0.3"/>
    <row r="104" s="1" customFormat="1" x14ac:dyDescent="0.3"/>
    <row r="105" s="1" customFormat="1" x14ac:dyDescent="0.3"/>
    <row r="106" s="1" customFormat="1" x14ac:dyDescent="0.3"/>
    <row r="107" s="1" customFormat="1" x14ac:dyDescent="0.3"/>
    <row r="108" s="1" customFormat="1" x14ac:dyDescent="0.3"/>
    <row r="109" s="1" customFormat="1" x14ac:dyDescent="0.3"/>
    <row r="110" s="1" customFormat="1" x14ac:dyDescent="0.3"/>
    <row r="111" s="1" customFormat="1" x14ac:dyDescent="0.3"/>
    <row r="112" s="1" customFormat="1" x14ac:dyDescent="0.3"/>
    <row r="113" s="1" customFormat="1" x14ac:dyDescent="0.3"/>
    <row r="114" s="1" customFormat="1" x14ac:dyDescent="0.3"/>
    <row r="115" s="1" customFormat="1" x14ac:dyDescent="0.3"/>
    <row r="116" s="1" customFormat="1" x14ac:dyDescent="0.3"/>
    <row r="117" s="1" customFormat="1" x14ac:dyDescent="0.3"/>
    <row r="118" s="1" customFormat="1" x14ac:dyDescent="0.3"/>
    <row r="119" s="1" customFormat="1" x14ac:dyDescent="0.3"/>
    <row r="120" s="1" customFormat="1" x14ac:dyDescent="0.3"/>
    <row r="121" s="1" customFormat="1" x14ac:dyDescent="0.3"/>
  </sheetData>
  <pageMargins left="0.7" right="0.7" top="0.75" bottom="0.75" header="0.3" footer="0.3"/>
  <pageSetup paperSize="9" orientation="portrait" r:id="rId1"/>
  <drawing r:id="rId2"/>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42E7E-B19E-43BA-B0DD-F6951CD5EB8A}">
  <dimension ref="A1:FQ27"/>
  <sheetViews>
    <sheetView topLeftCell="A3" zoomScaleNormal="100" workbookViewId="0">
      <selection activeCell="AE24" sqref="AE24"/>
    </sheetView>
  </sheetViews>
  <sheetFormatPr baseColWidth="10" defaultColWidth="8.6640625" defaultRowHeight="14.4" x14ac:dyDescent="0.3"/>
  <cols>
    <col min="1" max="1" width="4.33203125" customWidth="1"/>
    <col min="3" max="3" width="15.6640625" customWidth="1"/>
    <col min="4" max="7" width="14.5546875" customWidth="1"/>
    <col min="8" max="15" width="18" customWidth="1"/>
    <col min="16" max="17" width="18.6640625" customWidth="1"/>
    <col min="18" max="18" width="15.33203125" customWidth="1"/>
    <col min="19" max="22" width="18" customWidth="1"/>
    <col min="23" max="31" width="14.6640625" customWidth="1"/>
    <col min="32" max="32" width="15.33203125" customWidth="1"/>
    <col min="33" max="33" width="14.6640625" customWidth="1"/>
    <col min="34" max="41" width="13.5546875" customWidth="1"/>
    <col min="42" max="42" width="15.5546875" customWidth="1"/>
    <col min="43" max="43" width="13" customWidth="1"/>
    <col min="44" max="44" width="11.33203125" customWidth="1"/>
    <col min="45" max="45" width="12.33203125" customWidth="1"/>
    <col min="46" max="50" width="11.33203125" customWidth="1"/>
    <col min="51" max="51" width="13.44140625" customWidth="1"/>
    <col min="56" max="56" width="9.6640625" customWidth="1"/>
    <col min="60" max="60" width="16.44140625" customWidth="1"/>
    <col min="61" max="61" width="16.33203125" customWidth="1"/>
    <col min="62" max="63" width="15.33203125" customWidth="1"/>
    <col min="68" max="68" width="11.44140625" bestFit="1" customWidth="1"/>
    <col min="69" max="69" width="13.5546875" customWidth="1"/>
    <col min="70" max="70" width="13.6640625" customWidth="1"/>
    <col min="71" max="71" width="12.44140625" customWidth="1"/>
    <col min="72" max="77" width="12.6640625" customWidth="1"/>
    <col min="78" max="80" width="11.33203125" customWidth="1"/>
    <col min="81" max="85" width="11.6640625" hidden="1" customWidth="1"/>
    <col min="86" max="86" width="13.33203125" hidden="1" customWidth="1"/>
    <col min="87" max="88" width="11.6640625" hidden="1" customWidth="1"/>
    <col min="89" max="94" width="12.6640625" customWidth="1"/>
    <col min="95" max="96" width="11.33203125" customWidth="1"/>
    <col min="97" max="104" width="11.6640625" customWidth="1"/>
    <col min="105" max="108" width="13.44140625" customWidth="1"/>
    <col min="110" max="130" width="0.5546875" customWidth="1"/>
    <col min="131" max="132" width="15.5546875" customWidth="1"/>
    <col min="133" max="133" width="15.33203125" customWidth="1"/>
    <col min="134" max="134" width="14.5546875" customWidth="1"/>
    <col min="135" max="135" width="16.5546875" customWidth="1"/>
    <col min="136" max="138" width="18" customWidth="1"/>
    <col min="139" max="142" width="15.33203125" customWidth="1"/>
    <col min="143" max="143" width="11" customWidth="1"/>
    <col min="144" max="145" width="16" customWidth="1"/>
    <col min="146" max="146" width="9.33203125" customWidth="1"/>
    <col min="147" max="150" width="17" customWidth="1"/>
    <col min="153" max="153" width="10.6640625" customWidth="1"/>
    <col min="156" max="157" width="11.33203125" customWidth="1"/>
    <col min="158" max="161" width="9.6640625" customWidth="1"/>
    <col min="162" max="165" width="11.5546875" customWidth="1"/>
  </cols>
  <sheetData>
    <row r="1" spans="1:173" ht="15" thickBot="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ht="18" customHeight="1" thickBot="1" x14ac:dyDescent="0.35">
      <c r="A2" s="1"/>
      <c r="B2" s="2" t="s">
        <v>579</v>
      </c>
      <c r="C2" s="3"/>
      <c r="D2" s="3"/>
      <c r="E2" s="3"/>
      <c r="F2" s="3"/>
      <c r="G2" s="3"/>
      <c r="H2" s="4"/>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18" customHeight="1" x14ac:dyDescent="0.3">
      <c r="A3" s="1"/>
      <c r="B3" s="5" t="s">
        <v>0</v>
      </c>
      <c r="C3" s="6"/>
      <c r="D3" s="6"/>
      <c r="E3" s="6"/>
      <c r="F3" s="6"/>
      <c r="G3" s="6"/>
      <c r="H3" s="7"/>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18" customHeight="1" x14ac:dyDescent="0.3">
      <c r="A4" s="1"/>
      <c r="B4" s="8" t="s">
        <v>1</v>
      </c>
      <c r="C4" s="9"/>
      <c r="D4" s="9"/>
      <c r="E4" s="9"/>
      <c r="F4" s="9"/>
      <c r="G4" s="9"/>
      <c r="H4" s="10"/>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12.6" customHeight="1" x14ac:dyDescent="0.3">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row>
    <row r="6" spans="1:173" ht="12.6" customHeight="1" x14ac:dyDescent="0.3">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row>
    <row r="7" spans="1:173" ht="12.6" customHeight="1" x14ac:dyDescent="0.3">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c r="EU7" s="1"/>
      <c r="EV7" s="1"/>
      <c r="EW7" s="1"/>
      <c r="EX7" s="1"/>
      <c r="EY7" s="1"/>
      <c r="EZ7" s="1"/>
      <c r="FA7" s="1"/>
      <c r="FB7" s="1"/>
      <c r="FC7" s="1"/>
      <c r="FD7" s="1"/>
      <c r="FE7" s="1"/>
      <c r="FF7" s="1"/>
      <c r="FG7" s="1"/>
      <c r="FH7" s="1"/>
      <c r="FI7" s="1"/>
      <c r="FJ7" s="1"/>
      <c r="FK7" s="1"/>
      <c r="FL7" s="1"/>
      <c r="FM7" s="1"/>
      <c r="FN7" s="1"/>
      <c r="FO7" s="1"/>
      <c r="FP7" s="1"/>
      <c r="FQ7" s="1"/>
    </row>
    <row r="8" spans="1:173" ht="17.7" customHeight="1" x14ac:dyDescent="0.3">
      <c r="A8" s="1"/>
      <c r="B8" s="11" t="s">
        <v>2</v>
      </c>
      <c r="C8" s="12" t="s">
        <v>218</v>
      </c>
      <c r="D8" s="12" t="s">
        <v>219</v>
      </c>
      <c r="E8" s="124" t="s">
        <v>220</v>
      </c>
      <c r="F8" s="125"/>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56"/>
      <c r="CD8" s="56"/>
      <c r="CE8" s="56"/>
      <c r="CF8" s="56"/>
      <c r="CG8" s="56"/>
      <c r="CH8" s="56"/>
      <c r="CI8" s="56"/>
      <c r="CJ8" s="56"/>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row>
    <row r="9" spans="1:173" ht="10.35" customHeight="1" x14ac:dyDescent="0.3">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56"/>
      <c r="CD9" s="56"/>
      <c r="CE9" s="56"/>
      <c r="CF9" s="56"/>
      <c r="CG9" s="56"/>
      <c r="CH9" s="56"/>
      <c r="CI9" s="56"/>
      <c r="CJ9" s="56"/>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row>
    <row r="10" spans="1:173" x14ac:dyDescent="0.3">
      <c r="A10" s="1"/>
      <c r="B10" s="1"/>
      <c r="C10" s="13" t="s">
        <v>6</v>
      </c>
      <c r="D10" s="14"/>
      <c r="E10" s="14"/>
      <c r="F10" s="14"/>
      <c r="G10" s="14"/>
      <c r="H10" s="14"/>
      <c r="I10" s="14"/>
      <c r="J10" s="14"/>
      <c r="K10" s="14"/>
      <c r="L10" s="14"/>
      <c r="M10" s="14"/>
      <c r="N10" s="14"/>
      <c r="O10" s="14"/>
      <c r="P10" s="15" t="s">
        <v>580</v>
      </c>
      <c r="Q10" s="16"/>
      <c r="R10" s="16"/>
      <c r="S10" s="16"/>
      <c r="T10" s="16"/>
      <c r="U10" s="16"/>
      <c r="V10" s="16"/>
      <c r="W10" s="13" t="s">
        <v>628</v>
      </c>
      <c r="X10" s="17"/>
      <c r="Y10" s="17"/>
      <c r="Z10" s="17"/>
      <c r="AA10" s="17"/>
      <c r="AB10" s="17"/>
      <c r="AC10" s="17"/>
      <c r="AD10" s="13" t="s">
        <v>629</v>
      </c>
      <c r="AE10" s="17"/>
      <c r="AF10" s="17"/>
      <c r="AG10" s="18"/>
      <c r="AH10" s="19" t="s">
        <v>630</v>
      </c>
      <c r="AI10" s="20"/>
      <c r="AJ10" s="16"/>
      <c r="AK10" s="16"/>
      <c r="AL10" s="16"/>
      <c r="AM10" s="16"/>
      <c r="AN10" s="16"/>
      <c r="AO10" s="16"/>
      <c r="AP10" s="21"/>
      <c r="AQ10" s="19" t="s">
        <v>9</v>
      </c>
      <c r="AR10" s="16"/>
      <c r="AS10" s="16"/>
      <c r="AT10" s="16"/>
      <c r="AU10" s="16"/>
      <c r="AV10" s="16"/>
      <c r="AW10" s="16"/>
      <c r="AX10" s="16"/>
      <c r="AY10" s="21"/>
      <c r="AZ10" s="22" t="s">
        <v>10</v>
      </c>
      <c r="BA10" s="23"/>
      <c r="BB10" s="23"/>
      <c r="BC10" s="23"/>
      <c r="BD10" s="23"/>
      <c r="BE10" s="23"/>
      <c r="BF10" s="23"/>
      <c r="BG10" s="23"/>
      <c r="BH10" s="23"/>
      <c r="BI10" s="23"/>
      <c r="BJ10" s="23"/>
      <c r="BK10" s="23"/>
      <c r="BL10" s="23"/>
      <c r="BM10" s="23"/>
      <c r="BN10" s="23"/>
      <c r="BO10" s="23"/>
      <c r="BP10" s="23"/>
      <c r="BQ10" s="23"/>
      <c r="BR10" s="24"/>
      <c r="BS10" s="11"/>
      <c r="BT10" s="19"/>
      <c r="BU10" s="16"/>
      <c r="BV10" s="16"/>
      <c r="BW10" s="16"/>
      <c r="BX10" s="16"/>
      <c r="BY10" s="16"/>
      <c r="BZ10" s="16"/>
      <c r="CA10" s="16"/>
      <c r="CB10" s="16"/>
      <c r="CC10" s="58" t="s">
        <v>12</v>
      </c>
      <c r="CD10" s="59"/>
      <c r="CE10" s="59"/>
      <c r="CF10" s="59"/>
      <c r="CG10" s="59"/>
      <c r="CH10" s="59"/>
      <c r="CI10" s="59"/>
      <c r="CJ10" s="59"/>
      <c r="CK10" s="19" t="s">
        <v>581</v>
      </c>
      <c r="CL10" s="16"/>
      <c r="CM10" s="16"/>
      <c r="CN10" s="16"/>
      <c r="CO10" s="16"/>
      <c r="CP10" s="16"/>
      <c r="CQ10" s="16"/>
      <c r="CR10" s="16"/>
      <c r="CS10" s="19" t="s">
        <v>582</v>
      </c>
      <c r="CT10" s="127"/>
      <c r="CU10" s="59"/>
      <c r="CV10" s="59"/>
      <c r="CW10" s="59"/>
      <c r="CX10" s="59"/>
      <c r="CY10" s="59"/>
      <c r="CZ10" s="59"/>
      <c r="DA10" s="15" t="s">
        <v>15</v>
      </c>
      <c r="DB10" s="60"/>
      <c r="DC10" s="60"/>
      <c r="DD10" s="8" t="s">
        <v>16</v>
      </c>
      <c r="DE10" s="10"/>
      <c r="DF10" s="1"/>
      <c r="DG10" s="1"/>
      <c r="DH10" s="1"/>
      <c r="DI10" s="1"/>
      <c r="DJ10" s="1"/>
      <c r="DK10" s="1"/>
      <c r="DL10" s="1"/>
      <c r="DM10" s="1"/>
      <c r="DN10" s="1"/>
      <c r="DO10" s="1"/>
      <c r="DP10" s="1"/>
      <c r="DQ10" s="1"/>
      <c r="DR10" s="1"/>
      <c r="DS10" s="1"/>
      <c r="DT10" s="1"/>
      <c r="DU10" s="1"/>
      <c r="DV10" s="1"/>
      <c r="DW10" s="1"/>
      <c r="DX10" s="1"/>
      <c r="DY10" s="1"/>
      <c r="DZ10" s="1"/>
      <c r="EA10" s="13" t="s">
        <v>17</v>
      </c>
      <c r="EB10" s="14"/>
      <c r="EC10" s="14"/>
      <c r="ED10" s="14"/>
      <c r="EE10" s="14"/>
      <c r="EF10" s="14"/>
      <c r="EG10" s="14"/>
      <c r="EH10" s="14"/>
      <c r="EI10" s="14"/>
      <c r="EJ10" s="14"/>
      <c r="EK10" s="14"/>
      <c r="EL10" s="14"/>
      <c r="EM10" s="14"/>
      <c r="EN10" s="15" t="s">
        <v>583</v>
      </c>
      <c r="EO10" s="16"/>
      <c r="EP10" s="16"/>
      <c r="EQ10" s="16"/>
      <c r="ER10" s="16"/>
      <c r="ES10" s="16"/>
      <c r="ET10" s="16"/>
      <c r="EU10" s="16"/>
      <c r="EV10" s="13" t="s">
        <v>631</v>
      </c>
      <c r="EW10" s="14"/>
      <c r="EX10" s="14"/>
      <c r="EY10" s="61"/>
      <c r="EZ10" s="62" t="s">
        <v>19</v>
      </c>
      <c r="FA10" s="10"/>
      <c r="FB10" s="14" t="s">
        <v>632</v>
      </c>
      <c r="FC10" s="17"/>
      <c r="FD10" s="17"/>
      <c r="FE10" s="17"/>
      <c r="FF10" s="17"/>
      <c r="FG10" s="17"/>
      <c r="FH10" s="17"/>
      <c r="FI10" s="18"/>
      <c r="FJ10" s="1"/>
      <c r="FK10" s="1"/>
      <c r="FL10" s="1"/>
      <c r="FM10" s="1"/>
      <c r="FN10" s="1"/>
      <c r="FO10" s="1"/>
      <c r="FP10" s="1"/>
      <c r="FQ10" s="1"/>
    </row>
    <row r="11" spans="1:173" ht="78.75" customHeight="1" x14ac:dyDescent="0.3">
      <c r="A11" s="1"/>
      <c r="B11" s="25" t="s">
        <v>20</v>
      </c>
      <c r="C11" s="26" t="s">
        <v>21</v>
      </c>
      <c r="D11" s="27" t="s">
        <v>22</v>
      </c>
      <c r="E11" s="27" t="s">
        <v>23</v>
      </c>
      <c r="F11" s="27" t="s">
        <v>24</v>
      </c>
      <c r="G11" s="27" t="s">
        <v>25</v>
      </c>
      <c r="H11" s="27" t="s">
        <v>26</v>
      </c>
      <c r="I11" s="27" t="s">
        <v>27</v>
      </c>
      <c r="J11" s="121"/>
      <c r="K11" s="27" t="s">
        <v>29</v>
      </c>
      <c r="L11" s="27" t="s">
        <v>30</v>
      </c>
      <c r="M11" s="27" t="s">
        <v>31</v>
      </c>
      <c r="N11" s="27" t="s">
        <v>32</v>
      </c>
      <c r="O11" s="27" t="s">
        <v>33</v>
      </c>
      <c r="P11" s="26" t="s">
        <v>21</v>
      </c>
      <c r="Q11" s="27" t="s">
        <v>22</v>
      </c>
      <c r="R11" s="27" t="s">
        <v>34</v>
      </c>
      <c r="S11" s="27" t="s">
        <v>29</v>
      </c>
      <c r="T11" s="27" t="s">
        <v>30</v>
      </c>
      <c r="U11" s="27" t="s">
        <v>31</v>
      </c>
      <c r="V11" s="27" t="s">
        <v>32</v>
      </c>
      <c r="W11" s="27" t="s">
        <v>22</v>
      </c>
      <c r="X11" s="27" t="s">
        <v>23</v>
      </c>
      <c r="Y11" s="27" t="s">
        <v>35</v>
      </c>
      <c r="Z11" s="27" t="s">
        <v>36</v>
      </c>
      <c r="AA11" s="27" t="s">
        <v>26</v>
      </c>
      <c r="AB11" s="27" t="s">
        <v>27</v>
      </c>
      <c r="AC11" s="27" t="s">
        <v>28</v>
      </c>
      <c r="AD11" s="27" t="s">
        <v>29</v>
      </c>
      <c r="AE11" s="27" t="s">
        <v>30</v>
      </c>
      <c r="AF11" s="27" t="s">
        <v>31</v>
      </c>
      <c r="AG11" s="27" t="s">
        <v>32</v>
      </c>
      <c r="AH11" s="27" t="s">
        <v>37</v>
      </c>
      <c r="AI11" s="27" t="s">
        <v>38</v>
      </c>
      <c r="AJ11" s="27" t="s">
        <v>39</v>
      </c>
      <c r="AK11" s="27" t="s">
        <v>40</v>
      </c>
      <c r="AL11" s="27" t="s">
        <v>41</v>
      </c>
      <c r="AM11" s="27" t="s">
        <v>42</v>
      </c>
      <c r="AN11" s="121" t="s">
        <v>43</v>
      </c>
      <c r="AO11" s="27" t="s">
        <v>44</v>
      </c>
      <c r="AP11" s="27" t="s">
        <v>45</v>
      </c>
      <c r="AQ11" s="27" t="s">
        <v>37</v>
      </c>
      <c r="AR11" s="27" t="s">
        <v>38</v>
      </c>
      <c r="AS11" s="27" t="s">
        <v>39</v>
      </c>
      <c r="AT11" s="27" t="s">
        <v>40</v>
      </c>
      <c r="AU11" s="27" t="s">
        <v>41</v>
      </c>
      <c r="AV11" s="27" t="s">
        <v>42</v>
      </c>
      <c r="AW11" s="121"/>
      <c r="AX11" s="27" t="s">
        <v>44</v>
      </c>
      <c r="AY11" s="27" t="s">
        <v>45</v>
      </c>
      <c r="AZ11" s="27" t="s">
        <v>633</v>
      </c>
      <c r="BA11" s="27" t="s">
        <v>634</v>
      </c>
      <c r="BB11" s="27" t="s">
        <v>635</v>
      </c>
      <c r="BC11" s="27" t="s">
        <v>636</v>
      </c>
      <c r="BD11" s="27" t="s">
        <v>46</v>
      </c>
      <c r="BE11" s="27" t="s">
        <v>47</v>
      </c>
      <c r="BF11" s="27" t="s">
        <v>48</v>
      </c>
      <c r="BG11" s="27" t="s">
        <v>49</v>
      </c>
      <c r="BH11" s="27" t="s">
        <v>50</v>
      </c>
      <c r="BI11" s="27" t="s">
        <v>51</v>
      </c>
      <c r="BJ11" s="27" t="s">
        <v>52</v>
      </c>
      <c r="BK11" s="27" t="s">
        <v>53</v>
      </c>
      <c r="BL11" s="27" t="s">
        <v>54</v>
      </c>
      <c r="BM11" s="27" t="s">
        <v>55</v>
      </c>
      <c r="BN11" s="27" t="s">
        <v>56</v>
      </c>
      <c r="BO11" s="27" t="s">
        <v>57</v>
      </c>
      <c r="BP11" s="27" t="s">
        <v>637</v>
      </c>
      <c r="BQ11" s="27" t="s">
        <v>638</v>
      </c>
      <c r="BR11" s="27" t="s">
        <v>273</v>
      </c>
      <c r="BS11" s="27" t="s">
        <v>584</v>
      </c>
      <c r="BT11" s="27"/>
      <c r="BU11" s="27"/>
      <c r="BV11" s="27"/>
      <c r="BW11" s="27"/>
      <c r="BX11" s="27"/>
      <c r="BY11" s="27"/>
      <c r="BZ11" s="27"/>
      <c r="CA11" s="27"/>
      <c r="CB11" s="27"/>
      <c r="CC11" s="63" t="s">
        <v>68</v>
      </c>
      <c r="CD11" s="63" t="s">
        <v>69</v>
      </c>
      <c r="CE11" s="63" t="s">
        <v>70</v>
      </c>
      <c r="CF11" s="63" t="s">
        <v>71</v>
      </c>
      <c r="CG11" s="63" t="s">
        <v>72</v>
      </c>
      <c r="CH11" s="63" t="s">
        <v>73</v>
      </c>
      <c r="CI11" s="63" t="s">
        <v>74</v>
      </c>
      <c r="CJ11" s="63" t="s">
        <v>75</v>
      </c>
      <c r="CK11" s="27" t="s">
        <v>585</v>
      </c>
      <c r="CL11" s="27" t="s">
        <v>586</v>
      </c>
      <c r="CM11" s="27" t="s">
        <v>587</v>
      </c>
      <c r="CN11" s="27" t="s">
        <v>588</v>
      </c>
      <c r="CO11" s="27" t="s">
        <v>80</v>
      </c>
      <c r="CP11" s="27" t="s">
        <v>81</v>
      </c>
      <c r="CQ11" s="27" t="s">
        <v>82</v>
      </c>
      <c r="CR11" s="27" t="s">
        <v>589</v>
      </c>
      <c r="CS11" s="128" t="s">
        <v>590</v>
      </c>
      <c r="CT11" s="128" t="s">
        <v>591</v>
      </c>
      <c r="CU11" s="128" t="s">
        <v>592</v>
      </c>
      <c r="CV11" s="128" t="s">
        <v>593</v>
      </c>
      <c r="CW11" s="128" t="s">
        <v>88</v>
      </c>
      <c r="CX11" s="128" t="s">
        <v>89</v>
      </c>
      <c r="CY11" s="128" t="s">
        <v>90</v>
      </c>
      <c r="CZ11" s="128" t="s">
        <v>91</v>
      </c>
      <c r="DA11" s="64" t="s">
        <v>92</v>
      </c>
      <c r="DB11" s="64" t="s">
        <v>93</v>
      </c>
      <c r="DC11" s="64" t="s">
        <v>94</v>
      </c>
      <c r="DD11" s="64" t="s">
        <v>95</v>
      </c>
      <c r="DE11" s="64" t="s">
        <v>96</v>
      </c>
      <c r="DF11" s="1"/>
      <c r="DG11" s="1"/>
      <c r="DH11" s="1"/>
      <c r="DI11" s="1"/>
      <c r="DJ11" s="1"/>
      <c r="DK11" s="1"/>
      <c r="DL11" s="1"/>
      <c r="DM11" s="1"/>
      <c r="DN11" s="1"/>
      <c r="DO11" s="1"/>
      <c r="DP11" s="1"/>
      <c r="DQ11" s="1"/>
      <c r="DR11" s="1"/>
      <c r="DS11" s="1"/>
      <c r="DT11" s="1"/>
      <c r="DU11" s="1"/>
      <c r="DV11" s="1"/>
      <c r="DW11" s="1"/>
      <c r="DX11" s="1"/>
      <c r="DY11" s="1"/>
      <c r="DZ11" s="1"/>
      <c r="EA11" s="26" t="s">
        <v>97</v>
      </c>
      <c r="EB11" s="27" t="s">
        <v>98</v>
      </c>
      <c r="EC11" s="27" t="s">
        <v>99</v>
      </c>
      <c r="ED11" s="27" t="s">
        <v>100</v>
      </c>
      <c r="EE11" s="27" t="s">
        <v>101</v>
      </c>
      <c r="EF11" s="27" t="s">
        <v>102</v>
      </c>
      <c r="EG11" s="27" t="s">
        <v>103</v>
      </c>
      <c r="EH11" s="121"/>
      <c r="EI11" s="27" t="s">
        <v>104</v>
      </c>
      <c r="EJ11" s="27" t="s">
        <v>105</v>
      </c>
      <c r="EK11" s="27" t="s">
        <v>106</v>
      </c>
      <c r="EL11" s="27" t="s">
        <v>107</v>
      </c>
      <c r="EM11" s="27" t="s">
        <v>33</v>
      </c>
      <c r="EN11" s="27" t="s">
        <v>97</v>
      </c>
      <c r="EO11" s="27" t="s">
        <v>98</v>
      </c>
      <c r="EP11" s="27" t="s">
        <v>108</v>
      </c>
      <c r="EQ11" s="27" t="s">
        <v>104</v>
      </c>
      <c r="ER11" s="27" t="s">
        <v>105</v>
      </c>
      <c r="ES11" s="27" t="s">
        <v>106</v>
      </c>
      <c r="ET11" s="27" t="s">
        <v>107</v>
      </c>
      <c r="EU11" s="27" t="s">
        <v>594</v>
      </c>
      <c r="EV11" s="64" t="s">
        <v>639</v>
      </c>
      <c r="EW11" s="27" t="s">
        <v>99</v>
      </c>
      <c r="EX11" s="64" t="s">
        <v>110</v>
      </c>
      <c r="EY11" s="64" t="s">
        <v>640</v>
      </c>
      <c r="EZ11" s="64" t="s">
        <v>111</v>
      </c>
      <c r="FA11" s="64" t="s">
        <v>112</v>
      </c>
      <c r="FB11" s="27" t="s">
        <v>641</v>
      </c>
      <c r="FC11" s="27" t="s">
        <v>642</v>
      </c>
      <c r="FD11" s="27" t="s">
        <v>643</v>
      </c>
      <c r="FE11" s="27" t="s">
        <v>644</v>
      </c>
      <c r="FF11" s="27" t="s">
        <v>645</v>
      </c>
      <c r="FG11" s="27" t="s">
        <v>646</v>
      </c>
      <c r="FH11" s="27" t="s">
        <v>647</v>
      </c>
      <c r="FI11" s="27" t="s">
        <v>648</v>
      </c>
      <c r="FJ11" s="1"/>
      <c r="FK11" s="1"/>
      <c r="FL11" s="1"/>
      <c r="FM11" s="1"/>
      <c r="FN11" s="1"/>
      <c r="FO11" s="1"/>
      <c r="FP11" s="1"/>
      <c r="FQ11" s="1"/>
    </row>
    <row r="12" spans="1:173" x14ac:dyDescent="0.3">
      <c r="A12" s="1"/>
      <c r="B12" s="28">
        <v>1</v>
      </c>
      <c r="C12" s="129">
        <f>'[43]2. Distributional by deciles o'!B64</f>
        <v>26209678.642800003</v>
      </c>
      <c r="D12" s="129">
        <f>'[43]2. Distributional by deciles o'!C64</f>
        <v>26296227.892799992</v>
      </c>
      <c r="E12" s="129">
        <f>'[43]2. Distributional by deciles o'!D64</f>
        <v>25864338.152399998</v>
      </c>
      <c r="F12" s="129">
        <f>'[43]2. Distributional by deciles o'!E64</f>
        <v>26229840.748799995</v>
      </c>
      <c r="G12" s="129">
        <f>'[43]2. Distributional by deciles o'!F64</f>
        <v>25988545.875599995</v>
      </c>
      <c r="H12" s="129">
        <f>'[43]2. Distributional by deciles o'!G64</f>
        <v>25865213.224799998</v>
      </c>
      <c r="I12" s="129"/>
      <c r="J12" s="122"/>
      <c r="K12" s="130" t="s">
        <v>113</v>
      </c>
      <c r="L12" s="130" t="s">
        <v>113</v>
      </c>
      <c r="M12" s="130" t="s">
        <v>113</v>
      </c>
      <c r="N12" s="130" t="s">
        <v>113</v>
      </c>
      <c r="O12" s="131">
        <f>C12/C$22*100</f>
        <v>2.9007011584316636E-2</v>
      </c>
      <c r="P12" s="129">
        <f>'[43]2. Distributional by deciles o'!B82</f>
        <v>8619661611.0348072</v>
      </c>
      <c r="Q12" s="129">
        <f>'[43]2. Distributional by deciles o'!C82</f>
        <v>8705760675.1884117</v>
      </c>
      <c r="R12" s="131">
        <f t="shared" ref="R12:R21" si="0">(Q12/P12-1)*100</f>
        <v>0.99886826233852588</v>
      </c>
      <c r="S12" s="130" t="s">
        <v>113</v>
      </c>
      <c r="T12" s="130" t="s">
        <v>113</v>
      </c>
      <c r="U12" s="130" t="s">
        <v>113</v>
      </c>
      <c r="V12" s="130" t="s">
        <v>113</v>
      </c>
      <c r="W12" s="132">
        <f>IF(D12&lt;&gt;0,((D12-$C12)/ABS($C12)) / ($Q12/$P12-1),0)</f>
        <v>0.33059280583769052</v>
      </c>
      <c r="X12" s="132">
        <f>IF(E12&lt;&gt;0,((E12-$C12)/ABS($C12)) / ($Q12/$P12-1),0)</f>
        <v>-1.319099607341675</v>
      </c>
      <c r="Y12" s="132">
        <f t="shared" ref="Y12:AA22" si="1">IF(F12&lt;&gt;0,MAX(((F12-$C12)/ABS($C12)) / ($Q12/$P12-1),0),0)</f>
        <v>7.7013344357518054E-2</v>
      </c>
      <c r="Z12" s="132">
        <f t="shared" si="1"/>
        <v>0</v>
      </c>
      <c r="AA12" s="132">
        <f t="shared" si="1"/>
        <v>0</v>
      </c>
      <c r="AB12" s="132">
        <f>IF(I12&lt;&gt;0,MAX(((I12-$C12)/ABS($C12)) / ($Q12/$P12-1),0),AA12)</f>
        <v>0</v>
      </c>
      <c r="AC12" s="132">
        <f>IF(J12&lt;&gt;0,MAX(((J12-$C12)/ABS($C12)) / ($Q12/$P12-1),0),AB12)</f>
        <v>0</v>
      </c>
      <c r="AD12" s="130" t="s">
        <v>113</v>
      </c>
      <c r="AE12" s="130" t="s">
        <v>113</v>
      </c>
      <c r="AF12" s="130" t="s">
        <v>113</v>
      </c>
      <c r="AG12" s="130" t="s">
        <v>113</v>
      </c>
      <c r="AH12" s="133">
        <f t="shared" ref="AH12:AH22" si="2">MIN(W12,1)</f>
        <v>0.33059280583769052</v>
      </c>
      <c r="AI12" s="134">
        <f>IF(W12&gt;1,MAX(W12-SUM(AH12,AJ12:AO12),0),0)</f>
        <v>0</v>
      </c>
      <c r="AJ12" s="134">
        <f t="shared" ref="AJ12:AJ22" si="3">IF(W12&gt;1,MIN($W12-Y12,W12-AH12),0)</f>
        <v>0</v>
      </c>
      <c r="AK12" s="134">
        <f t="shared" ref="AK12:AK20" si="4">IF(W12&gt;1,MAX(MIN(Y12-Z12,W12-AH12-AJ12),0),0)</f>
        <v>0</v>
      </c>
      <c r="AL12" s="134">
        <f>IF(W12&gt;1,MAX(MIN(Z12-AA12,W12-AH12-AJ12-AK12),0),0)</f>
        <v>0</v>
      </c>
      <c r="AM12" s="134">
        <f>IF(I12&lt;&gt;0,IF(W12&gt;1,MAX(MIN(AA12-AB12,W12-AH12-AJ12-AK12-AL12),0),0),0)</f>
        <v>0</v>
      </c>
      <c r="AN12" s="135">
        <f t="shared" ref="AN12:AN13" si="5">IF(J12&lt;&gt;0,IF(W12&gt;1,MAX(MIN(AB12-AC12,W12-AH12-AJ12-AK12-AL12-AM12),0),0),0)</f>
        <v>0</v>
      </c>
      <c r="AO12" s="134">
        <f>IF(W12&gt;1,MAX(0,MIN(W12-AH12-AJ12-AK12-AL12-AM12,W12-AH12-AJ12-AK12-AL12-AM12-X12+1)),0)</f>
        <v>0</v>
      </c>
      <c r="AP12" s="134">
        <f t="shared" ref="AP12:AP22" si="6">AI12+AO12</f>
        <v>0</v>
      </c>
      <c r="AQ12" s="136" t="s">
        <v>113</v>
      </c>
      <c r="AR12" s="137">
        <f t="shared" ref="AR12:AY22" si="7">AI12/($W12-1)*100</f>
        <v>0</v>
      </c>
      <c r="AS12" s="137">
        <f t="shared" si="7"/>
        <v>0</v>
      </c>
      <c r="AT12" s="137">
        <f t="shared" si="7"/>
        <v>0</v>
      </c>
      <c r="AU12" s="137">
        <f t="shared" si="7"/>
        <v>0</v>
      </c>
      <c r="AV12" s="137">
        <f t="shared" si="7"/>
        <v>0</v>
      </c>
      <c r="AW12" s="138">
        <f t="shared" si="7"/>
        <v>0</v>
      </c>
      <c r="AX12" s="137">
        <f t="shared" si="7"/>
        <v>0</v>
      </c>
      <c r="AY12" s="137">
        <f t="shared" si="7"/>
        <v>0</v>
      </c>
      <c r="AZ12" s="139" t="s">
        <v>113</v>
      </c>
      <c r="BA12" s="139" t="s">
        <v>113</v>
      </c>
      <c r="BB12" s="139" t="s">
        <v>113</v>
      </c>
      <c r="BC12" s="139" t="s">
        <v>113</v>
      </c>
      <c r="BD12" s="139" t="s">
        <v>113</v>
      </c>
      <c r="BE12" s="139" t="s">
        <v>113</v>
      </c>
      <c r="BF12" s="139" t="s">
        <v>113</v>
      </c>
      <c r="BG12" s="139" t="s">
        <v>113</v>
      </c>
      <c r="BH12" s="140">
        <f>'[43]2. Distributional by deciles o'!$B100</f>
        <v>3795245252.1960025</v>
      </c>
      <c r="BI12" s="140">
        <f>'[43]2. Distributional by deciles o'!$B118</f>
        <v>3477190641.5207977</v>
      </c>
      <c r="BJ12" s="140">
        <f>'[43]2. Distributional by deciles o'!$B136</f>
        <v>1096994836.5455997</v>
      </c>
      <c r="BK12" s="140">
        <f>'[43]2. Distributional by deciles o'!$B154</f>
        <v>250235131.01039985</v>
      </c>
      <c r="BL12" s="141">
        <f>BH12/SUM($BH12:$BK12)</f>
        <v>0.44030073941121278</v>
      </c>
      <c r="BM12" s="141">
        <f t="shared" ref="BM12:BO12" si="8">BI12/SUM($BH12:$BK12)</f>
        <v>0.40340202247785828</v>
      </c>
      <c r="BN12" s="141">
        <f t="shared" si="8"/>
        <v>0.1272665152223911</v>
      </c>
      <c r="BO12" s="141">
        <f t="shared" si="8"/>
        <v>2.9030722888537763E-2</v>
      </c>
      <c r="BP12" s="139" t="s">
        <v>113</v>
      </c>
      <c r="BQ12" s="139" t="s">
        <v>113</v>
      </c>
      <c r="BR12" s="139" t="s">
        <v>113</v>
      </c>
      <c r="BS12" s="131">
        <f>P12/P$22*100</f>
        <v>1.2879377146531987</v>
      </c>
      <c r="BT12" s="139"/>
      <c r="BU12" s="139"/>
      <c r="BV12" s="139"/>
      <c r="BW12" s="139"/>
      <c r="BX12" s="139"/>
      <c r="BY12" s="139"/>
      <c r="BZ12" s="139"/>
      <c r="CA12" s="139"/>
      <c r="CB12" s="139"/>
      <c r="CC12" s="142" t="s">
        <v>113</v>
      </c>
      <c r="CD12" s="142" t="s">
        <v>113</v>
      </c>
      <c r="CE12" s="142" t="s">
        <v>113</v>
      </c>
      <c r="CF12" s="142" t="s">
        <v>113</v>
      </c>
      <c r="CG12" s="142" t="s">
        <v>113</v>
      </c>
      <c r="CH12" s="142" t="s">
        <v>113</v>
      </c>
      <c r="CI12" s="142" t="s">
        <v>113</v>
      </c>
      <c r="CJ12" s="142"/>
      <c r="CK12" s="139" t="s">
        <v>113</v>
      </c>
      <c r="CL12" s="139" t="s">
        <v>113</v>
      </c>
      <c r="CM12" s="139" t="s">
        <v>113</v>
      </c>
      <c r="CN12" s="139" t="s">
        <v>113</v>
      </c>
      <c r="CO12" s="139" t="s">
        <v>113</v>
      </c>
      <c r="CP12" s="139" t="s">
        <v>113</v>
      </c>
      <c r="CQ12" s="139" t="s">
        <v>113</v>
      </c>
      <c r="CR12" s="139"/>
      <c r="CS12" s="143" t="s">
        <v>113</v>
      </c>
      <c r="CT12" s="143" t="s">
        <v>113</v>
      </c>
      <c r="CU12" s="143" t="s">
        <v>113</v>
      </c>
      <c r="CV12" s="143" t="s">
        <v>113</v>
      </c>
      <c r="CW12" s="143" t="s">
        <v>113</v>
      </c>
      <c r="CX12" s="143" t="s">
        <v>113</v>
      </c>
      <c r="CY12" s="143" t="s">
        <v>113</v>
      </c>
      <c r="CZ12" s="143"/>
      <c r="DA12" s="139" t="s">
        <v>113</v>
      </c>
      <c r="DB12" s="139" t="s">
        <v>113</v>
      </c>
      <c r="DC12" s="139" t="s">
        <v>113</v>
      </c>
      <c r="DD12" s="144">
        <f>(1-DE12)*100</f>
        <v>95.894969974551771</v>
      </c>
      <c r="DE12" s="145">
        <f>'[43]2. Distributional by deciles o'!$I28</f>
        <v>4.1050300254482287E-2</v>
      </c>
      <c r="DF12" s="1"/>
      <c r="DG12" s="1"/>
      <c r="DH12" s="1"/>
      <c r="DI12" s="1"/>
      <c r="DJ12" s="1"/>
      <c r="DK12" s="1"/>
      <c r="DL12" s="1"/>
      <c r="DM12" s="1"/>
      <c r="DN12" s="1"/>
      <c r="DO12" s="1"/>
      <c r="DP12" s="1"/>
      <c r="DQ12" s="1"/>
      <c r="DR12" s="1"/>
      <c r="DS12" s="1"/>
      <c r="DT12" s="1"/>
      <c r="DU12" s="1"/>
      <c r="DV12" s="1"/>
      <c r="DW12" s="1"/>
      <c r="DX12" s="1"/>
      <c r="DY12" s="1"/>
      <c r="DZ12" s="1"/>
      <c r="EA12" s="146">
        <f>'[44]2. Distributional by deciles o'!$B64</f>
        <v>38694754.461600006</v>
      </c>
      <c r="EB12" s="146">
        <f>'[44]2. Distributional by deciles o'!$C64</f>
        <v>39107399.378399998</v>
      </c>
      <c r="EC12" s="146">
        <f>'[44]2. Distributional by deciles o'!$D64</f>
        <v>38352462.481199995</v>
      </c>
      <c r="ED12" s="147"/>
      <c r="EE12" s="147"/>
      <c r="EF12" s="147"/>
      <c r="EG12" s="129"/>
      <c r="EH12" s="122"/>
      <c r="EI12" s="130" t="s">
        <v>113</v>
      </c>
      <c r="EJ12" s="130" t="s">
        <v>113</v>
      </c>
      <c r="EK12" s="130" t="s">
        <v>113</v>
      </c>
      <c r="EL12" s="130" t="s">
        <v>113</v>
      </c>
      <c r="EM12" s="131">
        <f t="shared" ref="EM12:EM21" si="9">EA12/EA$22*100</f>
        <v>3.5690413617361236E-2</v>
      </c>
      <c r="EN12" s="146">
        <f>'[45]2. Distributional by deciles o'!B82</f>
        <v>9641846036.7252007</v>
      </c>
      <c r="EO12" s="146">
        <f>'[45]2. Distributional by deciles o'!C82</f>
        <v>9738176067.1704121</v>
      </c>
      <c r="EP12" s="131">
        <f t="shared" ref="EP12:EP21" si="10">(EO12/EN12-1)*100</f>
        <v>0.99908285278873521</v>
      </c>
      <c r="EQ12" s="130" t="s">
        <v>113</v>
      </c>
      <c r="ER12" s="130" t="s">
        <v>113</v>
      </c>
      <c r="ES12" s="130" t="s">
        <v>113</v>
      </c>
      <c r="ET12" s="130" t="s">
        <v>113</v>
      </c>
      <c r="EU12" s="131">
        <f>EN12/EN$22*100</f>
        <v>1.2844219772593144</v>
      </c>
      <c r="EV12" s="132">
        <f>((EB12-$EA12)/ABS($EA12)) / ($EO12/$EN12-1)</f>
        <v>1.0673894332710601</v>
      </c>
      <c r="EW12" s="132">
        <f>IF(EC12&lt;&gt;0,((EC12-$EA12)/ABS($EA12)) / ($EO12/$EN12-1),0)</f>
        <v>-0.88540735169042384</v>
      </c>
      <c r="EX12" s="132"/>
      <c r="EY12" s="148">
        <f t="shared" ref="EY12:EY22" si="11">EV12-W12</f>
        <v>0.73679662743336949</v>
      </c>
      <c r="EZ12" s="144">
        <f>(1-FA12)*100</f>
        <v>94.112490828080496</v>
      </c>
      <c r="FA12" s="145">
        <f>'[44]2. Distributional by deciles o'!$F28</f>
        <v>5.8875091719194986E-2</v>
      </c>
      <c r="FB12" s="130" t="s">
        <v>113</v>
      </c>
      <c r="FC12" s="130" t="s">
        <v>113</v>
      </c>
      <c r="FD12" s="130" t="s">
        <v>113</v>
      </c>
      <c r="FE12" s="130" t="s">
        <v>113</v>
      </c>
      <c r="FF12" s="130" t="s">
        <v>113</v>
      </c>
      <c r="FG12" s="130" t="s">
        <v>113</v>
      </c>
      <c r="FH12" s="130" t="s">
        <v>113</v>
      </c>
      <c r="FI12" s="130" t="s">
        <v>113</v>
      </c>
      <c r="FJ12" s="1"/>
      <c r="FK12" s="1"/>
      <c r="FL12" s="1"/>
      <c r="FM12" s="1"/>
      <c r="FN12" s="1"/>
      <c r="FO12" s="1"/>
      <c r="FP12" s="1"/>
      <c r="FQ12" s="1"/>
    </row>
    <row r="13" spans="1:173" x14ac:dyDescent="0.3">
      <c r="A13" s="1"/>
      <c r="B13" s="28">
        <v>2</v>
      </c>
      <c r="C13" s="129">
        <f>'[43]2. Distributional by deciles o'!$B65</f>
        <v>87705976.276800007</v>
      </c>
      <c r="D13" s="129">
        <f>'[43]2. Distributional by deciles o'!C65</f>
        <v>95570284.822800025</v>
      </c>
      <c r="E13" s="129">
        <f>'[43]2. Distributional by deciles o'!D65</f>
        <v>88254530.083200023</v>
      </c>
      <c r="F13" s="129">
        <f>'[43]2. Distributional by deciles o'!E65</f>
        <v>95257576.044</v>
      </c>
      <c r="G13" s="129">
        <f>'[43]2. Distributional by deciles o'!F65</f>
        <v>91176313.865999997</v>
      </c>
      <c r="H13" s="129">
        <f>'[43]2. Distributional by deciles o'!G65</f>
        <v>88768205.068800002</v>
      </c>
      <c r="I13" s="129"/>
      <c r="J13" s="122"/>
      <c r="K13" s="130" t="s">
        <v>113</v>
      </c>
      <c r="L13" s="130" t="s">
        <v>113</v>
      </c>
      <c r="M13" s="130" t="s">
        <v>113</v>
      </c>
      <c r="N13" s="130" t="s">
        <v>113</v>
      </c>
      <c r="O13" s="131">
        <f t="shared" ref="O13:O21" si="12">C13/C$22*100</f>
        <v>9.7066747919620833E-2</v>
      </c>
      <c r="P13" s="129">
        <f>'[43]2. Distributional by deciles o'!B83</f>
        <v>22794238500.390007</v>
      </c>
      <c r="Q13" s="129">
        <f>'[43]2. Distributional by deciles o'!C83</f>
        <v>23021989317.051632</v>
      </c>
      <c r="R13" s="131">
        <f t="shared" si="0"/>
        <v>0.999159575599462</v>
      </c>
      <c r="S13" s="130" t="s">
        <v>113</v>
      </c>
      <c r="T13" s="130" t="s">
        <v>113</v>
      </c>
      <c r="U13" s="130" t="s">
        <v>113</v>
      </c>
      <c r="V13" s="130" t="s">
        <v>113</v>
      </c>
      <c r="W13" s="132">
        <f t="shared" ref="W13:X22" si="13">IF(D13&lt;&gt;0,((D13-$C13)/ABS($C13)) / ($Q13/$P13-1),0)</f>
        <v>8.9742156649527871</v>
      </c>
      <c r="X13" s="132">
        <f t="shared" si="13"/>
        <v>0.6259724085938082</v>
      </c>
      <c r="Y13" s="132">
        <f t="shared" si="1"/>
        <v>8.6173736101350364</v>
      </c>
      <c r="Z13" s="132">
        <f t="shared" si="1"/>
        <v>3.9601139468915454</v>
      </c>
      <c r="AA13" s="132">
        <f t="shared" si="1"/>
        <v>1.2121434718858772</v>
      </c>
      <c r="AB13" s="132">
        <f t="shared" ref="AB13:AC22" si="14">IF(I13&lt;&gt;0,MAX(((I13-$C13)/ABS($C13)) / ($Q13/$P13-1),0),AA13)</f>
        <v>1.2121434718858772</v>
      </c>
      <c r="AC13" s="132">
        <f t="shared" si="14"/>
        <v>1.2121434718858772</v>
      </c>
      <c r="AD13" s="130" t="s">
        <v>113</v>
      </c>
      <c r="AE13" s="130" t="s">
        <v>113</v>
      </c>
      <c r="AF13" s="130" t="s">
        <v>113</v>
      </c>
      <c r="AG13" s="130" t="s">
        <v>113</v>
      </c>
      <c r="AH13" s="133">
        <f t="shared" si="2"/>
        <v>1</v>
      </c>
      <c r="AI13" s="134">
        <f t="shared" ref="AI13:AI22" si="15">IF(W13&gt;1,MAX(W13-SUM(AH13,AJ13:AO13),0),0)</f>
        <v>0</v>
      </c>
      <c r="AJ13" s="134">
        <f t="shared" si="3"/>
        <v>0.35684205481775066</v>
      </c>
      <c r="AK13" s="134">
        <f t="shared" si="4"/>
        <v>4.6572596632434911</v>
      </c>
      <c r="AL13" s="134">
        <f t="shared" ref="AL13:AL22" si="16">IF(W13&gt;1,MAX(MIN(Z13-AA13,W13-AH13-AJ13-AK13),0),0)</f>
        <v>2.7479704750056682</v>
      </c>
      <c r="AM13" s="134">
        <f t="shared" ref="AM13:AM22" si="17">IF(I13&lt;&gt;0,IF(W13&gt;1,MAX(MIN(AA13-AB13,W13-AH13-AJ13-AK13-AL13),0),0),0)</f>
        <v>0</v>
      </c>
      <c r="AN13" s="135">
        <f t="shared" si="5"/>
        <v>0</v>
      </c>
      <c r="AO13" s="134">
        <f t="shared" ref="AO13:AO22" si="18">IF(W13&gt;1,MAX(0,MIN(W13-AH13-AJ13-AK13-AL13-AM13,W13-AH13-AJ13-AK13-AL13-AM13-X13+1)),0)</f>
        <v>0.21214347188587723</v>
      </c>
      <c r="AP13" s="134">
        <f t="shared" si="6"/>
        <v>0.21214347188587723</v>
      </c>
      <c r="AQ13" s="136" t="s">
        <v>113</v>
      </c>
      <c r="AR13" s="137">
        <f t="shared" si="7"/>
        <v>0</v>
      </c>
      <c r="AS13" s="137">
        <f t="shared" si="7"/>
        <v>4.4749486320779539</v>
      </c>
      <c r="AT13" s="137">
        <f t="shared" si="7"/>
        <v>58.40398427788277</v>
      </c>
      <c r="AU13" s="137">
        <f t="shared" si="7"/>
        <v>34.460699214383965</v>
      </c>
      <c r="AV13" s="137">
        <f t="shared" si="7"/>
        <v>0</v>
      </c>
      <c r="AW13" s="138">
        <f t="shared" si="7"/>
        <v>0</v>
      </c>
      <c r="AX13" s="137">
        <f t="shared" si="7"/>
        <v>2.6603678756553077</v>
      </c>
      <c r="AY13" s="137">
        <f t="shared" si="7"/>
        <v>2.6603678756553077</v>
      </c>
      <c r="AZ13" s="139" t="s">
        <v>113</v>
      </c>
      <c r="BA13" s="139" t="s">
        <v>113</v>
      </c>
      <c r="BB13" s="139" t="s">
        <v>113</v>
      </c>
      <c r="BC13" s="139" t="s">
        <v>113</v>
      </c>
      <c r="BD13" s="139" t="s">
        <v>113</v>
      </c>
      <c r="BE13" s="139" t="s">
        <v>113</v>
      </c>
      <c r="BF13" s="139" t="s">
        <v>113</v>
      </c>
      <c r="BG13" s="139" t="s">
        <v>113</v>
      </c>
      <c r="BH13" s="140">
        <f>'[43]2. Distributional by deciles o'!$B101</f>
        <v>10463254255.909201</v>
      </c>
      <c r="BI13" s="140">
        <f>'[43]2. Distributional by deciles o'!$B119</f>
        <v>9662866410.5351982</v>
      </c>
      <c r="BJ13" s="140">
        <f>'[43]2. Distributional by deciles o'!$B137</f>
        <v>2217308812.2576008</v>
      </c>
      <c r="BK13" s="140">
        <f>'[43]2. Distributional by deciles o'!$B155</f>
        <v>450811682.21999991</v>
      </c>
      <c r="BL13" s="141">
        <f t="shared" ref="BL13:BL22" si="19">BH13/SUM($BH13:$BK13)</f>
        <v>0.45903060260006373</v>
      </c>
      <c r="BM13" s="141">
        <f t="shared" ref="BM13:BM22" si="20">BI13/SUM($BH13:$BK13)</f>
        <v>0.42391700352372458</v>
      </c>
      <c r="BN13" s="141">
        <f t="shared" ref="BN13:BO22" si="21">BJ13/SUM($BH13:$BK13)</f>
        <v>9.7274956275311839E-2</v>
      </c>
      <c r="BO13" s="141">
        <f t="shared" si="21"/>
        <v>1.9777437600899946E-2</v>
      </c>
      <c r="BP13" s="139" t="s">
        <v>113</v>
      </c>
      <c r="BQ13" s="139" t="s">
        <v>113</v>
      </c>
      <c r="BR13" s="139" t="s">
        <v>113</v>
      </c>
      <c r="BS13" s="131">
        <f t="shared" ref="BS13:BS21" si="22">P13/P$22*100</f>
        <v>3.4058830573892829</v>
      </c>
      <c r="BT13" s="139"/>
      <c r="BU13" s="139"/>
      <c r="BV13" s="139"/>
      <c r="BW13" s="139"/>
      <c r="BX13" s="139"/>
      <c r="BY13" s="139"/>
      <c r="BZ13" s="139"/>
      <c r="CA13" s="139"/>
      <c r="CB13" s="139"/>
      <c r="CC13" s="142" t="s">
        <v>113</v>
      </c>
      <c r="CD13" s="142" t="s">
        <v>113</v>
      </c>
      <c r="CE13" s="142" t="s">
        <v>113</v>
      </c>
      <c r="CF13" s="142" t="s">
        <v>113</v>
      </c>
      <c r="CG13" s="142" t="s">
        <v>113</v>
      </c>
      <c r="CH13" s="142" t="s">
        <v>113</v>
      </c>
      <c r="CI13" s="142" t="s">
        <v>113</v>
      </c>
      <c r="CJ13" s="142"/>
      <c r="CK13" s="139" t="s">
        <v>113</v>
      </c>
      <c r="CL13" s="139" t="s">
        <v>113</v>
      </c>
      <c r="CM13" s="139" t="s">
        <v>113</v>
      </c>
      <c r="CN13" s="139" t="s">
        <v>113</v>
      </c>
      <c r="CO13" s="139" t="s">
        <v>113</v>
      </c>
      <c r="CP13" s="139" t="s">
        <v>113</v>
      </c>
      <c r="CQ13" s="139" t="s">
        <v>113</v>
      </c>
      <c r="CR13" s="139"/>
      <c r="CS13" s="143" t="s">
        <v>113</v>
      </c>
      <c r="CT13" s="143" t="s">
        <v>113</v>
      </c>
      <c r="CU13" s="143" t="s">
        <v>113</v>
      </c>
      <c r="CV13" s="143" t="s">
        <v>113</v>
      </c>
      <c r="CW13" s="143" t="s">
        <v>113</v>
      </c>
      <c r="CX13" s="143" t="s">
        <v>113</v>
      </c>
      <c r="CY13" s="143" t="s">
        <v>113</v>
      </c>
      <c r="CZ13" s="143"/>
      <c r="DA13" s="139" t="s">
        <v>113</v>
      </c>
      <c r="DB13" s="139" t="s">
        <v>113</v>
      </c>
      <c r="DC13" s="139" t="s">
        <v>113</v>
      </c>
      <c r="DD13" s="144">
        <f t="shared" ref="DD13:DD22" si="23">(1-DE13)*100</f>
        <v>90.382712327839585</v>
      </c>
      <c r="DE13" s="145">
        <f>'[43]2. Distributional by deciles o'!$I29</f>
        <v>9.617287672160417E-2</v>
      </c>
      <c r="DF13" s="1"/>
      <c r="DG13" s="1"/>
      <c r="DH13" s="1"/>
      <c r="DI13" s="1"/>
      <c r="DJ13" s="1"/>
      <c r="DK13" s="1"/>
      <c r="DL13" s="1"/>
      <c r="DM13" s="1"/>
      <c r="DN13" s="1"/>
      <c r="DO13" s="1"/>
      <c r="DP13" s="1"/>
      <c r="DQ13" s="1"/>
      <c r="DR13" s="1"/>
      <c r="DS13" s="1"/>
      <c r="DT13" s="1"/>
      <c r="DU13" s="1"/>
      <c r="DV13" s="1"/>
      <c r="DW13" s="1"/>
      <c r="DX13" s="1"/>
      <c r="DY13" s="1"/>
      <c r="DZ13" s="1"/>
      <c r="EA13" s="146">
        <f>'[44]2. Distributional by deciles o'!$B65</f>
        <v>168722475.86159992</v>
      </c>
      <c r="EB13" s="146">
        <f>'[44]2. Distributional by deciles o'!$C65</f>
        <v>181941056.59079993</v>
      </c>
      <c r="EC13" s="146">
        <f>'[44]2. Distributional by deciles o'!$D65</f>
        <v>169322779.71239981</v>
      </c>
      <c r="ED13" s="147"/>
      <c r="EE13" s="147"/>
      <c r="EF13" s="147"/>
      <c r="EG13" s="129"/>
      <c r="EH13" s="122"/>
      <c r="EI13" s="130" t="s">
        <v>113</v>
      </c>
      <c r="EJ13" s="130" t="s">
        <v>113</v>
      </c>
      <c r="EK13" s="130" t="s">
        <v>113</v>
      </c>
      <c r="EL13" s="130" t="s">
        <v>113</v>
      </c>
      <c r="EM13" s="131">
        <f t="shared" si="9"/>
        <v>0.15562251353789186</v>
      </c>
      <c r="EN13" s="146">
        <f>'[45]2. Distributional by deciles o'!B83</f>
        <v>25774490168.674805</v>
      </c>
      <c r="EO13" s="146">
        <f>'[45]2. Distributional by deciles o'!C83</f>
        <v>26032025023.628403</v>
      </c>
      <c r="EP13" s="131">
        <f t="shared" si="10"/>
        <v>0.99918505960050474</v>
      </c>
      <c r="EQ13" s="130" t="s">
        <v>113</v>
      </c>
      <c r="ER13" s="130" t="s">
        <v>113</v>
      </c>
      <c r="ES13" s="130" t="s">
        <v>113</v>
      </c>
      <c r="ET13" s="130" t="s">
        <v>113</v>
      </c>
      <c r="EU13" s="131">
        <f t="shared" ref="EU13:EU21" si="24">EN13/EN$22*100</f>
        <v>3.4335044865064126</v>
      </c>
      <c r="EV13" s="132">
        <f t="shared" ref="EV13:EV22" si="25">((EB13-$EA13)/ABS($EA13)) / ($EO13/$EN13-1)</f>
        <v>7.8409007472719585</v>
      </c>
      <c r="EW13" s="132">
        <f t="shared" ref="EW13:EW22" si="26">IF(EC13&lt;&gt;0,((EC13-$EA13)/ABS($EA13)) / ($EO13/$EN13-1),0)</f>
        <v>0.35608383447168646</v>
      </c>
      <c r="EX13" s="132"/>
      <c r="EY13" s="148">
        <f t="shared" si="11"/>
        <v>-1.1333149176808286</v>
      </c>
      <c r="EZ13" s="144">
        <f t="shared" ref="EZ13:EZ22" si="27">(1-FA13)*100</f>
        <v>83.445539164739074</v>
      </c>
      <c r="FA13" s="145">
        <f>'[44]2. Distributional by deciles o'!$F29</f>
        <v>0.16554460835260934</v>
      </c>
      <c r="FB13" s="130" t="s">
        <v>113</v>
      </c>
      <c r="FC13" s="130" t="s">
        <v>113</v>
      </c>
      <c r="FD13" s="130" t="s">
        <v>113</v>
      </c>
      <c r="FE13" s="130" t="s">
        <v>113</v>
      </c>
      <c r="FF13" s="130" t="s">
        <v>113</v>
      </c>
      <c r="FG13" s="130" t="s">
        <v>113</v>
      </c>
      <c r="FH13" s="130" t="s">
        <v>113</v>
      </c>
      <c r="FI13" s="130" t="s">
        <v>113</v>
      </c>
      <c r="FJ13" s="1"/>
      <c r="FK13" s="1"/>
      <c r="FL13" s="1"/>
      <c r="FM13" s="1"/>
      <c r="FN13" s="1"/>
      <c r="FO13" s="1"/>
      <c r="FP13" s="1"/>
      <c r="FQ13" s="1"/>
    </row>
    <row r="14" spans="1:173" x14ac:dyDescent="0.3">
      <c r="A14" s="1"/>
      <c r="B14" s="28">
        <v>3</v>
      </c>
      <c r="C14" s="129">
        <f>'[43]2. Distributional by deciles o'!$B66</f>
        <v>504934341.79920012</v>
      </c>
      <c r="D14" s="129">
        <f>'[43]2. Distributional by deciles o'!C66</f>
        <v>538921051.68359995</v>
      </c>
      <c r="E14" s="129">
        <f>'[43]2. Distributional by deciles o'!D66</f>
        <v>509772272.83200061</v>
      </c>
      <c r="F14" s="129">
        <f>'[43]2. Distributional by deciles o'!E66</f>
        <v>537024130.83959973</v>
      </c>
      <c r="G14" s="129">
        <f>'[43]2. Distributional by deciles o'!F66</f>
        <v>521634040.21800023</v>
      </c>
      <c r="H14" s="129">
        <f>'[43]2. Distributional by deciles o'!G66</f>
        <v>512294745.18240035</v>
      </c>
      <c r="I14" s="129"/>
      <c r="J14" s="122"/>
      <c r="K14" s="130" t="s">
        <v>113</v>
      </c>
      <c r="L14" s="130" t="s">
        <v>113</v>
      </c>
      <c r="M14" s="130" t="s">
        <v>113</v>
      </c>
      <c r="N14" s="130" t="s">
        <v>113</v>
      </c>
      <c r="O14" s="131">
        <f t="shared" si="12"/>
        <v>0.55882548204810734</v>
      </c>
      <c r="P14" s="129">
        <f>'[43]2. Distributional by deciles o'!B84</f>
        <v>32468245080.269997</v>
      </c>
      <c r="Q14" s="129">
        <f>'[43]2. Distributional by deciles o'!C84</f>
        <v>32792919612.966007</v>
      </c>
      <c r="R14" s="131">
        <f t="shared" si="0"/>
        <v>0.99997561276665703</v>
      </c>
      <c r="S14" s="130" t="s">
        <v>113</v>
      </c>
      <c r="T14" s="130" t="s">
        <v>113</v>
      </c>
      <c r="U14" s="130" t="s">
        <v>113</v>
      </c>
      <c r="V14" s="130" t="s">
        <v>113</v>
      </c>
      <c r="W14" s="132">
        <f t="shared" si="13"/>
        <v>6.7310808421808632</v>
      </c>
      <c r="X14" s="132">
        <f t="shared" si="13"/>
        <v>0.95815408438882321</v>
      </c>
      <c r="Y14" s="132">
        <f t="shared" si="1"/>
        <v>6.3553949462641119</v>
      </c>
      <c r="Z14" s="132">
        <f t="shared" si="1"/>
        <v>3.3073816347424443</v>
      </c>
      <c r="AA14" s="132">
        <f t="shared" si="1"/>
        <v>1.4577306944948827</v>
      </c>
      <c r="AB14" s="132">
        <f t="shared" si="14"/>
        <v>1.4577306944948827</v>
      </c>
      <c r="AC14" s="132">
        <f t="shared" si="14"/>
        <v>1.4577306944948827</v>
      </c>
      <c r="AD14" s="130" t="s">
        <v>113</v>
      </c>
      <c r="AE14" s="130" t="s">
        <v>113</v>
      </c>
      <c r="AF14" s="130" t="s">
        <v>113</v>
      </c>
      <c r="AG14" s="130" t="s">
        <v>113</v>
      </c>
      <c r="AH14" s="133">
        <f t="shared" si="2"/>
        <v>1</v>
      </c>
      <c r="AI14" s="134">
        <f t="shared" si="15"/>
        <v>0</v>
      </c>
      <c r="AJ14" s="134">
        <f t="shared" si="3"/>
        <v>0.37568589591675128</v>
      </c>
      <c r="AK14" s="134">
        <f t="shared" si="4"/>
        <v>3.0480133115216677</v>
      </c>
      <c r="AL14" s="134">
        <f t="shared" si="16"/>
        <v>1.8496509402475616</v>
      </c>
      <c r="AM14" s="134">
        <f t="shared" si="17"/>
        <v>0</v>
      </c>
      <c r="AN14" s="135">
        <f>IF(J14&lt;&gt;0,IF(W14&gt;1,MAX(MIN(AB14-AC14,W14-AH14-AJ14-AK14-AL14-AM14),0),0),0)</f>
        <v>0</v>
      </c>
      <c r="AO14" s="134">
        <f t="shared" si="18"/>
        <v>0.45773069449488268</v>
      </c>
      <c r="AP14" s="134">
        <f t="shared" si="6"/>
        <v>0.45773069449488268</v>
      </c>
      <c r="AQ14" s="136" t="s">
        <v>113</v>
      </c>
      <c r="AR14" s="137">
        <f t="shared" si="7"/>
        <v>0</v>
      </c>
      <c r="AS14" s="137">
        <f t="shared" si="7"/>
        <v>6.5552363727221579</v>
      </c>
      <c r="AT14" s="137">
        <f t="shared" si="7"/>
        <v>53.183917579529364</v>
      </c>
      <c r="AU14" s="137">
        <f t="shared" si="7"/>
        <v>32.274033313822684</v>
      </c>
      <c r="AV14" s="137">
        <f t="shared" si="7"/>
        <v>0</v>
      </c>
      <c r="AW14" s="138">
        <f t="shared" si="7"/>
        <v>0</v>
      </c>
      <c r="AX14" s="137">
        <f t="shared" si="7"/>
        <v>7.9868127339257908</v>
      </c>
      <c r="AY14" s="137">
        <f t="shared" si="7"/>
        <v>7.9868127339257908</v>
      </c>
      <c r="AZ14" s="139" t="s">
        <v>113</v>
      </c>
      <c r="BA14" s="139" t="s">
        <v>113</v>
      </c>
      <c r="BB14" s="139" t="s">
        <v>113</v>
      </c>
      <c r="BC14" s="139" t="s">
        <v>113</v>
      </c>
      <c r="BD14" s="139" t="s">
        <v>113</v>
      </c>
      <c r="BE14" s="139" t="s">
        <v>113</v>
      </c>
      <c r="BF14" s="139" t="s">
        <v>113</v>
      </c>
      <c r="BG14" s="139" t="s">
        <v>113</v>
      </c>
      <c r="BH14" s="140">
        <f>'[43]2. Distributional by deciles o'!$B102</f>
        <v>17818946610.492012</v>
      </c>
      <c r="BI14" s="140">
        <f>'[43]2. Distributional by deciles o'!$B120</f>
        <v>12053822301.934803</v>
      </c>
      <c r="BJ14" s="140">
        <f>'[43]2. Distributional by deciles o'!$B138</f>
        <v>2044130952.0888</v>
      </c>
      <c r="BK14" s="140">
        <f>'[43]2. Distributional by deciles o'!$B156</f>
        <v>551362658.61360049</v>
      </c>
      <c r="BL14" s="141">
        <f t="shared" si="19"/>
        <v>0.54881121519201836</v>
      </c>
      <c r="BM14" s="141">
        <f t="shared" si="20"/>
        <v>0.37124937909283245</v>
      </c>
      <c r="BN14" s="141">
        <f t="shared" si="21"/>
        <v>6.2957817672954788E-2</v>
      </c>
      <c r="BO14" s="141">
        <f t="shared" si="21"/>
        <v>1.6981588042194427E-2</v>
      </c>
      <c r="BP14" s="139" t="s">
        <v>113</v>
      </c>
      <c r="BQ14" s="139" t="s">
        <v>113</v>
      </c>
      <c r="BR14" s="139" t="s">
        <v>113</v>
      </c>
      <c r="BS14" s="131">
        <f t="shared" si="22"/>
        <v>4.8513595143861661</v>
      </c>
      <c r="BT14" s="139"/>
      <c r="BU14" s="139"/>
      <c r="BV14" s="139"/>
      <c r="BW14" s="139"/>
      <c r="BX14" s="139"/>
      <c r="BY14" s="139"/>
      <c r="BZ14" s="139"/>
      <c r="CA14" s="139"/>
      <c r="CB14" s="139"/>
      <c r="CC14" s="142" t="s">
        <v>113</v>
      </c>
      <c r="CD14" s="142" t="s">
        <v>113</v>
      </c>
      <c r="CE14" s="142" t="s">
        <v>113</v>
      </c>
      <c r="CF14" s="142" t="s">
        <v>113</v>
      </c>
      <c r="CG14" s="142" t="s">
        <v>113</v>
      </c>
      <c r="CH14" s="142" t="s">
        <v>113</v>
      </c>
      <c r="CI14" s="142" t="s">
        <v>113</v>
      </c>
      <c r="CJ14" s="142"/>
      <c r="CK14" s="139" t="s">
        <v>113</v>
      </c>
      <c r="CL14" s="139" t="s">
        <v>113</v>
      </c>
      <c r="CM14" s="139" t="s">
        <v>113</v>
      </c>
      <c r="CN14" s="139" t="s">
        <v>113</v>
      </c>
      <c r="CO14" s="139" t="s">
        <v>113</v>
      </c>
      <c r="CP14" s="139" t="s">
        <v>113</v>
      </c>
      <c r="CQ14" s="139" t="s">
        <v>113</v>
      </c>
      <c r="CR14" s="139"/>
      <c r="CS14" s="143" t="s">
        <v>113</v>
      </c>
      <c r="CT14" s="143" t="s">
        <v>113</v>
      </c>
      <c r="CU14" s="143" t="s">
        <v>113</v>
      </c>
      <c r="CV14" s="143" t="s">
        <v>113</v>
      </c>
      <c r="CW14" s="143" t="s">
        <v>113</v>
      </c>
      <c r="CX14" s="143" t="s">
        <v>113</v>
      </c>
      <c r="CY14" s="143" t="s">
        <v>113</v>
      </c>
      <c r="CZ14" s="143"/>
      <c r="DA14" s="139" t="s">
        <v>113</v>
      </c>
      <c r="DB14" s="139" t="s">
        <v>113</v>
      </c>
      <c r="DC14" s="139" t="s">
        <v>113</v>
      </c>
      <c r="DD14" s="144">
        <f t="shared" si="23"/>
        <v>65.729198738319326</v>
      </c>
      <c r="DE14" s="145">
        <f>'[43]2. Distributional by deciles o'!$I30</f>
        <v>0.34270801261680672</v>
      </c>
      <c r="DF14" s="1"/>
      <c r="DG14" s="1"/>
      <c r="DH14" s="1"/>
      <c r="DI14" s="1"/>
      <c r="DJ14" s="1"/>
      <c r="DK14" s="1"/>
      <c r="DL14" s="1"/>
      <c r="DM14" s="1"/>
      <c r="DN14" s="1"/>
      <c r="DO14" s="1"/>
      <c r="DP14" s="1"/>
      <c r="DQ14" s="1"/>
      <c r="DR14" s="1"/>
      <c r="DS14" s="1"/>
      <c r="DT14" s="1"/>
      <c r="DU14" s="1"/>
      <c r="DV14" s="1"/>
      <c r="DW14" s="1"/>
      <c r="DX14" s="1"/>
      <c r="DY14" s="1"/>
      <c r="DZ14" s="1"/>
      <c r="EA14" s="146">
        <f>'[44]2. Distributional by deciles o'!$B66</f>
        <v>813122479.28400028</v>
      </c>
      <c r="EB14" s="146">
        <f>'[44]2. Distributional by deciles o'!$C66</f>
        <v>859848234.58079946</v>
      </c>
      <c r="EC14" s="146">
        <f>'[44]2. Distributional by deciles o'!$D66</f>
        <v>821531538.06480026</v>
      </c>
      <c r="ED14" s="147"/>
      <c r="EE14" s="147"/>
      <c r="EF14" s="147"/>
      <c r="EG14" s="129"/>
      <c r="EH14" s="122"/>
      <c r="EI14" s="130" t="s">
        <v>113</v>
      </c>
      <c r="EJ14" s="130" t="s">
        <v>113</v>
      </c>
      <c r="EK14" s="130" t="s">
        <v>113</v>
      </c>
      <c r="EL14" s="130" t="s">
        <v>113</v>
      </c>
      <c r="EM14" s="131">
        <f t="shared" si="9"/>
        <v>0.74998996662505835</v>
      </c>
      <c r="EN14" s="146">
        <f>'[45]2. Distributional by deciles o'!B84</f>
        <v>36487400962.576736</v>
      </c>
      <c r="EO14" s="146">
        <f>'[45]2. Distributional by deciles o'!C84</f>
        <v>36851535989.955658</v>
      </c>
      <c r="EP14" s="131">
        <f t="shared" si="10"/>
        <v>0.99797469201052813</v>
      </c>
      <c r="EQ14" s="130" t="s">
        <v>113</v>
      </c>
      <c r="ER14" s="130" t="s">
        <v>113</v>
      </c>
      <c r="ES14" s="130" t="s">
        <v>113</v>
      </c>
      <c r="ET14" s="130" t="s">
        <v>113</v>
      </c>
      <c r="EU14" s="131">
        <f t="shared" si="24"/>
        <v>4.8606065177663567</v>
      </c>
      <c r="EV14" s="132">
        <f t="shared" si="25"/>
        <v>5.758121634467301</v>
      </c>
      <c r="EW14" s="132">
        <f t="shared" si="26"/>
        <v>1.0362675356164552</v>
      </c>
      <c r="EX14" s="132"/>
      <c r="EY14" s="148">
        <f t="shared" si="11"/>
        <v>-0.97295920771356226</v>
      </c>
      <c r="EZ14" s="144">
        <f t="shared" si="27"/>
        <v>55.981109047612399</v>
      </c>
      <c r="FA14" s="145">
        <f>'[44]2. Distributional by deciles o'!$F30</f>
        <v>0.44018890952387602</v>
      </c>
      <c r="FB14" s="130" t="s">
        <v>113</v>
      </c>
      <c r="FC14" s="130" t="s">
        <v>113</v>
      </c>
      <c r="FD14" s="130" t="s">
        <v>113</v>
      </c>
      <c r="FE14" s="130" t="s">
        <v>113</v>
      </c>
      <c r="FF14" s="130" t="s">
        <v>113</v>
      </c>
      <c r="FG14" s="130" t="s">
        <v>113</v>
      </c>
      <c r="FH14" s="130" t="s">
        <v>113</v>
      </c>
      <c r="FI14" s="130" t="s">
        <v>113</v>
      </c>
      <c r="FJ14" s="1"/>
      <c r="FK14" s="1"/>
      <c r="FL14" s="1"/>
      <c r="FM14" s="1"/>
      <c r="FN14" s="1"/>
      <c r="FO14" s="1"/>
      <c r="FP14" s="1"/>
      <c r="FQ14" s="1"/>
    </row>
    <row r="15" spans="1:173" x14ac:dyDescent="0.3">
      <c r="A15" s="1"/>
      <c r="B15" s="28">
        <v>4</v>
      </c>
      <c r="C15" s="129">
        <f>'[43]2. Distributional by deciles o'!$B67</f>
        <v>1370029286.7263999</v>
      </c>
      <c r="D15" s="129">
        <f>'[43]2. Distributional by deciles o'!C67</f>
        <v>1439506297.4963989</v>
      </c>
      <c r="E15" s="129">
        <f>'[43]2. Distributional by deciles o'!D67</f>
        <v>1386287433.2591977</v>
      </c>
      <c r="F15" s="129">
        <f>'[43]2. Distributional by deciles o'!E67</f>
        <v>1433935386.7320011</v>
      </c>
      <c r="G15" s="129">
        <f>'[43]2. Distributional by deciles o'!F67</f>
        <v>1408921866.0456018</v>
      </c>
      <c r="H15" s="129">
        <f>'[43]2. Distributional by deciles o'!G67</f>
        <v>1390750669.9247999</v>
      </c>
      <c r="I15" s="129"/>
      <c r="J15" s="122"/>
      <c r="K15" s="130" t="s">
        <v>113</v>
      </c>
      <c r="L15" s="130" t="s">
        <v>113</v>
      </c>
      <c r="M15" s="130" t="s">
        <v>113</v>
      </c>
      <c r="N15" s="130" t="s">
        <v>113</v>
      </c>
      <c r="O15" s="131">
        <f t="shared" si="12"/>
        <v>1.5162511502918692</v>
      </c>
      <c r="P15" s="129">
        <f>'[43]2. Distributional by deciles o'!B85</f>
        <v>42434705366.727707</v>
      </c>
      <c r="Q15" s="129">
        <f>'[43]2. Distributional by deciles o'!C85</f>
        <v>42859030458.131989</v>
      </c>
      <c r="R15" s="131">
        <f t="shared" si="0"/>
        <v>0.99994824457292353</v>
      </c>
      <c r="S15" s="130" t="s">
        <v>113</v>
      </c>
      <c r="T15" s="130" t="s">
        <v>113</v>
      </c>
      <c r="U15" s="130" t="s">
        <v>113</v>
      </c>
      <c r="V15" s="130" t="s">
        <v>113</v>
      </c>
      <c r="W15" s="132">
        <f t="shared" si="13"/>
        <v>5.0714687227231074</v>
      </c>
      <c r="X15" s="132">
        <f t="shared" si="13"/>
        <v>1.1867620773652696</v>
      </c>
      <c r="Y15" s="132">
        <f t="shared" si="1"/>
        <v>4.6648205467925878</v>
      </c>
      <c r="Z15" s="132">
        <f t="shared" si="1"/>
        <v>2.838960648671601</v>
      </c>
      <c r="AA15" s="132">
        <f t="shared" si="1"/>
        <v>1.5125556729856313</v>
      </c>
      <c r="AB15" s="132">
        <f t="shared" si="14"/>
        <v>1.5125556729856313</v>
      </c>
      <c r="AC15" s="132">
        <f t="shared" si="14"/>
        <v>1.5125556729856313</v>
      </c>
      <c r="AD15" s="130" t="s">
        <v>113</v>
      </c>
      <c r="AE15" s="130" t="s">
        <v>113</v>
      </c>
      <c r="AF15" s="130" t="s">
        <v>113</v>
      </c>
      <c r="AG15" s="130" t="s">
        <v>113</v>
      </c>
      <c r="AH15" s="133">
        <f t="shared" si="2"/>
        <v>1</v>
      </c>
      <c r="AI15" s="134">
        <f t="shared" si="15"/>
        <v>0.18676207736526962</v>
      </c>
      <c r="AJ15" s="134">
        <f t="shared" si="3"/>
        <v>0.40664817593051961</v>
      </c>
      <c r="AK15" s="134">
        <f t="shared" si="4"/>
        <v>1.8258598981209868</v>
      </c>
      <c r="AL15" s="134">
        <f t="shared" si="16"/>
        <v>1.3264049756859697</v>
      </c>
      <c r="AM15" s="134">
        <f t="shared" si="17"/>
        <v>0</v>
      </c>
      <c r="AN15" s="135">
        <f t="shared" ref="AN15:AN22" si="28">IF(J15&lt;&gt;0,IF(W15&gt;1,MAX(MIN(AB15-AC15,W15-AH15-AJ15-AK15-AL15-AM15),0),0),0)</f>
        <v>0</v>
      </c>
      <c r="AO15" s="134">
        <f t="shared" si="18"/>
        <v>0.3257935956203617</v>
      </c>
      <c r="AP15" s="134">
        <f t="shared" si="6"/>
        <v>0.51255567298563132</v>
      </c>
      <c r="AQ15" s="136" t="s">
        <v>113</v>
      </c>
      <c r="AR15" s="137">
        <f t="shared" si="7"/>
        <v>4.5870935056663811</v>
      </c>
      <c r="AS15" s="137">
        <f t="shared" si="7"/>
        <v>9.9877514387128183</v>
      </c>
      <c r="AT15" s="137">
        <f t="shared" si="7"/>
        <v>44.845239456974205</v>
      </c>
      <c r="AU15" s="137">
        <f t="shared" si="7"/>
        <v>32.578046548244991</v>
      </c>
      <c r="AV15" s="137">
        <f t="shared" si="7"/>
        <v>0</v>
      </c>
      <c r="AW15" s="138">
        <f t="shared" si="7"/>
        <v>0</v>
      </c>
      <c r="AX15" s="137">
        <f t="shared" si="7"/>
        <v>8.0018690504016021</v>
      </c>
      <c r="AY15" s="137">
        <f t="shared" si="7"/>
        <v>12.588962556067981</v>
      </c>
      <c r="AZ15" s="139" t="s">
        <v>113</v>
      </c>
      <c r="BA15" s="139" t="s">
        <v>113</v>
      </c>
      <c r="BB15" s="139" t="s">
        <v>113</v>
      </c>
      <c r="BC15" s="139" t="s">
        <v>113</v>
      </c>
      <c r="BD15" s="139" t="s">
        <v>113</v>
      </c>
      <c r="BE15" s="139" t="s">
        <v>113</v>
      </c>
      <c r="BF15" s="139" t="s">
        <v>113</v>
      </c>
      <c r="BG15" s="139" t="s">
        <v>113</v>
      </c>
      <c r="BH15" s="140">
        <f>'[43]2. Distributional by deciles o'!$B103</f>
        <v>23942772153.992416</v>
      </c>
      <c r="BI15" s="140">
        <f>'[43]2. Distributional by deciles o'!$B121</f>
        <v>14659968554.212791</v>
      </c>
      <c r="BJ15" s="140">
        <f>'[43]2. Distributional by deciles o'!$B139</f>
        <v>3027101765.8967996</v>
      </c>
      <c r="BK15" s="140">
        <f>'[43]2. Distributional by deciles o'!$B157</f>
        <v>804877666.69920027</v>
      </c>
      <c r="BL15" s="141">
        <f t="shared" si="19"/>
        <v>0.56422599405743024</v>
      </c>
      <c r="BM15" s="141">
        <f t="shared" si="20"/>
        <v>0.34547107900252544</v>
      </c>
      <c r="BN15" s="141">
        <f t="shared" si="21"/>
        <v>7.1335494987422463E-2</v>
      </c>
      <c r="BO15" s="141">
        <f t="shared" si="21"/>
        <v>1.8967431952621884E-2</v>
      </c>
      <c r="BP15" s="139" t="s">
        <v>113</v>
      </c>
      <c r="BQ15" s="139" t="s">
        <v>113</v>
      </c>
      <c r="BR15" s="139" t="s">
        <v>113</v>
      </c>
      <c r="BS15" s="131">
        <f t="shared" si="22"/>
        <v>6.340533992893473</v>
      </c>
      <c r="BT15" s="139"/>
      <c r="BU15" s="139"/>
      <c r="BV15" s="139"/>
      <c r="BW15" s="139"/>
      <c r="BX15" s="139"/>
      <c r="BY15" s="139"/>
      <c r="BZ15" s="139"/>
      <c r="CA15" s="139"/>
      <c r="CB15" s="139"/>
      <c r="CC15" s="142" t="s">
        <v>113</v>
      </c>
      <c r="CD15" s="142" t="s">
        <v>113</v>
      </c>
      <c r="CE15" s="142" t="s">
        <v>113</v>
      </c>
      <c r="CF15" s="142" t="s">
        <v>113</v>
      </c>
      <c r="CG15" s="142" t="s">
        <v>113</v>
      </c>
      <c r="CH15" s="142" t="s">
        <v>113</v>
      </c>
      <c r="CI15" s="142" t="s">
        <v>113</v>
      </c>
      <c r="CJ15" s="142"/>
      <c r="CK15" s="139" t="s">
        <v>113</v>
      </c>
      <c r="CL15" s="139" t="s">
        <v>113</v>
      </c>
      <c r="CM15" s="139" t="s">
        <v>113</v>
      </c>
      <c r="CN15" s="139" t="s">
        <v>113</v>
      </c>
      <c r="CO15" s="139" t="s">
        <v>113</v>
      </c>
      <c r="CP15" s="139" t="s">
        <v>113</v>
      </c>
      <c r="CQ15" s="139" t="s">
        <v>113</v>
      </c>
      <c r="CR15" s="139"/>
      <c r="CS15" s="143" t="s">
        <v>113</v>
      </c>
      <c r="CT15" s="143" t="s">
        <v>113</v>
      </c>
      <c r="CU15" s="143" t="s">
        <v>113</v>
      </c>
      <c r="CV15" s="143" t="s">
        <v>113</v>
      </c>
      <c r="CW15" s="143" t="s">
        <v>113</v>
      </c>
      <c r="CX15" s="143" t="s">
        <v>113</v>
      </c>
      <c r="CY15" s="143" t="s">
        <v>113</v>
      </c>
      <c r="CZ15" s="143"/>
      <c r="DA15" s="139" t="s">
        <v>113</v>
      </c>
      <c r="DB15" s="139" t="s">
        <v>113</v>
      </c>
      <c r="DC15" s="139" t="s">
        <v>113</v>
      </c>
      <c r="DD15" s="144">
        <f t="shared" si="23"/>
        <v>38.32298938309642</v>
      </c>
      <c r="DE15" s="145">
        <f>'[43]2. Distributional by deciles o'!$I31</f>
        <v>0.61677010616903583</v>
      </c>
      <c r="DF15" s="1"/>
      <c r="DG15" s="1"/>
      <c r="DH15" s="1"/>
      <c r="DI15" s="1"/>
      <c r="DJ15" s="1"/>
      <c r="DK15" s="1"/>
      <c r="DL15" s="1"/>
      <c r="DM15" s="1"/>
      <c r="DN15" s="1"/>
      <c r="DO15" s="1"/>
      <c r="DP15" s="1"/>
      <c r="DQ15" s="1"/>
      <c r="DR15" s="1"/>
      <c r="DS15" s="1"/>
      <c r="DT15" s="1"/>
      <c r="DU15" s="1"/>
      <c r="DV15" s="1"/>
      <c r="DW15" s="1"/>
      <c r="DX15" s="1"/>
      <c r="DY15" s="1"/>
      <c r="DZ15" s="1"/>
      <c r="EA15" s="146">
        <f>'[44]2. Distributional by deciles o'!$B67</f>
        <v>1947143655.7320018</v>
      </c>
      <c r="EB15" s="146">
        <f>'[44]2. Distributional by deciles o'!$C67</f>
        <v>2036782651.7328024</v>
      </c>
      <c r="EC15" s="146">
        <f>'[44]2. Distributional by deciles o'!$D67</f>
        <v>1968514610.2548001</v>
      </c>
      <c r="ED15" s="147"/>
      <c r="EE15" s="147"/>
      <c r="EF15" s="147"/>
      <c r="EG15" s="129"/>
      <c r="EH15" s="122"/>
      <c r="EI15" s="130" t="s">
        <v>113</v>
      </c>
      <c r="EJ15" s="130" t="s">
        <v>113</v>
      </c>
      <c r="EK15" s="130" t="s">
        <v>113</v>
      </c>
      <c r="EL15" s="130" t="s">
        <v>113</v>
      </c>
      <c r="EM15" s="131">
        <f t="shared" si="9"/>
        <v>1.7959633912255721</v>
      </c>
      <c r="EN15" s="146">
        <f>'[45]2. Distributional by deciles o'!B85</f>
        <v>47846189619.280914</v>
      </c>
      <c r="EO15" s="146">
        <f>'[45]2. Distributional by deciles o'!C85</f>
        <v>48324646843.036781</v>
      </c>
      <c r="EP15" s="131">
        <f t="shared" si="10"/>
        <v>0.99999023446384339</v>
      </c>
      <c r="EQ15" s="130" t="s">
        <v>113</v>
      </c>
      <c r="ER15" s="130" t="s">
        <v>113</v>
      </c>
      <c r="ES15" s="130" t="s">
        <v>113</v>
      </c>
      <c r="ET15" s="130" t="s">
        <v>113</v>
      </c>
      <c r="EU15" s="131">
        <f t="shared" si="24"/>
        <v>6.3737480603863306</v>
      </c>
      <c r="EV15" s="132">
        <f t="shared" si="25"/>
        <v>4.6036598849973807</v>
      </c>
      <c r="EW15" s="132">
        <f t="shared" si="26"/>
        <v>1.0975647924462604</v>
      </c>
      <c r="EX15" s="132"/>
      <c r="EY15" s="148">
        <f t="shared" si="11"/>
        <v>-0.46780883772572679</v>
      </c>
      <c r="EZ15" s="144">
        <f t="shared" si="27"/>
        <v>26.252243365304818</v>
      </c>
      <c r="FA15" s="145">
        <f>'[44]2. Distributional by deciles o'!$F31</f>
        <v>0.73747756634695183</v>
      </c>
      <c r="FB15" s="130" t="s">
        <v>113</v>
      </c>
      <c r="FC15" s="130" t="s">
        <v>113</v>
      </c>
      <c r="FD15" s="130" t="s">
        <v>113</v>
      </c>
      <c r="FE15" s="130" t="s">
        <v>113</v>
      </c>
      <c r="FF15" s="130" t="s">
        <v>113</v>
      </c>
      <c r="FG15" s="130" t="s">
        <v>113</v>
      </c>
      <c r="FH15" s="130" t="s">
        <v>113</v>
      </c>
      <c r="FI15" s="130" t="s">
        <v>113</v>
      </c>
      <c r="FJ15" s="1"/>
      <c r="FK15" s="1"/>
      <c r="FL15" s="1"/>
      <c r="FM15" s="1"/>
      <c r="FN15" s="1"/>
      <c r="FO15" s="1"/>
      <c r="FP15" s="1"/>
      <c r="FQ15" s="1"/>
    </row>
    <row r="16" spans="1:173" x14ac:dyDescent="0.3">
      <c r="A16" s="1"/>
      <c r="B16" s="28">
        <v>5</v>
      </c>
      <c r="C16" s="129">
        <f>'[43]2. Distributional by deciles o'!$B68</f>
        <v>2919044429.443202</v>
      </c>
      <c r="D16" s="129">
        <f>'[43]2. Distributional by deciles o'!C68</f>
        <v>3039648762.2123966</v>
      </c>
      <c r="E16" s="129">
        <f>'[43]2. Distributional by deciles o'!D68</f>
        <v>2952135797.7672062</v>
      </c>
      <c r="F16" s="129">
        <f>'[43]2. Distributional by deciles o'!E68</f>
        <v>3028681925.5835986</v>
      </c>
      <c r="G16" s="129">
        <f>'[43]2. Distributional by deciles o'!F68</f>
        <v>2984781001.2084026</v>
      </c>
      <c r="H16" s="129">
        <f>'[43]2. Distributional by deciles o'!G68</f>
        <v>2958498585.2868042</v>
      </c>
      <c r="I16" s="129"/>
      <c r="J16" s="122"/>
      <c r="K16" s="130" t="s">
        <v>113</v>
      </c>
      <c r="L16" s="130" t="s">
        <v>113</v>
      </c>
      <c r="M16" s="130" t="s">
        <v>113</v>
      </c>
      <c r="N16" s="130" t="s">
        <v>113</v>
      </c>
      <c r="O16" s="131">
        <f t="shared" si="12"/>
        <v>3.2305911390200945</v>
      </c>
      <c r="P16" s="129">
        <f>'[43]2. Distributional by deciles o'!B86</f>
        <v>50837659554.445259</v>
      </c>
      <c r="Q16" s="129">
        <f>'[43]2. Distributional by deciles o'!C86</f>
        <v>51346018325.895592</v>
      </c>
      <c r="R16" s="131">
        <f t="shared" si="0"/>
        <v>0.99996493919216611</v>
      </c>
      <c r="S16" s="130" t="s">
        <v>113</v>
      </c>
      <c r="T16" s="130" t="s">
        <v>113</v>
      </c>
      <c r="U16" s="130" t="s">
        <v>113</v>
      </c>
      <c r="V16" s="130" t="s">
        <v>113</v>
      </c>
      <c r="W16" s="132">
        <f t="shared" si="13"/>
        <v>4.1317823115763526</v>
      </c>
      <c r="X16" s="132">
        <f t="shared" si="13"/>
        <v>1.1336767690480669</v>
      </c>
      <c r="Y16" s="132">
        <f t="shared" si="1"/>
        <v>3.7560695941607034</v>
      </c>
      <c r="Z16" s="132">
        <f t="shared" si="1"/>
        <v>2.2520683810167492</v>
      </c>
      <c r="AA16" s="132">
        <f t="shared" si="1"/>
        <v>1.3516594262392092</v>
      </c>
      <c r="AB16" s="132">
        <f t="shared" si="14"/>
        <v>1.3516594262392092</v>
      </c>
      <c r="AC16" s="132">
        <f t="shared" si="14"/>
        <v>1.3516594262392092</v>
      </c>
      <c r="AD16" s="130" t="s">
        <v>113</v>
      </c>
      <c r="AE16" s="130" t="s">
        <v>113</v>
      </c>
      <c r="AF16" s="130" t="s">
        <v>113</v>
      </c>
      <c r="AG16" s="130" t="s">
        <v>113</v>
      </c>
      <c r="AH16" s="133">
        <f t="shared" si="2"/>
        <v>1</v>
      </c>
      <c r="AI16" s="134">
        <f t="shared" si="15"/>
        <v>0.13367676904806647</v>
      </c>
      <c r="AJ16" s="134">
        <f t="shared" si="3"/>
        <v>0.37571271741564916</v>
      </c>
      <c r="AK16" s="134">
        <f t="shared" si="4"/>
        <v>1.5040012131439542</v>
      </c>
      <c r="AL16" s="134">
        <f t="shared" si="16"/>
        <v>0.90040895477754002</v>
      </c>
      <c r="AM16" s="134">
        <f t="shared" si="17"/>
        <v>0</v>
      </c>
      <c r="AN16" s="135">
        <f t="shared" si="28"/>
        <v>0</v>
      </c>
      <c r="AO16" s="134">
        <f t="shared" si="18"/>
        <v>0.21798265719114229</v>
      </c>
      <c r="AP16" s="134">
        <f t="shared" si="6"/>
        <v>0.35165942623920876</v>
      </c>
      <c r="AQ16" s="136" t="s">
        <v>113</v>
      </c>
      <c r="AR16" s="137">
        <f t="shared" si="7"/>
        <v>4.2683927472845822</v>
      </c>
      <c r="AS16" s="137">
        <f t="shared" si="7"/>
        <v>11.996769891280783</v>
      </c>
      <c r="AT16" s="137">
        <f t="shared" si="7"/>
        <v>48.023810837188414</v>
      </c>
      <c r="AU16" s="137">
        <f t="shared" si="7"/>
        <v>28.750687793633006</v>
      </c>
      <c r="AV16" s="137">
        <f t="shared" si="7"/>
        <v>0</v>
      </c>
      <c r="AW16" s="138">
        <f t="shared" si="7"/>
        <v>0</v>
      </c>
      <c r="AX16" s="137">
        <f t="shared" si="7"/>
        <v>6.9603387306132021</v>
      </c>
      <c r="AY16" s="137">
        <f t="shared" si="7"/>
        <v>11.228731477897783</v>
      </c>
      <c r="AZ16" s="139" t="s">
        <v>113</v>
      </c>
      <c r="BA16" s="139" t="s">
        <v>113</v>
      </c>
      <c r="BB16" s="139" t="s">
        <v>113</v>
      </c>
      <c r="BC16" s="139" t="s">
        <v>113</v>
      </c>
      <c r="BD16" s="139" t="s">
        <v>113</v>
      </c>
      <c r="BE16" s="139" t="s">
        <v>113</v>
      </c>
      <c r="BF16" s="139" t="s">
        <v>113</v>
      </c>
      <c r="BG16" s="139" t="s">
        <v>113</v>
      </c>
      <c r="BH16" s="140">
        <f>'[43]2. Distributional by deciles o'!$B104</f>
        <v>31985454066.312012</v>
      </c>
      <c r="BI16" s="140">
        <f>'[43]2. Distributional by deciles o'!$B122</f>
        <v>14408187810.936018</v>
      </c>
      <c r="BJ16" s="140">
        <f>'[43]2. Distributional by deciles o'!$B140</f>
        <v>3502313003.6412001</v>
      </c>
      <c r="BK16" s="140">
        <f>'[43]2. Distributional by deciles o'!$B158</f>
        <v>941721847.03559852</v>
      </c>
      <c r="BL16" s="141">
        <f t="shared" si="19"/>
        <v>0.62916828865908025</v>
      </c>
      <c r="BM16" s="141">
        <f t="shared" si="20"/>
        <v>0.2834155441061233</v>
      </c>
      <c r="BN16" s="141">
        <f t="shared" si="21"/>
        <v>6.8892074324816671E-2</v>
      </c>
      <c r="BO16" s="141">
        <f t="shared" si="21"/>
        <v>1.8524092909979823E-2</v>
      </c>
      <c r="BP16" s="139" t="s">
        <v>113</v>
      </c>
      <c r="BQ16" s="139" t="s">
        <v>113</v>
      </c>
      <c r="BR16" s="139" t="s">
        <v>113</v>
      </c>
      <c r="BS16" s="131">
        <f t="shared" si="22"/>
        <v>7.5960915891463978</v>
      </c>
      <c r="BT16" s="139"/>
      <c r="BU16" s="139"/>
      <c r="BV16" s="139"/>
      <c r="BW16" s="139"/>
      <c r="BX16" s="139"/>
      <c r="BY16" s="139"/>
      <c r="BZ16" s="139"/>
      <c r="CA16" s="139"/>
      <c r="CB16" s="139"/>
      <c r="CC16" s="142" t="s">
        <v>113</v>
      </c>
      <c r="CD16" s="142" t="s">
        <v>113</v>
      </c>
      <c r="CE16" s="142" t="s">
        <v>113</v>
      </c>
      <c r="CF16" s="142" t="s">
        <v>113</v>
      </c>
      <c r="CG16" s="142" t="s">
        <v>113</v>
      </c>
      <c r="CH16" s="142" t="s">
        <v>113</v>
      </c>
      <c r="CI16" s="142" t="s">
        <v>113</v>
      </c>
      <c r="CJ16" s="142"/>
      <c r="CK16" s="139" t="s">
        <v>113</v>
      </c>
      <c r="CL16" s="139" t="s">
        <v>113</v>
      </c>
      <c r="CM16" s="139" t="s">
        <v>113</v>
      </c>
      <c r="CN16" s="139" t="s">
        <v>113</v>
      </c>
      <c r="CO16" s="139" t="s">
        <v>113</v>
      </c>
      <c r="CP16" s="139" t="s">
        <v>113</v>
      </c>
      <c r="CQ16" s="139" t="s">
        <v>113</v>
      </c>
      <c r="CR16" s="139"/>
      <c r="CS16" s="143" t="s">
        <v>113</v>
      </c>
      <c r="CT16" s="143" t="s">
        <v>113</v>
      </c>
      <c r="CU16" s="143" t="s">
        <v>113</v>
      </c>
      <c r="CV16" s="143" t="s">
        <v>113</v>
      </c>
      <c r="CW16" s="143" t="s">
        <v>113</v>
      </c>
      <c r="CX16" s="143" t="s">
        <v>113</v>
      </c>
      <c r="CY16" s="143" t="s">
        <v>113</v>
      </c>
      <c r="CZ16" s="143"/>
      <c r="DA16" s="139" t="s">
        <v>113</v>
      </c>
      <c r="DB16" s="139" t="s">
        <v>113</v>
      </c>
      <c r="DC16" s="139" t="s">
        <v>113</v>
      </c>
      <c r="DD16" s="144">
        <f t="shared" si="23"/>
        <v>9.6812344067834903</v>
      </c>
      <c r="DE16" s="145">
        <f>'[43]2. Distributional by deciles o'!$I32</f>
        <v>0.9031876559321651</v>
      </c>
      <c r="DF16" s="1"/>
      <c r="DG16" s="1"/>
      <c r="DH16" s="1"/>
      <c r="DI16" s="1"/>
      <c r="DJ16" s="1"/>
      <c r="DK16" s="1"/>
      <c r="DL16" s="1"/>
      <c r="DM16" s="1"/>
      <c r="DN16" s="1"/>
      <c r="DO16" s="1"/>
      <c r="DP16" s="1"/>
      <c r="DQ16" s="1"/>
      <c r="DR16" s="1"/>
      <c r="DS16" s="1"/>
      <c r="DT16" s="1"/>
      <c r="DU16" s="1"/>
      <c r="DV16" s="1"/>
      <c r="DW16" s="1"/>
      <c r="DX16" s="1"/>
      <c r="DY16" s="1"/>
      <c r="DZ16" s="1"/>
      <c r="EA16" s="146">
        <f>'[44]2. Distributional by deciles o'!$B68</f>
        <v>3835586829.5579982</v>
      </c>
      <c r="EB16" s="146">
        <f>'[44]2. Distributional by deciles o'!$C68</f>
        <v>3978687888.2484069</v>
      </c>
      <c r="EC16" s="146">
        <f>'[44]2. Distributional by deciles o'!$D68</f>
        <v>3878293812.5531998</v>
      </c>
      <c r="ED16" s="147"/>
      <c r="EE16" s="147"/>
      <c r="EF16" s="147"/>
      <c r="EG16" s="129"/>
      <c r="EH16" s="122"/>
      <c r="EI16" s="130" t="s">
        <v>113</v>
      </c>
      <c r="EJ16" s="130" t="s">
        <v>113</v>
      </c>
      <c r="EK16" s="130" t="s">
        <v>113</v>
      </c>
      <c r="EL16" s="130" t="s">
        <v>113</v>
      </c>
      <c r="EM16" s="131">
        <f t="shared" si="9"/>
        <v>3.5377839274850311</v>
      </c>
      <c r="EN16" s="146">
        <f>'[45]2. Distributional by deciles o'!B86</f>
        <v>57013235598.309677</v>
      </c>
      <c r="EO16" s="146">
        <f>'[45]2. Distributional by deciles o'!C86</f>
        <v>57583365426.440483</v>
      </c>
      <c r="EP16" s="131">
        <f t="shared" si="10"/>
        <v>0.99999556620096186</v>
      </c>
      <c r="EQ16" s="130" t="s">
        <v>113</v>
      </c>
      <c r="ER16" s="130" t="s">
        <v>113</v>
      </c>
      <c r="ES16" s="130" t="s">
        <v>113</v>
      </c>
      <c r="ET16" s="130" t="s">
        <v>113</v>
      </c>
      <c r="EU16" s="131">
        <f t="shared" si="24"/>
        <v>7.5949203625744559</v>
      </c>
      <c r="EV16" s="132">
        <f t="shared" si="25"/>
        <v>3.7308943724537942</v>
      </c>
      <c r="EW16" s="132">
        <f t="shared" si="26"/>
        <v>1.1134455885891841</v>
      </c>
      <c r="EX16" s="132"/>
      <c r="EY16" s="148">
        <f t="shared" si="11"/>
        <v>-0.40088793912255838</v>
      </c>
      <c r="EZ16" s="144">
        <f t="shared" si="27"/>
        <v>4.161238076313678</v>
      </c>
      <c r="FA16" s="145">
        <f>'[44]2. Distributional by deciles o'!$F32</f>
        <v>0.95838761923686322</v>
      </c>
      <c r="FB16" s="130" t="s">
        <v>113</v>
      </c>
      <c r="FC16" s="130" t="s">
        <v>113</v>
      </c>
      <c r="FD16" s="130" t="s">
        <v>113</v>
      </c>
      <c r="FE16" s="130" t="s">
        <v>113</v>
      </c>
      <c r="FF16" s="130" t="s">
        <v>113</v>
      </c>
      <c r="FG16" s="130" t="s">
        <v>113</v>
      </c>
      <c r="FH16" s="130" t="s">
        <v>113</v>
      </c>
      <c r="FI16" s="130" t="s">
        <v>113</v>
      </c>
      <c r="FJ16" s="1"/>
      <c r="FK16" s="1"/>
      <c r="FL16" s="1"/>
      <c r="FM16" s="1"/>
      <c r="FN16" s="1"/>
      <c r="FO16" s="1"/>
      <c r="FP16" s="1"/>
      <c r="FQ16" s="1"/>
    </row>
    <row r="17" spans="1:173" x14ac:dyDescent="0.3">
      <c r="A17" s="1"/>
      <c r="B17" s="28">
        <v>6</v>
      </c>
      <c r="C17" s="129">
        <f>'[43]2. Distributional by deciles o'!$B69</f>
        <v>5281568309.1107998</v>
      </c>
      <c r="D17" s="129">
        <f>'[43]2. Distributional by deciles o'!C69</f>
        <v>5430063803.0783997</v>
      </c>
      <c r="E17" s="129">
        <f>'[43]2. Distributional by deciles o'!D69</f>
        <v>5339597338.8023977</v>
      </c>
      <c r="F17" s="129">
        <f>'[43]2. Distributional by deciles o'!E69</f>
        <v>5410036809.5903969</v>
      </c>
      <c r="G17" s="129">
        <f>'[43]2. Distributional by deciles o'!F69</f>
        <v>5376709845.4272032</v>
      </c>
      <c r="H17" s="129">
        <f>'[43]2. Distributional by deciles o'!G69</f>
        <v>5346191690.8859968</v>
      </c>
      <c r="I17" s="129"/>
      <c r="J17" s="122"/>
      <c r="K17" s="130" t="s">
        <v>113</v>
      </c>
      <c r="L17" s="130" t="s">
        <v>113</v>
      </c>
      <c r="M17" s="130" t="s">
        <v>113</v>
      </c>
      <c r="N17" s="130" t="s">
        <v>113</v>
      </c>
      <c r="O17" s="131">
        <f t="shared" si="12"/>
        <v>5.8452648433300229</v>
      </c>
      <c r="P17" s="129">
        <f>'[43]2. Distributional by deciles o'!B87</f>
        <v>60676364383.471184</v>
      </c>
      <c r="Q17" s="129">
        <f>'[43]2. Distributional by deciles o'!C87</f>
        <v>61283102866.717072</v>
      </c>
      <c r="R17" s="131">
        <f t="shared" si="0"/>
        <v>0.9999585331305294</v>
      </c>
      <c r="S17" s="130" t="s">
        <v>113</v>
      </c>
      <c r="T17" s="130" t="s">
        <v>113</v>
      </c>
      <c r="U17" s="130" t="s">
        <v>113</v>
      </c>
      <c r="V17" s="130" t="s">
        <v>113</v>
      </c>
      <c r="W17" s="132">
        <f t="shared" si="13"/>
        <v>2.8116961321894856</v>
      </c>
      <c r="X17" s="132">
        <f t="shared" si="13"/>
        <v>1.0987538677380642</v>
      </c>
      <c r="Y17" s="132">
        <f t="shared" si="1"/>
        <v>2.4324939178658131</v>
      </c>
      <c r="Z17" s="132">
        <f t="shared" si="1"/>
        <v>1.801462674212623</v>
      </c>
      <c r="AA17" s="132">
        <f t="shared" si="1"/>
        <v>1.2236149914823089</v>
      </c>
      <c r="AB17" s="132">
        <f t="shared" si="14"/>
        <v>1.2236149914823089</v>
      </c>
      <c r="AC17" s="132">
        <f t="shared" si="14"/>
        <v>1.2236149914823089</v>
      </c>
      <c r="AD17" s="130" t="s">
        <v>113</v>
      </c>
      <c r="AE17" s="130" t="s">
        <v>113</v>
      </c>
      <c r="AF17" s="130" t="s">
        <v>113</v>
      </c>
      <c r="AG17" s="130" t="s">
        <v>113</v>
      </c>
      <c r="AH17" s="133">
        <f t="shared" si="2"/>
        <v>1</v>
      </c>
      <c r="AI17" s="134">
        <f t="shared" si="15"/>
        <v>9.8753867738064383E-2</v>
      </c>
      <c r="AJ17" s="134">
        <f t="shared" si="3"/>
        <v>0.3792022143236724</v>
      </c>
      <c r="AK17" s="134">
        <f t="shared" si="4"/>
        <v>0.63103124365319019</v>
      </c>
      <c r="AL17" s="134">
        <f t="shared" si="16"/>
        <v>0.57784768273031406</v>
      </c>
      <c r="AM17" s="134">
        <f t="shared" si="17"/>
        <v>0</v>
      </c>
      <c r="AN17" s="135">
        <f t="shared" si="28"/>
        <v>0</v>
      </c>
      <c r="AO17" s="134">
        <f t="shared" si="18"/>
        <v>0.12486112374424474</v>
      </c>
      <c r="AP17" s="134">
        <f t="shared" si="6"/>
        <v>0.22361499148230912</v>
      </c>
      <c r="AQ17" s="136" t="s">
        <v>113</v>
      </c>
      <c r="AR17" s="137">
        <f t="shared" si="7"/>
        <v>5.4509068040410042</v>
      </c>
      <c r="AS17" s="137">
        <f t="shared" si="7"/>
        <v>20.930784560730718</v>
      </c>
      <c r="AT17" s="137">
        <f t="shared" si="7"/>
        <v>34.830964886510593</v>
      </c>
      <c r="AU17" s="137">
        <f t="shared" si="7"/>
        <v>31.895397493175025</v>
      </c>
      <c r="AV17" s="137">
        <f t="shared" si="7"/>
        <v>0</v>
      </c>
      <c r="AW17" s="138">
        <f t="shared" si="7"/>
        <v>0</v>
      </c>
      <c r="AX17" s="137">
        <f t="shared" si="7"/>
        <v>6.8919462555426758</v>
      </c>
      <c r="AY17" s="137">
        <f t="shared" si="7"/>
        <v>12.34285305958368</v>
      </c>
      <c r="AZ17" s="139" t="s">
        <v>113</v>
      </c>
      <c r="BA17" s="139" t="s">
        <v>113</v>
      </c>
      <c r="BB17" s="139" t="s">
        <v>113</v>
      </c>
      <c r="BC17" s="139" t="s">
        <v>113</v>
      </c>
      <c r="BD17" s="139" t="s">
        <v>113</v>
      </c>
      <c r="BE17" s="139" t="s">
        <v>113</v>
      </c>
      <c r="BF17" s="139" t="s">
        <v>113</v>
      </c>
      <c r="BG17" s="139" t="s">
        <v>113</v>
      </c>
      <c r="BH17" s="140">
        <f>'[43]2. Distributional by deciles o'!$B105</f>
        <v>39647345022.714035</v>
      </c>
      <c r="BI17" s="140">
        <f>'[43]2. Distributional by deciles o'!$B123</f>
        <v>16024476546.434387</v>
      </c>
      <c r="BJ17" s="140">
        <f>'[43]2. Distributional by deciles o'!$B141</f>
        <v>3495337340.1131983</v>
      </c>
      <c r="BK17" s="140">
        <f>'[43]2. Distributional by deciles o'!$B159</f>
        <v>1509226591.8684001</v>
      </c>
      <c r="BL17" s="141">
        <f t="shared" si="19"/>
        <v>0.65342298647594377</v>
      </c>
      <c r="BM17" s="141">
        <f t="shared" si="20"/>
        <v>0.26409741473700593</v>
      </c>
      <c r="BN17" s="141">
        <f t="shared" si="21"/>
        <v>5.7606222111699489E-2</v>
      </c>
      <c r="BO17" s="141">
        <f t="shared" si="21"/>
        <v>2.4873376675350788E-2</v>
      </c>
      <c r="BP17" s="139" t="s">
        <v>113</v>
      </c>
      <c r="BQ17" s="139" t="s">
        <v>113</v>
      </c>
      <c r="BR17" s="139" t="s">
        <v>113</v>
      </c>
      <c r="BS17" s="131">
        <f t="shared" si="22"/>
        <v>9.0661770268880524</v>
      </c>
      <c r="BT17" s="139"/>
      <c r="BU17" s="139"/>
      <c r="BV17" s="139"/>
      <c r="BW17" s="139"/>
      <c r="BX17" s="139"/>
      <c r="BY17" s="139"/>
      <c r="BZ17" s="139"/>
      <c r="CA17" s="139"/>
      <c r="CB17" s="139"/>
      <c r="CC17" s="142" t="s">
        <v>113</v>
      </c>
      <c r="CD17" s="142" t="s">
        <v>113</v>
      </c>
      <c r="CE17" s="142" t="s">
        <v>113</v>
      </c>
      <c r="CF17" s="142" t="s">
        <v>113</v>
      </c>
      <c r="CG17" s="142" t="s">
        <v>113</v>
      </c>
      <c r="CH17" s="142" t="s">
        <v>113</v>
      </c>
      <c r="CI17" s="142" t="s">
        <v>113</v>
      </c>
      <c r="CJ17" s="142"/>
      <c r="CK17" s="139" t="s">
        <v>113</v>
      </c>
      <c r="CL17" s="139" t="s">
        <v>113</v>
      </c>
      <c r="CM17" s="139" t="s">
        <v>113</v>
      </c>
      <c r="CN17" s="139" t="s">
        <v>113</v>
      </c>
      <c r="CO17" s="139" t="s">
        <v>113</v>
      </c>
      <c r="CP17" s="139" t="s">
        <v>113</v>
      </c>
      <c r="CQ17" s="139" t="s">
        <v>113</v>
      </c>
      <c r="CR17" s="139"/>
      <c r="CS17" s="143" t="s">
        <v>113</v>
      </c>
      <c r="CT17" s="143" t="s">
        <v>113</v>
      </c>
      <c r="CU17" s="143" t="s">
        <v>113</v>
      </c>
      <c r="CV17" s="143" t="s">
        <v>113</v>
      </c>
      <c r="CW17" s="143" t="s">
        <v>113</v>
      </c>
      <c r="CX17" s="143" t="s">
        <v>113</v>
      </c>
      <c r="CY17" s="143" t="s">
        <v>113</v>
      </c>
      <c r="CZ17" s="143"/>
      <c r="DA17" s="139" t="s">
        <v>113</v>
      </c>
      <c r="DB17" s="139" t="s">
        <v>113</v>
      </c>
      <c r="DC17" s="139" t="s">
        <v>113</v>
      </c>
      <c r="DD17" s="144">
        <f t="shared" si="23"/>
        <v>0.41195141326771934</v>
      </c>
      <c r="DE17" s="145">
        <f>'[43]2. Distributional by deciles o'!$I33</f>
        <v>0.99588048586732281</v>
      </c>
      <c r="DF17" s="1"/>
      <c r="DG17" s="1"/>
      <c r="DH17" s="1"/>
      <c r="DI17" s="1"/>
      <c r="DJ17" s="1"/>
      <c r="DK17" s="1"/>
      <c r="DL17" s="1"/>
      <c r="DM17" s="1"/>
      <c r="DN17" s="1"/>
      <c r="DO17" s="1"/>
      <c r="DP17" s="1"/>
      <c r="DQ17" s="1"/>
      <c r="DR17" s="1"/>
      <c r="DS17" s="1"/>
      <c r="DT17" s="1"/>
      <c r="DU17" s="1"/>
      <c r="DV17" s="1"/>
      <c r="DW17" s="1"/>
      <c r="DX17" s="1"/>
      <c r="DY17" s="1"/>
      <c r="DZ17" s="1"/>
      <c r="EA17" s="146">
        <f>'[44]2. Distributional by deciles o'!$B69</f>
        <v>6612938496.5735979</v>
      </c>
      <c r="EB17" s="146">
        <f>'[44]2. Distributional by deciles o'!$C69</f>
        <v>6792311959.1184063</v>
      </c>
      <c r="EC17" s="146">
        <f>'[44]2. Distributional by deciles o'!$D69</f>
        <v>6684181316.3952122</v>
      </c>
      <c r="ED17" s="147"/>
      <c r="EE17" s="147"/>
      <c r="EF17" s="147"/>
      <c r="EG17" s="129"/>
      <c r="EH17" s="122"/>
      <c r="EI17" s="130" t="s">
        <v>113</v>
      </c>
      <c r="EJ17" s="130" t="s">
        <v>113</v>
      </c>
      <c r="EK17" s="130" t="s">
        <v>113</v>
      </c>
      <c r="EL17" s="130" t="s">
        <v>113</v>
      </c>
      <c r="EM17" s="131">
        <f t="shared" si="9"/>
        <v>6.0994962612594765</v>
      </c>
      <c r="EN17" s="146">
        <f>'[45]2. Distributional by deciles o'!B87</f>
        <v>68221730624.894379</v>
      </c>
      <c r="EO17" s="146">
        <f>'[45]2. Distributional by deciles o'!C87</f>
        <v>68903952075.532867</v>
      </c>
      <c r="EP17" s="131">
        <f t="shared" si="10"/>
        <v>1.0000060748818651</v>
      </c>
      <c r="EQ17" s="130" t="s">
        <v>113</v>
      </c>
      <c r="ER17" s="130" t="s">
        <v>113</v>
      </c>
      <c r="ES17" s="130" t="s">
        <v>113</v>
      </c>
      <c r="ET17" s="130" t="s">
        <v>113</v>
      </c>
      <c r="EU17" s="131">
        <f t="shared" si="24"/>
        <v>9.0880407971169674</v>
      </c>
      <c r="EV17" s="132">
        <f t="shared" si="25"/>
        <v>2.7124458056244225</v>
      </c>
      <c r="EW17" s="132">
        <f t="shared" si="26"/>
        <v>1.0773181554530185</v>
      </c>
      <c r="EX17" s="132"/>
      <c r="EY17" s="148">
        <f t="shared" si="11"/>
        <v>-9.9250326565063052E-2</v>
      </c>
      <c r="EZ17" s="144">
        <f t="shared" si="27"/>
        <v>0.19887118156112216</v>
      </c>
      <c r="FA17" s="145">
        <f>'[44]2. Distributional by deciles o'!$F33</f>
        <v>0.99801128818438878</v>
      </c>
      <c r="FB17" s="130" t="s">
        <v>113</v>
      </c>
      <c r="FC17" s="130" t="s">
        <v>113</v>
      </c>
      <c r="FD17" s="130" t="s">
        <v>113</v>
      </c>
      <c r="FE17" s="130" t="s">
        <v>113</v>
      </c>
      <c r="FF17" s="130" t="s">
        <v>113</v>
      </c>
      <c r="FG17" s="130" t="s">
        <v>113</v>
      </c>
      <c r="FH17" s="130" t="s">
        <v>113</v>
      </c>
      <c r="FI17" s="130" t="s">
        <v>113</v>
      </c>
      <c r="FJ17" s="1"/>
      <c r="FK17" s="1"/>
      <c r="FL17" s="1"/>
      <c r="FM17" s="1"/>
      <c r="FN17" s="1"/>
      <c r="FO17" s="1"/>
      <c r="FP17" s="1"/>
      <c r="FQ17" s="1"/>
    </row>
    <row r="18" spans="1:173" x14ac:dyDescent="0.3">
      <c r="A18" s="1"/>
      <c r="B18" s="28">
        <v>7</v>
      </c>
      <c r="C18" s="129">
        <f>'[43]2. Distributional by deciles o'!$B70</f>
        <v>8256633416.8595905</v>
      </c>
      <c r="D18" s="129">
        <f>'[43]2. Distributional by deciles o'!C70</f>
        <v>8460934959.850791</v>
      </c>
      <c r="E18" s="129">
        <f>'[43]2. Distributional by deciles o'!D70</f>
        <v>8344387957.5768089</v>
      </c>
      <c r="F18" s="129">
        <f>'[43]2. Distributional by deciles o'!E70</f>
        <v>8429364866.802002</v>
      </c>
      <c r="G18" s="129">
        <f>'[43]2. Distributional by deciles o'!F70</f>
        <v>8391553736.6255865</v>
      </c>
      <c r="H18" s="129">
        <f>'[43]2. Distributional by deciles o'!G70</f>
        <v>8353980496.1951952</v>
      </c>
      <c r="I18" s="129"/>
      <c r="J18" s="122"/>
      <c r="K18" s="130" t="s">
        <v>113</v>
      </c>
      <c r="L18" s="130" t="s">
        <v>113</v>
      </c>
      <c r="M18" s="130" t="s">
        <v>113</v>
      </c>
      <c r="N18" s="130" t="s">
        <v>113</v>
      </c>
      <c r="O18" s="131">
        <f t="shared" si="12"/>
        <v>9.1378556919504437</v>
      </c>
      <c r="P18" s="129">
        <f>'[43]2. Distributional by deciles o'!B88</f>
        <v>73423024880.587326</v>
      </c>
      <c r="Q18" s="129">
        <f>'[43]2. Distributional by deciles o'!C88</f>
        <v>74157023546.030334</v>
      </c>
      <c r="R18" s="131">
        <f t="shared" si="0"/>
        <v>0.99968459027226508</v>
      </c>
      <c r="S18" s="130" t="s">
        <v>113</v>
      </c>
      <c r="T18" s="130" t="s">
        <v>113</v>
      </c>
      <c r="U18" s="130" t="s">
        <v>113</v>
      </c>
      <c r="V18" s="130" t="s">
        <v>113</v>
      </c>
      <c r="W18" s="132">
        <f t="shared" si="13"/>
        <v>2.4751734962454619</v>
      </c>
      <c r="X18" s="132">
        <f t="shared" si="13"/>
        <v>1.0631721629621156</v>
      </c>
      <c r="Y18" s="132">
        <f t="shared" si="1"/>
        <v>2.0926925005354522</v>
      </c>
      <c r="Z18" s="132">
        <f t="shared" si="1"/>
        <v>1.6345994978811282</v>
      </c>
      <c r="AA18" s="132">
        <f t="shared" si="1"/>
        <v>1.1793885997168951</v>
      </c>
      <c r="AB18" s="132">
        <f t="shared" si="14"/>
        <v>1.1793885997168951</v>
      </c>
      <c r="AC18" s="132">
        <f t="shared" si="14"/>
        <v>1.1793885997168951</v>
      </c>
      <c r="AD18" s="130" t="s">
        <v>113</v>
      </c>
      <c r="AE18" s="130" t="s">
        <v>113</v>
      </c>
      <c r="AF18" s="130" t="s">
        <v>113</v>
      </c>
      <c r="AG18" s="130" t="s">
        <v>113</v>
      </c>
      <c r="AH18" s="133">
        <f t="shared" si="2"/>
        <v>1</v>
      </c>
      <c r="AI18" s="134">
        <f t="shared" si="15"/>
        <v>6.3172162962115586E-2</v>
      </c>
      <c r="AJ18" s="134">
        <f t="shared" si="3"/>
        <v>0.38248099571000971</v>
      </c>
      <c r="AK18" s="134">
        <f t="shared" si="4"/>
        <v>0.45809300265432396</v>
      </c>
      <c r="AL18" s="134">
        <f t="shared" si="16"/>
        <v>0.4552108981642331</v>
      </c>
      <c r="AM18" s="134">
        <f t="shared" si="17"/>
        <v>0</v>
      </c>
      <c r="AN18" s="135">
        <f t="shared" si="28"/>
        <v>0</v>
      </c>
      <c r="AO18" s="134">
        <f t="shared" si="18"/>
        <v>0.11621643675477955</v>
      </c>
      <c r="AP18" s="134">
        <f t="shared" si="6"/>
        <v>0.17938859971689514</v>
      </c>
      <c r="AQ18" s="136" t="s">
        <v>113</v>
      </c>
      <c r="AR18" s="137">
        <f t="shared" si="7"/>
        <v>4.2823547957510231</v>
      </c>
      <c r="AS18" s="137">
        <f t="shared" si="7"/>
        <v>25.927865209311395</v>
      </c>
      <c r="AT18" s="137">
        <f t="shared" si="7"/>
        <v>31.053500067635397</v>
      </c>
      <c r="AU18" s="137">
        <f t="shared" si="7"/>
        <v>30.858126133828545</v>
      </c>
      <c r="AV18" s="137">
        <f t="shared" si="7"/>
        <v>0</v>
      </c>
      <c r="AW18" s="138">
        <f t="shared" si="7"/>
        <v>0</v>
      </c>
      <c r="AX18" s="137">
        <f t="shared" si="7"/>
        <v>7.8781537934736381</v>
      </c>
      <c r="AY18" s="137">
        <f t="shared" si="7"/>
        <v>12.160508589224662</v>
      </c>
      <c r="AZ18" s="139" t="s">
        <v>113</v>
      </c>
      <c r="BA18" s="139" t="s">
        <v>113</v>
      </c>
      <c r="BB18" s="139" t="s">
        <v>113</v>
      </c>
      <c r="BC18" s="139" t="s">
        <v>113</v>
      </c>
      <c r="BD18" s="139" t="s">
        <v>113</v>
      </c>
      <c r="BE18" s="139" t="s">
        <v>113</v>
      </c>
      <c r="BF18" s="139" t="s">
        <v>113</v>
      </c>
      <c r="BG18" s="139" t="s">
        <v>113</v>
      </c>
      <c r="BH18" s="140">
        <f>'[43]2. Distributional by deciles o'!$B106</f>
        <v>47547705332.248871</v>
      </c>
      <c r="BI18" s="140">
        <f>'[43]2. Distributional by deciles o'!$B124</f>
        <v>20778961893.177567</v>
      </c>
      <c r="BJ18" s="140">
        <f>'[43]2. Distributional by deciles o'!$B142</f>
        <v>3812103867.7379971</v>
      </c>
      <c r="BK18" s="140">
        <f>'[43]2. Distributional by deciles o'!$B160</f>
        <v>1284280642.0848014</v>
      </c>
      <c r="BL18" s="141">
        <f t="shared" si="19"/>
        <v>0.64758552264617975</v>
      </c>
      <c r="BM18" s="141">
        <f t="shared" si="20"/>
        <v>0.28300324492235612</v>
      </c>
      <c r="BN18" s="141">
        <f t="shared" si="21"/>
        <v>5.1919714281065038E-2</v>
      </c>
      <c r="BO18" s="141">
        <f t="shared" si="21"/>
        <v>1.7491518150399062E-2</v>
      </c>
      <c r="BP18" s="139" t="s">
        <v>113</v>
      </c>
      <c r="BQ18" s="139" t="s">
        <v>113</v>
      </c>
      <c r="BR18" s="139" t="s">
        <v>113</v>
      </c>
      <c r="BS18" s="131">
        <f t="shared" si="22"/>
        <v>10.970765110612732</v>
      </c>
      <c r="BT18" s="139"/>
      <c r="BU18" s="139"/>
      <c r="BV18" s="139"/>
      <c r="BW18" s="139"/>
      <c r="BX18" s="139"/>
      <c r="BY18" s="139"/>
      <c r="BZ18" s="139"/>
      <c r="CA18" s="139"/>
      <c r="CB18" s="139"/>
      <c r="CC18" s="142" t="s">
        <v>113</v>
      </c>
      <c r="CD18" s="142" t="s">
        <v>113</v>
      </c>
      <c r="CE18" s="142" t="s">
        <v>113</v>
      </c>
      <c r="CF18" s="142" t="s">
        <v>113</v>
      </c>
      <c r="CG18" s="142" t="s">
        <v>113</v>
      </c>
      <c r="CH18" s="142" t="s">
        <v>113</v>
      </c>
      <c r="CI18" s="142" t="s">
        <v>113</v>
      </c>
      <c r="CJ18" s="142"/>
      <c r="CK18" s="139" t="s">
        <v>113</v>
      </c>
      <c r="CL18" s="139" t="s">
        <v>113</v>
      </c>
      <c r="CM18" s="139" t="s">
        <v>113</v>
      </c>
      <c r="CN18" s="139" t="s">
        <v>113</v>
      </c>
      <c r="CO18" s="139" t="s">
        <v>113</v>
      </c>
      <c r="CP18" s="139" t="s">
        <v>113</v>
      </c>
      <c r="CQ18" s="139" t="s">
        <v>113</v>
      </c>
      <c r="CR18" s="139"/>
      <c r="CS18" s="143" t="s">
        <v>113</v>
      </c>
      <c r="CT18" s="143" t="s">
        <v>113</v>
      </c>
      <c r="CU18" s="143" t="s">
        <v>113</v>
      </c>
      <c r="CV18" s="143" t="s">
        <v>113</v>
      </c>
      <c r="CW18" s="143" t="s">
        <v>113</v>
      </c>
      <c r="CX18" s="143" t="s">
        <v>113</v>
      </c>
      <c r="CY18" s="143" t="s">
        <v>113</v>
      </c>
      <c r="CZ18" s="143"/>
      <c r="DA18" s="139" t="s">
        <v>113</v>
      </c>
      <c r="DB18" s="139" t="s">
        <v>113</v>
      </c>
      <c r="DC18" s="139" t="s">
        <v>113</v>
      </c>
      <c r="DD18" s="144">
        <f t="shared" si="23"/>
        <v>0</v>
      </c>
      <c r="DE18" s="145">
        <f>'[43]2. Distributional by deciles o'!$I34</f>
        <v>1</v>
      </c>
      <c r="DF18" s="1"/>
      <c r="DG18" s="1"/>
      <c r="DH18" s="1"/>
      <c r="DI18" s="1"/>
      <c r="DJ18" s="1"/>
      <c r="DK18" s="1"/>
      <c r="DL18" s="1"/>
      <c r="DM18" s="1"/>
      <c r="DN18" s="1"/>
      <c r="DO18" s="1"/>
      <c r="DP18" s="1"/>
      <c r="DQ18" s="1"/>
      <c r="DR18" s="1"/>
      <c r="DS18" s="1"/>
      <c r="DT18" s="1"/>
      <c r="DU18" s="1"/>
      <c r="DV18" s="1"/>
      <c r="DW18" s="1"/>
      <c r="DX18" s="1"/>
      <c r="DY18" s="1"/>
      <c r="DZ18" s="1"/>
      <c r="EA18" s="146">
        <f>'[44]2. Distributional by deciles o'!$B70</f>
        <v>10034225516.64599</v>
      </c>
      <c r="EB18" s="146">
        <f>'[44]2. Distributional by deciles o'!$C70</f>
        <v>10267847711.012379</v>
      </c>
      <c r="EC18" s="146">
        <f>'[44]2. Distributional by deciles o'!$D70</f>
        <v>10140589684.441196</v>
      </c>
      <c r="ED18" s="147"/>
      <c r="EE18" s="147"/>
      <c r="EF18" s="147"/>
      <c r="EG18" s="129"/>
      <c r="EH18" s="122"/>
      <c r="EI18" s="130" t="s">
        <v>113</v>
      </c>
      <c r="EJ18" s="130" t="s">
        <v>113</v>
      </c>
      <c r="EK18" s="130" t="s">
        <v>113</v>
      </c>
      <c r="EL18" s="130" t="s">
        <v>113</v>
      </c>
      <c r="EM18" s="131">
        <f t="shared" si="9"/>
        <v>9.2551474741718103</v>
      </c>
      <c r="EN18" s="146">
        <f>'[45]2. Distributional by deciles o'!B88</f>
        <v>82193019352.544464</v>
      </c>
      <c r="EO18" s="146">
        <f>'[45]2. Distributional by deciles o'!C88</f>
        <v>83014557583.234833</v>
      </c>
      <c r="EP18" s="131">
        <f t="shared" si="10"/>
        <v>0.99952311907001157</v>
      </c>
      <c r="EQ18" s="130" t="s">
        <v>113</v>
      </c>
      <c r="ER18" s="130" t="s">
        <v>113</v>
      </c>
      <c r="ES18" s="130" t="s">
        <v>113</v>
      </c>
      <c r="ET18" s="130" t="s">
        <v>113</v>
      </c>
      <c r="EU18" s="131">
        <f t="shared" si="24"/>
        <v>10.949202054419519</v>
      </c>
      <c r="EV18" s="132">
        <f t="shared" si="25"/>
        <v>2.3293642055642079</v>
      </c>
      <c r="EW18" s="132">
        <f t="shared" si="26"/>
        <v>1.0605194677189631</v>
      </c>
      <c r="EX18" s="132"/>
      <c r="EY18" s="148">
        <f t="shared" si="11"/>
        <v>-0.14580929068125403</v>
      </c>
      <c r="EZ18" s="144">
        <f t="shared" si="27"/>
        <v>0</v>
      </c>
      <c r="FA18" s="145">
        <f>'[44]2. Distributional by deciles o'!$F34</f>
        <v>1</v>
      </c>
      <c r="FB18" s="130" t="s">
        <v>113</v>
      </c>
      <c r="FC18" s="130" t="s">
        <v>113</v>
      </c>
      <c r="FD18" s="130" t="s">
        <v>113</v>
      </c>
      <c r="FE18" s="130" t="s">
        <v>113</v>
      </c>
      <c r="FF18" s="130" t="s">
        <v>113</v>
      </c>
      <c r="FG18" s="130" t="s">
        <v>113</v>
      </c>
      <c r="FH18" s="130" t="s">
        <v>113</v>
      </c>
      <c r="FI18" s="130" t="s">
        <v>113</v>
      </c>
      <c r="FJ18" s="1"/>
      <c r="FK18" s="1"/>
      <c r="FL18" s="1"/>
      <c r="FM18" s="1"/>
      <c r="FN18" s="1"/>
      <c r="FO18" s="1"/>
      <c r="FP18" s="1"/>
      <c r="FQ18" s="1"/>
    </row>
    <row r="19" spans="1:173" x14ac:dyDescent="0.3">
      <c r="A19" s="1"/>
      <c r="B19" s="28">
        <v>8</v>
      </c>
      <c r="C19" s="129">
        <f>'[43]2. Distributional by deciles o'!$B71</f>
        <v>11965980121.390781</v>
      </c>
      <c r="D19" s="129">
        <f>'[43]2. Distributional by deciles o'!C71</f>
        <v>12218519904.63361</v>
      </c>
      <c r="E19" s="129">
        <f>'[43]2. Distributional by deciles o'!D71</f>
        <v>12093082662.599997</v>
      </c>
      <c r="F19" s="129">
        <f>'[43]2. Distributional by deciles o'!E71</f>
        <v>12171307942.725594</v>
      </c>
      <c r="G19" s="129">
        <f>'[43]2. Distributional by deciles o'!F71</f>
        <v>12138739302.872402</v>
      </c>
      <c r="H19" s="129">
        <f>'[43]2. Distributional by deciles o'!G71</f>
        <v>12100382824.157993</v>
      </c>
      <c r="I19" s="129"/>
      <c r="J19" s="122"/>
      <c r="K19" s="130" t="s">
        <v>113</v>
      </c>
      <c r="L19" s="130" t="s">
        <v>113</v>
      </c>
      <c r="M19" s="130" t="s">
        <v>113</v>
      </c>
      <c r="N19" s="130" t="s">
        <v>113</v>
      </c>
      <c r="O19" s="131">
        <f t="shared" si="12"/>
        <v>13.243097282088778</v>
      </c>
      <c r="P19" s="129">
        <f>'[43]2. Distributional by deciles o'!B89</f>
        <v>87400793583.069733</v>
      </c>
      <c r="Q19" s="129">
        <f>'[43]2. Distributional by deciles o'!C89</f>
        <v>88274776019.345932</v>
      </c>
      <c r="R19" s="131">
        <f t="shared" si="0"/>
        <v>0.9999708245732597</v>
      </c>
      <c r="S19" s="130" t="s">
        <v>113</v>
      </c>
      <c r="T19" s="130" t="s">
        <v>113</v>
      </c>
      <c r="U19" s="130" t="s">
        <v>113</v>
      </c>
      <c r="V19" s="130" t="s">
        <v>113</v>
      </c>
      <c r="W19" s="132">
        <f t="shared" si="13"/>
        <v>2.1105429630647743</v>
      </c>
      <c r="X19" s="132">
        <f t="shared" si="13"/>
        <v>1.0622301583225007</v>
      </c>
      <c r="Y19" s="132">
        <f t="shared" si="1"/>
        <v>1.7159798859212629</v>
      </c>
      <c r="Z19" s="132">
        <f t="shared" si="1"/>
        <v>1.4437949937981482</v>
      </c>
      <c r="AA19" s="132">
        <f t="shared" si="1"/>
        <v>1.1232395739782162</v>
      </c>
      <c r="AB19" s="132">
        <f t="shared" si="14"/>
        <v>1.1232395739782162</v>
      </c>
      <c r="AC19" s="132">
        <f t="shared" si="14"/>
        <v>1.1232395739782162</v>
      </c>
      <c r="AD19" s="130" t="s">
        <v>113</v>
      </c>
      <c r="AE19" s="130" t="s">
        <v>113</v>
      </c>
      <c r="AF19" s="130" t="s">
        <v>113</v>
      </c>
      <c r="AG19" s="130" t="s">
        <v>113</v>
      </c>
      <c r="AH19" s="133">
        <f t="shared" si="2"/>
        <v>1</v>
      </c>
      <c r="AI19" s="134">
        <f t="shared" si="15"/>
        <v>6.2230158322500451E-2</v>
      </c>
      <c r="AJ19" s="134">
        <f t="shared" si="3"/>
        <v>0.39456307714351135</v>
      </c>
      <c r="AK19" s="134">
        <f t="shared" si="4"/>
        <v>0.2721848921231147</v>
      </c>
      <c r="AL19" s="134">
        <f t="shared" si="16"/>
        <v>0.32055541981993207</v>
      </c>
      <c r="AM19" s="134">
        <f t="shared" si="17"/>
        <v>0</v>
      </c>
      <c r="AN19" s="135">
        <f t="shared" si="28"/>
        <v>0</v>
      </c>
      <c r="AO19" s="134">
        <f t="shared" si="18"/>
        <v>6.1009415655715493E-2</v>
      </c>
      <c r="AP19" s="134">
        <f t="shared" si="6"/>
        <v>0.12323957397821594</v>
      </c>
      <c r="AQ19" s="136" t="s">
        <v>113</v>
      </c>
      <c r="AR19" s="137">
        <f t="shared" si="7"/>
        <v>5.6035795455191924</v>
      </c>
      <c r="AS19" s="137">
        <f t="shared" si="7"/>
        <v>35.528844021903708</v>
      </c>
      <c r="AT19" s="137">
        <f t="shared" si="7"/>
        <v>24.509172645780751</v>
      </c>
      <c r="AU19" s="137">
        <f t="shared" si="7"/>
        <v>28.864747288595904</v>
      </c>
      <c r="AV19" s="137">
        <f t="shared" si="7"/>
        <v>0</v>
      </c>
      <c r="AW19" s="138">
        <f t="shared" si="7"/>
        <v>0</v>
      </c>
      <c r="AX19" s="137">
        <f t="shared" si="7"/>
        <v>5.4936564982004228</v>
      </c>
      <c r="AY19" s="137">
        <f t="shared" si="7"/>
        <v>11.097236043719615</v>
      </c>
      <c r="AZ19" s="139" t="s">
        <v>113</v>
      </c>
      <c r="BA19" s="139" t="s">
        <v>113</v>
      </c>
      <c r="BB19" s="139" t="s">
        <v>113</v>
      </c>
      <c r="BC19" s="139" t="s">
        <v>113</v>
      </c>
      <c r="BD19" s="139" t="s">
        <v>113</v>
      </c>
      <c r="BE19" s="139" t="s">
        <v>113</v>
      </c>
      <c r="BF19" s="139" t="s">
        <v>113</v>
      </c>
      <c r="BG19" s="139" t="s">
        <v>113</v>
      </c>
      <c r="BH19" s="140">
        <f>'[43]2. Distributional by deciles o'!$B107</f>
        <v>61392967117.527451</v>
      </c>
      <c r="BI19" s="140">
        <f>'[43]2. Distributional by deciles o'!$B125</f>
        <v>20444724633.218361</v>
      </c>
      <c r="BJ19" s="140">
        <f>'[43]2. Distributional by deciles o'!$B143</f>
        <v>3579280688.4912033</v>
      </c>
      <c r="BK19" s="140">
        <f>'[43]2. Distributional by deciles o'!$B161</f>
        <v>1983834779.967597</v>
      </c>
      <c r="BL19" s="141">
        <f t="shared" si="19"/>
        <v>0.70243020712098803</v>
      </c>
      <c r="BM19" s="141">
        <f t="shared" si="20"/>
        <v>0.23391917401794926</v>
      </c>
      <c r="BN19" s="141">
        <f t="shared" si="21"/>
        <v>4.0952490055546381E-2</v>
      </c>
      <c r="BO19" s="141">
        <f t="shared" si="21"/>
        <v>2.2698128805516204E-2</v>
      </c>
      <c r="BP19" s="139" t="s">
        <v>113</v>
      </c>
      <c r="BQ19" s="139" t="s">
        <v>113</v>
      </c>
      <c r="BR19" s="139" t="s">
        <v>113</v>
      </c>
      <c r="BS19" s="131">
        <f t="shared" si="22"/>
        <v>13.059303650870458</v>
      </c>
      <c r="BT19" s="139"/>
      <c r="BU19" s="139"/>
      <c r="BV19" s="139"/>
      <c r="BW19" s="139"/>
      <c r="BX19" s="139"/>
      <c r="BY19" s="139"/>
      <c r="BZ19" s="139"/>
      <c r="CA19" s="139"/>
      <c r="CB19" s="139"/>
      <c r="CC19" s="142" t="s">
        <v>113</v>
      </c>
      <c r="CD19" s="142" t="s">
        <v>113</v>
      </c>
      <c r="CE19" s="142" t="s">
        <v>113</v>
      </c>
      <c r="CF19" s="142" t="s">
        <v>113</v>
      </c>
      <c r="CG19" s="142" t="s">
        <v>113</v>
      </c>
      <c r="CH19" s="142" t="s">
        <v>113</v>
      </c>
      <c r="CI19" s="142" t="s">
        <v>113</v>
      </c>
      <c r="CJ19" s="142"/>
      <c r="CK19" s="139" t="s">
        <v>113</v>
      </c>
      <c r="CL19" s="139" t="s">
        <v>113</v>
      </c>
      <c r="CM19" s="139" t="s">
        <v>113</v>
      </c>
      <c r="CN19" s="139" t="s">
        <v>113</v>
      </c>
      <c r="CO19" s="139" t="s">
        <v>113</v>
      </c>
      <c r="CP19" s="139" t="s">
        <v>113</v>
      </c>
      <c r="CQ19" s="139" t="s">
        <v>113</v>
      </c>
      <c r="CR19" s="139"/>
      <c r="CS19" s="143" t="s">
        <v>113</v>
      </c>
      <c r="CT19" s="143" t="s">
        <v>113</v>
      </c>
      <c r="CU19" s="143" t="s">
        <v>113</v>
      </c>
      <c r="CV19" s="143" t="s">
        <v>113</v>
      </c>
      <c r="CW19" s="143" t="s">
        <v>113</v>
      </c>
      <c r="CX19" s="143" t="s">
        <v>113</v>
      </c>
      <c r="CY19" s="143" t="s">
        <v>113</v>
      </c>
      <c r="CZ19" s="143"/>
      <c r="DA19" s="139" t="s">
        <v>113</v>
      </c>
      <c r="DB19" s="139" t="s">
        <v>113</v>
      </c>
      <c r="DC19" s="139" t="s">
        <v>113</v>
      </c>
      <c r="DD19" s="144">
        <f t="shared" si="23"/>
        <v>0</v>
      </c>
      <c r="DE19" s="145">
        <f>'[43]2. Distributional by deciles o'!$I35</f>
        <v>1</v>
      </c>
      <c r="DF19" s="1"/>
      <c r="DG19" s="1"/>
      <c r="DH19" s="1"/>
      <c r="DI19" s="1"/>
      <c r="DJ19" s="1"/>
      <c r="DK19" s="1"/>
      <c r="DL19" s="1"/>
      <c r="DM19" s="1"/>
      <c r="DN19" s="1"/>
      <c r="DO19" s="1"/>
      <c r="DP19" s="1"/>
      <c r="DQ19" s="1"/>
      <c r="DR19" s="1"/>
      <c r="DS19" s="1"/>
      <c r="DT19" s="1"/>
      <c r="DU19" s="1"/>
      <c r="DV19" s="1"/>
      <c r="DW19" s="1"/>
      <c r="DX19" s="1"/>
      <c r="DY19" s="1"/>
      <c r="DZ19" s="1"/>
      <c r="EA19" s="146">
        <f>'[44]2. Distributional by deciles o'!$B71</f>
        <v>14452747669.555187</v>
      </c>
      <c r="EB19" s="146">
        <f>'[44]2. Distributional by deciles o'!$C71</f>
        <v>14748172192.325974</v>
      </c>
      <c r="EC19" s="146">
        <f>'[44]2. Distributional by deciles o'!$D71</f>
        <v>14605709319.583229</v>
      </c>
      <c r="ED19" s="147"/>
      <c r="EE19" s="147"/>
      <c r="EF19" s="147"/>
      <c r="EG19" s="129"/>
      <c r="EH19" s="122"/>
      <c r="EI19" s="130" t="s">
        <v>113</v>
      </c>
      <c r="EJ19" s="130" t="s">
        <v>113</v>
      </c>
      <c r="EK19" s="130" t="s">
        <v>113</v>
      </c>
      <c r="EL19" s="130" t="s">
        <v>113</v>
      </c>
      <c r="EM19" s="131">
        <f t="shared" si="9"/>
        <v>13.330606419680826</v>
      </c>
      <c r="EN19" s="146">
        <f>'[45]2. Distributional by deciles o'!B89</f>
        <v>98001789584.96524</v>
      </c>
      <c r="EO19" s="146">
        <f>'[45]2. Distributional by deciles o'!C89</f>
        <v>98981804672.168472</v>
      </c>
      <c r="EP19" s="131">
        <f t="shared" si="10"/>
        <v>0.9999971340866054</v>
      </c>
      <c r="EQ19" s="130" t="s">
        <v>113</v>
      </c>
      <c r="ER19" s="130" t="s">
        <v>113</v>
      </c>
      <c r="ES19" s="130" t="s">
        <v>113</v>
      </c>
      <c r="ET19" s="130" t="s">
        <v>113</v>
      </c>
      <c r="EU19" s="131">
        <f t="shared" si="24"/>
        <v>13.055140257811596</v>
      </c>
      <c r="EV19" s="132">
        <f t="shared" si="25"/>
        <v>2.0440775428233984</v>
      </c>
      <c r="EW19" s="132">
        <f t="shared" si="26"/>
        <v>1.0583599181376118</v>
      </c>
      <c r="EX19" s="132"/>
      <c r="EY19" s="148">
        <f t="shared" si="11"/>
        <v>-6.6465420241375917E-2</v>
      </c>
      <c r="EZ19" s="144">
        <f t="shared" si="27"/>
        <v>0</v>
      </c>
      <c r="FA19" s="145">
        <f>'[44]2. Distributional by deciles o'!$F35</f>
        <v>1</v>
      </c>
      <c r="FB19" s="130" t="s">
        <v>113</v>
      </c>
      <c r="FC19" s="130" t="s">
        <v>113</v>
      </c>
      <c r="FD19" s="130" t="s">
        <v>113</v>
      </c>
      <c r="FE19" s="130" t="s">
        <v>113</v>
      </c>
      <c r="FF19" s="130" t="s">
        <v>113</v>
      </c>
      <c r="FG19" s="130" t="s">
        <v>113</v>
      </c>
      <c r="FH19" s="130" t="s">
        <v>113</v>
      </c>
      <c r="FI19" s="130" t="s">
        <v>113</v>
      </c>
      <c r="FJ19" s="1"/>
      <c r="FK19" s="1"/>
      <c r="FL19" s="1"/>
      <c r="FM19" s="1"/>
      <c r="FN19" s="1"/>
      <c r="FO19" s="1"/>
      <c r="FP19" s="1"/>
      <c r="FQ19" s="1"/>
    </row>
    <row r="20" spans="1:173" x14ac:dyDescent="0.3">
      <c r="A20" s="1"/>
      <c r="B20" s="28">
        <v>9</v>
      </c>
      <c r="C20" s="129">
        <f>'[43]2. Distributional by deciles o'!$B72</f>
        <v>18239034185.127598</v>
      </c>
      <c r="D20" s="129">
        <f>'[43]2. Distributional by deciles o'!C72</f>
        <v>18577783532.272778</v>
      </c>
      <c r="E20" s="129">
        <f>'[43]2. Distributional by deciles o'!D72</f>
        <v>18431016268.860001</v>
      </c>
      <c r="F20" s="129">
        <f>'[43]2. Distributional by deciles o'!E72</f>
        <v>18508116193.738762</v>
      </c>
      <c r="G20" s="129">
        <f>'[43]2. Distributional by deciles o'!F72</f>
        <v>18476637841.705212</v>
      </c>
      <c r="H20" s="129">
        <f>'[43]2. Distributional by deciles o'!G72</f>
        <v>18434192143.344009</v>
      </c>
      <c r="I20" s="129"/>
      <c r="J20" s="122"/>
      <c r="K20" s="130" t="s">
        <v>113</v>
      </c>
      <c r="L20" s="130" t="s">
        <v>113</v>
      </c>
      <c r="M20" s="130" t="s">
        <v>113</v>
      </c>
      <c r="N20" s="130" t="s">
        <v>113</v>
      </c>
      <c r="O20" s="131">
        <f t="shared" si="12"/>
        <v>20.185668168811375</v>
      </c>
      <c r="P20" s="129">
        <f>'[43]2. Distributional by deciles o'!B90</f>
        <v>111508472387.9498</v>
      </c>
      <c r="Q20" s="129">
        <f>'[43]2. Distributional by deciles o'!C90</f>
        <v>112623530980.90063</v>
      </c>
      <c r="R20" s="131">
        <f t="shared" si="0"/>
        <v>0.99997656597019535</v>
      </c>
      <c r="S20" s="130" t="s">
        <v>113</v>
      </c>
      <c r="T20" s="130" t="s">
        <v>113</v>
      </c>
      <c r="U20" s="130" t="s">
        <v>113</v>
      </c>
      <c r="V20" s="130" t="s">
        <v>113</v>
      </c>
      <c r="W20" s="132">
        <f t="shared" si="13"/>
        <v>1.8573203063007306</v>
      </c>
      <c r="X20" s="132">
        <f t="shared" si="13"/>
        <v>1.0526137557670354</v>
      </c>
      <c r="Y20" s="132">
        <f t="shared" si="1"/>
        <v>1.4753430017372497</v>
      </c>
      <c r="Z20" s="132">
        <f t="shared" si="1"/>
        <v>1.3027511342295643</v>
      </c>
      <c r="AA20" s="132">
        <f t="shared" si="1"/>
        <v>1.0700266783870276</v>
      </c>
      <c r="AB20" s="132">
        <f t="shared" si="14"/>
        <v>1.0700266783870276</v>
      </c>
      <c r="AC20" s="132">
        <f t="shared" si="14"/>
        <v>1.0700266783870276</v>
      </c>
      <c r="AD20" s="130" t="s">
        <v>113</v>
      </c>
      <c r="AE20" s="130" t="s">
        <v>113</v>
      </c>
      <c r="AF20" s="130" t="s">
        <v>113</v>
      </c>
      <c r="AG20" s="130" t="s">
        <v>113</v>
      </c>
      <c r="AH20" s="133">
        <f t="shared" si="2"/>
        <v>1</v>
      </c>
      <c r="AI20" s="134">
        <f t="shared" si="15"/>
        <v>5.2613755767035419E-2</v>
      </c>
      <c r="AJ20" s="134">
        <f t="shared" si="3"/>
        <v>0.38197730456348089</v>
      </c>
      <c r="AK20" s="134">
        <f t="shared" si="4"/>
        <v>0.1725918675076854</v>
      </c>
      <c r="AL20" s="134">
        <f t="shared" si="16"/>
        <v>0.23272445584253676</v>
      </c>
      <c r="AM20" s="134">
        <f t="shared" si="17"/>
        <v>0</v>
      </c>
      <c r="AN20" s="135">
        <f t="shared" si="28"/>
        <v>0</v>
      </c>
      <c r="AO20" s="134">
        <f t="shared" si="18"/>
        <v>1.7412922619992166E-2</v>
      </c>
      <c r="AP20" s="134">
        <f t="shared" si="6"/>
        <v>7.0026678387027586E-2</v>
      </c>
      <c r="AQ20" s="136" t="s">
        <v>113</v>
      </c>
      <c r="AR20" s="137">
        <f t="shared" si="7"/>
        <v>6.1370009995516863</v>
      </c>
      <c r="AS20" s="137">
        <f t="shared" si="7"/>
        <v>44.554794953088511</v>
      </c>
      <c r="AT20" s="137">
        <f t="shared" si="7"/>
        <v>20.131550161503309</v>
      </c>
      <c r="AU20" s="137">
        <f t="shared" si="7"/>
        <v>27.145566730680205</v>
      </c>
      <c r="AV20" s="137">
        <f t="shared" si="7"/>
        <v>0</v>
      </c>
      <c r="AW20" s="138">
        <f t="shared" si="7"/>
        <v>0</v>
      </c>
      <c r="AX20" s="137">
        <f t="shared" si="7"/>
        <v>2.0310871551762899</v>
      </c>
      <c r="AY20" s="137">
        <f t="shared" si="7"/>
        <v>8.1680881547279753</v>
      </c>
      <c r="AZ20" s="139" t="s">
        <v>113</v>
      </c>
      <c r="BA20" s="139" t="s">
        <v>113</v>
      </c>
      <c r="BB20" s="139" t="s">
        <v>113</v>
      </c>
      <c r="BC20" s="139" t="s">
        <v>113</v>
      </c>
      <c r="BD20" s="139" t="s">
        <v>113</v>
      </c>
      <c r="BE20" s="139" t="s">
        <v>113</v>
      </c>
      <c r="BF20" s="139" t="s">
        <v>113</v>
      </c>
      <c r="BG20" s="139" t="s">
        <v>113</v>
      </c>
      <c r="BH20" s="140">
        <f>'[43]2. Distributional by deciles o'!$B108</f>
        <v>76264177088.570374</v>
      </c>
      <c r="BI20" s="140">
        <f>'[43]2. Distributional by deciles o'!$B126</f>
        <v>26306696037.972</v>
      </c>
      <c r="BJ20" s="140">
        <f>'[43]2. Distributional by deciles o'!$B144</f>
        <v>5675836438.8971968</v>
      </c>
      <c r="BK20" s="140">
        <f>'[43]2. Distributional by deciles o'!$B162</f>
        <v>3261785173.9440022</v>
      </c>
      <c r="BL20" s="141">
        <f t="shared" si="19"/>
        <v>0.68393154500752762</v>
      </c>
      <c r="BM20" s="141">
        <f t="shared" si="20"/>
        <v>0.23591652007728847</v>
      </c>
      <c r="BN20" s="141">
        <f t="shared" si="21"/>
        <v>5.0900484776184085E-2</v>
      </c>
      <c r="BO20" s="141">
        <f t="shared" si="21"/>
        <v>2.9251450138999817E-2</v>
      </c>
      <c r="BP20" s="139" t="s">
        <v>113</v>
      </c>
      <c r="BQ20" s="139" t="s">
        <v>113</v>
      </c>
      <c r="BR20" s="139" t="s">
        <v>113</v>
      </c>
      <c r="BS20" s="131">
        <f t="shared" si="22"/>
        <v>16.661439111246505</v>
      </c>
      <c r="BT20" s="139"/>
      <c r="BU20" s="139"/>
      <c r="BV20" s="139"/>
      <c r="BW20" s="139"/>
      <c r="BX20" s="139"/>
      <c r="BY20" s="139"/>
      <c r="BZ20" s="139"/>
      <c r="CA20" s="139"/>
      <c r="CB20" s="139"/>
      <c r="CC20" s="142" t="s">
        <v>113</v>
      </c>
      <c r="CD20" s="142" t="s">
        <v>113</v>
      </c>
      <c r="CE20" s="142" t="s">
        <v>113</v>
      </c>
      <c r="CF20" s="142" t="s">
        <v>113</v>
      </c>
      <c r="CG20" s="142" t="s">
        <v>113</v>
      </c>
      <c r="CH20" s="142" t="s">
        <v>113</v>
      </c>
      <c r="CI20" s="142" t="s">
        <v>113</v>
      </c>
      <c r="CJ20" s="142"/>
      <c r="CK20" s="139" t="s">
        <v>113</v>
      </c>
      <c r="CL20" s="139" t="s">
        <v>113</v>
      </c>
      <c r="CM20" s="139" t="s">
        <v>113</v>
      </c>
      <c r="CN20" s="139" t="s">
        <v>113</v>
      </c>
      <c r="CO20" s="139" t="s">
        <v>113</v>
      </c>
      <c r="CP20" s="139" t="s">
        <v>113</v>
      </c>
      <c r="CQ20" s="139" t="s">
        <v>113</v>
      </c>
      <c r="CR20" s="139"/>
      <c r="CS20" s="143" t="s">
        <v>113</v>
      </c>
      <c r="CT20" s="143" t="s">
        <v>113</v>
      </c>
      <c r="CU20" s="143" t="s">
        <v>113</v>
      </c>
      <c r="CV20" s="143" t="s">
        <v>113</v>
      </c>
      <c r="CW20" s="143" t="s">
        <v>113</v>
      </c>
      <c r="CX20" s="143" t="s">
        <v>113</v>
      </c>
      <c r="CY20" s="143" t="s">
        <v>113</v>
      </c>
      <c r="CZ20" s="143"/>
      <c r="DA20" s="139" t="s">
        <v>113</v>
      </c>
      <c r="DB20" s="139" t="s">
        <v>113</v>
      </c>
      <c r="DC20" s="139" t="s">
        <v>113</v>
      </c>
      <c r="DD20" s="144">
        <f t="shared" si="23"/>
        <v>0</v>
      </c>
      <c r="DE20" s="145">
        <f>'[43]2. Distributional by deciles o'!$I36</f>
        <v>1</v>
      </c>
      <c r="DF20" s="1"/>
      <c r="DG20" s="1"/>
      <c r="DH20" s="1"/>
      <c r="DI20" s="1"/>
      <c r="DJ20" s="1"/>
      <c r="DK20" s="1"/>
      <c r="DL20" s="1"/>
      <c r="DM20" s="1"/>
      <c r="DN20" s="1"/>
      <c r="DO20" s="1"/>
      <c r="DP20" s="1"/>
      <c r="DQ20" s="1"/>
      <c r="DR20" s="1"/>
      <c r="DS20" s="1"/>
      <c r="DT20" s="1"/>
      <c r="DU20" s="1"/>
      <c r="DV20" s="1"/>
      <c r="DW20" s="1"/>
      <c r="DX20" s="1"/>
      <c r="DY20" s="1"/>
      <c r="DZ20" s="1"/>
      <c r="EA20" s="146">
        <f>'[44]2. Distributional by deciles o'!$B72</f>
        <v>21846345253.02124</v>
      </c>
      <c r="EB20" s="146">
        <f>'[44]2. Distributional by deciles o'!$C72</f>
        <v>22247016963.886799</v>
      </c>
      <c r="EC20" s="146">
        <f>'[44]2. Distributional by deciles o'!$D72</f>
        <v>22075277774.714375</v>
      </c>
      <c r="ED20" s="147"/>
      <c r="EE20" s="147"/>
      <c r="EF20" s="147"/>
      <c r="EG20" s="129"/>
      <c r="EH20" s="122"/>
      <c r="EI20" s="130" t="s">
        <v>113</v>
      </c>
      <c r="EJ20" s="130" t="s">
        <v>113</v>
      </c>
      <c r="EK20" s="130" t="s">
        <v>113</v>
      </c>
      <c r="EL20" s="130" t="s">
        <v>113</v>
      </c>
      <c r="EM20" s="131">
        <f t="shared" si="9"/>
        <v>20.150149780166458</v>
      </c>
      <c r="EN20" s="146">
        <f>'[45]2. Distributional by deciles o'!B90</f>
        <v>125280665614.27213</v>
      </c>
      <c r="EO20" s="146">
        <f>'[45]2. Distributional by deciles o'!C90</f>
        <v>126533474085.67078</v>
      </c>
      <c r="EP20" s="131">
        <f t="shared" si="10"/>
        <v>1.000001448951382</v>
      </c>
      <c r="EQ20" s="130" t="s">
        <v>113</v>
      </c>
      <c r="ER20" s="130" t="s">
        <v>113</v>
      </c>
      <c r="ES20" s="130" t="s">
        <v>113</v>
      </c>
      <c r="ET20" s="130" t="s">
        <v>113</v>
      </c>
      <c r="EU20" s="131">
        <f t="shared" si="24"/>
        <v>16.689048925666075</v>
      </c>
      <c r="EV20" s="132">
        <f t="shared" si="25"/>
        <v>1.8340419217587887</v>
      </c>
      <c r="EW20" s="132">
        <f t="shared" si="26"/>
        <v>1.047919857212094</v>
      </c>
      <c r="EX20" s="132"/>
      <c r="EY20" s="148">
        <f t="shared" si="11"/>
        <v>-2.3278384541941977E-2</v>
      </c>
      <c r="EZ20" s="144">
        <f t="shared" si="27"/>
        <v>0</v>
      </c>
      <c r="FA20" s="145">
        <f>'[44]2. Distributional by deciles o'!$F36</f>
        <v>1</v>
      </c>
      <c r="FB20" s="130" t="s">
        <v>113</v>
      </c>
      <c r="FC20" s="130" t="s">
        <v>113</v>
      </c>
      <c r="FD20" s="130" t="s">
        <v>113</v>
      </c>
      <c r="FE20" s="130" t="s">
        <v>113</v>
      </c>
      <c r="FF20" s="130" t="s">
        <v>113</v>
      </c>
      <c r="FG20" s="130" t="s">
        <v>113</v>
      </c>
      <c r="FH20" s="130" t="s">
        <v>113</v>
      </c>
      <c r="FI20" s="130" t="s">
        <v>113</v>
      </c>
      <c r="FJ20" s="1"/>
      <c r="FK20" s="1"/>
      <c r="FL20" s="1"/>
      <c r="FM20" s="1"/>
      <c r="FN20" s="1"/>
      <c r="FO20" s="1"/>
      <c r="FP20" s="1"/>
      <c r="FQ20" s="1"/>
    </row>
    <row r="21" spans="1:173" x14ac:dyDescent="0.3">
      <c r="A21" s="1"/>
      <c r="B21" s="33">
        <v>10</v>
      </c>
      <c r="C21" s="129">
        <f>'[43]2. Distributional by deciles o'!$B73</f>
        <v>41705216222.608803</v>
      </c>
      <c r="D21" s="129">
        <f>'[43]2. Distributional by deciles o'!C73</f>
        <v>42353338620.210007</v>
      </c>
      <c r="E21" s="129">
        <f>'[43]2. Distributional by deciles o'!D73</f>
        <v>42138166501.48674</v>
      </c>
      <c r="F21" s="129">
        <f>'[43]2. Distributional by deciles o'!E73</f>
        <v>42212796094.629532</v>
      </c>
      <c r="G21" s="129">
        <f>'[43]2. Distributional by deciles o'!F73</f>
        <v>42185291850.646828</v>
      </c>
      <c r="H21" s="129">
        <f>'[43]2. Distributional by deciles o'!G73</f>
        <v>42141910517.524696</v>
      </c>
      <c r="I21" s="149"/>
      <c r="J21" s="122"/>
      <c r="K21" s="130" t="s">
        <v>113</v>
      </c>
      <c r="L21" s="130" t="s">
        <v>113</v>
      </c>
      <c r="M21" s="130" t="s">
        <v>113</v>
      </c>
      <c r="N21" s="130" t="s">
        <v>113</v>
      </c>
      <c r="O21" s="131">
        <f t="shared" si="12"/>
        <v>46.156372482955618</v>
      </c>
      <c r="P21" s="129">
        <f>'[43]2. Distributional by deciles o'!B91</f>
        <v>179097584839.48199</v>
      </c>
      <c r="Q21" s="129">
        <f>'[43]2. Distributional by deciles o'!C91</f>
        <v>180888544955.41345</v>
      </c>
      <c r="R21" s="131">
        <f t="shared" si="0"/>
        <v>0.99999121570322203</v>
      </c>
      <c r="S21" s="130" t="s">
        <v>113</v>
      </c>
      <c r="T21" s="130" t="s">
        <v>113</v>
      </c>
      <c r="U21" s="130" t="s">
        <v>113</v>
      </c>
      <c r="V21" s="130" t="s">
        <v>113</v>
      </c>
      <c r="W21" s="132">
        <f t="shared" si="13"/>
        <v>1.5540696096411757</v>
      </c>
      <c r="X21" s="132">
        <f t="shared" si="13"/>
        <v>1.0381293307871089</v>
      </c>
      <c r="Y21" s="132">
        <f t="shared" si="1"/>
        <v>1.2170763678164656</v>
      </c>
      <c r="Z21" s="132">
        <f t="shared" si="1"/>
        <v>1.1511266184051248</v>
      </c>
      <c r="AA21" s="132">
        <f t="shared" si="1"/>
        <v>1.0471067424058587</v>
      </c>
      <c r="AB21" s="132">
        <f t="shared" si="14"/>
        <v>1.0471067424058587</v>
      </c>
      <c r="AC21" s="132">
        <f t="shared" si="14"/>
        <v>1.0471067424058587</v>
      </c>
      <c r="AD21" s="130" t="s">
        <v>113</v>
      </c>
      <c r="AE21" s="130" t="s">
        <v>113</v>
      </c>
      <c r="AF21" s="130" t="s">
        <v>113</v>
      </c>
      <c r="AG21" s="130" t="s">
        <v>113</v>
      </c>
      <c r="AH21" s="133">
        <f t="shared" si="2"/>
        <v>1</v>
      </c>
      <c r="AI21" s="134">
        <f t="shared" si="15"/>
        <v>3.8129330787108895E-2</v>
      </c>
      <c r="AJ21" s="134">
        <f t="shared" si="3"/>
        <v>0.33699324182471013</v>
      </c>
      <c r="AK21" s="134">
        <f>IF(W21&gt;1,MAX(MIN(Y21-Z21,W21-AH21-AJ21),0),0)</f>
        <v>6.5949749411340797E-2</v>
      </c>
      <c r="AL21" s="134">
        <f t="shared" si="16"/>
        <v>0.1040198759992661</v>
      </c>
      <c r="AM21" s="134">
        <f t="shared" si="17"/>
        <v>0</v>
      </c>
      <c r="AN21" s="135">
        <f t="shared" si="28"/>
        <v>0</v>
      </c>
      <c r="AO21" s="134">
        <f t="shared" si="18"/>
        <v>8.9774116187497643E-3</v>
      </c>
      <c r="AP21" s="134">
        <f t="shared" si="6"/>
        <v>4.7106742405858659E-2</v>
      </c>
      <c r="AQ21" s="136" t="s">
        <v>113</v>
      </c>
      <c r="AR21" s="137">
        <f t="shared" si="7"/>
        <v>6.881686005446511</v>
      </c>
      <c r="AS21" s="137">
        <f t="shared" si="7"/>
        <v>60.821462856075492</v>
      </c>
      <c r="AT21" s="137">
        <f t="shared" si="7"/>
        <v>11.902791321482315</v>
      </c>
      <c r="AU21" s="137">
        <f t="shared" si="7"/>
        <v>18.77379199097944</v>
      </c>
      <c r="AV21" s="137">
        <f t="shared" si="7"/>
        <v>0</v>
      </c>
      <c r="AW21" s="138">
        <f t="shared" si="7"/>
        <v>0</v>
      </c>
      <c r="AX21" s="137">
        <f t="shared" si="7"/>
        <v>1.6202678260162435</v>
      </c>
      <c r="AY21" s="137">
        <f t="shared" si="7"/>
        <v>8.5019538314627532</v>
      </c>
      <c r="AZ21" s="139" t="s">
        <v>113</v>
      </c>
      <c r="BA21" s="139" t="s">
        <v>113</v>
      </c>
      <c r="BB21" s="139" t="s">
        <v>113</v>
      </c>
      <c r="BC21" s="139" t="s">
        <v>113</v>
      </c>
      <c r="BD21" s="139" t="s">
        <v>113</v>
      </c>
      <c r="BE21" s="139" t="s">
        <v>113</v>
      </c>
      <c r="BF21" s="139" t="s">
        <v>113</v>
      </c>
      <c r="BG21" s="139" t="s">
        <v>113</v>
      </c>
      <c r="BH21" s="140">
        <f>'[43]2. Distributional by deciles o'!$B109</f>
        <v>124912940732.19839</v>
      </c>
      <c r="BI21" s="140">
        <f>'[43]2. Distributional by deciles o'!$B127</f>
        <v>29680296606.380413</v>
      </c>
      <c r="BJ21" s="140">
        <f>'[43]2. Distributional by deciles o'!$B145</f>
        <v>14716019554.603168</v>
      </c>
      <c r="BK21" s="140">
        <f>'[43]2. Distributional by deciles o'!$B163</f>
        <v>9788362811.2356014</v>
      </c>
      <c r="BL21" s="141">
        <f t="shared" si="19"/>
        <v>0.697457291383071</v>
      </c>
      <c r="BM21" s="141">
        <f t="shared" si="20"/>
        <v>0.16572133485282903</v>
      </c>
      <c r="BN21" s="141">
        <f t="shared" si="21"/>
        <v>8.2167588708830772E-2</v>
      </c>
      <c r="BO21" s="141">
        <f t="shared" si="21"/>
        <v>5.4653785055269299E-2</v>
      </c>
      <c r="BP21" s="139" t="s">
        <v>113</v>
      </c>
      <c r="BQ21" s="139" t="s">
        <v>113</v>
      </c>
      <c r="BR21" s="139" t="s">
        <v>113</v>
      </c>
      <c r="BS21" s="131">
        <f t="shared" si="22"/>
        <v>26.760509231913787</v>
      </c>
      <c r="BT21" s="139"/>
      <c r="BU21" s="139"/>
      <c r="BV21" s="139"/>
      <c r="BW21" s="139"/>
      <c r="BX21" s="139"/>
      <c r="BY21" s="139"/>
      <c r="BZ21" s="139"/>
      <c r="CA21" s="139"/>
      <c r="CB21" s="139"/>
      <c r="CC21" s="142" t="s">
        <v>113</v>
      </c>
      <c r="CD21" s="142" t="s">
        <v>113</v>
      </c>
      <c r="CE21" s="142" t="s">
        <v>113</v>
      </c>
      <c r="CF21" s="142" t="s">
        <v>113</v>
      </c>
      <c r="CG21" s="142" t="s">
        <v>113</v>
      </c>
      <c r="CH21" s="142" t="s">
        <v>113</v>
      </c>
      <c r="CI21" s="142" t="s">
        <v>113</v>
      </c>
      <c r="CJ21" s="142"/>
      <c r="CK21" s="139" t="s">
        <v>113</v>
      </c>
      <c r="CL21" s="139" t="s">
        <v>113</v>
      </c>
      <c r="CM21" s="139" t="s">
        <v>113</v>
      </c>
      <c r="CN21" s="139" t="s">
        <v>113</v>
      </c>
      <c r="CO21" s="139" t="s">
        <v>113</v>
      </c>
      <c r="CP21" s="139" t="s">
        <v>113</v>
      </c>
      <c r="CQ21" s="139" t="s">
        <v>113</v>
      </c>
      <c r="CR21" s="139"/>
      <c r="CS21" s="143" t="s">
        <v>113</v>
      </c>
      <c r="CT21" s="143" t="s">
        <v>113</v>
      </c>
      <c r="CU21" s="143" t="s">
        <v>113</v>
      </c>
      <c r="CV21" s="143" t="s">
        <v>113</v>
      </c>
      <c r="CW21" s="143" t="s">
        <v>113</v>
      </c>
      <c r="CX21" s="143" t="s">
        <v>113</v>
      </c>
      <c r="CY21" s="143" t="s">
        <v>113</v>
      </c>
      <c r="CZ21" s="143"/>
      <c r="DA21" s="139" t="s">
        <v>113</v>
      </c>
      <c r="DB21" s="139" t="s">
        <v>113</v>
      </c>
      <c r="DC21" s="139" t="s">
        <v>113</v>
      </c>
      <c r="DD21" s="144">
        <f t="shared" si="23"/>
        <v>0</v>
      </c>
      <c r="DE21" s="145">
        <f>'[43]2. Distributional by deciles o'!$I37</f>
        <v>1</v>
      </c>
      <c r="DF21" s="1"/>
      <c r="DG21" s="1"/>
      <c r="DH21" s="1"/>
      <c r="DI21" s="1"/>
      <c r="DJ21" s="1"/>
      <c r="DK21" s="1"/>
      <c r="DL21" s="1"/>
      <c r="DM21" s="1"/>
      <c r="DN21" s="1"/>
      <c r="DO21" s="1"/>
      <c r="DP21" s="1"/>
      <c r="DQ21" s="1"/>
      <c r="DR21" s="1"/>
      <c r="DS21" s="1"/>
      <c r="DT21" s="1"/>
      <c r="DU21" s="1"/>
      <c r="DV21" s="1"/>
      <c r="DW21" s="1"/>
      <c r="DX21" s="1"/>
      <c r="DY21" s="1"/>
      <c r="DZ21" s="1"/>
      <c r="EA21" s="146">
        <f>'[44]2. Distributional by deciles o'!$B73</f>
        <v>48668253835.502457</v>
      </c>
      <c r="EB21" s="146">
        <f>'[44]2. Distributional by deciles o'!$C73</f>
        <v>49410886193.42395</v>
      </c>
      <c r="EC21" s="146">
        <f>'[44]2. Distributional by deciles o'!$D73</f>
        <v>49170602591.111954</v>
      </c>
      <c r="ED21" s="147"/>
      <c r="EE21" s="147"/>
      <c r="EF21" s="147"/>
      <c r="EG21" s="129"/>
      <c r="EH21" s="122"/>
      <c r="EI21" s="130" t="s">
        <v>113</v>
      </c>
      <c r="EJ21" s="130" t="s">
        <v>113</v>
      </c>
      <c r="EK21" s="130" t="s">
        <v>113</v>
      </c>
      <c r="EL21" s="130" t="s">
        <v>113</v>
      </c>
      <c r="EM21" s="131">
        <f t="shared" si="9"/>
        <v>44.889549852230452</v>
      </c>
      <c r="EN21" s="146">
        <f>'[45]2. Distributional by deciles o'!B91</f>
        <v>200215516799.28973</v>
      </c>
      <c r="EO21" s="146">
        <f>'[45]2. Distributional by deciles o'!C91</f>
        <v>202217668442.35358</v>
      </c>
      <c r="EP21" s="131">
        <f t="shared" si="10"/>
        <v>0.99999823943264232</v>
      </c>
      <c r="EQ21" s="130" t="s">
        <v>113</v>
      </c>
      <c r="ER21" s="130" t="s">
        <v>113</v>
      </c>
      <c r="ES21" s="130" t="s">
        <v>113</v>
      </c>
      <c r="ET21" s="130" t="s">
        <v>113</v>
      </c>
      <c r="EU21" s="131">
        <f t="shared" si="24"/>
        <v>26.671366560493485</v>
      </c>
      <c r="EV21" s="132">
        <f t="shared" si="25"/>
        <v>1.5259098218073894</v>
      </c>
      <c r="EW21" s="132">
        <f t="shared" si="26"/>
        <v>1.0321916248070155</v>
      </c>
      <c r="EX21" s="132"/>
      <c r="EY21" s="148">
        <f t="shared" si="11"/>
        <v>-2.8159787833786254E-2</v>
      </c>
      <c r="EZ21" s="144">
        <f t="shared" si="27"/>
        <v>0</v>
      </c>
      <c r="FA21" s="145">
        <f>'[44]2. Distributional by deciles o'!$F37</f>
        <v>1</v>
      </c>
      <c r="FB21" s="130" t="s">
        <v>113</v>
      </c>
      <c r="FC21" s="130" t="s">
        <v>113</v>
      </c>
      <c r="FD21" s="130" t="s">
        <v>113</v>
      </c>
      <c r="FE21" s="130" t="s">
        <v>113</v>
      </c>
      <c r="FF21" s="130" t="s">
        <v>113</v>
      </c>
      <c r="FG21" s="130" t="s">
        <v>113</v>
      </c>
      <c r="FH21" s="130" t="s">
        <v>113</v>
      </c>
      <c r="FI21" s="130" t="s">
        <v>113</v>
      </c>
      <c r="FJ21" s="1"/>
      <c r="FK21" s="1"/>
      <c r="FL21" s="1"/>
      <c r="FM21" s="1"/>
      <c r="FN21" s="1"/>
      <c r="FO21" s="1"/>
      <c r="FP21" s="1"/>
      <c r="FQ21" s="1"/>
    </row>
    <row r="22" spans="1:173" ht="13.2" customHeight="1" x14ac:dyDescent="0.3">
      <c r="A22" s="1"/>
      <c r="B22" s="34" t="s">
        <v>114</v>
      </c>
      <c r="C22" s="150">
        <f>'[43]2. Distributional by deciles o'!$B74</f>
        <v>90356355967.985748</v>
      </c>
      <c r="D22" s="150">
        <f>'[43]2. Distributional by deciles o'!C74</f>
        <v>92180583444.15358</v>
      </c>
      <c r="E22" s="150">
        <f>'[43]2. Distributional by deciles o'!D74</f>
        <v>91308565101.420181</v>
      </c>
      <c r="F22" s="150">
        <f>'[43]2. Distributional by deciles o'!E74</f>
        <v>91852750767.434769</v>
      </c>
      <c r="G22" s="150">
        <f>'[43]2. Distributional by deciles o'!F74</f>
        <v>91601434344.490814</v>
      </c>
      <c r="H22" s="150">
        <f>'[43]2. Distributional by deciles o'!G74</f>
        <v>91352835090.796127</v>
      </c>
      <c r="I22" s="150"/>
      <c r="J22" s="122"/>
      <c r="K22" s="151">
        <f>'[46]1. Fiscal'!D$11</f>
        <v>91585263276.150818</v>
      </c>
      <c r="L22" s="151">
        <f>'[46]1. Fiscal'!E$11</f>
        <v>90780521451.982239</v>
      </c>
      <c r="M22" s="151">
        <f>'[46]1. Fiscal'!F$11</f>
        <v>90476868859.913986</v>
      </c>
      <c r="N22" s="151">
        <f>'[46]1. Fiscal'!G$11</f>
        <v>90404315793.611847</v>
      </c>
      <c r="O22" s="152" t="s">
        <v>113</v>
      </c>
      <c r="P22" s="150">
        <f>'[43]2. Distributional by deciles o'!B92</f>
        <v>669260750187.42749</v>
      </c>
      <c r="Q22" s="150">
        <f>'[43]2. Distributional by deciles o'!C92</f>
        <v>675952696757.63977</v>
      </c>
      <c r="R22" s="153">
        <f>(Q22/P22-1)*100</f>
        <v>0.99990124452065121</v>
      </c>
      <c r="S22" s="151">
        <f>'[46]2. Distributional by deciles o'!D$92</f>
        <v>673638324423.91235</v>
      </c>
      <c r="T22" s="151">
        <f>'[46]2. Distributional by deciles o'!E$92</f>
        <v>670935195177.16943</v>
      </c>
      <c r="U22" s="151">
        <f>'[46]2. Distributional by deciles o'!F$92</f>
        <v>669692399854.90417</v>
      </c>
      <c r="V22" s="151">
        <f>'[46]2. Distributional by deciles o'!G$92</f>
        <v>669468980857.73499</v>
      </c>
      <c r="W22" s="154">
        <f t="shared" si="13"/>
        <v>2.0191248605309946</v>
      </c>
      <c r="X22" s="154">
        <f t="shared" si="13"/>
        <v>1.0539415499765525</v>
      </c>
      <c r="Y22" s="154">
        <f t="shared" si="1"/>
        <v>1.6562670939941677</v>
      </c>
      <c r="Z22" s="154">
        <f t="shared" si="1"/>
        <v>1.3781004486304864</v>
      </c>
      <c r="AA22" s="154">
        <f t="shared" si="1"/>
        <v>1.1029412702922397</v>
      </c>
      <c r="AB22" s="154">
        <f t="shared" si="14"/>
        <v>1.1029412702922397</v>
      </c>
      <c r="AC22" s="154">
        <f t="shared" si="14"/>
        <v>1.1029412702922397</v>
      </c>
      <c r="AD22" s="155">
        <f>(K22/$C22-1) / (S22/$P22-1)</f>
        <v>2.0793244264470014</v>
      </c>
      <c r="AE22" s="155">
        <f>(L22/$C22-1) / (T22/$P22-1)</f>
        <v>1.8762948618205961</v>
      </c>
      <c r="AF22" s="155">
        <f>(M22/$C22-1) / (U22/$P22-1)</f>
        <v>2.0679438662368117</v>
      </c>
      <c r="AG22" s="155">
        <f>(N22/$C22-1) / (V22/$P22-1)</f>
        <v>1.7059627595037326</v>
      </c>
      <c r="AH22" s="156">
        <f t="shared" si="2"/>
        <v>1</v>
      </c>
      <c r="AI22" s="155">
        <f t="shared" si="15"/>
        <v>5.3941549976552539E-2</v>
      </c>
      <c r="AJ22" s="155">
        <f t="shared" si="3"/>
        <v>0.36285776653682689</v>
      </c>
      <c r="AK22" s="155">
        <f>IF(W22&gt;1,MAX(MIN(Y22-Z22,W22-AH22-AJ22),0),0)</f>
        <v>0.2781666453636813</v>
      </c>
      <c r="AL22" s="155">
        <f t="shared" si="16"/>
        <v>0.27515917833824677</v>
      </c>
      <c r="AM22" s="155">
        <f t="shared" si="17"/>
        <v>0</v>
      </c>
      <c r="AN22" s="157">
        <f t="shared" si="28"/>
        <v>0</v>
      </c>
      <c r="AO22" s="155">
        <f t="shared" si="18"/>
        <v>4.8999720315687112E-2</v>
      </c>
      <c r="AP22" s="155">
        <f t="shared" si="6"/>
        <v>0.10294127029223965</v>
      </c>
      <c r="AQ22" s="136" t="s">
        <v>113</v>
      </c>
      <c r="AR22" s="137">
        <f>AI22/($W22-1)*100</f>
        <v>5.2929284786995945</v>
      </c>
      <c r="AS22" s="137">
        <f t="shared" si="7"/>
        <v>35.604839072198388</v>
      </c>
      <c r="AT22" s="137">
        <f t="shared" si="7"/>
        <v>27.29465800871035</v>
      </c>
      <c r="AU22" s="137">
        <f t="shared" si="7"/>
        <v>26.99955510798555</v>
      </c>
      <c r="AV22" s="137">
        <f t="shared" si="7"/>
        <v>0</v>
      </c>
      <c r="AW22" s="138">
        <f t="shared" si="7"/>
        <v>0</v>
      </c>
      <c r="AX22" s="137">
        <f t="shared" si="7"/>
        <v>4.8080193324061185</v>
      </c>
      <c r="AY22" s="137">
        <f t="shared" si="7"/>
        <v>10.100947811105714</v>
      </c>
      <c r="AZ22" s="158">
        <v>1.88</v>
      </c>
      <c r="BA22" s="158">
        <v>1.93</v>
      </c>
      <c r="BB22" s="158">
        <v>1.48</v>
      </c>
      <c r="BC22" s="158">
        <v>1.83</v>
      </c>
      <c r="BD22" s="159">
        <f>W22-AZ22</f>
        <v>0.13912486053099471</v>
      </c>
      <c r="BE22" s="159">
        <f>AD22-BA22</f>
        <v>0.1493244264470015</v>
      </c>
      <c r="BF22" s="159">
        <f>AF22-BB22</f>
        <v>0.58794386623681172</v>
      </c>
      <c r="BG22" s="159">
        <f>AG22-BC22</f>
        <v>-0.12403724049626752</v>
      </c>
      <c r="BH22" s="160">
        <f>'[43]2. Distributional by deciles o'!$B110</f>
        <v>437770807632.15729</v>
      </c>
      <c r="BI22" s="140">
        <f>'[43]2. Distributional by deciles o'!$B128</f>
        <v>167497191436.32272</v>
      </c>
      <c r="BJ22" s="140">
        <f>'[43]2. Distributional by deciles o'!$B146</f>
        <v>43166427260.272919</v>
      </c>
      <c r="BK22" s="140">
        <f>'[43]2. Distributional by deciles o'!$B164</f>
        <v>20826498984.679176</v>
      </c>
      <c r="BL22" s="141">
        <f t="shared" si="19"/>
        <v>0.65411081250132441</v>
      </c>
      <c r="BM22" s="141">
        <f t="shared" si="20"/>
        <v>0.25027188216296875</v>
      </c>
      <c r="BN22" s="141">
        <f t="shared" si="21"/>
        <v>6.4498651613430102E-2</v>
      </c>
      <c r="BO22" s="141">
        <f t="shared" si="21"/>
        <v>3.1118653722276689E-2</v>
      </c>
      <c r="BP22" s="159">
        <f>(AD22*BL22+AF22*BN22+AG22*BO22)/(BL22+BN22+BO22)</f>
        <v>2.0628483961087243</v>
      </c>
      <c r="BQ22" s="159">
        <f>W22-BP22</f>
        <v>-4.3723535577729677E-2</v>
      </c>
      <c r="BR22" s="159">
        <f>BP22-AZ22</f>
        <v>0.18284839610872439</v>
      </c>
      <c r="BS22" s="152" t="s">
        <v>113</v>
      </c>
      <c r="BT22" s="161"/>
      <c r="BU22" s="161"/>
      <c r="BV22" s="161"/>
      <c r="BW22" s="161"/>
      <c r="BX22" s="162"/>
      <c r="BY22" s="162"/>
      <c r="BZ22" s="163"/>
      <c r="CA22" s="164"/>
      <c r="CB22" s="165"/>
      <c r="CC22" s="166"/>
      <c r="CD22" s="166"/>
      <c r="CE22" s="166"/>
      <c r="CF22" s="166"/>
      <c r="CG22" s="167"/>
      <c r="CH22" s="167"/>
      <c r="CI22" s="168"/>
      <c r="CJ22" s="169"/>
      <c r="CK22" s="161">
        <f>'[43]3. Inequality and Poverty'!$B$7</f>
        <v>0.38035212003317298</v>
      </c>
      <c r="CL22" s="161">
        <f>'[43]3. Inequality and Poverty'!$B$8</f>
        <v>0.337917962183859</v>
      </c>
      <c r="CM22" s="161">
        <f>'[43]3. Inequality and Poverty'!$C$7</f>
        <v>0.38035266767611903</v>
      </c>
      <c r="CN22" s="161">
        <f>'[43]3. Inequality and Poverty'!$C$8</f>
        <v>0.33778682698728202</v>
      </c>
      <c r="CO22" s="162">
        <f t="shared" ref="CO22" si="29">(CK22-CL22)/CK22</f>
        <v>0.11156545636084012</v>
      </c>
      <c r="CP22" s="162">
        <f>(CM22-CN22)/CM22</f>
        <v>0.11191150820344191</v>
      </c>
      <c r="CQ22" s="163">
        <f>(CP22-CO22)*100</f>
        <v>3.4605184260179389E-2</v>
      </c>
      <c r="CR22" s="165">
        <f>CN22-CL22</f>
        <v>-1.3113519657698136E-4</v>
      </c>
      <c r="CS22" s="170">
        <f>(SUM(P20:P21))/(SUM(P12:P13))</f>
        <v>9.2508748100889981</v>
      </c>
      <c r="CT22" s="170">
        <f>(SUM(P20:P21)-SUM(C20:C21))/(SUM(P12:P13)-SUM(C12:C13))</f>
        <v>7.3693904589705292</v>
      </c>
      <c r="CU22" s="170">
        <f>(SUM(Q20:Q21))/(SUM(Q12:Q13))</f>
        <v>9.2509577895722543</v>
      </c>
      <c r="CV22" s="170">
        <f>(SUM(Q20:Q21)-SUM(D20:D21))/(SUM(Q12:Q13)-SUM(D12:D13))</f>
        <v>7.3587866618095505</v>
      </c>
      <c r="CW22" s="162">
        <f>(CS22-CT22)/CS22</f>
        <v>0.20338447873778631</v>
      </c>
      <c r="CX22" s="162">
        <f>(CU22-CV22)/CU22</f>
        <v>0.20453786200338872</v>
      </c>
      <c r="CY22" s="163">
        <f>(CX22-CW22)*100</f>
        <v>0.1153383265602409</v>
      </c>
      <c r="CZ22" s="165">
        <f>CV22-CT22</f>
        <v>-1.0603797160978701E-2</v>
      </c>
      <c r="DA22" s="171">
        <f>'[43]3. Inequality and Poverty'!$B$34</f>
        <v>0.27724546457928501</v>
      </c>
      <c r="DB22" s="171">
        <f>'[43]3. Inequality and Poverty'!$C$34</f>
        <v>0.27488264516634198</v>
      </c>
      <c r="DC22" s="172">
        <f>DB22-DA22</f>
        <v>-2.3628194129430291E-3</v>
      </c>
      <c r="DD22" s="144">
        <f t="shared" si="23"/>
        <v>29.998414501270155</v>
      </c>
      <c r="DE22" s="145">
        <f>'[43]2. Distributional by deciles o'!$I38</f>
        <v>0.70001585498729846</v>
      </c>
      <c r="DF22" s="1"/>
      <c r="DG22" s="1"/>
      <c r="DH22" s="1"/>
      <c r="DI22" s="1"/>
      <c r="DJ22" s="1"/>
      <c r="DK22" s="1"/>
      <c r="DL22" s="1"/>
      <c r="DM22" s="1"/>
      <c r="DN22" s="1"/>
      <c r="DO22" s="1"/>
      <c r="DP22" s="1"/>
      <c r="DQ22" s="1"/>
      <c r="DR22" s="1"/>
      <c r="DS22" s="1"/>
      <c r="DT22" s="1"/>
      <c r="DU22" s="1"/>
      <c r="DV22" s="1"/>
      <c r="DW22" s="1"/>
      <c r="DX22" s="1"/>
      <c r="DY22" s="1"/>
      <c r="DZ22" s="1"/>
      <c r="EA22" s="151">
        <f>'[44]2. Distributional by deciles o'!$B74</f>
        <v>108417780966.19574</v>
      </c>
      <c r="EB22" s="151">
        <f>'[44]2. Distributional by deciles o'!$C74</f>
        <v>110562602250.29832</v>
      </c>
      <c r="EC22" s="151">
        <f>'[44]2. Distributional by deciles o'!$D74</f>
        <v>109552375889.31253</v>
      </c>
      <c r="ED22" s="173"/>
      <c r="EE22" s="173"/>
      <c r="EF22" s="173"/>
      <c r="EG22" s="150"/>
      <c r="EH22" s="123"/>
      <c r="EI22" s="151">
        <f>'[45]2. Distributional by deciles o'!D$74</f>
        <v>109869198024.08482</v>
      </c>
      <c r="EJ22" s="151">
        <f>'[45]2. Distributional by deciles o'!E$74</f>
        <v>108912443268.3658</v>
      </c>
      <c r="EK22" s="151">
        <f>'[45]2. Distributional by deciles o'!F$74</f>
        <v>108559047828.54753</v>
      </c>
      <c r="EL22" s="151">
        <f>'[45]2. Distributional by deciles o'!G$74</f>
        <v>108474297230.65674</v>
      </c>
      <c r="EM22" s="152" t="s">
        <v>113</v>
      </c>
      <c r="EN22" s="151">
        <f>'[45]2. Distributional by deciles o'!B92</f>
        <v>750675884361.52942</v>
      </c>
      <c r="EO22" s="151">
        <f>'[45]2. Distributional by deciles o'!C92</f>
        <v>758181206209.19043</v>
      </c>
      <c r="EP22" s="153">
        <f>(EO22/EN22-1)*100</f>
        <v>0.99980857304939885</v>
      </c>
      <c r="EQ22" s="151">
        <f>'[45]2. Distributional by deciles o'!D$92</f>
        <v>755581354662.88416</v>
      </c>
      <c r="ER22" s="151">
        <f>'[45]2. Distributional by deciles o'!E$92</f>
        <v>752545186568.72339</v>
      </c>
      <c r="ES22" s="151">
        <f>'[45]2. Distributional by deciles o'!F$92</f>
        <v>751161385063.28943</v>
      </c>
      <c r="ET22" s="151">
        <f>'[45]2. Distributional by deciles o'!G$92</f>
        <v>750920933289.31226</v>
      </c>
      <c r="EU22" s="152" t="s">
        <v>113</v>
      </c>
      <c r="EV22" s="154">
        <f t="shared" si="25"/>
        <v>1.9786716903751562</v>
      </c>
      <c r="EW22" s="154">
        <f t="shared" si="26"/>
        <v>1.0467029915519968</v>
      </c>
      <c r="EX22" s="174">
        <f>EW22-X22</f>
        <v>-7.2385584245557855E-3</v>
      </c>
      <c r="EY22" s="175">
        <f t="shared" si="11"/>
        <v>-4.045317015583838E-2</v>
      </c>
      <c r="EZ22" s="144">
        <f t="shared" si="27"/>
        <v>26.384798379222907</v>
      </c>
      <c r="FA22" s="176">
        <f>'[44]2. Distributional by deciles o'!$F38</f>
        <v>0.73615201620777093</v>
      </c>
      <c r="FB22" s="155">
        <f>(EI22/$EA22-1) / (EQ22/$EN22-1)</f>
        <v>2.0486299718305347</v>
      </c>
      <c r="FC22" s="155">
        <f>(EJ22/$EA22-1) / (ER22/$EN22-1)</f>
        <v>1.8322352987564074</v>
      </c>
      <c r="FD22" s="155">
        <f>(EK22/$EA22-1) / (ES22/$EN22-1)</f>
        <v>2.0146628926483077</v>
      </c>
      <c r="FE22" s="155">
        <f>(EL22/$EA22-1) / (ET22/$EN22-1)</f>
        <v>1.5968811420626978</v>
      </c>
      <c r="FF22" s="75">
        <f>FB22-AD22</f>
        <v>-3.0694454616466693E-2</v>
      </c>
      <c r="FG22" s="75">
        <f>FC22-AE22</f>
        <v>-4.4059563064188678E-2</v>
      </c>
      <c r="FH22" s="75">
        <f>FD22-AF22</f>
        <v>-5.3280973588504033E-2</v>
      </c>
      <c r="FI22" s="75">
        <f>FE22-AG22</f>
        <v>-0.10908161744103473</v>
      </c>
      <c r="FJ22" s="1"/>
      <c r="FK22" s="1"/>
      <c r="FL22" s="1"/>
      <c r="FM22" s="1"/>
      <c r="FN22" s="1"/>
      <c r="FO22" s="1"/>
      <c r="FP22" s="1"/>
      <c r="FQ22" s="1"/>
    </row>
    <row r="23" spans="1:173" x14ac:dyDescent="0.3">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c r="ET23" s="1"/>
      <c r="EU23" s="1"/>
      <c r="EV23" s="1"/>
      <c r="EW23" s="1"/>
      <c r="EX23" s="1"/>
      <c r="EY23" s="1"/>
      <c r="EZ23" s="1"/>
      <c r="FA23" s="1"/>
      <c r="FB23" s="1"/>
      <c r="FC23" s="1"/>
      <c r="FD23" s="1"/>
      <c r="FE23" s="1"/>
      <c r="FF23" s="1"/>
      <c r="FG23" s="1"/>
      <c r="FH23" s="1"/>
      <c r="FI23" s="1"/>
      <c r="FJ23" s="1"/>
      <c r="FK23" s="1"/>
      <c r="FL23" s="1"/>
      <c r="FM23" s="1"/>
      <c r="FN23" s="1"/>
      <c r="FO23" s="1"/>
      <c r="FP23" s="1"/>
      <c r="FQ23" s="1"/>
    </row>
    <row r="24" spans="1:173" x14ac:dyDescent="0.3">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c r="EJ24" s="1"/>
      <c r="EK24" s="1"/>
      <c r="EL24" s="1"/>
      <c r="EM24" s="1"/>
      <c r="EN24" s="1"/>
      <c r="EO24" s="1"/>
      <c r="EP24" s="1"/>
      <c r="EQ24" s="1"/>
      <c r="ER24" s="1"/>
      <c r="ES24" s="1"/>
      <c r="ET24" s="1"/>
      <c r="EU24" s="1"/>
      <c r="EV24" s="1"/>
      <c r="EW24" s="1"/>
      <c r="EX24" s="1"/>
      <c r="EY24" s="1"/>
      <c r="EZ24" s="1"/>
      <c r="FA24" s="1"/>
      <c r="FB24" s="1"/>
      <c r="FC24" s="1"/>
      <c r="FD24" s="1"/>
      <c r="FE24" s="1"/>
      <c r="FF24" s="1"/>
      <c r="FG24" s="1"/>
      <c r="FH24" s="1"/>
      <c r="FI24" s="1"/>
      <c r="FJ24" s="1"/>
      <c r="FK24" s="1"/>
      <c r="FL24" s="1"/>
      <c r="FM24" s="1"/>
      <c r="FN24" s="1"/>
      <c r="FO24" s="1"/>
      <c r="FP24" s="1"/>
      <c r="FQ24" s="1"/>
    </row>
    <row r="25" spans="1:173" x14ac:dyDescent="0.3">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Q25" s="1"/>
    </row>
    <row r="26" spans="1:173" x14ac:dyDescent="0.3">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c r="ER26" s="1"/>
      <c r="ES26" s="1"/>
      <c r="ET26" s="1"/>
      <c r="EU26" s="1"/>
      <c r="EV26" s="1"/>
      <c r="EW26" s="1"/>
      <c r="EX26" s="1"/>
      <c r="EY26" s="1"/>
      <c r="EZ26" s="1"/>
      <c r="FA26" s="1"/>
      <c r="FB26" s="1"/>
      <c r="FC26" s="1"/>
      <c r="FD26" s="1"/>
      <c r="FE26" s="1"/>
      <c r="FF26" s="1"/>
      <c r="FG26" s="1"/>
      <c r="FH26" s="1"/>
      <c r="FI26" s="1"/>
      <c r="FJ26" s="1"/>
      <c r="FK26" s="1"/>
      <c r="FL26" s="1"/>
      <c r="FM26" s="1"/>
      <c r="FN26" s="1"/>
      <c r="FO26" s="1"/>
      <c r="FP26" s="1"/>
      <c r="FQ26" s="1"/>
    </row>
    <row r="27" spans="1:173" x14ac:dyDescent="0.3">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c r="CW27" s="1"/>
      <c r="CX27" s="1"/>
      <c r="CY27" s="1"/>
      <c r="CZ27" s="1"/>
      <c r="DA27" s="1"/>
      <c r="DB27" s="1"/>
      <c r="DC27" s="1"/>
      <c r="DD27" s="1"/>
      <c r="DE27" s="1"/>
      <c r="DF27" s="1"/>
      <c r="DG27" s="1"/>
      <c r="DH27" s="1"/>
      <c r="DI27" s="1"/>
      <c r="DJ27" s="1"/>
      <c r="DK27" s="1"/>
      <c r="DL27" s="1"/>
      <c r="DM27" s="1"/>
      <c r="DN27" s="1"/>
      <c r="DO27" s="1"/>
      <c r="DP27" s="1"/>
      <c r="DQ27" s="1"/>
      <c r="DR27" s="1"/>
      <c r="DS27" s="1"/>
      <c r="DT27" s="1"/>
      <c r="DU27" s="1"/>
      <c r="DV27" s="1"/>
      <c r="DW27" s="1"/>
      <c r="DX27" s="1"/>
      <c r="DY27" s="1"/>
      <c r="DZ27" s="1"/>
      <c r="EA27" s="1"/>
      <c r="EB27" s="1"/>
      <c r="EC27" s="1"/>
      <c r="ED27" s="1"/>
      <c r="EE27" s="1"/>
      <c r="EF27" s="1"/>
      <c r="EG27" s="1"/>
      <c r="EH27" s="1"/>
      <c r="EI27" s="1"/>
      <c r="EJ27" s="1"/>
      <c r="EK27" s="1"/>
      <c r="EL27" s="1"/>
      <c r="EM27" s="1"/>
      <c r="EN27" s="1"/>
      <c r="EO27" s="1"/>
      <c r="EP27" s="1"/>
      <c r="EQ27" s="1"/>
      <c r="ER27" s="1"/>
      <c r="ES27" s="1"/>
      <c r="ET27" s="1"/>
      <c r="EU27" s="1"/>
      <c r="EV27" s="1"/>
      <c r="EW27" s="1"/>
      <c r="EX27" s="1"/>
      <c r="EY27" s="1"/>
      <c r="EZ27" s="1"/>
      <c r="FA27" s="1"/>
      <c r="FB27" s="1"/>
      <c r="FC27" s="1"/>
      <c r="FD27" s="1"/>
      <c r="FE27" s="1"/>
      <c r="FF27" s="1"/>
      <c r="FG27" s="1"/>
      <c r="FH27" s="1"/>
      <c r="FI27" s="1"/>
      <c r="FJ27" s="1"/>
      <c r="FK27" s="1"/>
      <c r="FL27" s="1"/>
      <c r="FM27" s="1"/>
      <c r="FN27" s="1"/>
      <c r="FO27" s="1"/>
      <c r="FP27" s="1"/>
      <c r="FQ27" s="1"/>
    </row>
  </sheetData>
  <pageMargins left="0.7" right="0.7" top="0.75" bottom="0.75" header="0.3" footer="0.3"/>
  <pageSetup paperSize="9" orientation="portrait" r:id="rId1"/>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8DA7F-7807-45CE-9ECD-054EBBAF8EBF}">
  <dimension ref="A1:BN121"/>
  <sheetViews>
    <sheetView zoomScale="70" zoomScaleNormal="70" workbookViewId="0">
      <selection activeCell="O4" sqref="O4"/>
    </sheetView>
  </sheetViews>
  <sheetFormatPr baseColWidth="10" defaultColWidth="8.6640625" defaultRowHeight="14.4" x14ac:dyDescent="0.3"/>
  <cols>
    <col min="1" max="1" width="4.33203125" customWidth="1"/>
    <col min="3" max="3" width="17.33203125" customWidth="1"/>
    <col min="4" max="4" width="15.6640625" customWidth="1"/>
    <col min="5" max="5" width="16.33203125" customWidth="1"/>
    <col min="6" max="6" width="15.6640625" customWidth="1"/>
    <col min="7" max="7" width="16" customWidth="1"/>
    <col min="8" max="8" width="19" customWidth="1"/>
    <col min="9" max="12" width="17" customWidth="1"/>
    <col min="13" max="13" width="17.33203125" customWidth="1"/>
    <col min="14" max="18" width="16.33203125" customWidth="1"/>
    <col min="19" max="19" width="17" customWidth="1"/>
    <col min="20" max="33" width="16.33203125" customWidth="1"/>
    <col min="34" max="34" width="14.6640625" customWidth="1"/>
    <col min="35" max="36" width="12.6640625" customWidth="1"/>
    <col min="37" max="37" width="17.33203125" customWidth="1"/>
    <col min="38" max="38" width="12.33203125" customWidth="1"/>
    <col min="39" max="39" width="14" customWidth="1"/>
    <col min="40" max="40" width="20" customWidth="1"/>
    <col min="41" max="41" width="19.77734375" customWidth="1"/>
    <col min="42" max="42" width="19.109375" customWidth="1"/>
    <col min="43" max="50" width="9.6640625" customWidth="1"/>
    <col min="51" max="59" width="0.5546875" customWidth="1"/>
  </cols>
  <sheetData>
    <row r="1" spans="1:66" ht="15" thickBot="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row>
    <row r="2" spans="1:66" ht="18" customHeight="1" thickBot="1" x14ac:dyDescent="0.35">
      <c r="A2" s="1"/>
      <c r="B2" s="2" t="s">
        <v>654</v>
      </c>
      <c r="C2" s="3"/>
      <c r="D2" s="3"/>
      <c r="E2" s="3"/>
      <c r="F2" s="3"/>
      <c r="G2" s="3"/>
      <c r="H2" s="3"/>
      <c r="I2" s="3"/>
      <c r="J2" s="3"/>
      <c r="K2" s="3"/>
      <c r="L2" s="3"/>
      <c r="M2" s="4"/>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row>
    <row r="3" spans="1:66" ht="18" customHeight="1" x14ac:dyDescent="0.3">
      <c r="A3" s="1"/>
      <c r="B3" s="5" t="s">
        <v>115</v>
      </c>
      <c r="C3" s="6"/>
      <c r="D3" s="6"/>
      <c r="E3" s="6"/>
      <c r="F3" s="6"/>
      <c r="G3" s="6"/>
      <c r="H3" s="6"/>
      <c r="I3" s="6"/>
      <c r="J3" s="6"/>
      <c r="K3" s="6"/>
      <c r="L3" s="6"/>
      <c r="M3" s="7"/>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row>
    <row r="4" spans="1:66" ht="18" customHeight="1" x14ac:dyDescent="0.3">
      <c r="A4" s="1"/>
      <c r="B4" s="99" t="s">
        <v>1</v>
      </c>
      <c r="C4" s="296"/>
      <c r="D4" s="296"/>
      <c r="E4" s="296"/>
      <c r="F4" s="296"/>
      <c r="G4" s="296"/>
      <c r="H4" s="296"/>
      <c r="I4" s="296"/>
      <c r="J4" s="296"/>
      <c r="K4" s="296"/>
      <c r="L4" s="296"/>
      <c r="M4" s="100"/>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row>
    <row r="5" spans="1:66" ht="14.25" customHeight="1" x14ac:dyDescent="0.3">
      <c r="A5" s="1"/>
      <c r="B5" s="293" t="s">
        <v>116</v>
      </c>
      <c r="C5" s="294"/>
      <c r="D5" s="294"/>
      <c r="E5" s="294"/>
      <c r="F5" s="294"/>
      <c r="G5" s="294"/>
      <c r="H5" s="294"/>
      <c r="I5" s="294"/>
      <c r="J5" s="294"/>
      <c r="K5" s="294"/>
      <c r="L5" s="294"/>
      <c r="M5" s="295"/>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row>
    <row r="6" spans="1:66" ht="12.6" customHeight="1" x14ac:dyDescent="0.3">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row>
    <row r="7" spans="1:66" ht="12.6" customHeight="1" x14ac:dyDescent="0.3">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row>
    <row r="8" spans="1:66" ht="17.7" customHeight="1" x14ac:dyDescent="0.3">
      <c r="A8" s="1"/>
      <c r="B8" s="11" t="s">
        <v>2</v>
      </c>
      <c r="C8" s="12" t="s">
        <v>218</v>
      </c>
      <c r="D8" s="12" t="s">
        <v>219</v>
      </c>
      <c r="E8" s="124" t="s">
        <v>221</v>
      </c>
      <c r="F8" s="125"/>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row>
    <row r="9" spans="1:66" ht="10.35" customHeight="1" x14ac:dyDescent="0.3">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row>
    <row r="10" spans="1:66" x14ac:dyDescent="0.3">
      <c r="A10" s="1"/>
      <c r="B10" s="1"/>
      <c r="C10" s="13" t="s">
        <v>6</v>
      </c>
      <c r="D10" s="14"/>
      <c r="E10" s="14"/>
      <c r="F10" s="14"/>
      <c r="G10" s="14"/>
      <c r="H10" s="14"/>
      <c r="I10" s="14"/>
      <c r="J10" s="14"/>
      <c r="K10" s="14"/>
      <c r="L10" s="14"/>
      <c r="M10" s="14"/>
      <c r="N10" s="14"/>
      <c r="O10" s="14"/>
      <c r="P10" s="15" t="s">
        <v>596</v>
      </c>
      <c r="Q10" s="16"/>
      <c r="R10" s="16"/>
      <c r="S10" s="16"/>
      <c r="T10" s="16"/>
      <c r="U10" s="16"/>
      <c r="V10" s="16"/>
      <c r="W10" s="16"/>
      <c r="X10" s="13"/>
      <c r="Y10" s="17"/>
      <c r="Z10" s="17"/>
      <c r="AA10" s="17"/>
      <c r="AB10" s="17"/>
      <c r="AC10" s="17"/>
      <c r="AD10" s="17"/>
      <c r="AE10" s="19"/>
      <c r="AF10" s="16"/>
      <c r="AG10" s="16"/>
      <c r="AH10" s="16"/>
      <c r="AI10" s="16"/>
      <c r="AJ10" s="16"/>
      <c r="AK10" s="1"/>
      <c r="AL10" s="1"/>
      <c r="AM10" s="99" t="s">
        <v>562</v>
      </c>
      <c r="AN10" s="9"/>
      <c r="AO10" s="9"/>
      <c r="AP10" s="9"/>
      <c r="AQ10" s="9"/>
      <c r="AR10" s="9"/>
      <c r="AS10" s="10"/>
      <c r="AT10" s="1"/>
      <c r="AU10" s="1"/>
      <c r="AV10" s="1"/>
      <c r="AW10" s="1"/>
      <c r="AX10" s="1"/>
      <c r="AY10" s="1"/>
      <c r="AZ10" s="1"/>
      <c r="BA10" s="1"/>
      <c r="BB10" s="1"/>
      <c r="BC10" s="1"/>
      <c r="BD10" s="1"/>
      <c r="BE10" s="1"/>
      <c r="BF10" s="1"/>
      <c r="BG10" s="1"/>
      <c r="BH10" s="1"/>
      <c r="BI10" s="1"/>
      <c r="BJ10" s="1"/>
      <c r="BK10" s="1"/>
      <c r="BL10" s="1"/>
      <c r="BM10" s="1"/>
      <c r="BN10" s="1"/>
    </row>
    <row r="11" spans="1:66" ht="78.75" customHeight="1" x14ac:dyDescent="0.3">
      <c r="A11" s="1"/>
      <c r="B11" s="25" t="s">
        <v>20</v>
      </c>
      <c r="C11" s="26" t="s">
        <v>119</v>
      </c>
      <c r="D11" s="27" t="s">
        <v>120</v>
      </c>
      <c r="E11" s="26" t="s">
        <v>121</v>
      </c>
      <c r="F11" s="27" t="s">
        <v>122</v>
      </c>
      <c r="G11" s="27" t="s">
        <v>123</v>
      </c>
      <c r="H11" s="27" t="s">
        <v>124</v>
      </c>
      <c r="I11" s="27" t="s">
        <v>125</v>
      </c>
      <c r="J11" s="27" t="s">
        <v>126</v>
      </c>
      <c r="K11" s="27" t="s">
        <v>127</v>
      </c>
      <c r="L11" s="27"/>
      <c r="M11" s="27"/>
      <c r="N11" s="27"/>
      <c r="O11" s="27"/>
      <c r="P11" s="26" t="s">
        <v>119</v>
      </c>
      <c r="Q11" s="27" t="s">
        <v>120</v>
      </c>
      <c r="R11" s="27" t="s">
        <v>121</v>
      </c>
      <c r="S11" s="27" t="s">
        <v>122</v>
      </c>
      <c r="T11" s="27" t="s">
        <v>123</v>
      </c>
      <c r="U11" s="27" t="s">
        <v>130</v>
      </c>
      <c r="V11" s="27"/>
      <c r="W11" s="27"/>
      <c r="X11" s="27"/>
      <c r="Y11" s="27"/>
      <c r="Z11" s="27"/>
      <c r="AA11" s="27"/>
      <c r="AB11" s="27"/>
      <c r="AC11" s="27"/>
      <c r="AD11" s="27"/>
      <c r="AE11" s="27"/>
      <c r="AF11" s="27"/>
      <c r="AG11" s="27"/>
      <c r="AH11" s="27"/>
      <c r="AI11" s="27"/>
      <c r="AJ11" s="27"/>
      <c r="AK11" s="27" t="s">
        <v>150</v>
      </c>
      <c r="AL11" s="1"/>
      <c r="AM11" s="522" t="s">
        <v>563</v>
      </c>
      <c r="AN11" s="523" t="s">
        <v>568</v>
      </c>
      <c r="AO11" s="523" t="s">
        <v>569</v>
      </c>
      <c r="AP11" s="523" t="s">
        <v>570</v>
      </c>
      <c r="AQ11" s="523" t="s">
        <v>564</v>
      </c>
      <c r="AR11" s="523" t="s">
        <v>565</v>
      </c>
      <c r="AS11" s="523" t="s">
        <v>566</v>
      </c>
      <c r="AT11" s="1"/>
      <c r="AU11" s="1"/>
      <c r="AV11" s="1"/>
      <c r="AW11" s="1"/>
      <c r="AX11" s="1"/>
      <c r="AY11" s="1"/>
      <c r="AZ11" s="1"/>
      <c r="BA11" s="1"/>
      <c r="BB11" s="1"/>
      <c r="BC11" s="1"/>
      <c r="BD11" s="1"/>
      <c r="BE11" s="1"/>
      <c r="BF11" s="1"/>
      <c r="BG11" s="1"/>
      <c r="BH11" s="1"/>
      <c r="BI11" s="1"/>
      <c r="BJ11" s="1"/>
      <c r="BK11" s="1"/>
      <c r="BL11" s="1"/>
      <c r="BM11" s="1"/>
      <c r="BN11" s="1"/>
    </row>
    <row r="12" spans="1:66" x14ac:dyDescent="0.3">
      <c r="A12" s="1"/>
      <c r="B12" s="28">
        <v>1</v>
      </c>
      <c r="C12" s="129">
        <f>'[47]2. Distributional by deciles o'!B64</f>
        <v>26209678.642800003</v>
      </c>
      <c r="D12" s="129">
        <f>'[47]2. Distributional by deciles o'!C64</f>
        <v>26604060.04079999</v>
      </c>
      <c r="E12" s="129">
        <f>'[47]2. Distributional by deciles o'!D64</f>
        <v>27710277.865200005</v>
      </c>
      <c r="F12" s="129">
        <f>'[47]2. Distributional by deciles o'!E64</f>
        <v>30968215.739999995</v>
      </c>
      <c r="G12" s="129">
        <f>'[47]2. Distributional by deciles o'!F64</f>
        <v>38357442.606000006</v>
      </c>
      <c r="H12" s="129">
        <f>'[47]2. Distributional by deciles o'!H64</f>
        <v>41478455.84520001</v>
      </c>
      <c r="I12" s="129">
        <f>'[47]2. Distributional by deciles o'!I64</f>
        <v>32109916.818000004</v>
      </c>
      <c r="J12" s="129">
        <f>'[47]2. Distributional by deciles o'!J64</f>
        <v>32139654.723600011</v>
      </c>
      <c r="K12" s="129">
        <f>'[47]2. Distributional by deciles o'!K64</f>
        <v>31078228.576799996</v>
      </c>
      <c r="L12" s="139"/>
      <c r="M12" s="139"/>
      <c r="N12" s="139"/>
      <c r="O12" s="139"/>
      <c r="P12" s="129">
        <f>'[47]2. Distributional by deciles o'!B82</f>
        <v>8619661611.0348072</v>
      </c>
      <c r="Q12" s="129">
        <f>'[47]2. Distributional by deciles o'!C82</f>
        <v>8521897328.2367878</v>
      </c>
      <c r="R12" s="129">
        <f>'[47]2. Distributional by deciles o'!D82</f>
        <v>8822694382.9344254</v>
      </c>
      <c r="S12" s="129">
        <f>'[47]2. Distributional by deciles o'!E82</f>
        <v>9221407891.2683945</v>
      </c>
      <c r="T12" s="129">
        <f>'[47]2. Distributional by deciles o'!F82</f>
        <v>9745684947.3948059</v>
      </c>
      <c r="U12" s="209">
        <f t="shared" ref="U12:U22" si="0">T12/P12-1</f>
        <v>0.13063428556388734</v>
      </c>
      <c r="V12" s="139"/>
      <c r="W12" s="209"/>
      <c r="X12" s="132"/>
      <c r="Y12" s="132"/>
      <c r="Z12" s="132"/>
      <c r="AA12" s="132"/>
      <c r="AB12" s="132"/>
      <c r="AC12" s="132"/>
      <c r="AD12" s="132"/>
      <c r="AE12" s="139"/>
      <c r="AF12" s="139"/>
      <c r="AG12" s="139"/>
      <c r="AH12" s="139"/>
      <c r="AI12" s="139"/>
      <c r="AJ12" s="139"/>
      <c r="AK12" s="408">
        <f>'[47]2. Distributional by deciles o'!$L64</f>
        <v>44772638.226000011</v>
      </c>
      <c r="AL12" s="1"/>
      <c r="AM12" s="32" cm="1">
        <f t="array" aca="1" ref="AM12" ca="1">INDIRECT("'1"&amp;$C$8&amp;"'!W12")</f>
        <v>0.33059280583769052</v>
      </c>
      <c r="AN12" s="524">
        <f t="shared" ref="AN12:AN21" ca="1" si="1">C12+C12*U12*AM12</f>
        <v>27341589.613058362</v>
      </c>
      <c r="AO12" s="524">
        <f t="shared" ref="AO12:AO21" ca="1" si="2">C12+C12*U$22*AM12</f>
        <v>27263737.547713943</v>
      </c>
      <c r="AP12" s="524">
        <f t="shared" ref="AP12:AP21" ca="1" si="3">C12+C12*AR12*AM12</f>
        <v>27341589.613058362</v>
      </c>
      <c r="AQ12" s="525">
        <f t="shared" ref="AQ12:AQ21" si="4">U12</f>
        <v>0.13063428556388734</v>
      </c>
      <c r="AR12" s="344">
        <f>AQ12</f>
        <v>0.13063428556388734</v>
      </c>
      <c r="AS12" s="41">
        <f>P12/P$22</f>
        <v>1.2879377146531987E-2</v>
      </c>
      <c r="AT12" s="1"/>
      <c r="AU12" s="1"/>
      <c r="AV12" s="1"/>
      <c r="AW12" s="1"/>
      <c r="AX12" s="1"/>
      <c r="AY12" s="1"/>
      <c r="AZ12" s="1"/>
      <c r="BA12" s="1"/>
      <c r="BB12" s="1"/>
      <c r="BC12" s="1"/>
      <c r="BD12" s="1"/>
      <c r="BE12" s="1"/>
      <c r="BF12" s="1"/>
      <c r="BG12" s="1"/>
      <c r="BH12" s="1"/>
      <c r="BI12" s="1"/>
      <c r="BJ12" s="1"/>
      <c r="BK12" s="1"/>
      <c r="BL12" s="1"/>
      <c r="BM12" s="1"/>
      <c r="BN12" s="1"/>
    </row>
    <row r="13" spans="1:66" x14ac:dyDescent="0.3">
      <c r="A13" s="1"/>
      <c r="B13" s="28">
        <v>2</v>
      </c>
      <c r="C13" s="129">
        <f>'[47]2. Distributional by deciles o'!B65</f>
        <v>87705976.276800007</v>
      </c>
      <c r="D13" s="129">
        <f>'[47]2. Distributional by deciles o'!C65</f>
        <v>77675775.980400041</v>
      </c>
      <c r="E13" s="129">
        <f>'[47]2. Distributional by deciles o'!D65</f>
        <v>109300659.34920001</v>
      </c>
      <c r="F13" s="129">
        <f>'[47]2. Distributional by deciles o'!E65</f>
        <v>159084218.4276</v>
      </c>
      <c r="G13" s="129">
        <f>'[47]2. Distributional by deciles o'!F65</f>
        <v>165800619.68639991</v>
      </c>
      <c r="H13" s="129">
        <f>'[47]2. Distributional by deciles o'!H65</f>
        <v>221836154.74319983</v>
      </c>
      <c r="I13" s="129">
        <f>'[47]2. Distributional by deciles o'!I65</f>
        <v>102293095.74959998</v>
      </c>
      <c r="J13" s="129">
        <f>'[47]2. Distributional by deciles o'!J65</f>
        <v>102933483.21600005</v>
      </c>
      <c r="K13" s="129">
        <f>'[47]2. Distributional by deciles o'!K65</f>
        <v>83368099.711200088</v>
      </c>
      <c r="L13" s="139"/>
      <c r="M13" s="139"/>
      <c r="N13" s="139"/>
      <c r="O13" s="139"/>
      <c r="P13" s="129">
        <f>'[47]2. Distributional by deciles o'!B83</f>
        <v>22794238500.390007</v>
      </c>
      <c r="Q13" s="129">
        <f>'[47]2. Distributional by deciles o'!C83</f>
        <v>22536133711.856369</v>
      </c>
      <c r="R13" s="129">
        <f>'[47]2. Distributional by deciles o'!D83</f>
        <v>23340560286.308361</v>
      </c>
      <c r="S13" s="129">
        <f>'[47]2. Distributional by deciles o'!E83</f>
        <v>24263613719.180428</v>
      </c>
      <c r="T13" s="129">
        <f>'[47]2. Distributional by deciles o'!F83</f>
        <v>25721829448.602013</v>
      </c>
      <c r="U13" s="209">
        <f t="shared" si="0"/>
        <v>0.1284355670913031</v>
      </c>
      <c r="V13" s="139"/>
      <c r="W13" s="209"/>
      <c r="X13" s="132"/>
      <c r="Y13" s="132"/>
      <c r="Z13" s="132"/>
      <c r="AA13" s="132"/>
      <c r="AB13" s="132"/>
      <c r="AC13" s="132"/>
      <c r="AD13" s="132"/>
      <c r="AE13" s="139"/>
      <c r="AF13" s="139"/>
      <c r="AG13" s="139"/>
      <c r="AH13" s="139"/>
      <c r="AI13" s="139"/>
      <c r="AJ13" s="139"/>
      <c r="AK13" s="408">
        <f>'[47]2. Distributional by deciles o'!$L65</f>
        <v>250113468.52439985</v>
      </c>
      <c r="AL13" s="1"/>
      <c r="AM13" s="32" cm="1">
        <f t="array" aca="1" ref="AM13" ca="1">INDIRECT("'1"&amp;$C$8&amp;"'!W13")</f>
        <v>8.9742156649527871</v>
      </c>
      <c r="AN13" s="524">
        <f t="shared" ca="1" si="1"/>
        <v>188796628.11592126</v>
      </c>
      <c r="AO13" s="524">
        <f t="shared" ca="1" si="2"/>
        <v>183455247.3290965</v>
      </c>
      <c r="AP13" s="524">
        <f t="shared" ca="1" si="3"/>
        <v>188796628.11592126</v>
      </c>
      <c r="AQ13" s="525">
        <f t="shared" si="4"/>
        <v>0.1284355670913031</v>
      </c>
      <c r="AR13" s="344">
        <f t="shared" ref="AR13:AR18" si="5">AQ13</f>
        <v>0.1284355670913031</v>
      </c>
      <c r="AS13" s="41">
        <f t="shared" ref="AS13:AS21" si="6">P13/P$22</f>
        <v>3.4058830573892827E-2</v>
      </c>
      <c r="AT13" s="1"/>
      <c r="AU13" s="1"/>
      <c r="AV13" s="1"/>
      <c r="AW13" s="1"/>
      <c r="AX13" s="1"/>
      <c r="AY13" s="1"/>
      <c r="AZ13" s="1"/>
      <c r="BA13" s="1"/>
      <c r="BB13" s="1"/>
      <c r="BC13" s="1"/>
      <c r="BD13" s="1"/>
      <c r="BE13" s="1"/>
      <c r="BF13" s="1"/>
      <c r="BG13" s="1"/>
      <c r="BH13" s="1"/>
      <c r="BI13" s="1"/>
      <c r="BJ13" s="1"/>
      <c r="BK13" s="1"/>
      <c r="BL13" s="1"/>
      <c r="BM13" s="1"/>
      <c r="BN13" s="1"/>
    </row>
    <row r="14" spans="1:66" x14ac:dyDescent="0.3">
      <c r="A14" s="1"/>
      <c r="B14" s="28">
        <v>3</v>
      </c>
      <c r="C14" s="129">
        <f>'[47]2. Distributional by deciles o'!B66</f>
        <v>504934341.79920012</v>
      </c>
      <c r="D14" s="129">
        <f>'[47]2. Distributional by deciles o'!C66</f>
        <v>458581284.24120009</v>
      </c>
      <c r="E14" s="129">
        <f>'[47]2. Distributional by deciles o'!D66</f>
        <v>606277799.20439982</v>
      </c>
      <c r="F14" s="129">
        <f>'[47]2. Distributional by deciles o'!E66</f>
        <v>778829509.2312007</v>
      </c>
      <c r="G14" s="129">
        <f>'[47]2. Distributional by deciles o'!F66</f>
        <v>824882256.61200047</v>
      </c>
      <c r="H14" s="129">
        <f>'[47]2. Distributional by deciles o'!H66</f>
        <v>992147125.94639945</v>
      </c>
      <c r="I14" s="129">
        <f>'[47]2. Distributional by deciles o'!I66</f>
        <v>576067928.11440003</v>
      </c>
      <c r="J14" s="129">
        <f>'[47]2. Distributional by deciles o'!J66</f>
        <v>578578117.58279991</v>
      </c>
      <c r="K14" s="129">
        <f>'[47]2. Distributional by deciles o'!K66</f>
        <v>500327546.01480067</v>
      </c>
      <c r="L14" s="139"/>
      <c r="M14" s="139"/>
      <c r="N14" s="139"/>
      <c r="O14" s="139"/>
      <c r="P14" s="129">
        <f>'[47]2. Distributional by deciles o'!B84</f>
        <v>32468245080.269997</v>
      </c>
      <c r="Q14" s="129">
        <f>'[47]2. Distributional by deciles o'!C84</f>
        <v>32049314815.748421</v>
      </c>
      <c r="R14" s="129">
        <f>'[47]2. Distributional by deciles o'!D84</f>
        <v>33287790344.59679</v>
      </c>
      <c r="S14" s="129">
        <f>'[47]2. Distributional by deciles o'!E84</f>
        <v>34592158341.404396</v>
      </c>
      <c r="T14" s="129">
        <f>'[47]2. Distributional by deciles o'!F84</f>
        <v>36601012747.977547</v>
      </c>
      <c r="U14" s="209">
        <f t="shared" si="0"/>
        <v>0.12728645042225928</v>
      </c>
      <c r="V14" s="139"/>
      <c r="W14" s="209"/>
      <c r="X14" s="132"/>
      <c r="Y14" s="132"/>
      <c r="Z14" s="132"/>
      <c r="AA14" s="132"/>
      <c r="AB14" s="132"/>
      <c r="AC14" s="132"/>
      <c r="AD14" s="132"/>
      <c r="AE14" s="139"/>
      <c r="AF14" s="139"/>
      <c r="AG14" s="139"/>
      <c r="AH14" s="139"/>
      <c r="AI14" s="139"/>
      <c r="AJ14" s="139"/>
      <c r="AK14" s="408">
        <f>'[47]2. Distributional by deciles o'!$L66</f>
        <v>1066574092.9307988</v>
      </c>
      <c r="AL14" s="1"/>
      <c r="AM14" s="32" cm="1">
        <f t="array" aca="1" ref="AM14" ca="1">INDIRECT("'1"&amp;$C$8&amp;"'!W14")</f>
        <v>6.7310808421808632</v>
      </c>
      <c r="AN14" s="524">
        <f t="shared" ca="1" si="1"/>
        <v>937549658.3615098</v>
      </c>
      <c r="AO14" s="524">
        <f t="shared" ca="1" si="2"/>
        <v>918390536.04244637</v>
      </c>
      <c r="AP14" s="524">
        <f t="shared" ca="1" si="3"/>
        <v>937549658.3615098</v>
      </c>
      <c r="AQ14" s="525">
        <f t="shared" si="4"/>
        <v>0.12728645042225928</v>
      </c>
      <c r="AR14" s="344">
        <f t="shared" si="5"/>
        <v>0.12728645042225928</v>
      </c>
      <c r="AS14" s="41">
        <f t="shared" si="6"/>
        <v>4.8513595143861665E-2</v>
      </c>
      <c r="AT14" s="1"/>
      <c r="AU14" s="1"/>
      <c r="AV14" s="1"/>
      <c r="AW14" s="1"/>
      <c r="AX14" s="1"/>
      <c r="AY14" s="1"/>
      <c r="AZ14" s="1"/>
      <c r="BA14" s="1"/>
      <c r="BB14" s="1"/>
      <c r="BC14" s="1"/>
      <c r="BD14" s="1"/>
      <c r="BE14" s="1"/>
      <c r="BF14" s="1"/>
      <c r="BG14" s="1"/>
      <c r="BH14" s="1"/>
      <c r="BI14" s="1"/>
      <c r="BJ14" s="1"/>
      <c r="BK14" s="1"/>
      <c r="BL14" s="1"/>
      <c r="BM14" s="1"/>
      <c r="BN14" s="1"/>
    </row>
    <row r="15" spans="1:66" x14ac:dyDescent="0.3">
      <c r="A15" s="1"/>
      <c r="B15" s="28">
        <v>4</v>
      </c>
      <c r="C15" s="129">
        <f>'[47]2. Distributional by deciles o'!B67</f>
        <v>1370029286.7263999</v>
      </c>
      <c r="D15" s="129">
        <f>'[47]2. Distributional by deciles o'!C67</f>
        <v>1281713009.5547996</v>
      </c>
      <c r="E15" s="129">
        <f>'[47]2. Distributional by deciles o'!D67</f>
        <v>1555715117.9772</v>
      </c>
      <c r="F15" s="129">
        <f>'[47]2. Distributional by deciles o'!E67</f>
        <v>1809997889.0651994</v>
      </c>
      <c r="G15" s="129">
        <f>'[47]2. Distributional by deciles o'!F67</f>
        <v>1937924265.6180017</v>
      </c>
      <c r="H15" s="129">
        <f>'[47]2. Distributional by deciles o'!H67</f>
        <v>2369171810.7108016</v>
      </c>
      <c r="I15" s="129">
        <f>'[47]2. Distributional by deciles o'!I67</f>
        <v>1559394239.338798</v>
      </c>
      <c r="J15" s="129">
        <f>'[47]2. Distributional by deciles o'!J67</f>
        <v>1564157591.5680013</v>
      </c>
      <c r="K15" s="129">
        <f>'[47]2. Distributional by deciles o'!K67</f>
        <v>1414804505.2224004</v>
      </c>
      <c r="L15" s="139"/>
      <c r="M15" s="139"/>
      <c r="N15" s="139"/>
      <c r="O15" s="139"/>
      <c r="P15" s="129">
        <f>'[47]2. Distributional by deciles o'!B85</f>
        <v>42434705366.727707</v>
      </c>
      <c r="Q15" s="129">
        <f>'[47]2. Distributional by deciles o'!C85</f>
        <v>41889488612.871567</v>
      </c>
      <c r="R15" s="129">
        <f>'[47]2. Distributional by deciles o'!D85</f>
        <v>43558284353.152855</v>
      </c>
      <c r="S15" s="129">
        <f>'[47]2. Distributional by deciles o'!E85</f>
        <v>45232503087.668449</v>
      </c>
      <c r="T15" s="129">
        <f>'[47]2. Distributional by deciles o'!F85</f>
        <v>47739061999.951279</v>
      </c>
      <c r="U15" s="209">
        <f t="shared" si="0"/>
        <v>0.12500043507743119</v>
      </c>
      <c r="V15" s="139"/>
      <c r="W15" s="209"/>
      <c r="X15" s="132"/>
      <c r="Y15" s="132"/>
      <c r="Z15" s="132"/>
      <c r="AA15" s="132"/>
      <c r="AB15" s="132"/>
      <c r="AC15" s="132"/>
      <c r="AD15" s="132"/>
      <c r="AE15" s="139"/>
      <c r="AF15" s="139"/>
      <c r="AG15" s="139"/>
      <c r="AH15" s="139"/>
      <c r="AI15" s="139"/>
      <c r="AJ15" s="139"/>
      <c r="AK15" s="408">
        <f>'[47]2. Distributional by deciles o'!$L67</f>
        <v>2372858285.6268005</v>
      </c>
      <c r="AL15" s="1"/>
      <c r="AM15" s="32" cm="1">
        <f t="array" aca="1" ref="AM15" ca="1">INDIRECT("'1"&amp;$C$8&amp;"'!W15")</f>
        <v>5.0714687227231074</v>
      </c>
      <c r="AN15" s="524">
        <f t="shared" ca="1" si="1"/>
        <v>2238539894.2767391</v>
      </c>
      <c r="AO15" s="524">
        <f t="shared" ca="1" si="2"/>
        <v>2215256340.7512007</v>
      </c>
      <c r="AP15" s="524">
        <f t="shared" ca="1" si="3"/>
        <v>2238539894.2767391</v>
      </c>
      <c r="AQ15" s="525">
        <f t="shared" si="4"/>
        <v>0.12500043507743119</v>
      </c>
      <c r="AR15" s="344">
        <f t="shared" si="5"/>
        <v>0.12500043507743119</v>
      </c>
      <c r="AS15" s="41">
        <f t="shared" si="6"/>
        <v>6.3405339928934726E-2</v>
      </c>
      <c r="AT15" s="1"/>
      <c r="AU15" s="1"/>
      <c r="AV15" s="1"/>
      <c r="AW15" s="1"/>
      <c r="AX15" s="1"/>
      <c r="AY15" s="1"/>
      <c r="AZ15" s="1"/>
      <c r="BA15" s="1"/>
      <c r="BB15" s="1"/>
      <c r="BC15" s="1"/>
      <c r="BD15" s="1"/>
      <c r="BE15" s="1"/>
      <c r="BF15" s="1"/>
      <c r="BG15" s="1"/>
      <c r="BH15" s="1"/>
      <c r="BI15" s="1"/>
      <c r="BJ15" s="1"/>
      <c r="BK15" s="1"/>
      <c r="BL15" s="1"/>
      <c r="BM15" s="1"/>
      <c r="BN15" s="1"/>
    </row>
    <row r="16" spans="1:66" x14ac:dyDescent="0.3">
      <c r="A16" s="1"/>
      <c r="B16" s="28">
        <v>5</v>
      </c>
      <c r="C16" s="129">
        <f>'[47]2. Distributional by deciles o'!B68</f>
        <v>2919044429.443202</v>
      </c>
      <c r="D16" s="129">
        <f>'[47]2. Distributional by deciles o'!C68</f>
        <v>2764332823.3127966</v>
      </c>
      <c r="E16" s="129">
        <f>'[47]2. Distributional by deciles o'!D68</f>
        <v>3233035085.4215946</v>
      </c>
      <c r="F16" s="129">
        <f>'[47]2. Distributional by deciles o'!E68</f>
        <v>3639375039.5616045</v>
      </c>
      <c r="G16" s="129">
        <f>'[47]2. Distributional by deciles o'!F68</f>
        <v>3845610917.9579945</v>
      </c>
      <c r="H16" s="129">
        <f>'[47]2. Distributional by deciles o'!H68</f>
        <v>4363215154.1280022</v>
      </c>
      <c r="I16" s="129">
        <f>'[47]2. Distributional by deciles o'!I68</f>
        <v>3298233960.0251951</v>
      </c>
      <c r="J16" s="129">
        <f>'[47]2. Distributional by deciles o'!J68</f>
        <v>3305928691.1880035</v>
      </c>
      <c r="K16" s="129">
        <f>'[47]2. Distributional by deciles o'!K68</f>
        <v>3061078699.1796007</v>
      </c>
      <c r="L16" s="139"/>
      <c r="M16" s="139"/>
      <c r="N16" s="139"/>
      <c r="O16" s="139"/>
      <c r="P16" s="129">
        <f>'[47]2. Distributional by deciles o'!B86</f>
        <v>50837659554.445259</v>
      </c>
      <c r="Q16" s="129">
        <f>'[47]2. Distributional by deciles o'!C86</f>
        <v>50122847453.307571</v>
      </c>
      <c r="R16" s="129">
        <f>'[47]2. Distributional by deciles o'!D86</f>
        <v>52198074092.454041</v>
      </c>
      <c r="S16" s="129">
        <f>'[47]2. Distributional by deciles o'!E86</f>
        <v>54227515365.733086</v>
      </c>
      <c r="T16" s="129">
        <f>'[47]2. Distributional by deciles o'!F86</f>
        <v>57122534999.68811</v>
      </c>
      <c r="U16" s="209">
        <f t="shared" si="0"/>
        <v>0.12362637266005483</v>
      </c>
      <c r="V16" s="139"/>
      <c r="W16" s="209"/>
      <c r="X16" s="132"/>
      <c r="Y16" s="132"/>
      <c r="Z16" s="132"/>
      <c r="AA16" s="132"/>
      <c r="AB16" s="132"/>
      <c r="AC16" s="132"/>
      <c r="AD16" s="132"/>
      <c r="AE16" s="139"/>
      <c r="AF16" s="139"/>
      <c r="AG16" s="139"/>
      <c r="AH16" s="139"/>
      <c r="AI16" s="139"/>
      <c r="AJ16" s="139"/>
      <c r="AK16" s="408">
        <f>'[47]2. Distributional by deciles o'!$L68</f>
        <v>4396374917.2067938</v>
      </c>
      <c r="AL16" s="1"/>
      <c r="AM16" s="32" cm="1">
        <f t="array" aca="1" ref="AM16" ca="1">INDIRECT("'1"&amp;$C$8&amp;"'!W16")</f>
        <v>4.1317823115763526</v>
      </c>
      <c r="AN16" s="524">
        <f t="shared" ca="1" si="1"/>
        <v>4410084325.240633</v>
      </c>
      <c r="AO16" s="524">
        <f t="shared" ca="1" si="2"/>
        <v>4386239720.1282682</v>
      </c>
      <c r="AP16" s="524">
        <f t="shared" ca="1" si="3"/>
        <v>4410084325.240633</v>
      </c>
      <c r="AQ16" s="525">
        <f t="shared" si="4"/>
        <v>0.12362637266005483</v>
      </c>
      <c r="AR16" s="344">
        <f t="shared" si="5"/>
        <v>0.12362637266005483</v>
      </c>
      <c r="AS16" s="41">
        <f t="shared" si="6"/>
        <v>7.5960915891463976E-2</v>
      </c>
      <c r="AT16" s="1"/>
      <c r="AU16" s="1"/>
      <c r="AV16" s="1"/>
      <c r="AW16" s="1"/>
      <c r="AX16" s="1"/>
      <c r="AY16" s="1"/>
      <c r="AZ16" s="1"/>
      <c r="BA16" s="1"/>
      <c r="BB16" s="1"/>
      <c r="BC16" s="1"/>
      <c r="BD16" s="1"/>
      <c r="BE16" s="1"/>
      <c r="BF16" s="1"/>
      <c r="BG16" s="1"/>
      <c r="BH16" s="1"/>
      <c r="BI16" s="1"/>
      <c r="BJ16" s="1"/>
      <c r="BK16" s="1"/>
      <c r="BL16" s="1"/>
      <c r="BM16" s="1"/>
      <c r="BN16" s="1"/>
    </row>
    <row r="17" spans="1:66" x14ac:dyDescent="0.3">
      <c r="A17" s="1"/>
      <c r="B17" s="28">
        <v>6</v>
      </c>
      <c r="C17" s="129">
        <f>'[47]2. Distributional by deciles o'!B69</f>
        <v>5281568309.1107998</v>
      </c>
      <c r="D17" s="129">
        <f>'[47]2. Distributional by deciles o'!C69</f>
        <v>5062935303.1955872</v>
      </c>
      <c r="E17" s="129">
        <f>'[47]2. Distributional by deciles o'!D69</f>
        <v>5630201751.6060009</v>
      </c>
      <c r="F17" s="129">
        <f>'[47]2. Distributional by deciles o'!E69</f>
        <v>6052407499.3272047</v>
      </c>
      <c r="G17" s="129">
        <f>'[47]2. Distributional by deciles o'!F69</f>
        <v>6612996091.3715992</v>
      </c>
      <c r="H17" s="129">
        <f>'[47]2. Distributional by deciles o'!H69</f>
        <v>7081901272.9260082</v>
      </c>
      <c r="I17" s="129">
        <f>'[47]2. Distributional by deciles o'!I69</f>
        <v>5944857295.6812019</v>
      </c>
      <c r="J17" s="129">
        <f>'[47]2. Distributional by deciles o'!J69</f>
        <v>5953895948.754014</v>
      </c>
      <c r="K17" s="129">
        <f>'[47]2. Distributional by deciles o'!K69</f>
        <v>5691740964.699604</v>
      </c>
      <c r="L17" s="139"/>
      <c r="M17" s="139"/>
      <c r="N17" s="139"/>
      <c r="O17" s="139"/>
      <c r="P17" s="129">
        <f>'[47]2. Distributional by deciles o'!B87</f>
        <v>60676364383.471184</v>
      </c>
      <c r="Q17" s="129">
        <f>'[47]2. Distributional by deciles o'!C87</f>
        <v>59810131636.838516</v>
      </c>
      <c r="R17" s="129">
        <f>'[47]2. Distributional by deciles o'!D87</f>
        <v>62146814366.526093</v>
      </c>
      <c r="S17" s="129">
        <f>'[47]2. Distributional by deciles o'!E87</f>
        <v>64565615563.009163</v>
      </c>
      <c r="T17" s="129">
        <f>'[47]2. Distributional by deciles o'!F87</f>
        <v>68195057066.35318</v>
      </c>
      <c r="U17" s="209">
        <f t="shared" si="0"/>
        <v>0.12391468670344663</v>
      </c>
      <c r="V17" s="139"/>
      <c r="W17" s="209"/>
      <c r="X17" s="132"/>
      <c r="Y17" s="132"/>
      <c r="Z17" s="132"/>
      <c r="AA17" s="132"/>
      <c r="AB17" s="132"/>
      <c r="AC17" s="132"/>
      <c r="AD17" s="132"/>
      <c r="AE17" s="139"/>
      <c r="AF17" s="139"/>
      <c r="AG17" s="139"/>
      <c r="AH17" s="139"/>
      <c r="AI17" s="139"/>
      <c r="AJ17" s="139"/>
      <c r="AK17" s="408">
        <f>'[47]2. Distributional by deciles o'!$L69</f>
        <v>7035282211.5527897</v>
      </c>
      <c r="AL17" s="1"/>
      <c r="AM17" s="32" cm="1">
        <f t="array" aca="1" ref="AM17" ca="1">INDIRECT("'1"&amp;$C$8&amp;"'!W17")</f>
        <v>2.8116961321894856</v>
      </c>
      <c r="AN17" s="524">
        <f t="shared" ca="1" si="1"/>
        <v>7121721875.7054195</v>
      </c>
      <c r="AO17" s="524">
        <f t="shared" ca="1" si="2"/>
        <v>7088081227.7867689</v>
      </c>
      <c r="AP17" s="524">
        <f t="shared" ca="1" si="3"/>
        <v>7121721875.7054195</v>
      </c>
      <c r="AQ17" s="525">
        <f t="shared" si="4"/>
        <v>0.12391468670344663</v>
      </c>
      <c r="AR17" s="344">
        <f t="shared" si="5"/>
        <v>0.12391468670344663</v>
      </c>
      <c r="AS17" s="41">
        <f t="shared" si="6"/>
        <v>9.0661770268880518E-2</v>
      </c>
      <c r="AT17" s="1"/>
      <c r="AU17" s="1"/>
      <c r="AV17" s="1"/>
      <c r="AW17" s="1"/>
      <c r="AX17" s="1"/>
      <c r="AY17" s="1"/>
      <c r="AZ17" s="1"/>
      <c r="BA17" s="1"/>
      <c r="BB17" s="1"/>
      <c r="BC17" s="1"/>
      <c r="BD17" s="1"/>
      <c r="BE17" s="1"/>
      <c r="BF17" s="1"/>
      <c r="BG17" s="1"/>
      <c r="BH17" s="1"/>
      <c r="BI17" s="1"/>
      <c r="BJ17" s="1"/>
      <c r="BK17" s="1"/>
      <c r="BL17" s="1"/>
      <c r="BM17" s="1"/>
      <c r="BN17" s="1"/>
    </row>
    <row r="18" spans="1:66" x14ac:dyDescent="0.3">
      <c r="A18" s="1"/>
      <c r="B18" s="28">
        <v>7</v>
      </c>
      <c r="C18" s="129">
        <f>'[47]2. Distributional by deciles o'!B70</f>
        <v>8256633416.8595905</v>
      </c>
      <c r="D18" s="129">
        <f>'[47]2. Distributional by deciles o'!C70</f>
        <v>7999932788.0855999</v>
      </c>
      <c r="E18" s="129">
        <f>'[47]2. Distributional by deciles o'!D70</f>
        <v>8747224341.0971985</v>
      </c>
      <c r="F18" s="129">
        <f>'[47]2. Distributional by deciles o'!E70</f>
        <v>9261750037.1880016</v>
      </c>
      <c r="G18" s="129">
        <f>'[47]2. Distributional by deciles o'!F70</f>
        <v>10118555011.621191</v>
      </c>
      <c r="H18" s="129">
        <f>'[47]2. Distributional by deciles o'!H70</f>
        <v>10690769455.143579</v>
      </c>
      <c r="I18" s="129">
        <f>'[47]2. Distributional by deciles o'!I70</f>
        <v>9238385137.2551975</v>
      </c>
      <c r="J18" s="129">
        <f>'[47]2. Distributional by deciles o'!J70</f>
        <v>9236613426.4787922</v>
      </c>
      <c r="K18" s="129">
        <f>'[47]2. Distributional by deciles o'!K70</f>
        <v>8929965475.7051907</v>
      </c>
      <c r="L18" s="139"/>
      <c r="M18" s="139"/>
      <c r="N18" s="139"/>
      <c r="O18" s="139"/>
      <c r="P18" s="129">
        <f>'[47]2. Distributional by deciles o'!B88</f>
        <v>73423024880.587326</v>
      </c>
      <c r="Q18" s="129">
        <f>'[47]2. Distributional by deciles o'!C88</f>
        <v>72481815493.460297</v>
      </c>
      <c r="R18" s="129">
        <f>'[47]2. Distributional by deciles o'!D88</f>
        <v>75284740881.845917</v>
      </c>
      <c r="S18" s="129">
        <f>'[47]2. Distributional by deciles o'!E88</f>
        <v>78122839837.336884</v>
      </c>
      <c r="T18" s="129">
        <f>'[47]2. Distributional by deciles o'!F88</f>
        <v>82383747548.529648</v>
      </c>
      <c r="U18" s="209">
        <f t="shared" si="0"/>
        <v>0.12204240675885702</v>
      </c>
      <c r="V18" s="139"/>
      <c r="W18" s="209"/>
      <c r="X18" s="132"/>
      <c r="Y18" s="132"/>
      <c r="Z18" s="132"/>
      <c r="AA18" s="132"/>
      <c r="AB18" s="132"/>
      <c r="AC18" s="132"/>
      <c r="AD18" s="132"/>
      <c r="AE18" s="139"/>
      <c r="AF18" s="139"/>
      <c r="AG18" s="139"/>
      <c r="AH18" s="139"/>
      <c r="AI18" s="139"/>
      <c r="AJ18" s="139"/>
      <c r="AK18" s="408">
        <f>'[47]2. Distributional by deciles o'!$L70</f>
        <v>10553041847.153999</v>
      </c>
      <c r="AL18" s="1"/>
      <c r="AM18" s="32" cm="1">
        <f t="array" aca="1" ref="AM18" ca="1">INDIRECT("'1"&amp;$C$8&amp;"'!W18")</f>
        <v>2.4751734962454619</v>
      </c>
      <c r="AN18" s="524">
        <f t="shared" ca="1" si="1"/>
        <v>10750765291.434505</v>
      </c>
      <c r="AO18" s="524">
        <f t="shared" ca="1" si="2"/>
        <v>10742732515.024023</v>
      </c>
      <c r="AP18" s="524">
        <f t="shared" ca="1" si="3"/>
        <v>10750765291.434505</v>
      </c>
      <c r="AQ18" s="525">
        <f t="shared" si="4"/>
        <v>0.12204240675885702</v>
      </c>
      <c r="AR18" s="344">
        <f t="shared" si="5"/>
        <v>0.12204240675885702</v>
      </c>
      <c r="AS18" s="41">
        <f t="shared" si="6"/>
        <v>0.10970765110612732</v>
      </c>
      <c r="AT18" s="1"/>
      <c r="AU18" s="1"/>
      <c r="AV18" s="1"/>
      <c r="AW18" s="1"/>
      <c r="AX18" s="1"/>
      <c r="AY18" s="1"/>
      <c r="AZ18" s="1"/>
      <c r="BA18" s="1"/>
      <c r="BB18" s="1"/>
      <c r="BC18" s="1"/>
      <c r="BD18" s="1"/>
      <c r="BE18" s="1"/>
      <c r="BF18" s="1"/>
      <c r="BG18" s="1"/>
      <c r="BH18" s="1"/>
      <c r="BI18" s="1"/>
      <c r="BJ18" s="1"/>
      <c r="BK18" s="1"/>
      <c r="BL18" s="1"/>
      <c r="BM18" s="1"/>
      <c r="BN18" s="1"/>
    </row>
    <row r="19" spans="1:66" x14ac:dyDescent="0.3">
      <c r="A19" s="1"/>
      <c r="B19" s="28">
        <v>8</v>
      </c>
      <c r="C19" s="129">
        <f>'[47]2. Distributional by deciles o'!B71</f>
        <v>11965980121.390781</v>
      </c>
      <c r="D19" s="129">
        <f>'[47]2. Distributional by deciles o'!C71</f>
        <v>11630856392.56321</v>
      </c>
      <c r="E19" s="129">
        <f>'[47]2. Distributional by deciles o'!D71</f>
        <v>12597220081.856411</v>
      </c>
      <c r="F19" s="129">
        <f>'[47]2. Distributional by deciles o'!E71</f>
        <v>13209228256.760391</v>
      </c>
      <c r="G19" s="129">
        <f>'[47]2. Distributional by deciles o'!F71</f>
        <v>14380352515.294785</v>
      </c>
      <c r="H19" s="129">
        <f>'[47]2. Distributional by deciles o'!H71</f>
        <v>14910810485.905167</v>
      </c>
      <c r="I19" s="129">
        <f>'[47]2. Distributional by deciles o'!I71</f>
        <v>13365188526.098381</v>
      </c>
      <c r="J19" s="129">
        <f>'[47]2. Distributional by deciles o'!J71</f>
        <v>13376213460.49675</v>
      </c>
      <c r="K19" s="129">
        <f>'[47]2. Distributional by deciles o'!K71</f>
        <v>13009483870.947609</v>
      </c>
      <c r="L19" s="139"/>
      <c r="M19" s="139"/>
      <c r="N19" s="139"/>
      <c r="O19" s="139"/>
      <c r="P19" s="129">
        <f>'[47]2. Distributional by deciles o'!B89</f>
        <v>87400793583.069733</v>
      </c>
      <c r="Q19" s="129">
        <f>'[47]2. Distributional by deciles o'!C89</f>
        <v>86272783303.204849</v>
      </c>
      <c r="R19" s="129">
        <f>'[47]2. Distributional by deciles o'!D89</f>
        <v>89523404402.545441</v>
      </c>
      <c r="S19" s="129">
        <f>'[47]2. Distributional by deciles o'!E89</f>
        <v>92898321429.28447</v>
      </c>
      <c r="T19" s="129">
        <f>'[47]2. Distributional by deciles o'!F89</f>
        <v>97958653875.427307</v>
      </c>
      <c r="U19" s="209">
        <f t="shared" si="0"/>
        <v>0.12079822001070162</v>
      </c>
      <c r="V19" s="139"/>
      <c r="W19" s="209"/>
      <c r="X19" s="132"/>
      <c r="Y19" s="132"/>
      <c r="Z19" s="132"/>
      <c r="AA19" s="132"/>
      <c r="AB19" s="132"/>
      <c r="AC19" s="132"/>
      <c r="AD19" s="132"/>
      <c r="AE19" s="139"/>
      <c r="AF19" s="139"/>
      <c r="AG19" s="139"/>
      <c r="AH19" s="139"/>
      <c r="AI19" s="139"/>
      <c r="AJ19" s="139"/>
      <c r="AK19" s="408">
        <f>'[47]2. Distributional by deciles o'!$L71</f>
        <v>14779355592.381609</v>
      </c>
      <c r="AL19" s="1"/>
      <c r="AM19" s="32" cm="1">
        <f t="array" aca="1" ref="AM19" ca="1">INDIRECT("'1"&amp;$C$8&amp;"'!W19")</f>
        <v>2.1105429630647743</v>
      </c>
      <c r="AN19" s="524">
        <f t="shared" ca="1" si="1"/>
        <v>15016704757.346111</v>
      </c>
      <c r="AO19" s="524">
        <f t="shared" ca="1" si="2"/>
        <v>15038199762.521524</v>
      </c>
      <c r="AP19" s="524">
        <f t="shared" ca="1" si="3"/>
        <v>13879739501.969765</v>
      </c>
      <c r="AQ19" s="525">
        <f t="shared" si="4"/>
        <v>0.12079822001070162</v>
      </c>
      <c r="AR19" s="526">
        <f>U19-AP31*AS21/SUM(AS19:AS20)</f>
        <v>7.5778300007182026E-2</v>
      </c>
      <c r="AS19" s="41">
        <f t="shared" si="6"/>
        <v>0.13059303650870457</v>
      </c>
      <c r="AT19" s="1"/>
      <c r="AU19" s="1"/>
      <c r="AV19" s="1"/>
      <c r="AW19" s="1"/>
      <c r="AX19" s="1"/>
      <c r="AY19" s="1"/>
      <c r="AZ19" s="1"/>
      <c r="BA19" s="1"/>
      <c r="BB19" s="1"/>
      <c r="BC19" s="1"/>
      <c r="BD19" s="1"/>
      <c r="BE19" s="1"/>
      <c r="BF19" s="1"/>
      <c r="BG19" s="1"/>
      <c r="BH19" s="1"/>
      <c r="BI19" s="1"/>
      <c r="BJ19" s="1"/>
      <c r="BK19" s="1"/>
      <c r="BL19" s="1"/>
      <c r="BM19" s="1"/>
      <c r="BN19" s="1"/>
    </row>
    <row r="20" spans="1:66" x14ac:dyDescent="0.3">
      <c r="A20" s="1"/>
      <c r="B20" s="28">
        <v>9</v>
      </c>
      <c r="C20" s="129">
        <f>'[47]2. Distributional by deciles o'!B72</f>
        <v>18239034185.127598</v>
      </c>
      <c r="D20" s="129">
        <f>'[47]2. Distributional by deciles o'!C72</f>
        <v>17861716447.684841</v>
      </c>
      <c r="E20" s="129">
        <f>'[47]2. Distributional by deciles o'!D72</f>
        <v>19081828241.936432</v>
      </c>
      <c r="F20" s="129">
        <f>'[47]2. Distributional by deciles o'!E72</f>
        <v>19938140531.899181</v>
      </c>
      <c r="G20" s="129">
        <f>'[47]2. Distributional by deciles o'!F72</f>
        <v>21712908405.183647</v>
      </c>
      <c r="H20" s="129">
        <f>'[47]2. Distributional by deciles o'!H72</f>
        <v>22216069093.792835</v>
      </c>
      <c r="I20" s="129">
        <f>'[47]2. Distributional by deciles o'!I72</f>
        <v>20333795728.147221</v>
      </c>
      <c r="J20" s="129">
        <f>'[47]2. Distributional by deciles o'!J72</f>
        <v>20347605897.226788</v>
      </c>
      <c r="K20" s="129">
        <f>'[47]2. Distributional by deciles o'!K72</f>
        <v>19924327168.298393</v>
      </c>
      <c r="L20" s="139"/>
      <c r="M20" s="139"/>
      <c r="N20" s="139"/>
      <c r="O20" s="139"/>
      <c r="P20" s="129">
        <f>'[47]2. Distributional by deciles o'!B90</f>
        <v>111508472387.9498</v>
      </c>
      <c r="Q20" s="129">
        <f>'[47]2. Distributional by deciles o'!C90</f>
        <v>110240754668.99762</v>
      </c>
      <c r="R20" s="129">
        <f>'[47]2. Distributional by deciles o'!D90</f>
        <v>113899791806.81308</v>
      </c>
      <c r="S20" s="129">
        <f>'[47]2. Distributional by deciles o'!E90</f>
        <v>118065460773.08524</v>
      </c>
      <c r="T20" s="129">
        <f>'[47]2. Distributional by deciles o'!F90</f>
        <v>124803593537.81767</v>
      </c>
      <c r="U20" s="209">
        <f t="shared" si="0"/>
        <v>0.11922969497432212</v>
      </c>
      <c r="V20" s="139"/>
      <c r="W20" s="209"/>
      <c r="X20" s="132"/>
      <c r="Y20" s="132"/>
      <c r="Z20" s="132"/>
      <c r="AA20" s="132"/>
      <c r="AB20" s="132"/>
      <c r="AC20" s="132"/>
      <c r="AD20" s="132"/>
      <c r="AE20" s="139"/>
      <c r="AF20" s="139"/>
      <c r="AG20" s="139"/>
      <c r="AH20" s="139"/>
      <c r="AI20" s="139"/>
      <c r="AJ20" s="139"/>
      <c r="AK20" s="408">
        <f>'[47]2. Distributional by deciles o'!$L72</f>
        <v>22092383614.502396</v>
      </c>
      <c r="AL20" s="1"/>
      <c r="AM20" s="32" cm="1">
        <f t="array" aca="1" ref="AM20" ca="1">INDIRECT("'1"&amp;$C$8&amp;"'!W20")</f>
        <v>1.8573203063007306</v>
      </c>
      <c r="AN20" s="524">
        <f t="shared" ca="1" si="1"/>
        <v>22278026968.291912</v>
      </c>
      <c r="AO20" s="524">
        <f t="shared" ca="1" si="2"/>
        <v>22359994491.15572</v>
      </c>
      <c r="AP20" s="524">
        <f t="shared" ca="1" si="3"/>
        <v>20752944378.489002</v>
      </c>
      <c r="AQ20" s="525">
        <f t="shared" si="4"/>
        <v>0.11922969497432212</v>
      </c>
      <c r="AR20" s="526">
        <f>U20-AP31*AS21/SUM(AS19:AS20)</f>
        <v>7.4209774970802528E-2</v>
      </c>
      <c r="AS20" s="41">
        <f t="shared" si="6"/>
        <v>0.16661439111246504</v>
      </c>
      <c r="AT20" s="1"/>
      <c r="AU20" s="1"/>
      <c r="AV20" s="1"/>
      <c r="AW20" s="1"/>
      <c r="AX20" s="1"/>
      <c r="AY20" s="1"/>
      <c r="AZ20" s="1"/>
      <c r="BA20" s="1"/>
      <c r="BB20" s="1"/>
      <c r="BC20" s="1"/>
      <c r="BD20" s="1"/>
      <c r="BE20" s="1"/>
      <c r="BF20" s="1"/>
      <c r="BG20" s="1"/>
      <c r="BH20" s="1"/>
      <c r="BI20" s="1"/>
      <c r="BJ20" s="1"/>
      <c r="BK20" s="1"/>
      <c r="BL20" s="1"/>
      <c r="BM20" s="1"/>
      <c r="BN20" s="1"/>
    </row>
    <row r="21" spans="1:66" x14ac:dyDescent="0.3">
      <c r="A21" s="1"/>
      <c r="B21" s="33">
        <v>10</v>
      </c>
      <c r="C21" s="129">
        <f>'[47]2. Distributional by deciles o'!B73</f>
        <v>41705216222.608803</v>
      </c>
      <c r="D21" s="129">
        <f>'[47]2. Distributional by deciles o'!C73</f>
        <v>40640790792.700684</v>
      </c>
      <c r="E21" s="129">
        <f>'[47]2. Distributional by deciles o'!D73</f>
        <v>43030119377.011292</v>
      </c>
      <c r="F21" s="129">
        <f>'[47]2. Distributional by deciles o'!E73</f>
        <v>44993610204.615631</v>
      </c>
      <c r="G21" s="129">
        <f>'[47]2. Distributional by deciles o'!F73</f>
        <v>48780393440.244064</v>
      </c>
      <c r="H21" s="129">
        <f>'[47]2. Distributional by deciles o'!H73</f>
        <v>49103184145.731575</v>
      </c>
      <c r="I21" s="129">
        <f>'[47]2. Distributional by deciles o'!I73</f>
        <v>46333623683.101151</v>
      </c>
      <c r="J21" s="129">
        <f>'[47]2. Distributional by deciles o'!J73</f>
        <v>46352915394.068436</v>
      </c>
      <c r="K21" s="129">
        <f>'[47]2. Distributional by deciles o'!K73</f>
        <v>45730355713.821472</v>
      </c>
      <c r="L21" s="139"/>
      <c r="M21" s="139"/>
      <c r="N21" s="139"/>
      <c r="O21" s="139"/>
      <c r="P21" s="129">
        <f>'[47]2. Distributional by deciles o'!B91</f>
        <v>179097584839.48199</v>
      </c>
      <c r="Q21" s="129">
        <f>'[47]2. Distributional by deciles o'!C91</f>
        <v>176219900604.3479</v>
      </c>
      <c r="R21" s="129">
        <f>'[47]2. Distributional by deciles o'!D91</f>
        <v>180503703094.66214</v>
      </c>
      <c r="S21" s="129">
        <f>'[47]2. Distributional by deciles o'!E91</f>
        <v>187373942935.24445</v>
      </c>
      <c r="T21" s="129">
        <f>'[47]2. Distributional by deciles o'!F91</f>
        <v>200404708189.79184</v>
      </c>
      <c r="U21" s="209">
        <f t="shared" si="0"/>
        <v>0.11896935053259683</v>
      </c>
      <c r="V21" s="139"/>
      <c r="W21" s="209"/>
      <c r="X21" s="132"/>
      <c r="Y21" s="132"/>
      <c r="Z21" s="132"/>
      <c r="AA21" s="132"/>
      <c r="AB21" s="132"/>
      <c r="AC21" s="132"/>
      <c r="AD21" s="132"/>
      <c r="AE21" s="139"/>
      <c r="AF21" s="139"/>
      <c r="AG21" s="139"/>
      <c r="AH21" s="139"/>
      <c r="AI21" s="139"/>
      <c r="AJ21" s="139"/>
      <c r="AK21" s="408">
        <f>'[47]2. Distributional by deciles o'!$L73</f>
        <v>49203343129.813171</v>
      </c>
      <c r="AL21" s="1"/>
      <c r="AM21" s="32" cm="1">
        <f t="array" aca="1" ref="AM21" ca="1">INDIRECT("'1"&amp;$C$8&amp;"'!W21")</f>
        <v>1.5540696096411757</v>
      </c>
      <c r="AN21" s="524">
        <f t="shared" ca="1" si="1"/>
        <v>49415954026.842522</v>
      </c>
      <c r="AO21" s="524">
        <f t="shared" ca="1" si="2"/>
        <v>49589652217.39537</v>
      </c>
      <c r="AP21" s="524">
        <f t="shared" ca="1" si="3"/>
        <v>52656594481.596046</v>
      </c>
      <c r="AQ21" s="525">
        <f t="shared" si="4"/>
        <v>0.11896935053259683</v>
      </c>
      <c r="AR21" s="527">
        <f>U21+AP31</f>
        <v>0.16896935053259682</v>
      </c>
      <c r="AS21" s="41">
        <f t="shared" si="6"/>
        <v>0.26760509231913787</v>
      </c>
      <c r="AT21" s="1"/>
      <c r="AU21" s="1"/>
      <c r="AV21" s="1"/>
      <c r="AW21" s="1"/>
      <c r="AX21" s="1"/>
      <c r="AY21" s="1"/>
      <c r="AZ21" s="1"/>
      <c r="BA21" s="1"/>
      <c r="BB21" s="1"/>
      <c r="BC21" s="1"/>
      <c r="BD21" s="1"/>
      <c r="BE21" s="1"/>
      <c r="BF21" s="1"/>
      <c r="BG21" s="1"/>
      <c r="BH21" s="1"/>
      <c r="BI21" s="1"/>
      <c r="BJ21" s="1"/>
      <c r="BK21" s="1"/>
      <c r="BL21" s="1"/>
      <c r="BM21" s="1"/>
      <c r="BN21" s="1"/>
    </row>
    <row r="22" spans="1:66" ht="13.2" customHeight="1" x14ac:dyDescent="0.3">
      <c r="A22" s="1"/>
      <c r="B22" s="34" t="s">
        <v>114</v>
      </c>
      <c r="C22" s="150">
        <f>'[47]2. Distributional by deciles o'!B74</f>
        <v>90356355967.985748</v>
      </c>
      <c r="D22" s="150">
        <f>'[47]2. Distributional by deciles o'!C74</f>
        <v>87805138677.359924</v>
      </c>
      <c r="E22" s="150">
        <f>'[47]2. Distributional by deciles o'!D74</f>
        <v>94618632733.324295</v>
      </c>
      <c r="F22" s="150">
        <f>'[47]2. Distributional by deciles o'!E74</f>
        <v>99873391401.816208</v>
      </c>
      <c r="G22" s="150">
        <f>'[47]2. Distributional by deciles o'!F74</f>
        <v>108417780966.19574</v>
      </c>
      <c r="H22" s="150">
        <f>'[47]2. Distributional by deciles o'!H74</f>
        <v>111990583154.87271</v>
      </c>
      <c r="I22" s="150">
        <f>'[47]2. Distributional by deciles o'!I74</f>
        <v>100783949510.32907</v>
      </c>
      <c r="J22" s="150">
        <f>'[47]2. Distributional by deciles o'!J74</f>
        <v>100850981665.30301</v>
      </c>
      <c r="K22" s="150">
        <f>'[47]2. Distributional by deciles o'!K74</f>
        <v>98376530272.177017</v>
      </c>
      <c r="L22" s="139"/>
      <c r="M22" s="139"/>
      <c r="N22" s="139"/>
      <c r="O22" s="139"/>
      <c r="P22" s="150">
        <f>'[47]2. Distributional by deciles o'!B92</f>
        <v>669260750187.42749</v>
      </c>
      <c r="Q22" s="150">
        <f>'[47]2. Distributional by deciles o'!C92</f>
        <v>660145067628.86475</v>
      </c>
      <c r="R22" s="150">
        <f>'[47]2. Distributional by deciles o'!D92</f>
        <v>682565858011.83679</v>
      </c>
      <c r="S22" s="150">
        <f>'[47]2. Distributional by deciles o'!E92</f>
        <v>708563378943.21729</v>
      </c>
      <c r="T22" s="150">
        <f>'[47]2. Distributional by deciles o'!F92</f>
        <v>750675884361.52942</v>
      </c>
      <c r="U22" s="210">
        <f t="shared" si="0"/>
        <v>0.12164934840613539</v>
      </c>
      <c r="V22" s="139"/>
      <c r="W22" s="210"/>
      <c r="X22" s="154"/>
      <c r="Y22" s="154"/>
      <c r="Z22" s="154"/>
      <c r="AA22" s="154"/>
      <c r="AB22" s="154"/>
      <c r="AC22" s="154"/>
      <c r="AD22" s="154"/>
      <c r="AE22" s="161"/>
      <c r="AF22" s="161"/>
      <c r="AG22" s="161"/>
      <c r="AH22" s="161"/>
      <c r="AI22" s="162"/>
      <c r="AJ22" s="162"/>
      <c r="AK22" s="409">
        <f>'[47]2. Distributional by deciles o'!$L74</f>
        <v>111794099797.91959</v>
      </c>
      <c r="AL22" s="1"/>
      <c r="AM22" s="534" cm="1">
        <f t="array" aca="1" ref="AM22" ca="1">INDIRECT("'1"&amp;$C$8&amp;"'!W22")</f>
        <v>2.0191248605309946</v>
      </c>
      <c r="AN22" s="528">
        <f ca="1">SUM(AN12:AN21)</f>
        <v>112385485015.22833</v>
      </c>
      <c r="AO22" s="528">
        <f ca="1">SUM(AO12:AO21)</f>
        <v>112549265795.68213</v>
      </c>
      <c r="AP22" s="528">
        <f ca="1">SUM(AP12:AP21)</f>
        <v>112964077624.80261</v>
      </c>
      <c r="AQ22" s="529">
        <f>SUMPRODUCT(AQ12:AQ21,AS12:AS21)</f>
        <v>0.12164934840614086</v>
      </c>
      <c r="AR22" s="529">
        <f>SUMPRODUCT(AR12:AR21,AS12:AS21)</f>
        <v>0.12164934840614086</v>
      </c>
      <c r="AS22" s="530"/>
      <c r="AT22" s="1"/>
      <c r="AU22" s="1"/>
      <c r="AV22" s="1"/>
      <c r="AW22" s="1"/>
      <c r="AX22" s="1"/>
      <c r="AY22" s="1"/>
      <c r="AZ22" s="1"/>
      <c r="BA22" s="1"/>
      <c r="BB22" s="1"/>
      <c r="BC22" s="1"/>
      <c r="BD22" s="1"/>
      <c r="BE22" s="1"/>
      <c r="BF22" s="1"/>
      <c r="BG22" s="1"/>
      <c r="BH22" s="1"/>
      <c r="BI22" s="1"/>
      <c r="BJ22" s="1"/>
      <c r="BK22" s="1"/>
      <c r="BL22" s="1"/>
      <c r="BM22" s="1"/>
      <c r="BN22" s="1"/>
    </row>
    <row r="23" spans="1:66" ht="12.6" customHeight="1" x14ac:dyDescent="0.3">
      <c r="A23" s="1"/>
      <c r="B23" s="1"/>
      <c r="C23" s="1"/>
      <c r="D23" s="1"/>
      <c r="E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531"/>
      <c r="AO23" s="531"/>
      <c r="AP23" s="1"/>
      <c r="AQ23" s="1"/>
      <c r="AR23" s="525">
        <f>U22</f>
        <v>0.12164934840613539</v>
      </c>
      <c r="AS23" s="1"/>
      <c r="AT23" s="1"/>
      <c r="AU23" s="1"/>
      <c r="AV23" s="1"/>
      <c r="AW23" s="1"/>
      <c r="AX23" s="1"/>
      <c r="AY23" s="1"/>
      <c r="AZ23" s="1"/>
      <c r="BA23" s="1"/>
      <c r="BB23" s="1"/>
      <c r="BC23" s="1"/>
      <c r="BD23" s="1"/>
      <c r="BE23" s="1"/>
      <c r="BF23" s="1"/>
      <c r="BG23" s="1"/>
      <c r="BH23" s="1"/>
      <c r="BI23" s="1"/>
      <c r="BJ23" s="1"/>
      <c r="BK23" s="1"/>
      <c r="BL23" s="1"/>
      <c r="BM23" s="1"/>
      <c r="BN23" s="1"/>
    </row>
    <row r="24" spans="1:66" ht="13.95" customHeight="1" x14ac:dyDescent="0.3">
      <c r="A24" s="1"/>
      <c r="B24" s="1"/>
      <c r="C24" s="1"/>
      <c r="D24" s="1"/>
      <c r="E24" s="1"/>
      <c r="F24" s="1"/>
      <c r="G24" s="11" t="s">
        <v>151</v>
      </c>
      <c r="H24" s="212">
        <f>U22</f>
        <v>0.12164934840613539</v>
      </c>
      <c r="I24" s="1"/>
      <c r="J24" s="1"/>
      <c r="K24" s="11" t="s">
        <v>151</v>
      </c>
      <c r="L24" s="212"/>
      <c r="M24" s="1"/>
      <c r="O24" s="1"/>
      <c r="P24" s="1"/>
      <c r="Q24" s="1"/>
      <c r="R24" s="1"/>
      <c r="S24" s="1"/>
      <c r="T24" s="1"/>
      <c r="U24" s="1"/>
      <c r="V24" s="1"/>
      <c r="W24" s="1"/>
      <c r="X24" s="1"/>
      <c r="Y24" s="55"/>
      <c r="Z24" s="55"/>
      <c r="AA24" s="55"/>
      <c r="AB24" s="55"/>
      <c r="AC24" s="55"/>
      <c r="AD24" s="55"/>
      <c r="AE24" s="55"/>
      <c r="AF24" s="55"/>
      <c r="AG24" s="55"/>
      <c r="AH24" s="1"/>
      <c r="AI24" s="1"/>
      <c r="AJ24" s="1"/>
      <c r="AK24" s="1"/>
      <c r="AL24" s="1"/>
      <c r="AM24" s="1"/>
      <c r="AN24" s="531">
        <f ca="1">AN22/G22-1</f>
        <v>3.659643292523862E-2</v>
      </c>
      <c r="AO24" s="531"/>
      <c r="AP24" s="1"/>
      <c r="AQ24" s="1"/>
      <c r="AR24" s="532" t="str">
        <f>IF(AR23-AR22&lt;0.0000000001,"ok","wrong")</f>
        <v>ok</v>
      </c>
      <c r="AS24" s="1"/>
      <c r="AT24" s="1"/>
      <c r="AU24" s="1"/>
      <c r="AV24" s="1"/>
      <c r="AW24" s="1"/>
      <c r="AX24" s="1"/>
      <c r="AY24" s="1"/>
      <c r="AZ24" s="1"/>
      <c r="BA24" s="1"/>
      <c r="BB24" s="1"/>
      <c r="BC24" s="1"/>
      <c r="BD24" s="1"/>
      <c r="BE24" s="1"/>
      <c r="BF24" s="1"/>
      <c r="BG24" s="1"/>
      <c r="BH24" s="1"/>
      <c r="BI24" s="1"/>
      <c r="BJ24" s="1"/>
      <c r="BK24" s="1"/>
      <c r="BL24" s="1"/>
      <c r="BM24" s="1"/>
      <c r="BN24" s="1"/>
    </row>
    <row r="25" spans="1:66" ht="13.95" customHeight="1" x14ac:dyDescent="0.3">
      <c r="A25" s="1"/>
      <c r="B25" s="1"/>
      <c r="C25" s="1"/>
      <c r="D25" s="1"/>
      <c r="E25" s="1"/>
      <c r="F25" s="1"/>
      <c r="G25" s="11" t="s">
        <v>152</v>
      </c>
      <c r="H25" s="213">
        <f>'[48]Sheet 1'!$N$25</f>
        <v>0.12072298472839749</v>
      </c>
      <c r="I25" s="1"/>
      <c r="J25" s="1"/>
      <c r="K25" s="11" t="s">
        <v>152</v>
      </c>
      <c r="L25" s="139"/>
      <c r="M25" s="1"/>
      <c r="N25" s="1"/>
      <c r="O25" s="1"/>
      <c r="P25" s="1"/>
      <c r="Q25" s="1"/>
      <c r="R25" s="1"/>
      <c r="S25" s="1"/>
      <c r="T25" s="1"/>
      <c r="U25" s="1"/>
      <c r="V25" s="1"/>
      <c r="W25" s="1"/>
      <c r="X25" s="1"/>
      <c r="Y25" s="55"/>
      <c r="Z25" s="55"/>
      <c r="AA25" s="55"/>
      <c r="AB25" s="55"/>
      <c r="AC25" s="55"/>
      <c r="AD25" s="55"/>
      <c r="AE25" s="55"/>
      <c r="AF25" s="55"/>
      <c r="AG25" s="55"/>
      <c r="AH25" s="1"/>
      <c r="AI25" s="1"/>
      <c r="AJ25" s="1"/>
      <c r="AK25" s="1"/>
      <c r="AL25" s="1"/>
      <c r="AM25" s="1"/>
      <c r="AN25" s="1"/>
      <c r="AO25" s="531"/>
      <c r="AP25" s="1"/>
      <c r="AQ25" s="1"/>
      <c r="AR25" s="532" t="str">
        <f>IF(AQ22-AR22&lt;0.0000000001,"ok","wrong")</f>
        <v>ok</v>
      </c>
      <c r="AS25" s="1"/>
      <c r="AT25" s="1"/>
      <c r="AU25" s="1"/>
      <c r="AV25" s="1"/>
      <c r="AW25" s="1"/>
      <c r="AX25" s="1"/>
      <c r="AY25" s="1"/>
      <c r="AZ25" s="1"/>
      <c r="BA25" s="1"/>
      <c r="BB25" s="1"/>
      <c r="BC25" s="1"/>
      <c r="BD25" s="1"/>
      <c r="BE25" s="1"/>
      <c r="BF25" s="1"/>
      <c r="BG25" s="1"/>
      <c r="BH25" s="1"/>
      <c r="BI25" s="1"/>
      <c r="BJ25" s="1"/>
      <c r="BK25" s="1"/>
      <c r="BL25" s="1"/>
      <c r="BM25" s="1"/>
      <c r="BN25" s="1"/>
    </row>
    <row r="26" spans="1:66" ht="13.95" customHeight="1" x14ac:dyDescent="0.3">
      <c r="A26" s="1"/>
      <c r="B26" s="1"/>
      <c r="C26" s="1"/>
      <c r="D26" s="1"/>
      <c r="E26" s="1"/>
      <c r="F26" s="1"/>
      <c r="G26" s="11" t="s">
        <v>153</v>
      </c>
      <c r="H26" s="213">
        <f>'[48]Sheet 1'!$O$25</f>
        <v>0.14991367734509864</v>
      </c>
      <c r="I26" s="1"/>
      <c r="J26" s="1"/>
      <c r="K26" s="11" t="s">
        <v>153</v>
      </c>
      <c r="L26" s="139"/>
      <c r="M26" s="1"/>
      <c r="N26" s="1"/>
      <c r="O26" s="1"/>
      <c r="P26" s="1"/>
      <c r="Q26" s="1"/>
      <c r="R26" s="1"/>
      <c r="S26" s="1"/>
      <c r="T26" s="1"/>
      <c r="U26" s="1"/>
      <c r="V26" s="1"/>
      <c r="W26" s="1"/>
      <c r="X26" s="1"/>
      <c r="Y26" s="55"/>
      <c r="Z26" s="55"/>
      <c r="AA26" s="55"/>
      <c r="AB26" s="55"/>
      <c r="AC26" s="55"/>
      <c r="AD26" s="55"/>
      <c r="AE26" s="55"/>
      <c r="AF26" s="55"/>
      <c r="AG26" s="55"/>
      <c r="AH26" s="1"/>
      <c r="AI26" s="1"/>
      <c r="AJ26" s="1"/>
      <c r="AK26" s="1"/>
      <c r="AL26" s="1"/>
      <c r="AM26" s="8" t="s">
        <v>571</v>
      </c>
      <c r="AN26" s="533"/>
      <c r="AO26" s="535">
        <f ca="1">AO22/$AN22-1</f>
        <v>1.4573125740535708E-3</v>
      </c>
      <c r="AP26" s="536">
        <f ca="1">AP22/$AN22-1</f>
        <v>5.148285915177464E-3</v>
      </c>
      <c r="AQ26" s="1"/>
      <c r="AR26" s="1"/>
      <c r="AS26" s="1"/>
      <c r="AT26" s="1"/>
      <c r="AU26" s="1"/>
      <c r="AV26" s="1"/>
      <c r="AW26" s="1"/>
      <c r="AX26" s="1"/>
      <c r="AY26" s="1"/>
      <c r="AZ26" s="1"/>
      <c r="BA26" s="1"/>
      <c r="BB26" s="1"/>
      <c r="BC26" s="1"/>
      <c r="BD26" s="1"/>
      <c r="BE26" s="1"/>
      <c r="BF26" s="1"/>
      <c r="BG26" s="1"/>
      <c r="BH26" s="1"/>
      <c r="BI26" s="1"/>
      <c r="BJ26" s="1"/>
      <c r="BK26" s="1"/>
      <c r="BL26" s="1"/>
      <c r="BM26" s="1"/>
      <c r="BN26" s="1"/>
    </row>
    <row r="27" spans="1:66" ht="9" customHeight="1" x14ac:dyDescent="0.3">
      <c r="A27" s="1"/>
      <c r="B27" s="1"/>
      <c r="C27" s="1"/>
      <c r="D27" s="1"/>
      <c r="E27" s="1"/>
      <c r="F27" s="1"/>
      <c r="G27" s="1"/>
      <c r="H27" s="1"/>
      <c r="I27" s="1"/>
      <c r="J27" s="1"/>
      <c r="K27" s="1"/>
      <c r="L27" s="1"/>
      <c r="M27" s="1"/>
      <c r="N27" s="1"/>
      <c r="O27" s="1"/>
      <c r="P27" s="1"/>
      <c r="Q27" s="1"/>
      <c r="R27" s="1"/>
      <c r="S27" s="1"/>
      <c r="T27" s="55"/>
      <c r="U27" s="55"/>
      <c r="V27" s="55"/>
      <c r="W27" s="55"/>
      <c r="X27" s="55"/>
      <c r="Y27" s="55"/>
      <c r="Z27" s="55"/>
      <c r="AA27" s="55"/>
      <c r="AB27" s="55"/>
      <c r="AC27" s="55"/>
      <c r="AD27" s="55"/>
      <c r="AE27" s="55"/>
      <c r="AF27" s="55"/>
      <c r="AG27" s="55"/>
      <c r="AH27" s="1"/>
      <c r="AI27" s="1"/>
      <c r="AJ27" s="1"/>
      <c r="AK27" s="1"/>
      <c r="AL27" s="1"/>
      <c r="AM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row>
    <row r="28" spans="1:66" ht="12" customHeight="1" thickBot="1" x14ac:dyDescent="0.35">
      <c r="A28" s="214"/>
      <c r="B28" s="214"/>
      <c r="C28" s="214"/>
      <c r="D28" s="214"/>
      <c r="E28" s="214"/>
      <c r="F28" s="214"/>
      <c r="G28" s="214"/>
      <c r="H28" s="214"/>
      <c r="I28" s="214"/>
      <c r="J28" s="214"/>
      <c r="K28" s="214"/>
      <c r="L28" s="214"/>
      <c r="M28" s="214"/>
      <c r="N28" s="214"/>
      <c r="O28" s="214"/>
      <c r="P28" s="214"/>
      <c r="Q28" s="214"/>
      <c r="R28" s="214"/>
      <c r="S28" s="214"/>
      <c r="T28" s="215"/>
      <c r="U28" s="215"/>
      <c r="V28" s="215"/>
      <c r="W28" s="215"/>
      <c r="X28" s="215"/>
      <c r="Y28" s="215"/>
      <c r="Z28" s="215"/>
      <c r="AA28" s="214"/>
      <c r="AB28" s="214"/>
      <c r="AC28" s="214"/>
      <c r="AD28" s="214"/>
      <c r="AE28" s="214"/>
      <c r="AF28" s="214"/>
      <c r="AG28" s="214"/>
      <c r="AH28" s="214"/>
      <c r="AI28" s="214"/>
      <c r="AJ28" s="1"/>
      <c r="AK28" s="1"/>
      <c r="AL28" s="1"/>
      <c r="AM28" s="8" t="s">
        <v>572</v>
      </c>
      <c r="AN28" s="8"/>
      <c r="AO28" s="535">
        <f ca="1">(AO22-$AN22)/($W$37*1000000)</f>
        <v>1.1024426197813002E-2</v>
      </c>
      <c r="AP28" s="536">
        <f ca="1">(AP22-$AN22)/($W$37*1000000)</f>
        <v>3.8946276267447261E-2</v>
      </c>
      <c r="AQ28" s="1"/>
      <c r="AR28" s="1"/>
      <c r="AS28" s="1"/>
      <c r="AT28" s="1"/>
      <c r="AU28" s="1"/>
      <c r="AV28" s="1"/>
      <c r="AW28" s="1"/>
      <c r="AX28" s="1"/>
      <c r="AY28" s="1"/>
      <c r="AZ28" s="1"/>
      <c r="BA28" s="1"/>
      <c r="BB28" s="1"/>
      <c r="BC28" s="1"/>
      <c r="BD28" s="1"/>
      <c r="BE28" s="1"/>
      <c r="BF28" s="1"/>
      <c r="BG28" s="1"/>
      <c r="BH28" s="1"/>
      <c r="BI28" s="1"/>
      <c r="BJ28" s="1"/>
      <c r="BK28" s="1"/>
      <c r="BL28" s="1"/>
      <c r="BM28" s="1"/>
      <c r="BN28" s="1"/>
    </row>
    <row r="29" spans="1:66" ht="12" customHeight="1" thickBot="1" x14ac:dyDescent="0.35">
      <c r="A29" s="214"/>
      <c r="B29" s="216" t="s">
        <v>154</v>
      </c>
      <c r="C29" s="217"/>
      <c r="D29" s="217"/>
      <c r="E29" s="217"/>
      <c r="F29" s="217"/>
      <c r="G29" s="217"/>
      <c r="H29" s="217"/>
      <c r="I29" s="217"/>
      <c r="J29" s="217"/>
      <c r="K29" s="217"/>
      <c r="L29" s="217"/>
      <c r="M29" s="217"/>
      <c r="N29" s="217"/>
      <c r="O29" s="217"/>
      <c r="P29" s="217"/>
      <c r="Q29" s="217"/>
      <c r="R29" s="217"/>
      <c r="S29" s="217"/>
      <c r="T29" s="218"/>
      <c r="U29" s="218"/>
      <c r="V29" s="219"/>
      <c r="W29" s="215"/>
      <c r="X29" s="215"/>
      <c r="Y29" s="215"/>
      <c r="Z29" s="215"/>
      <c r="AA29" s="214"/>
      <c r="AB29" s="214"/>
      <c r="AC29" s="214"/>
      <c r="AD29" s="214"/>
      <c r="AE29" s="214"/>
      <c r="AF29" s="214"/>
      <c r="AG29" s="214"/>
      <c r="AH29" s="214"/>
      <c r="AI29" s="214"/>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row>
    <row r="30" spans="1:66" ht="21.6" customHeight="1" thickBot="1" x14ac:dyDescent="0.35">
      <c r="A30" s="214"/>
      <c r="B30" s="220"/>
      <c r="C30" s="214"/>
      <c r="D30" s="214"/>
      <c r="E30" s="214"/>
      <c r="F30" s="214"/>
      <c r="G30" s="214"/>
      <c r="H30" s="214"/>
      <c r="I30" s="214"/>
      <c r="J30" s="214"/>
      <c r="K30" s="214"/>
      <c r="L30" s="214"/>
      <c r="M30" s="214"/>
      <c r="N30" s="214"/>
      <c r="O30" s="214"/>
      <c r="P30" s="214"/>
      <c r="Q30" s="214"/>
      <c r="R30" s="214"/>
      <c r="S30" s="214"/>
      <c r="T30" s="214"/>
      <c r="U30" s="214"/>
      <c r="V30" s="214"/>
      <c r="W30" s="214"/>
      <c r="X30" s="214"/>
      <c r="Y30" s="214"/>
      <c r="Z30" s="214"/>
      <c r="AA30" s="214"/>
      <c r="AB30" s="214"/>
      <c r="AC30" s="216" t="s">
        <v>158</v>
      </c>
      <c r="AD30" s="221"/>
      <c r="AE30" s="214"/>
      <c r="AF30" s="214"/>
      <c r="AG30" s="214"/>
      <c r="AH30" s="214"/>
      <c r="AI30" s="214"/>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row>
    <row r="31" spans="1:66" ht="21" customHeight="1" thickBot="1" x14ac:dyDescent="0.35">
      <c r="A31" s="214"/>
      <c r="B31" s="216" t="s">
        <v>159</v>
      </c>
      <c r="C31" s="221"/>
      <c r="D31" s="223"/>
      <c r="E31" s="222" t="s">
        <v>160</v>
      </c>
      <c r="F31" s="222" t="s">
        <v>160</v>
      </c>
      <c r="G31" s="223"/>
      <c r="H31" s="224" t="s">
        <v>161</v>
      </c>
      <c r="I31" s="222"/>
      <c r="J31" s="222"/>
      <c r="K31" s="222"/>
      <c r="L31" s="222"/>
      <c r="M31" s="223"/>
      <c r="N31" s="216" t="s">
        <v>162</v>
      </c>
      <c r="O31" s="221"/>
      <c r="P31" s="222" t="s">
        <v>163</v>
      </c>
      <c r="Q31" s="222"/>
      <c r="R31" s="222"/>
      <c r="S31" s="223"/>
      <c r="T31" s="224" t="s">
        <v>164</v>
      </c>
      <c r="U31" s="222"/>
      <c r="V31" s="222"/>
      <c r="W31" s="223"/>
      <c r="X31" s="225" t="s">
        <v>165</v>
      </c>
      <c r="Y31" s="222"/>
      <c r="Z31" s="222"/>
      <c r="AA31" s="223"/>
      <c r="AB31" s="214"/>
      <c r="AC31" s="347" t="s">
        <v>163</v>
      </c>
      <c r="AD31" s="348"/>
      <c r="AE31" s="223"/>
      <c r="AF31" s="224" t="s">
        <v>164</v>
      </c>
      <c r="AG31" s="222"/>
      <c r="AH31" s="223"/>
      <c r="AI31" s="214"/>
      <c r="AJ31" s="1"/>
      <c r="AK31" s="1"/>
      <c r="AL31" s="1"/>
      <c r="AM31" s="1"/>
      <c r="AN31" s="1"/>
      <c r="AO31" s="8" t="s">
        <v>567</v>
      </c>
      <c r="AP31" s="10">
        <v>0.05</v>
      </c>
      <c r="AQ31" s="1"/>
      <c r="AR31" s="1"/>
      <c r="AS31" s="1"/>
      <c r="AT31" s="1"/>
      <c r="AU31" s="1"/>
      <c r="AV31" s="1"/>
      <c r="AW31" s="1"/>
      <c r="AX31" s="1"/>
      <c r="AY31" s="1"/>
      <c r="AZ31" s="1"/>
      <c r="BA31" s="1"/>
      <c r="BB31" s="1"/>
      <c r="BC31" s="1"/>
      <c r="BD31" s="1"/>
      <c r="BE31" s="1"/>
      <c r="BF31" s="1"/>
      <c r="BG31" s="1"/>
      <c r="BH31" s="1"/>
      <c r="BI31" s="1"/>
      <c r="BJ31" s="1"/>
      <c r="BK31" s="1"/>
      <c r="BL31" s="1"/>
      <c r="BM31" s="1"/>
      <c r="BN31" s="1"/>
    </row>
    <row r="32" spans="1:66" ht="51" customHeight="1" x14ac:dyDescent="0.3">
      <c r="A32" s="214"/>
      <c r="B32" s="226"/>
      <c r="C32" s="227" t="s">
        <v>166</v>
      </c>
      <c r="D32" s="228" t="s">
        <v>167</v>
      </c>
      <c r="E32" s="228" t="s">
        <v>168</v>
      </c>
      <c r="F32" s="410" t="s">
        <v>169</v>
      </c>
      <c r="G32" s="228" t="s">
        <v>170</v>
      </c>
      <c r="H32" s="228" t="s">
        <v>171</v>
      </c>
      <c r="I32" s="229" t="s">
        <v>172</v>
      </c>
      <c r="J32" s="229" t="s">
        <v>173</v>
      </c>
      <c r="K32" s="230" t="s">
        <v>174</v>
      </c>
      <c r="L32" s="229" t="s">
        <v>175</v>
      </c>
      <c r="M32" s="411" t="s">
        <v>176</v>
      </c>
      <c r="N32" s="227"/>
      <c r="O32" s="227" t="s">
        <v>177</v>
      </c>
      <c r="P32" s="231" t="s">
        <v>178</v>
      </c>
      <c r="Q32" s="231" t="s">
        <v>179</v>
      </c>
      <c r="R32" s="231" t="s">
        <v>180</v>
      </c>
      <c r="S32" s="231" t="s">
        <v>181</v>
      </c>
      <c r="T32" s="231" t="s">
        <v>182</v>
      </c>
      <c r="U32" s="231" t="s">
        <v>183</v>
      </c>
      <c r="V32" s="231" t="s">
        <v>184</v>
      </c>
      <c r="W32" s="231" t="s">
        <v>185</v>
      </c>
      <c r="X32" s="231" t="s">
        <v>186</v>
      </c>
      <c r="Y32" s="231" t="s">
        <v>187</v>
      </c>
      <c r="Z32" s="231" t="s">
        <v>188</v>
      </c>
      <c r="AA32" s="231" t="s">
        <v>189</v>
      </c>
      <c r="AB32" s="214"/>
      <c r="AC32" s="231" t="s">
        <v>178</v>
      </c>
      <c r="AD32" s="231" t="s">
        <v>179</v>
      </c>
      <c r="AE32" s="231" t="s">
        <v>180</v>
      </c>
      <c r="AF32" s="231" t="s">
        <v>182</v>
      </c>
      <c r="AG32" s="231" t="s">
        <v>183</v>
      </c>
      <c r="AH32" s="231" t="s">
        <v>184</v>
      </c>
      <c r="AI32" s="214"/>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row>
    <row r="33" spans="1:66" ht="15.6" customHeight="1" x14ac:dyDescent="0.3">
      <c r="A33" s="214"/>
      <c r="B33" s="232">
        <v>2019</v>
      </c>
      <c r="C33" s="233">
        <f>C22</f>
        <v>90356355967.985748</v>
      </c>
      <c r="D33" s="146">
        <f>[49]AAPP!$AE$38</f>
        <v>1253710</v>
      </c>
      <c r="E33" s="259">
        <f>(F33/1000000/D33)*100</f>
        <v>7.8991951886799967</v>
      </c>
      <c r="F33" s="146">
        <f>'[50]Sheet 1'!$M$88*1000000</f>
        <v>99033000000</v>
      </c>
      <c r="G33" s="234">
        <f>F33/C33</f>
        <v>1.0960269362244808</v>
      </c>
      <c r="H33" s="235">
        <f>C33*G33</f>
        <v>99033000000</v>
      </c>
      <c r="I33" s="235" t="s">
        <v>113</v>
      </c>
      <c r="J33" s="235" t="s">
        <v>113</v>
      </c>
      <c r="K33" s="235" t="s">
        <v>113</v>
      </c>
      <c r="L33" s="235" t="s">
        <v>113</v>
      </c>
      <c r="M33" s="214"/>
      <c r="N33" s="232">
        <v>2019</v>
      </c>
      <c r="O33" s="236">
        <f>G33</f>
        <v>1.0960269362244808</v>
      </c>
      <c r="P33" s="237"/>
      <c r="Q33" s="237"/>
      <c r="R33" s="237"/>
      <c r="S33" s="237"/>
      <c r="T33" s="237"/>
      <c r="U33" s="237"/>
      <c r="V33" s="238"/>
      <c r="W33" s="238"/>
      <c r="X33" s="238"/>
      <c r="Y33" s="238"/>
      <c r="Z33" s="238"/>
      <c r="AA33" s="238"/>
      <c r="AB33" s="214"/>
      <c r="AC33" s="237"/>
      <c r="AD33" s="237"/>
      <c r="AE33" s="237"/>
      <c r="AF33" s="237"/>
      <c r="AG33" s="237"/>
      <c r="AH33" s="238"/>
      <c r="AI33" s="214"/>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row>
    <row r="34" spans="1:66" s="51" customFormat="1" ht="15.6" customHeight="1" x14ac:dyDescent="0.3">
      <c r="A34" s="239"/>
      <c r="B34" s="240">
        <v>2020</v>
      </c>
      <c r="C34" s="241">
        <f>D22</f>
        <v>87805138677.359924</v>
      </c>
      <c r="D34" s="146">
        <f>[49]AAPP!$AF$38</f>
        <v>1129214</v>
      </c>
      <c r="E34" s="259">
        <f t="shared" ref="E34:E36" si="7">(F34/1000000/D34)*100</f>
        <v>8.7636178793390798</v>
      </c>
      <c r="F34" s="146">
        <f>'[50]Sheet 1'!$O$88*1000000</f>
        <v>98960000000</v>
      </c>
      <c r="G34" s="234">
        <f>F34/C34</f>
        <v>1.1270410990822375</v>
      </c>
      <c r="H34" s="242">
        <f>C34*G34</f>
        <v>98960000000.000015</v>
      </c>
      <c r="I34" s="243"/>
      <c r="J34" s="243"/>
      <c r="K34" s="243"/>
      <c r="L34" s="243"/>
      <c r="M34" s="214"/>
      <c r="N34" s="240">
        <v>2020</v>
      </c>
      <c r="O34" s="244"/>
      <c r="P34" s="245"/>
      <c r="Q34" s="245"/>
      <c r="R34" s="245"/>
      <c r="S34" s="245"/>
      <c r="T34" s="245"/>
      <c r="U34" s="245"/>
      <c r="V34" s="245"/>
      <c r="W34" s="245"/>
      <c r="X34" s="245"/>
      <c r="Y34" s="245"/>
      <c r="Z34" s="245"/>
      <c r="AA34" s="245"/>
      <c r="AB34" s="239"/>
      <c r="AC34" s="245"/>
      <c r="AD34" s="245"/>
      <c r="AE34" s="245"/>
      <c r="AF34" s="245"/>
      <c r="AG34" s="245"/>
      <c r="AH34" s="245"/>
      <c r="AI34" s="239"/>
      <c r="AJ34" s="47"/>
      <c r="AK34" s="47"/>
      <c r="AL34" s="47"/>
      <c r="AM34" s="47"/>
      <c r="AN34" s="47"/>
      <c r="AO34" s="47"/>
      <c r="AP34" s="47"/>
      <c r="AQ34" s="47"/>
      <c r="AR34" s="47"/>
      <c r="AS34" s="47"/>
      <c r="AT34" s="47"/>
      <c r="AU34" s="47"/>
      <c r="AV34" s="47"/>
      <c r="AW34" s="47"/>
      <c r="AX34" s="47"/>
      <c r="AY34" s="47"/>
      <c r="AZ34" s="47"/>
      <c r="BA34" s="47"/>
      <c r="BB34" s="47"/>
      <c r="BC34" s="47"/>
      <c r="BD34" s="47"/>
      <c r="BE34" s="47"/>
      <c r="BF34" s="47"/>
      <c r="BG34" s="47"/>
      <c r="BH34" s="47"/>
      <c r="BI34" s="47"/>
      <c r="BJ34" s="47"/>
      <c r="BK34" s="47"/>
      <c r="BL34" s="47"/>
      <c r="BM34" s="47"/>
      <c r="BN34" s="47"/>
    </row>
    <row r="35" spans="1:66" ht="15.6" customHeight="1" x14ac:dyDescent="0.3">
      <c r="A35" s="214"/>
      <c r="B35" s="232">
        <v>2021</v>
      </c>
      <c r="C35" s="241">
        <f>E22</f>
        <v>94618632733.324295</v>
      </c>
      <c r="D35" s="146">
        <f>[49]AAPP!$AG$38</f>
        <v>1235474</v>
      </c>
      <c r="E35" s="259">
        <f t="shared" si="7"/>
        <v>8.632152517980952</v>
      </c>
      <c r="F35" s="146">
        <f>'[50]Sheet 1'!$Q$88*1000000</f>
        <v>106648000000</v>
      </c>
      <c r="G35" s="234">
        <f>F35/C35</f>
        <v>1.1271352895214581</v>
      </c>
      <c r="H35" s="242">
        <f>C35*G35</f>
        <v>106648000000</v>
      </c>
      <c r="I35" s="243"/>
      <c r="J35" s="243"/>
      <c r="K35" s="243"/>
      <c r="L35" s="243"/>
      <c r="M35" s="214"/>
      <c r="N35" s="232">
        <v>2021</v>
      </c>
      <c r="O35" s="244"/>
      <c r="P35" s="246"/>
      <c r="Q35" s="246"/>
      <c r="R35" s="246"/>
      <c r="S35" s="246"/>
      <c r="T35" s="246"/>
      <c r="U35" s="246"/>
      <c r="V35" s="247"/>
      <c r="W35" s="247"/>
      <c r="X35" s="247"/>
      <c r="Y35" s="247"/>
      <c r="Z35" s="247"/>
      <c r="AA35" s="247"/>
      <c r="AB35" s="214"/>
      <c r="AC35" s="246"/>
      <c r="AD35" s="246"/>
      <c r="AE35" s="246"/>
      <c r="AF35" s="246"/>
      <c r="AG35" s="246"/>
      <c r="AH35" s="247"/>
      <c r="AI35" s="214"/>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row>
    <row r="36" spans="1:66" ht="15.6" customHeight="1" x14ac:dyDescent="0.3">
      <c r="A36" s="214"/>
      <c r="B36" s="240">
        <v>2022</v>
      </c>
      <c r="C36" s="248">
        <f>F22</f>
        <v>99873391401.816208</v>
      </c>
      <c r="D36" s="146">
        <f>[49]AAPP!$AH$38</f>
        <v>1375863</v>
      </c>
      <c r="E36" s="259">
        <f t="shared" si="7"/>
        <v>8.9688435549178944</v>
      </c>
      <c r="F36" s="146">
        <f>'[50]Sheet 1'!$S$88*1000000</f>
        <v>123399000000</v>
      </c>
      <c r="G36" s="234">
        <f>F36/C36</f>
        <v>1.2355543180018214</v>
      </c>
      <c r="H36" s="242">
        <f>C36*G36</f>
        <v>123399000000</v>
      </c>
      <c r="I36" s="249"/>
      <c r="J36" s="249"/>
      <c r="K36" s="249"/>
      <c r="L36" s="249"/>
      <c r="M36" s="214"/>
      <c r="N36" s="240">
        <v>2022</v>
      </c>
      <c r="O36" s="250"/>
      <c r="P36" s="225"/>
      <c r="Q36" s="225"/>
      <c r="R36" s="225"/>
      <c r="S36" s="225"/>
      <c r="T36" s="225"/>
      <c r="U36" s="225"/>
      <c r="V36" s="225"/>
      <c r="W36" s="225"/>
      <c r="X36" s="225"/>
      <c r="Y36" s="225"/>
      <c r="Z36" s="225"/>
      <c r="AA36" s="225"/>
      <c r="AB36" s="214"/>
      <c r="AC36" s="225"/>
      <c r="AD36" s="225"/>
      <c r="AE36" s="225"/>
      <c r="AF36" s="225"/>
      <c r="AG36" s="225"/>
      <c r="AH36" s="225"/>
      <c r="AI36" s="214"/>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row>
    <row r="37" spans="1:66" ht="15.6" customHeight="1" x14ac:dyDescent="0.3">
      <c r="A37" s="214"/>
      <c r="B37" s="232">
        <v>2023</v>
      </c>
      <c r="C37" s="251">
        <f>G22</f>
        <v>108417780966.19574</v>
      </c>
      <c r="D37" s="146">
        <f>[49]AAPP!$AI$36</f>
        <v>1497760.9999999995</v>
      </c>
      <c r="E37" s="259">
        <f>(F37/1000000/D37)*100</f>
        <v>8.9714580630688108</v>
      </c>
      <c r="F37" s="146">
        <f>'[50]Sheet 1'!$U$88*1000000</f>
        <v>134371000000</v>
      </c>
      <c r="G37" s="234">
        <f>F37/C37</f>
        <v>1.2393815737835141</v>
      </c>
      <c r="H37" s="242">
        <f>C37*G37</f>
        <v>134371000000</v>
      </c>
      <c r="I37" s="235">
        <f>H22*$G37</f>
        <v>138799065199.41965</v>
      </c>
      <c r="J37" s="235">
        <f>I22*$G37</f>
        <v>124909769956.22987</v>
      </c>
      <c r="K37" s="235">
        <f>J22*$G37</f>
        <v>124992848373.95557</v>
      </c>
      <c r="L37" s="235">
        <f>K22*$G37</f>
        <v>121926058912.09227</v>
      </c>
      <c r="M37" s="412">
        <f>AK22*$G37</f>
        <v>138555547347.25681</v>
      </c>
      <c r="N37" s="232">
        <v>2023</v>
      </c>
      <c r="O37" s="252">
        <f>G37</f>
        <v>1.2393815737835141</v>
      </c>
      <c r="P37" s="253">
        <f>($H37-J37)/1000000</f>
        <v>9461.2300437701269</v>
      </c>
      <c r="Q37" s="253">
        <f>($H37-K37)/1000000</f>
        <v>9378.1516260444332</v>
      </c>
      <c r="R37" s="253">
        <f>($H37-L37)/1000000</f>
        <v>12444.94108790773</v>
      </c>
      <c r="S37" s="253">
        <f>AVERAGE(P37:R37)</f>
        <v>10428.10758590743</v>
      </c>
      <c r="T37" s="253">
        <f t="shared" ref="T37:V37" si="8">($I37-J37)/1000000</f>
        <v>13889.295243189774</v>
      </c>
      <c r="U37" s="253">
        <f t="shared" si="8"/>
        <v>13806.21682546408</v>
      </c>
      <c r="V37" s="253">
        <f t="shared" si="8"/>
        <v>16873.006287327378</v>
      </c>
      <c r="W37" s="253">
        <f>AVERAGE(T37:V37)</f>
        <v>14856.172785327077</v>
      </c>
      <c r="X37" s="254">
        <f>(T37-P37)/T37</f>
        <v>0.31881136673157151</v>
      </c>
      <c r="Y37" s="254">
        <f>(U37-Q37)/U37</f>
        <v>0.32072980276918128</v>
      </c>
      <c r="Z37" s="254">
        <f>(V37-R37)/V37</f>
        <v>0.26243486928262372</v>
      </c>
      <c r="AA37" s="254">
        <f>AVERAGE(X37:Z37)</f>
        <v>0.30065867959445886</v>
      </c>
      <c r="AB37" s="214"/>
      <c r="AC37" s="351">
        <f>P37/$D37</f>
        <v>6.316915745416078E-3</v>
      </c>
      <c r="AD37" s="351">
        <f>Q37/$D37</f>
        <v>6.2614473377557807E-3</v>
      </c>
      <c r="AE37" s="351">
        <f>R37/$D37</f>
        <v>8.3090300040578793E-3</v>
      </c>
      <c r="AF37" s="351">
        <f>T37/$D37</f>
        <v>9.273372215720518E-3</v>
      </c>
      <c r="AG37" s="351">
        <f>U37/$D37</f>
        <v>9.2179038080602207E-3</v>
      </c>
      <c r="AH37" s="351">
        <f>V37/$D37</f>
        <v>1.126548647436232E-2</v>
      </c>
      <c r="AI37" s="214"/>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row>
    <row r="38" spans="1:66" ht="15.6" customHeight="1" x14ac:dyDescent="0.3">
      <c r="A38" s="214"/>
      <c r="B38" s="240">
        <v>2024</v>
      </c>
      <c r="C38" s="255"/>
      <c r="D38" s="256"/>
      <c r="E38" s="256"/>
      <c r="F38" s="256"/>
      <c r="G38" s="257"/>
      <c r="H38" s="256"/>
      <c r="I38" s="249"/>
      <c r="J38" s="249"/>
      <c r="K38" s="249"/>
      <c r="L38" s="249"/>
      <c r="M38" s="214"/>
      <c r="N38" s="240">
        <v>2024</v>
      </c>
      <c r="O38" s="250"/>
      <c r="P38" s="225"/>
      <c r="Q38" s="225"/>
      <c r="R38" s="225"/>
      <c r="S38" s="225"/>
      <c r="T38" s="258"/>
      <c r="U38" s="258"/>
      <c r="V38" s="258"/>
      <c r="W38" s="258"/>
      <c r="X38" s="225"/>
      <c r="Y38" s="225"/>
      <c r="Z38" s="225"/>
      <c r="AA38" s="225"/>
      <c r="AB38" s="214"/>
      <c r="AC38" s="353"/>
      <c r="AD38" s="353"/>
      <c r="AE38" s="353"/>
      <c r="AF38" s="354"/>
      <c r="AG38" s="354"/>
      <c r="AH38" s="354"/>
      <c r="AI38" s="214"/>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row>
    <row r="39" spans="1:66" ht="15.6" customHeight="1" x14ac:dyDescent="0.3">
      <c r="A39" s="214"/>
      <c r="B39" s="232">
        <v>2025</v>
      </c>
      <c r="C39" s="255"/>
      <c r="D39" s="256"/>
      <c r="E39" s="256"/>
      <c r="F39" s="256"/>
      <c r="G39" s="257"/>
      <c r="H39" s="256"/>
      <c r="I39" s="249"/>
      <c r="J39" s="249"/>
      <c r="K39" s="249"/>
      <c r="L39" s="249"/>
      <c r="M39" s="214"/>
      <c r="N39" s="232">
        <v>2025</v>
      </c>
      <c r="O39" s="250"/>
      <c r="P39" s="225"/>
      <c r="Q39" s="225"/>
      <c r="R39" s="225"/>
      <c r="S39" s="225"/>
      <c r="T39" s="258"/>
      <c r="U39" s="258"/>
      <c r="V39" s="258"/>
      <c r="W39" s="258"/>
      <c r="X39" s="225"/>
      <c r="Y39" s="225"/>
      <c r="Z39" s="225"/>
      <c r="AA39" s="225"/>
      <c r="AB39" s="214"/>
      <c r="AC39" s="353"/>
      <c r="AD39" s="353"/>
      <c r="AE39" s="353"/>
      <c r="AF39" s="354"/>
      <c r="AG39" s="354"/>
      <c r="AH39" s="354"/>
      <c r="AI39" s="214"/>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row>
    <row r="40" spans="1:66" ht="15.6" customHeight="1" x14ac:dyDescent="0.3">
      <c r="A40" s="214"/>
      <c r="B40" s="240">
        <v>2026</v>
      </c>
      <c r="C40" s="251"/>
      <c r="D40" s="256"/>
      <c r="E40" s="256"/>
      <c r="F40" s="256"/>
      <c r="G40" s="259"/>
      <c r="H40" s="256"/>
      <c r="I40" s="235"/>
      <c r="J40" s="235"/>
      <c r="K40" s="235"/>
      <c r="L40" s="235"/>
      <c r="M40" s="214"/>
      <c r="N40" s="240">
        <v>2026</v>
      </c>
      <c r="O40" s="252"/>
      <c r="P40" s="225"/>
      <c r="Q40" s="225"/>
      <c r="R40" s="225"/>
      <c r="S40" s="225"/>
      <c r="T40" s="253"/>
      <c r="U40" s="253"/>
      <c r="V40" s="253"/>
      <c r="W40" s="253"/>
      <c r="X40" s="225"/>
      <c r="Y40" s="225"/>
      <c r="Z40" s="225"/>
      <c r="AA40" s="225"/>
      <c r="AB40" s="214"/>
      <c r="AC40" s="353"/>
      <c r="AD40" s="353"/>
      <c r="AE40" s="353"/>
      <c r="AF40" s="351"/>
      <c r="AG40" s="351"/>
      <c r="AH40" s="351"/>
      <c r="AI40" s="214"/>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row>
    <row r="41" spans="1:66" ht="12.6" customHeight="1" x14ac:dyDescent="0.3">
      <c r="A41" s="214"/>
      <c r="B41" s="214"/>
      <c r="C41" s="214"/>
      <c r="D41" s="214"/>
      <c r="E41" s="214"/>
      <c r="F41" s="214"/>
      <c r="G41" s="214"/>
      <c r="H41" s="214"/>
      <c r="I41" s="260"/>
      <c r="J41" s="214"/>
      <c r="K41" s="214"/>
      <c r="L41" s="214"/>
      <c r="M41" s="214"/>
      <c r="N41" s="214"/>
      <c r="O41" s="214"/>
      <c r="P41" s="214"/>
      <c r="Q41" s="214"/>
      <c r="R41" s="214"/>
      <c r="S41" s="214"/>
      <c r="T41" s="260"/>
      <c r="U41" s="214"/>
      <c r="V41" s="214"/>
      <c r="W41" s="214"/>
      <c r="X41" s="413" t="s">
        <v>190</v>
      </c>
      <c r="Y41" s="414"/>
      <c r="Z41" s="414"/>
      <c r="AA41" s="415"/>
      <c r="AB41" s="214"/>
      <c r="AC41" s="214"/>
      <c r="AD41" s="214"/>
      <c r="AE41" s="214"/>
      <c r="AF41" s="260"/>
      <c r="AG41" s="214"/>
      <c r="AH41" s="214"/>
      <c r="AI41" s="214"/>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row>
    <row r="42" spans="1:66" ht="12.6" customHeight="1" x14ac:dyDescent="0.3">
      <c r="A42" s="214"/>
      <c r="B42" s="214"/>
      <c r="C42" s="214"/>
      <c r="D42" s="214"/>
      <c r="E42" s="214"/>
      <c r="F42" s="214"/>
      <c r="G42" s="214"/>
      <c r="H42" s="214"/>
      <c r="I42" s="214"/>
      <c r="J42" s="214"/>
      <c r="K42" s="214"/>
      <c r="L42" s="214"/>
      <c r="M42" s="214"/>
      <c r="N42" s="214"/>
      <c r="O42" s="214"/>
      <c r="P42" s="214"/>
      <c r="Q42" s="214"/>
      <c r="R42" s="214"/>
      <c r="S42" s="214"/>
      <c r="T42" s="214"/>
      <c r="U42" s="214"/>
      <c r="V42" s="214"/>
      <c r="W42" s="416">
        <v>2023</v>
      </c>
      <c r="X42" s="417">
        <f>(($M37-$H37)/1000000)/T37</f>
        <v>0.3012785943411046</v>
      </c>
      <c r="Y42" s="417">
        <f t="shared" ref="Y42:Z42" si="9">(($M37-$H37)/1000000)/U37</f>
        <v>0.30309152754568208</v>
      </c>
      <c r="Z42" s="417">
        <f t="shared" si="9"/>
        <v>0.24800247661850558</v>
      </c>
      <c r="AA42" s="417">
        <f>AVERAGE(X42:Z42)</f>
        <v>0.2841241995017641</v>
      </c>
      <c r="AB42" s="214"/>
      <c r="AC42" s="214"/>
      <c r="AD42" s="214"/>
      <c r="AE42" s="214"/>
      <c r="AF42" s="214"/>
      <c r="AG42" s="214"/>
      <c r="AH42" s="214"/>
      <c r="AI42" s="214"/>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row>
    <row r="43" spans="1:66" ht="12.6" customHeight="1" thickBot="1" x14ac:dyDescent="0.35">
      <c r="A43" s="214"/>
      <c r="B43" s="214"/>
      <c r="C43" s="214"/>
      <c r="D43" s="214"/>
      <c r="E43" s="214"/>
      <c r="F43" s="214"/>
      <c r="G43" s="214"/>
      <c r="H43" s="214"/>
      <c r="I43" s="214"/>
      <c r="J43" s="214"/>
      <c r="K43" s="214"/>
      <c r="L43" s="214"/>
      <c r="M43" s="214"/>
      <c r="N43" s="214"/>
      <c r="O43" s="214"/>
      <c r="P43" s="214"/>
      <c r="Q43" s="214"/>
      <c r="R43" s="214"/>
      <c r="S43" s="214"/>
      <c r="T43" s="214"/>
      <c r="U43" s="214"/>
      <c r="V43" s="214"/>
      <c r="W43" s="214"/>
      <c r="X43" s="214"/>
      <c r="Y43" s="214"/>
      <c r="Z43" s="214"/>
      <c r="AA43" s="214"/>
      <c r="AB43" s="214"/>
      <c r="AC43" s="214"/>
      <c r="AD43" s="214"/>
      <c r="AE43" s="214"/>
      <c r="AF43" s="214"/>
      <c r="AG43" s="214"/>
      <c r="AH43" s="214"/>
      <c r="AI43" s="214"/>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row>
    <row r="44" spans="1:66" ht="18" customHeight="1" thickBot="1" x14ac:dyDescent="0.35">
      <c r="A44" s="214"/>
      <c r="B44" s="216" t="s">
        <v>191</v>
      </c>
      <c r="C44" s="221"/>
      <c r="D44" s="222" t="s">
        <v>160</v>
      </c>
      <c r="E44" s="223"/>
      <c r="F44" s="224" t="s">
        <v>161</v>
      </c>
      <c r="G44" s="222"/>
      <c r="H44" s="222"/>
      <c r="I44" s="222"/>
      <c r="J44" s="223"/>
      <c r="K44" s="214"/>
      <c r="L44" s="214"/>
      <c r="M44" s="214"/>
      <c r="N44" s="214"/>
      <c r="O44" s="214"/>
      <c r="P44" s="214"/>
      <c r="Q44" s="214"/>
      <c r="R44" s="214"/>
      <c r="S44" s="214"/>
      <c r="T44" s="214"/>
      <c r="U44" s="216" t="s">
        <v>192</v>
      </c>
      <c r="V44" s="221"/>
      <c r="W44" s="222" t="s">
        <v>160</v>
      </c>
      <c r="X44" s="223"/>
      <c r="Y44" s="224" t="s">
        <v>161</v>
      </c>
      <c r="Z44" s="222"/>
      <c r="AA44" s="222"/>
      <c r="AB44" s="222"/>
      <c r="AC44" s="223"/>
      <c r="AD44" s="214"/>
      <c r="AE44" s="214"/>
      <c r="AF44" s="214"/>
      <c r="AG44" s="214"/>
      <c r="AH44" s="214"/>
      <c r="AI44" s="214"/>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row>
    <row r="45" spans="1:66" ht="42" customHeight="1" x14ac:dyDescent="0.3">
      <c r="A45" s="214"/>
      <c r="B45" s="227"/>
      <c r="C45" s="231" t="s">
        <v>193</v>
      </c>
      <c r="D45" s="228" t="s">
        <v>194</v>
      </c>
      <c r="E45" s="228" t="s">
        <v>170</v>
      </c>
      <c r="F45" s="229" t="s">
        <v>195</v>
      </c>
      <c r="G45" s="229" t="s">
        <v>196</v>
      </c>
      <c r="H45" s="261" t="s">
        <v>197</v>
      </c>
      <c r="I45" s="261" t="s">
        <v>198</v>
      </c>
      <c r="J45" s="261" t="s">
        <v>199</v>
      </c>
      <c r="K45" s="411" t="s">
        <v>176</v>
      </c>
      <c r="L45" s="214"/>
      <c r="M45" s="214"/>
      <c r="N45" s="214"/>
      <c r="O45" s="214"/>
      <c r="P45" s="214"/>
      <c r="Q45" s="214"/>
      <c r="R45" s="214"/>
      <c r="S45" s="214"/>
      <c r="T45" s="214"/>
      <c r="U45" s="227"/>
      <c r="V45" s="231" t="s">
        <v>193</v>
      </c>
      <c r="W45" s="228" t="s">
        <v>194</v>
      </c>
      <c r="X45" s="228" t="s">
        <v>170</v>
      </c>
      <c r="Y45" s="229" t="s">
        <v>195</v>
      </c>
      <c r="Z45" s="229" t="s">
        <v>196</v>
      </c>
      <c r="AA45" s="261" t="s">
        <v>197</v>
      </c>
      <c r="AB45" s="261" t="s">
        <v>198</v>
      </c>
      <c r="AC45" s="261" t="s">
        <v>199</v>
      </c>
      <c r="AD45" s="214"/>
      <c r="AE45" s="214"/>
      <c r="AF45" s="214"/>
      <c r="AG45" s="214"/>
      <c r="AH45" s="214"/>
      <c r="AI45" s="214"/>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row>
    <row r="46" spans="1:66" ht="15" customHeight="1" x14ac:dyDescent="0.3">
      <c r="A46" s="214"/>
      <c r="B46" s="232">
        <v>2019</v>
      </c>
      <c r="C46" s="262">
        <f>C33/1000000</f>
        <v>90356.355967985743</v>
      </c>
      <c r="D46" s="263">
        <f>F33/1000000</f>
        <v>99033</v>
      </c>
      <c r="E46" s="264"/>
      <c r="F46" s="262">
        <f>H33/1000000</f>
        <v>99033</v>
      </c>
      <c r="G46" s="264"/>
      <c r="H46" s="264"/>
      <c r="I46" s="264"/>
      <c r="J46" s="264"/>
      <c r="K46" s="214"/>
      <c r="L46" s="214"/>
      <c r="M46" s="214"/>
      <c r="N46" s="214"/>
      <c r="O46" s="214"/>
      <c r="P46" s="214"/>
      <c r="Q46" s="214"/>
      <c r="R46" s="214"/>
      <c r="S46" s="214"/>
      <c r="T46" s="214"/>
      <c r="U46" s="232">
        <v>2019</v>
      </c>
      <c r="V46" s="355">
        <f>C33/1000000/D33</f>
        <v>7.2071177519510685E-2</v>
      </c>
      <c r="W46" s="355">
        <f>F33/(D33*1000000)</f>
        <v>7.8991951886799971E-2</v>
      </c>
      <c r="X46" s="264"/>
      <c r="Y46" s="355">
        <f>H33/($D33*1000000)</f>
        <v>7.8991951886799971E-2</v>
      </c>
      <c r="Z46" s="355"/>
      <c r="AA46" s="355"/>
      <c r="AB46" s="355"/>
      <c r="AC46" s="355"/>
      <c r="AD46" s="214"/>
      <c r="AE46" s="214"/>
      <c r="AF46" s="214"/>
      <c r="AG46" s="214"/>
      <c r="AH46" s="214"/>
      <c r="AI46" s="214"/>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row>
    <row r="47" spans="1:66" ht="15" customHeight="1" x14ac:dyDescent="0.3">
      <c r="A47" s="214"/>
      <c r="B47" s="240">
        <v>2020</v>
      </c>
      <c r="C47" s="262">
        <f t="shared" ref="C47:C49" si="10">C34/1000000</f>
        <v>87805.138677359922</v>
      </c>
      <c r="D47" s="263">
        <f>F34/1000000</f>
        <v>98960</v>
      </c>
      <c r="E47" s="264"/>
      <c r="F47" s="264"/>
      <c r="G47" s="264"/>
      <c r="H47" s="264"/>
      <c r="I47" s="264"/>
      <c r="J47" s="264"/>
      <c r="K47" s="214"/>
      <c r="L47" s="214"/>
      <c r="M47" s="214"/>
      <c r="N47" s="214"/>
      <c r="O47" s="214"/>
      <c r="P47" s="214"/>
      <c r="Q47" s="214"/>
      <c r="R47" s="214"/>
      <c r="S47" s="214"/>
      <c r="T47" s="214"/>
      <c r="U47" s="240">
        <v>2020</v>
      </c>
      <c r="V47" s="355">
        <f t="shared" ref="V47:V50" si="11">C34/1000000/D34</f>
        <v>7.7757748909737148E-2</v>
      </c>
      <c r="W47" s="355">
        <f t="shared" ref="W47:W50" si="12">F34/(D34*1000000)</f>
        <v>8.7636178793390807E-2</v>
      </c>
      <c r="X47" s="264"/>
      <c r="Y47" s="355"/>
      <c r="Z47" s="355"/>
      <c r="AA47" s="355"/>
      <c r="AB47" s="355"/>
      <c r="AC47" s="355"/>
      <c r="AD47" s="214"/>
      <c r="AE47" s="214"/>
      <c r="AF47" s="214"/>
      <c r="AG47" s="214"/>
      <c r="AH47" s="214"/>
      <c r="AI47" s="214"/>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row>
    <row r="48" spans="1:66" ht="15" customHeight="1" x14ac:dyDescent="0.3">
      <c r="A48" s="214"/>
      <c r="B48" s="232">
        <v>2021</v>
      </c>
      <c r="C48" s="262">
        <f t="shared" si="10"/>
        <v>94618.632733324295</v>
      </c>
      <c r="D48" s="263">
        <f>F35/1000000</f>
        <v>106648</v>
      </c>
      <c r="E48" s="264"/>
      <c r="F48" s="264"/>
      <c r="G48" s="264"/>
      <c r="H48" s="264"/>
      <c r="I48" s="264"/>
      <c r="J48" s="264"/>
      <c r="K48" s="214"/>
      <c r="L48" s="214"/>
      <c r="M48" s="214"/>
      <c r="N48" s="214"/>
      <c r="O48" s="214"/>
      <c r="P48" s="214"/>
      <c r="Q48" s="214"/>
      <c r="R48" s="214"/>
      <c r="S48" s="214"/>
      <c r="T48" s="214"/>
      <c r="U48" s="232">
        <v>2021</v>
      </c>
      <c r="V48" s="355">
        <f t="shared" si="11"/>
        <v>7.6584883804373297E-2</v>
      </c>
      <c r="W48" s="355">
        <f t="shared" si="12"/>
        <v>8.6321525179809525E-2</v>
      </c>
      <c r="X48" s="264"/>
      <c r="Y48" s="355"/>
      <c r="Z48" s="355"/>
      <c r="AA48" s="355"/>
      <c r="AB48" s="355"/>
      <c r="AC48" s="355"/>
      <c r="AD48" s="214"/>
      <c r="AE48" s="214"/>
      <c r="AF48" s="214"/>
      <c r="AG48" s="214"/>
      <c r="AH48" s="214"/>
      <c r="AI48" s="214"/>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row>
    <row r="49" spans="1:66" ht="15" customHeight="1" x14ac:dyDescent="0.3">
      <c r="A49" s="214"/>
      <c r="B49" s="240">
        <v>2022</v>
      </c>
      <c r="C49" s="262">
        <f t="shared" si="10"/>
        <v>99873.391401816203</v>
      </c>
      <c r="D49" s="263">
        <f>F36/1000000</f>
        <v>123399</v>
      </c>
      <c r="E49" s="264"/>
      <c r="F49" s="264"/>
      <c r="G49" s="264"/>
      <c r="H49" s="264"/>
      <c r="I49" s="264"/>
      <c r="J49" s="264"/>
      <c r="K49" s="214"/>
      <c r="L49" s="214"/>
      <c r="M49" s="214"/>
      <c r="N49" s="214"/>
      <c r="O49" s="214"/>
      <c r="P49" s="214"/>
      <c r="Q49" s="214"/>
      <c r="R49" s="214"/>
      <c r="S49" s="214"/>
      <c r="T49" s="214"/>
      <c r="U49" s="240">
        <v>2022</v>
      </c>
      <c r="V49" s="355">
        <f t="shared" si="11"/>
        <v>7.2589633852946256E-2</v>
      </c>
      <c r="W49" s="355">
        <f t="shared" si="12"/>
        <v>8.9688435549178949E-2</v>
      </c>
      <c r="X49" s="264"/>
      <c r="Y49" s="355"/>
      <c r="Z49" s="355"/>
      <c r="AA49" s="355"/>
      <c r="AB49" s="355"/>
      <c r="AC49" s="355"/>
      <c r="AD49" s="214"/>
      <c r="AE49" s="214"/>
      <c r="AF49" s="214"/>
      <c r="AG49" s="214"/>
      <c r="AH49" s="214"/>
      <c r="AI49" s="214"/>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row>
    <row r="50" spans="1:66" ht="15" customHeight="1" x14ac:dyDescent="0.3">
      <c r="A50" s="214"/>
      <c r="B50" s="232">
        <v>2023</v>
      </c>
      <c r="C50" s="262">
        <f>C37/1000000</f>
        <v>108417.78096619574</v>
      </c>
      <c r="D50" s="263">
        <f>F37/1000000</f>
        <v>134371</v>
      </c>
      <c r="E50" s="264"/>
      <c r="F50" s="262">
        <f t="shared" ref="F50:K50" si="13">H37/1000000</f>
        <v>134371</v>
      </c>
      <c r="G50" s="262">
        <f t="shared" si="13"/>
        <v>138799.06519941965</v>
      </c>
      <c r="H50" s="262">
        <f t="shared" si="13"/>
        <v>124909.76995622988</v>
      </c>
      <c r="I50" s="262">
        <f t="shared" si="13"/>
        <v>124992.84837395557</v>
      </c>
      <c r="J50" s="262">
        <f t="shared" si="13"/>
        <v>121926.05891209227</v>
      </c>
      <c r="K50" s="418">
        <f t="shared" si="13"/>
        <v>138555.5473472568</v>
      </c>
      <c r="L50" s="214"/>
      <c r="M50" s="214"/>
      <c r="N50" s="214"/>
      <c r="O50" s="214"/>
      <c r="P50" s="214"/>
      <c r="Q50" s="214"/>
      <c r="R50" s="214"/>
      <c r="S50" s="214"/>
      <c r="T50" s="214"/>
      <c r="U50" s="232">
        <v>2023</v>
      </c>
      <c r="V50" s="355">
        <f t="shared" si="11"/>
        <v>7.2386569663781986E-2</v>
      </c>
      <c r="W50" s="355">
        <f t="shared" si="12"/>
        <v>8.9714580630688101E-2</v>
      </c>
      <c r="X50" s="264"/>
      <c r="Y50" s="355">
        <f>H37/($D37*1000000)</f>
        <v>8.9714580630688101E-2</v>
      </c>
      <c r="Z50" s="355">
        <f t="shared" ref="Z50:AC50" si="14">I37/($D37*1000000)</f>
        <v>9.2671037100992545E-2</v>
      </c>
      <c r="AA50" s="355">
        <f t="shared" si="14"/>
        <v>8.3397664885272019E-2</v>
      </c>
      <c r="AB50" s="355">
        <f t="shared" si="14"/>
        <v>8.3453133292932316E-2</v>
      </c>
      <c r="AC50" s="355">
        <f t="shared" si="14"/>
        <v>8.1405550626630227E-2</v>
      </c>
      <c r="AD50" s="214"/>
      <c r="AE50" s="214"/>
      <c r="AF50" s="214"/>
      <c r="AG50" s="214"/>
      <c r="AH50" s="214"/>
      <c r="AI50" s="214"/>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row>
    <row r="51" spans="1:66" ht="15" customHeight="1" x14ac:dyDescent="0.3">
      <c r="A51" s="214"/>
      <c r="B51" s="240">
        <v>2024</v>
      </c>
      <c r="C51" s="264"/>
      <c r="D51" s="264"/>
      <c r="E51" s="264"/>
      <c r="F51" s="264"/>
      <c r="G51" s="264"/>
      <c r="H51" s="264"/>
      <c r="I51" s="264"/>
      <c r="J51" s="264"/>
      <c r="K51" s="214"/>
      <c r="L51" s="214"/>
      <c r="M51" s="214"/>
      <c r="N51" s="214"/>
      <c r="O51" s="214"/>
      <c r="P51" s="214"/>
      <c r="Q51" s="214"/>
      <c r="R51" s="214"/>
      <c r="S51" s="214"/>
      <c r="T51" s="214"/>
      <c r="U51" s="240">
        <v>2024</v>
      </c>
      <c r="V51" s="264"/>
      <c r="W51" s="264"/>
      <c r="X51" s="264"/>
      <c r="Y51" s="355"/>
      <c r="Z51" s="355"/>
      <c r="AA51" s="355"/>
      <c r="AB51" s="355"/>
      <c r="AC51" s="355"/>
      <c r="AD51" s="214"/>
      <c r="AE51" s="214"/>
      <c r="AF51" s="214"/>
      <c r="AG51" s="214"/>
      <c r="AH51" s="214"/>
      <c r="AI51" s="214"/>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row>
    <row r="52" spans="1:66" ht="15" customHeight="1" x14ac:dyDescent="0.3">
      <c r="A52" s="214"/>
      <c r="B52" s="232">
        <v>2025</v>
      </c>
      <c r="C52" s="264"/>
      <c r="D52" s="264"/>
      <c r="E52" s="264"/>
      <c r="F52" s="264"/>
      <c r="G52" s="264"/>
      <c r="H52" s="264"/>
      <c r="I52" s="264"/>
      <c r="J52" s="264"/>
      <c r="K52" s="214"/>
      <c r="L52" s="214"/>
      <c r="M52" s="214"/>
      <c r="N52" s="214"/>
      <c r="O52" s="214"/>
      <c r="P52" s="214"/>
      <c r="Q52" s="214"/>
      <c r="R52" s="214"/>
      <c r="S52" s="214"/>
      <c r="T52" s="214"/>
      <c r="U52" s="232">
        <v>2025</v>
      </c>
      <c r="V52" s="264"/>
      <c r="W52" s="264"/>
      <c r="X52" s="264"/>
      <c r="Y52" s="355"/>
      <c r="Z52" s="355"/>
      <c r="AA52" s="355"/>
      <c r="AB52" s="355"/>
      <c r="AC52" s="355"/>
      <c r="AD52" s="214"/>
      <c r="AE52" s="214"/>
      <c r="AF52" s="214"/>
      <c r="AG52" s="214"/>
      <c r="AH52" s="214"/>
      <c r="AI52" s="214"/>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row>
    <row r="53" spans="1:66" ht="15" customHeight="1" x14ac:dyDescent="0.3">
      <c r="A53" s="214"/>
      <c r="B53" s="240">
        <v>2026</v>
      </c>
      <c r="C53" s="262"/>
      <c r="D53" s="264"/>
      <c r="E53" s="264"/>
      <c r="F53" s="264"/>
      <c r="G53" s="262"/>
      <c r="H53" s="262"/>
      <c r="I53" s="262"/>
      <c r="J53" s="262"/>
      <c r="K53" s="214"/>
      <c r="L53" s="214"/>
      <c r="M53" s="214"/>
      <c r="N53" s="214"/>
      <c r="O53" s="214"/>
      <c r="P53" s="214"/>
      <c r="Q53" s="214"/>
      <c r="R53" s="214"/>
      <c r="S53" s="214"/>
      <c r="T53" s="214"/>
      <c r="U53" s="240">
        <v>2026</v>
      </c>
      <c r="V53" s="262"/>
      <c r="W53" s="264"/>
      <c r="X53" s="264"/>
      <c r="Y53" s="355"/>
      <c r="Z53" s="355"/>
      <c r="AA53" s="355"/>
      <c r="AB53" s="355"/>
      <c r="AC53" s="355"/>
      <c r="AD53" s="214"/>
      <c r="AE53" s="214"/>
      <c r="AF53" s="214"/>
      <c r="AG53" s="214"/>
      <c r="AH53" s="214"/>
      <c r="AI53" s="214"/>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row>
    <row r="54" spans="1:66" ht="12.6" customHeight="1" x14ac:dyDescent="0.3">
      <c r="A54" s="214"/>
      <c r="B54" s="214"/>
      <c r="C54" s="214"/>
      <c r="D54" s="214"/>
      <c r="E54" s="214"/>
      <c r="F54" s="214"/>
      <c r="G54" s="214"/>
      <c r="H54" s="214"/>
      <c r="I54" s="214"/>
      <c r="J54" s="214"/>
      <c r="K54" s="214"/>
      <c r="L54" s="214"/>
      <c r="M54" s="214"/>
      <c r="N54" s="214"/>
      <c r="O54" s="214"/>
      <c r="P54" s="214"/>
      <c r="Q54" s="214"/>
      <c r="R54" s="214"/>
      <c r="S54" s="214"/>
      <c r="T54" s="214"/>
      <c r="U54" s="214"/>
      <c r="V54" s="214"/>
      <c r="W54" s="214"/>
      <c r="X54" s="214"/>
      <c r="Y54" s="214"/>
      <c r="Z54" s="214"/>
      <c r="AA54" s="214"/>
      <c r="AB54" s="214"/>
      <c r="AC54" s="214"/>
      <c r="AD54" s="214"/>
      <c r="AE54" s="214"/>
      <c r="AF54" s="214"/>
      <c r="AG54" s="214"/>
      <c r="AH54" s="214"/>
      <c r="AI54" s="214"/>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row>
    <row r="55" spans="1:66" ht="12.6" customHeight="1" x14ac:dyDescent="0.3">
      <c r="A55" s="214"/>
      <c r="B55" s="214"/>
      <c r="C55" s="214"/>
      <c r="D55" s="214"/>
      <c r="E55" s="214"/>
      <c r="F55" s="214"/>
      <c r="G55" s="214"/>
      <c r="H55" s="214"/>
      <c r="I55" s="214"/>
      <c r="J55" s="214"/>
      <c r="K55" s="214"/>
      <c r="L55" s="214"/>
      <c r="M55" s="214"/>
      <c r="N55" s="214"/>
      <c r="O55" s="214"/>
      <c r="P55" s="214"/>
      <c r="Q55" s="214"/>
      <c r="R55" s="214"/>
      <c r="S55" s="214"/>
      <c r="T55" s="214"/>
      <c r="U55" s="214"/>
      <c r="V55" s="214"/>
      <c r="W55" s="214"/>
      <c r="X55" s="214"/>
      <c r="Y55" s="214"/>
      <c r="Z55" s="214"/>
      <c r="AA55" s="214"/>
      <c r="AB55" s="214"/>
      <c r="AC55" s="214"/>
      <c r="AD55" s="214"/>
      <c r="AE55" s="214"/>
      <c r="AF55" s="214"/>
      <c r="AG55" s="214"/>
      <c r="AH55" s="214"/>
      <c r="AI55" s="214"/>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row>
    <row r="56" spans="1:66" ht="12.6" customHeight="1" x14ac:dyDescent="0.3">
      <c r="A56" s="214"/>
      <c r="B56" s="214"/>
      <c r="C56" s="214"/>
      <c r="D56" s="214"/>
      <c r="E56" s="214"/>
      <c r="F56" s="214"/>
      <c r="G56" s="214"/>
      <c r="H56" s="214"/>
      <c r="I56" s="214"/>
      <c r="J56" s="214"/>
      <c r="K56" s="214"/>
      <c r="L56" s="214"/>
      <c r="M56" s="214"/>
      <c r="N56" s="214"/>
      <c r="O56" s="214"/>
      <c r="P56" s="214"/>
      <c r="Q56" s="214"/>
      <c r="R56" s="214"/>
      <c r="S56" s="214"/>
      <c r="T56" s="214"/>
      <c r="U56" s="214"/>
      <c r="V56" s="214"/>
      <c r="W56" s="214"/>
      <c r="X56" s="214"/>
      <c r="Y56" s="214"/>
      <c r="Z56" s="214"/>
      <c r="AA56" s="214"/>
      <c r="AB56" s="214"/>
      <c r="AC56" s="214"/>
      <c r="AD56" s="214"/>
      <c r="AE56" s="214"/>
      <c r="AF56" s="214"/>
      <c r="AG56" s="214"/>
      <c r="AH56" s="214"/>
      <c r="AI56" s="214"/>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row>
    <row r="57" spans="1:66" ht="12.6" customHeight="1" x14ac:dyDescent="0.3">
      <c r="A57" s="214"/>
      <c r="B57" s="214"/>
      <c r="C57" s="214"/>
      <c r="D57" s="214"/>
      <c r="E57" s="214"/>
      <c r="F57" s="214"/>
      <c r="G57" s="214"/>
      <c r="H57" s="214"/>
      <c r="I57" s="214"/>
      <c r="J57" s="214"/>
      <c r="K57" s="214"/>
      <c r="L57" s="214"/>
      <c r="M57" s="214"/>
      <c r="N57" s="214"/>
      <c r="O57" s="214"/>
      <c r="P57" s="214"/>
      <c r="Q57" s="214"/>
      <c r="R57" s="214"/>
      <c r="S57" s="214"/>
      <c r="T57" s="214"/>
      <c r="U57" s="214"/>
      <c r="V57" s="214"/>
      <c r="W57" s="214"/>
      <c r="X57" s="214"/>
      <c r="Y57" s="214"/>
      <c r="Z57" s="214"/>
      <c r="AA57" s="214"/>
      <c r="AB57" s="214"/>
      <c r="AC57" s="214"/>
      <c r="AD57" s="214"/>
      <c r="AE57" s="214"/>
      <c r="AF57" s="214"/>
      <c r="AG57" s="214"/>
      <c r="AH57" s="214"/>
      <c r="AI57" s="214"/>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row>
    <row r="58" spans="1:66" ht="12.6" customHeight="1" x14ac:dyDescent="0.3">
      <c r="A58" s="214"/>
      <c r="B58" s="214"/>
      <c r="C58" s="214"/>
      <c r="D58" s="214"/>
      <c r="E58" s="214"/>
      <c r="F58" s="214"/>
      <c r="G58" s="214"/>
      <c r="H58" s="214"/>
      <c r="I58" s="214"/>
      <c r="J58" s="214"/>
      <c r="K58" s="214"/>
      <c r="L58" s="214"/>
      <c r="M58" s="214"/>
      <c r="N58" s="214"/>
      <c r="O58" s="214"/>
      <c r="P58" s="214"/>
      <c r="Q58" s="214"/>
      <c r="R58" s="214"/>
      <c r="S58" s="214"/>
      <c r="T58" s="214"/>
      <c r="U58" s="214"/>
      <c r="V58" s="214"/>
      <c r="W58" s="214"/>
      <c r="X58" s="214"/>
      <c r="Y58" s="214"/>
      <c r="Z58" s="214"/>
      <c r="AA58" s="214"/>
      <c r="AB58" s="214"/>
      <c r="AC58" s="214"/>
      <c r="AD58" s="214"/>
      <c r="AE58" s="214"/>
      <c r="AF58" s="214"/>
      <c r="AG58" s="214"/>
      <c r="AH58" s="214"/>
      <c r="AI58" s="214"/>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row>
    <row r="59" spans="1:66" ht="12.6"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row>
    <row r="60" spans="1:66" ht="12" customHeight="1" thickBot="1" x14ac:dyDescent="0.35">
      <c r="A60" s="98"/>
      <c r="B60" s="98"/>
      <c r="C60" s="98"/>
      <c r="D60" s="98"/>
      <c r="E60" s="98"/>
      <c r="F60" s="98"/>
      <c r="G60" s="98"/>
      <c r="H60" s="98"/>
      <c r="I60" s="98"/>
      <c r="J60" s="98"/>
      <c r="K60" s="98"/>
      <c r="L60" s="98"/>
      <c r="M60" s="98"/>
      <c r="N60" s="98"/>
      <c r="O60" s="98"/>
      <c r="P60" s="98"/>
      <c r="Q60" s="98"/>
      <c r="R60" s="98"/>
      <c r="S60" s="98"/>
      <c r="T60" s="265"/>
      <c r="U60" s="265"/>
      <c r="V60" s="265"/>
      <c r="W60" s="265"/>
      <c r="X60" s="55"/>
      <c r="Y60" s="55"/>
      <c r="Z60" s="55"/>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row>
    <row r="61" spans="1:66" ht="12" customHeight="1" thickBot="1" x14ac:dyDescent="0.35">
      <c r="A61" s="98"/>
      <c r="B61" s="266" t="s">
        <v>200</v>
      </c>
      <c r="C61" s="267"/>
      <c r="D61" s="267"/>
      <c r="E61" s="267"/>
      <c r="F61" s="267"/>
      <c r="G61" s="267"/>
      <c r="H61" s="267"/>
      <c r="I61" s="267"/>
      <c r="J61" s="267"/>
      <c r="K61" s="267"/>
      <c r="L61" s="267"/>
      <c r="M61" s="267"/>
      <c r="N61" s="267"/>
      <c r="O61" s="267"/>
      <c r="P61" s="267"/>
      <c r="Q61" s="267"/>
      <c r="R61" s="267"/>
      <c r="S61" s="267"/>
      <c r="T61" s="268"/>
      <c r="U61" s="268"/>
      <c r="V61" s="269"/>
      <c r="W61" s="265"/>
      <c r="X61" s="55"/>
      <c r="Y61" s="55"/>
      <c r="Z61" s="55"/>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row>
    <row r="62" spans="1:66" ht="21.6" customHeight="1" x14ac:dyDescent="0.3">
      <c r="A62" s="98"/>
      <c r="B62" s="270"/>
      <c r="C62" s="98"/>
      <c r="D62" s="98"/>
      <c r="E62" s="98"/>
      <c r="F62" s="98"/>
      <c r="G62" s="98"/>
      <c r="H62" s="98"/>
      <c r="I62" s="98"/>
      <c r="J62" s="98"/>
      <c r="K62" s="98"/>
      <c r="L62" s="98"/>
      <c r="M62" s="98"/>
      <c r="N62" s="98"/>
      <c r="O62" s="98"/>
      <c r="P62" s="98"/>
      <c r="Q62" s="98"/>
      <c r="R62" s="98"/>
      <c r="S62" s="98"/>
      <c r="T62" s="98"/>
      <c r="U62" s="98"/>
      <c r="V62" s="98"/>
      <c r="W62" s="98"/>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row>
    <row r="63" spans="1:66" ht="21" customHeight="1" x14ac:dyDescent="0.3">
      <c r="A63" s="98"/>
      <c r="B63" s="98"/>
      <c r="C63" s="98"/>
      <c r="D63" s="98"/>
      <c r="E63" s="98"/>
      <c r="F63" s="98"/>
      <c r="G63" s="98"/>
      <c r="H63" s="98"/>
      <c r="I63" s="98"/>
      <c r="J63" s="98"/>
      <c r="K63" s="98"/>
      <c r="L63" s="98"/>
      <c r="M63" s="98"/>
      <c r="N63" s="98"/>
      <c r="O63" s="98"/>
      <c r="P63" s="98"/>
      <c r="Q63" s="98"/>
      <c r="R63" s="98"/>
      <c r="S63" s="98"/>
      <c r="T63" s="98"/>
      <c r="U63" s="98"/>
      <c r="V63" s="98"/>
      <c r="W63" s="98"/>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row>
    <row r="64" spans="1:66" ht="42.6" customHeight="1" x14ac:dyDescent="0.3">
      <c r="A64" s="98"/>
      <c r="B64" s="356" t="s">
        <v>201</v>
      </c>
      <c r="C64" s="271" t="s">
        <v>202</v>
      </c>
      <c r="D64" s="272" t="s">
        <v>172</v>
      </c>
      <c r="E64" s="272" t="s">
        <v>173</v>
      </c>
      <c r="F64" s="273" t="s">
        <v>174</v>
      </c>
      <c r="G64" s="272" t="s">
        <v>175</v>
      </c>
      <c r="H64" s="274"/>
      <c r="I64" s="274"/>
      <c r="J64" s="274"/>
      <c r="K64" s="274"/>
      <c r="L64" s="274"/>
      <c r="M64" s="274"/>
      <c r="N64" s="274"/>
      <c r="O64" s="274"/>
      <c r="P64" s="274"/>
      <c r="Q64" s="274"/>
      <c r="R64" s="274"/>
      <c r="S64" s="274"/>
      <c r="T64" s="274"/>
      <c r="U64" s="274"/>
      <c r="V64" s="274"/>
      <c r="W64" s="98"/>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row>
    <row r="65" spans="1:66" ht="15.6" customHeight="1" x14ac:dyDescent="0.3">
      <c r="A65" s="98"/>
      <c r="B65" s="275">
        <v>2019</v>
      </c>
      <c r="C65" s="357">
        <f>C22/P22*100</f>
        <v>13.500919625524329</v>
      </c>
      <c r="D65" s="276"/>
      <c r="E65" s="276"/>
      <c r="F65" s="276"/>
      <c r="G65" s="276"/>
      <c r="H65" s="277"/>
      <c r="I65" s="277"/>
      <c r="J65" s="277"/>
      <c r="K65" s="277"/>
      <c r="L65" s="277"/>
      <c r="M65" s="277"/>
      <c r="N65" s="277"/>
      <c r="O65" s="277"/>
      <c r="P65" s="277"/>
      <c r="Q65" s="277"/>
      <c r="R65" s="277"/>
      <c r="S65" s="277"/>
      <c r="T65" s="277"/>
      <c r="U65" s="277"/>
      <c r="V65" s="277"/>
      <c r="W65" s="278"/>
      <c r="X65" s="44"/>
      <c r="Y65" s="44"/>
      <c r="Z65" s="44"/>
      <c r="AA65" s="46"/>
      <c r="AB65" s="46"/>
      <c r="AC65" s="46"/>
      <c r="AD65" s="46"/>
      <c r="AE65" s="46"/>
      <c r="AF65" s="46"/>
      <c r="AG65" s="44"/>
      <c r="AH65" s="44"/>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row>
    <row r="66" spans="1:66" s="51" customFormat="1" ht="15.6" customHeight="1" x14ac:dyDescent="0.3">
      <c r="A66" s="279"/>
      <c r="B66" s="280">
        <v>2020</v>
      </c>
      <c r="C66" s="357">
        <f>D22/Q22*100</f>
        <v>13.300885363385643</v>
      </c>
      <c r="D66" s="276"/>
      <c r="E66" s="276"/>
      <c r="F66" s="276"/>
      <c r="G66" s="276"/>
      <c r="H66" s="281"/>
      <c r="I66" s="281"/>
      <c r="J66" s="281"/>
      <c r="K66" s="281"/>
      <c r="L66" s="281"/>
      <c r="M66" s="281"/>
      <c r="N66" s="281"/>
      <c r="O66" s="281"/>
      <c r="P66" s="281"/>
      <c r="Q66" s="281"/>
      <c r="R66" s="281"/>
      <c r="S66" s="281"/>
      <c r="T66" s="281"/>
      <c r="U66" s="281"/>
      <c r="V66" s="281"/>
      <c r="W66" s="282"/>
      <c r="X66" s="48"/>
      <c r="Y66" s="48"/>
      <c r="Z66" s="48"/>
      <c r="AA66" s="48"/>
      <c r="AB66" s="48"/>
      <c r="AC66" s="48"/>
      <c r="AD66" s="48"/>
      <c r="AE66" s="48"/>
      <c r="AF66" s="48"/>
      <c r="AG66" s="48"/>
      <c r="AH66" s="48"/>
      <c r="AI66" s="47"/>
      <c r="AJ66" s="47"/>
      <c r="AK66" s="47"/>
      <c r="AL66" s="47"/>
      <c r="AM66" s="47"/>
      <c r="AN66" s="47"/>
      <c r="AO66" s="47"/>
      <c r="AP66" s="47"/>
      <c r="AQ66" s="47"/>
      <c r="AR66" s="47"/>
      <c r="AS66" s="47"/>
      <c r="AT66" s="47"/>
      <c r="AU66" s="47"/>
      <c r="AV66" s="47"/>
      <c r="AW66" s="47"/>
      <c r="AX66" s="47"/>
      <c r="AY66" s="47"/>
      <c r="AZ66" s="47"/>
      <c r="BA66" s="47"/>
      <c r="BB66" s="47"/>
      <c r="BC66" s="47"/>
      <c r="BD66" s="47"/>
      <c r="BE66" s="47"/>
      <c r="BF66" s="47"/>
      <c r="BG66" s="47"/>
      <c r="BH66" s="47"/>
      <c r="BI66" s="47"/>
      <c r="BJ66" s="47"/>
      <c r="BK66" s="47"/>
      <c r="BL66" s="47"/>
      <c r="BM66" s="47"/>
      <c r="BN66" s="47"/>
    </row>
    <row r="67" spans="1:66" ht="15.6" customHeight="1" x14ac:dyDescent="0.3">
      <c r="A67" s="98"/>
      <c r="B67" s="275">
        <v>2021</v>
      </c>
      <c r="C67" s="357">
        <f>E22/R22*100</f>
        <v>13.862198295257166</v>
      </c>
      <c r="D67" s="276"/>
      <c r="E67" s="276"/>
      <c r="F67" s="276"/>
      <c r="G67" s="276"/>
      <c r="H67" s="281"/>
      <c r="I67" s="281"/>
      <c r="J67" s="281"/>
      <c r="K67" s="281"/>
      <c r="L67" s="281"/>
      <c r="M67" s="281"/>
      <c r="N67" s="281"/>
      <c r="O67" s="281"/>
      <c r="P67" s="281"/>
      <c r="Q67" s="281"/>
      <c r="R67" s="281"/>
      <c r="S67" s="281"/>
      <c r="T67" s="281"/>
      <c r="U67" s="281"/>
      <c r="V67" s="281"/>
      <c r="W67" s="283"/>
      <c r="X67" s="52"/>
      <c r="Y67" s="52"/>
      <c r="Z67" s="52"/>
      <c r="AA67" s="43"/>
      <c r="AB67" s="43"/>
      <c r="AC67" s="43"/>
      <c r="AD67" s="43"/>
      <c r="AE67" s="43"/>
      <c r="AF67" s="43"/>
      <c r="AG67" s="43"/>
      <c r="AH67" s="43"/>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row>
    <row r="68" spans="1:66" ht="15.6" customHeight="1" x14ac:dyDescent="0.3">
      <c r="A68" s="98"/>
      <c r="B68" s="280">
        <v>2022</v>
      </c>
      <c r="C68" s="357">
        <f>F22/S22*100</f>
        <v>14.095195203394761</v>
      </c>
      <c r="D68" s="276"/>
      <c r="E68" s="276"/>
      <c r="F68" s="276"/>
      <c r="G68" s="276"/>
      <c r="H68" s="284"/>
      <c r="I68" s="284"/>
      <c r="J68" s="284"/>
      <c r="K68" s="284"/>
      <c r="L68" s="284"/>
      <c r="M68" s="284"/>
      <c r="N68" s="284"/>
      <c r="O68" s="284"/>
      <c r="P68" s="284"/>
      <c r="Q68" s="284"/>
      <c r="R68" s="284"/>
      <c r="S68" s="284"/>
      <c r="T68" s="284"/>
      <c r="U68" s="284"/>
      <c r="V68" s="284"/>
      <c r="W68" s="98"/>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row>
    <row r="69" spans="1:66" ht="15.6" customHeight="1" x14ac:dyDescent="0.3">
      <c r="A69" s="98"/>
      <c r="B69" s="275">
        <v>2023</v>
      </c>
      <c r="C69" s="357">
        <f>G22/$T22*100</f>
        <v>14.44268867893739</v>
      </c>
      <c r="D69" s="357">
        <f>H22/$T22*100</f>
        <v>14.918633392642391</v>
      </c>
      <c r="E69" s="357">
        <f>I22/$T22*100</f>
        <v>13.425760918914905</v>
      </c>
      <c r="F69" s="357">
        <f>J22/$T22*100</f>
        <v>13.434690492432638</v>
      </c>
      <c r="G69" s="357">
        <f>K22/$T22*100</f>
        <v>13.105060695515611</v>
      </c>
      <c r="H69" s="277"/>
      <c r="I69" s="277"/>
      <c r="J69" s="277"/>
      <c r="K69" s="277"/>
      <c r="L69" s="277"/>
      <c r="M69" s="277"/>
      <c r="N69" s="277"/>
      <c r="O69" s="277"/>
      <c r="P69" s="277"/>
      <c r="Q69" s="277"/>
      <c r="R69" s="277"/>
      <c r="S69" s="277"/>
      <c r="T69" s="277"/>
      <c r="U69" s="277"/>
      <c r="V69" s="277"/>
      <c r="W69" s="98"/>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row>
    <row r="70" spans="1:66" ht="15.6" customHeight="1" x14ac:dyDescent="0.3">
      <c r="A70" s="98"/>
      <c r="B70" s="280">
        <v>2024</v>
      </c>
      <c r="C70" s="276"/>
      <c r="D70" s="358"/>
      <c r="E70" s="357"/>
      <c r="F70" s="357"/>
      <c r="G70" s="357"/>
      <c r="H70" s="284"/>
      <c r="I70" s="284"/>
      <c r="J70" s="284"/>
      <c r="K70" s="284"/>
      <c r="L70" s="284"/>
      <c r="M70" s="284"/>
      <c r="N70" s="284"/>
      <c r="O70" s="284"/>
      <c r="P70" s="284"/>
      <c r="Q70" s="284"/>
      <c r="R70" s="284"/>
      <c r="S70" s="284"/>
      <c r="T70" s="284"/>
      <c r="U70" s="284"/>
      <c r="V70" s="284"/>
      <c r="W70" s="98"/>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row>
    <row r="71" spans="1:66" ht="15.6" customHeight="1" x14ac:dyDescent="0.3">
      <c r="A71" s="98"/>
      <c r="B71" s="275">
        <v>2025</v>
      </c>
      <c r="C71" s="276"/>
      <c r="D71" s="358"/>
      <c r="E71" s="357"/>
      <c r="F71" s="357"/>
      <c r="G71" s="357"/>
      <c r="H71" s="284"/>
      <c r="I71" s="284"/>
      <c r="J71" s="284"/>
      <c r="K71" s="284"/>
      <c r="L71" s="284"/>
      <c r="M71" s="284"/>
      <c r="N71" s="284"/>
      <c r="O71" s="284"/>
      <c r="P71" s="284"/>
      <c r="Q71" s="284"/>
      <c r="R71" s="284"/>
      <c r="S71" s="284"/>
      <c r="T71" s="284"/>
      <c r="U71" s="284"/>
      <c r="V71" s="284"/>
      <c r="W71" s="98"/>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row>
    <row r="72" spans="1:66" ht="15.6" customHeight="1" x14ac:dyDescent="0.3">
      <c r="A72" s="98"/>
      <c r="B72" s="280">
        <v>2026</v>
      </c>
      <c r="C72" s="276"/>
      <c r="D72" s="357"/>
      <c r="E72" s="357"/>
      <c r="F72" s="357"/>
      <c r="G72" s="357"/>
      <c r="H72" s="277"/>
      <c r="I72" s="277"/>
      <c r="J72" s="277"/>
      <c r="K72" s="277"/>
      <c r="L72" s="277"/>
      <c r="M72" s="277"/>
      <c r="N72" s="277"/>
      <c r="O72" s="277"/>
      <c r="P72" s="277"/>
      <c r="Q72" s="277"/>
      <c r="R72" s="277"/>
      <c r="S72" s="277"/>
      <c r="T72" s="277"/>
      <c r="U72" s="277"/>
      <c r="V72" s="277"/>
      <c r="W72" s="98"/>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row>
    <row r="73" spans="1:66" ht="12.6" customHeight="1" x14ac:dyDescent="0.3">
      <c r="A73" s="98"/>
      <c r="B73" s="98"/>
      <c r="C73" s="98"/>
      <c r="D73" s="98"/>
      <c r="E73" s="98"/>
      <c r="F73" s="98"/>
      <c r="G73" s="98"/>
      <c r="H73" s="98"/>
      <c r="I73" s="98"/>
      <c r="J73" s="98"/>
      <c r="K73" s="98"/>
      <c r="L73" s="98"/>
      <c r="M73" s="98"/>
      <c r="N73" s="98"/>
      <c r="O73" s="98"/>
      <c r="P73" s="98"/>
      <c r="Q73" s="98"/>
      <c r="R73" s="98"/>
      <c r="S73" s="98"/>
      <c r="T73" s="98"/>
      <c r="U73" s="98"/>
      <c r="V73" s="98"/>
      <c r="W73" s="98"/>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row>
    <row r="74" spans="1:66" ht="12.6" customHeight="1" x14ac:dyDescent="0.3">
      <c r="A74" s="98"/>
      <c r="B74" s="98"/>
      <c r="C74" s="285"/>
      <c r="D74" s="98"/>
      <c r="E74" s="98"/>
      <c r="F74" s="98"/>
      <c r="G74" s="98"/>
      <c r="H74" s="98"/>
      <c r="I74" s="98"/>
      <c r="J74" s="98"/>
      <c r="K74" s="98"/>
      <c r="L74" s="98"/>
      <c r="M74" s="98"/>
      <c r="N74" s="98"/>
      <c r="O74" s="98"/>
      <c r="P74" s="98"/>
      <c r="Q74" s="98"/>
      <c r="R74" s="98"/>
      <c r="S74" s="98"/>
      <c r="T74" s="98"/>
      <c r="U74" s="98"/>
      <c r="V74" s="98"/>
      <c r="W74" s="98"/>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row>
    <row r="75" spans="1:66" ht="12.6" customHeight="1" x14ac:dyDescent="0.3">
      <c r="A75" s="98"/>
      <c r="B75" s="98"/>
      <c r="C75" s="98"/>
      <c r="D75" s="98"/>
      <c r="E75" s="98"/>
      <c r="F75" s="98"/>
      <c r="G75" s="98"/>
      <c r="H75" s="98"/>
      <c r="I75" s="98"/>
      <c r="J75" s="98"/>
      <c r="K75" s="98"/>
      <c r="L75" s="98"/>
      <c r="M75" s="98"/>
      <c r="N75" s="98"/>
      <c r="O75" s="98"/>
      <c r="P75" s="98"/>
      <c r="Q75" s="98"/>
      <c r="R75" s="98"/>
      <c r="S75" s="98"/>
      <c r="T75" s="98"/>
      <c r="U75" s="98"/>
      <c r="V75" s="98"/>
      <c r="W75" s="98"/>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row>
    <row r="76" spans="1:66" ht="18" customHeight="1" x14ac:dyDescent="0.3">
      <c r="A76" s="98"/>
      <c r="B76" s="98"/>
      <c r="C76" s="98"/>
      <c r="D76" s="98"/>
      <c r="E76" s="98"/>
      <c r="F76" s="98"/>
      <c r="G76" s="98"/>
      <c r="H76" s="98"/>
      <c r="I76" s="98"/>
      <c r="J76" s="98"/>
      <c r="K76" s="98"/>
      <c r="L76" s="98"/>
      <c r="M76" s="98"/>
      <c r="N76" s="98"/>
      <c r="O76" s="98"/>
      <c r="P76" s="98"/>
      <c r="Q76" s="98"/>
      <c r="R76" s="98"/>
      <c r="S76" s="98"/>
      <c r="T76" s="98"/>
      <c r="U76" s="98"/>
      <c r="V76" s="98"/>
      <c r="W76" s="98"/>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row>
    <row r="77" spans="1:66" ht="42" customHeight="1" x14ac:dyDescent="0.3">
      <c r="A77" s="98"/>
      <c r="B77" s="356" t="s">
        <v>203</v>
      </c>
      <c r="C77" s="271" t="s">
        <v>202</v>
      </c>
      <c r="D77" s="272" t="s">
        <v>172</v>
      </c>
      <c r="E77" s="272" t="s">
        <v>173</v>
      </c>
      <c r="F77" s="273" t="s">
        <v>174</v>
      </c>
      <c r="G77" s="272" t="s">
        <v>175</v>
      </c>
      <c r="H77" s="98"/>
      <c r="I77" s="98"/>
      <c r="J77" s="98"/>
      <c r="K77" s="98"/>
      <c r="L77" s="98"/>
      <c r="M77" s="98"/>
      <c r="N77" s="98"/>
      <c r="O77" s="98"/>
      <c r="P77" s="98"/>
      <c r="Q77" s="98"/>
      <c r="R77" s="98"/>
      <c r="S77" s="98"/>
      <c r="T77" s="98"/>
      <c r="U77" s="98"/>
      <c r="V77" s="98"/>
      <c r="W77" s="98"/>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row>
    <row r="78" spans="1:66" ht="15.6" customHeight="1" x14ac:dyDescent="0.3">
      <c r="A78" s="98"/>
      <c r="B78" s="275">
        <v>2019</v>
      </c>
      <c r="C78" s="357">
        <f>C65</f>
        <v>13.500919625524329</v>
      </c>
      <c r="D78" s="276"/>
      <c r="E78" s="276"/>
      <c r="F78" s="276"/>
      <c r="G78" s="276"/>
      <c r="H78" s="98"/>
      <c r="I78" s="98"/>
      <c r="J78" s="98"/>
      <c r="K78" s="98"/>
      <c r="L78" s="98"/>
      <c r="M78" s="98"/>
      <c r="N78" s="98"/>
      <c r="O78" s="98"/>
      <c r="P78" s="98"/>
      <c r="Q78" s="98"/>
      <c r="R78" s="98"/>
      <c r="S78" s="98"/>
      <c r="T78" s="98"/>
      <c r="U78" s="98"/>
      <c r="V78" s="98"/>
      <c r="W78" s="98"/>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row>
    <row r="79" spans="1:66" s="1" customFormat="1" ht="15" customHeight="1" x14ac:dyDescent="0.3">
      <c r="A79" s="98"/>
      <c r="B79" s="280">
        <v>2020</v>
      </c>
      <c r="C79" s="357">
        <f>C66</f>
        <v>13.300885363385643</v>
      </c>
      <c r="D79" s="276"/>
      <c r="E79" s="276"/>
      <c r="F79" s="276"/>
      <c r="G79" s="276"/>
      <c r="H79" s="98"/>
      <c r="I79" s="98"/>
      <c r="J79" s="98"/>
      <c r="K79" s="98"/>
      <c r="L79" s="98"/>
      <c r="M79" s="98"/>
      <c r="N79" s="98"/>
      <c r="O79" s="98"/>
      <c r="P79" s="98"/>
      <c r="Q79" s="98"/>
      <c r="R79" s="98"/>
      <c r="S79" s="98"/>
      <c r="T79" s="98"/>
      <c r="U79" s="98"/>
      <c r="V79" s="98"/>
      <c r="W79" s="98"/>
    </row>
    <row r="80" spans="1:66" s="1" customFormat="1" ht="15" customHeight="1" x14ac:dyDescent="0.3">
      <c r="A80" s="98"/>
      <c r="B80" s="275">
        <v>2021</v>
      </c>
      <c r="C80" s="357">
        <f>C67</f>
        <v>13.862198295257166</v>
      </c>
      <c r="D80" s="276"/>
      <c r="E80" s="276"/>
      <c r="F80" s="276"/>
      <c r="G80" s="276"/>
      <c r="H80" s="98"/>
      <c r="I80" s="98"/>
      <c r="J80" s="98"/>
      <c r="K80" s="98"/>
      <c r="L80" s="98"/>
      <c r="M80" s="98"/>
      <c r="N80" s="98"/>
      <c r="O80" s="98"/>
      <c r="P80" s="98"/>
      <c r="Q80" s="98"/>
      <c r="R80" s="98"/>
      <c r="S80" s="98"/>
      <c r="T80" s="98"/>
      <c r="U80" s="98"/>
      <c r="V80" s="98"/>
      <c r="W80" s="98"/>
    </row>
    <row r="81" spans="1:23" s="1" customFormat="1" ht="15" customHeight="1" x14ac:dyDescent="0.3">
      <c r="A81" s="98"/>
      <c r="B81" s="280">
        <v>2022</v>
      </c>
      <c r="C81" s="357">
        <f>C68</f>
        <v>14.095195203394761</v>
      </c>
      <c r="D81" s="276"/>
      <c r="E81" s="276"/>
      <c r="F81" s="276"/>
      <c r="G81" s="276"/>
      <c r="H81" s="98"/>
      <c r="I81" s="98"/>
      <c r="J81" s="98"/>
      <c r="K81" s="98"/>
      <c r="L81" s="98"/>
      <c r="M81" s="98"/>
      <c r="N81" s="98"/>
      <c r="O81" s="98"/>
      <c r="P81" s="98"/>
      <c r="Q81" s="98"/>
      <c r="R81" s="98"/>
      <c r="S81" s="98"/>
      <c r="T81" s="98"/>
      <c r="U81" s="98"/>
      <c r="V81" s="98"/>
      <c r="W81" s="98"/>
    </row>
    <row r="82" spans="1:23" s="1" customFormat="1" ht="15" customHeight="1" x14ac:dyDescent="0.3">
      <c r="A82" s="98"/>
      <c r="B82" s="275">
        <v>2023</v>
      </c>
      <c r="C82" s="357">
        <f>C69</f>
        <v>14.44268867893739</v>
      </c>
      <c r="D82" s="357">
        <f>D69</f>
        <v>14.918633392642391</v>
      </c>
      <c r="E82" s="357">
        <f>E69</f>
        <v>13.425760918914905</v>
      </c>
      <c r="F82" s="357">
        <f>F69</f>
        <v>13.434690492432638</v>
      </c>
      <c r="G82" s="357">
        <f>G69</f>
        <v>13.105060695515611</v>
      </c>
      <c r="H82" s="98"/>
      <c r="I82" s="98"/>
      <c r="J82" s="98"/>
      <c r="K82" s="98"/>
      <c r="L82" s="98"/>
      <c r="M82" s="98"/>
      <c r="N82" s="98"/>
      <c r="O82" s="98"/>
      <c r="P82" s="98"/>
      <c r="Q82" s="98"/>
      <c r="R82" s="98"/>
      <c r="S82" s="98"/>
      <c r="T82" s="98"/>
      <c r="U82" s="98"/>
      <c r="V82" s="98"/>
      <c r="W82" s="98"/>
    </row>
    <row r="83" spans="1:23" s="1" customFormat="1" ht="15" customHeight="1" x14ac:dyDescent="0.3">
      <c r="A83" s="98"/>
      <c r="B83" s="280">
        <v>2024</v>
      </c>
      <c r="C83" s="357"/>
      <c r="D83" s="358"/>
      <c r="E83" s="358"/>
      <c r="F83" s="358"/>
      <c r="G83" s="358"/>
      <c r="H83" s="98"/>
      <c r="I83" s="98"/>
      <c r="J83" s="98"/>
      <c r="K83" s="98"/>
      <c r="L83" s="98"/>
      <c r="M83" s="98"/>
      <c r="N83" s="98"/>
      <c r="O83" s="98"/>
      <c r="P83" s="98"/>
      <c r="Q83" s="98"/>
      <c r="R83" s="98"/>
      <c r="S83" s="98"/>
      <c r="T83" s="98"/>
      <c r="U83" s="98"/>
      <c r="V83" s="98"/>
      <c r="W83" s="98"/>
    </row>
    <row r="84" spans="1:23" s="1" customFormat="1" ht="15" customHeight="1" x14ac:dyDescent="0.3">
      <c r="A84" s="98"/>
      <c r="B84" s="275">
        <v>2025</v>
      </c>
      <c r="C84" s="357"/>
      <c r="D84" s="358"/>
      <c r="E84" s="358"/>
      <c r="F84" s="358"/>
      <c r="G84" s="358"/>
      <c r="H84" s="98"/>
      <c r="I84" s="98"/>
      <c r="J84" s="98"/>
      <c r="K84" s="98"/>
      <c r="L84" s="98"/>
      <c r="M84" s="98"/>
      <c r="N84" s="98"/>
      <c r="O84" s="98"/>
      <c r="P84" s="98"/>
      <c r="Q84" s="98"/>
      <c r="R84" s="98"/>
      <c r="S84" s="98"/>
      <c r="T84" s="98"/>
      <c r="U84" s="98"/>
      <c r="V84" s="98"/>
      <c r="W84" s="98"/>
    </row>
    <row r="85" spans="1:23" s="1" customFormat="1" ht="15" customHeight="1" x14ac:dyDescent="0.3">
      <c r="A85" s="98"/>
      <c r="B85" s="280">
        <v>2026</v>
      </c>
      <c r="C85" s="357"/>
      <c r="D85" s="357"/>
      <c r="E85" s="357"/>
      <c r="F85" s="357"/>
      <c r="G85" s="357"/>
      <c r="H85" s="98"/>
      <c r="I85" s="98"/>
      <c r="J85" s="98"/>
      <c r="K85" s="98"/>
      <c r="L85" s="98"/>
      <c r="M85" s="98"/>
      <c r="N85" s="98"/>
      <c r="O85" s="98"/>
      <c r="P85" s="98"/>
      <c r="Q85" s="98"/>
      <c r="R85" s="98"/>
      <c r="S85" s="98"/>
      <c r="T85" s="98"/>
      <c r="U85" s="98"/>
      <c r="V85" s="98"/>
      <c r="W85" s="98"/>
    </row>
    <row r="86" spans="1:23" s="1" customFormat="1" ht="12.6" customHeight="1" x14ac:dyDescent="0.3">
      <c r="A86" s="98"/>
      <c r="B86" s="98"/>
      <c r="C86" s="98"/>
      <c r="D86" s="285"/>
      <c r="E86" s="98"/>
      <c r="F86" s="98"/>
      <c r="G86" s="98"/>
      <c r="H86" s="98"/>
      <c r="I86" s="98"/>
      <c r="J86" s="98"/>
      <c r="K86" s="98"/>
      <c r="L86" s="98"/>
      <c r="M86" s="98"/>
      <c r="N86" s="98"/>
      <c r="O86" s="98"/>
      <c r="P86" s="98"/>
      <c r="Q86" s="98"/>
      <c r="R86" s="98"/>
      <c r="S86" s="98"/>
      <c r="T86" s="98"/>
      <c r="U86" s="98"/>
      <c r="V86" s="98"/>
      <c r="W86" s="98"/>
    </row>
    <row r="87" spans="1:23" s="1" customFormat="1" ht="12.6" customHeight="1" x14ac:dyDescent="0.3">
      <c r="A87" s="98"/>
      <c r="B87" s="98"/>
      <c r="C87" s="98"/>
      <c r="D87" s="98"/>
      <c r="E87" s="98"/>
      <c r="F87" s="98"/>
      <c r="G87" s="98"/>
      <c r="H87" s="98"/>
      <c r="I87" s="98"/>
      <c r="J87" s="98"/>
      <c r="K87" s="98"/>
      <c r="L87" s="98"/>
      <c r="M87" s="98"/>
      <c r="N87" s="98"/>
      <c r="O87" s="98"/>
      <c r="P87" s="98"/>
      <c r="Q87" s="98"/>
      <c r="R87" s="98"/>
      <c r="S87" s="98"/>
      <c r="T87" s="98"/>
      <c r="U87" s="98"/>
      <c r="V87" s="98"/>
      <c r="W87" s="98"/>
    </row>
    <row r="88" spans="1:23" s="1" customFormat="1" ht="12.6" customHeight="1" x14ac:dyDescent="0.3">
      <c r="A88" s="98"/>
      <c r="B88" s="98"/>
      <c r="C88" s="98"/>
      <c r="D88" s="98"/>
      <c r="E88" s="98"/>
      <c r="F88" s="98"/>
      <c r="G88" s="98"/>
      <c r="H88" s="98"/>
      <c r="I88" s="98"/>
      <c r="J88" s="98"/>
      <c r="K88" s="98"/>
      <c r="L88" s="98"/>
      <c r="M88" s="98"/>
      <c r="N88" s="98"/>
      <c r="O88" s="98"/>
      <c r="P88" s="98"/>
      <c r="Q88" s="98"/>
      <c r="R88" s="98"/>
      <c r="S88" s="98"/>
      <c r="T88" s="98"/>
      <c r="U88" s="98"/>
      <c r="V88" s="98"/>
      <c r="W88" s="98"/>
    </row>
    <row r="89" spans="1:23" s="1" customFormat="1" ht="12.6" customHeight="1" x14ac:dyDescent="0.3"/>
    <row r="90" spans="1:23" s="1" customFormat="1" ht="12.6" customHeight="1" x14ac:dyDescent="0.3"/>
    <row r="91" spans="1:23" s="1" customFormat="1" x14ac:dyDescent="0.3"/>
    <row r="92" spans="1:23" s="1" customFormat="1" x14ac:dyDescent="0.3"/>
    <row r="93" spans="1:23" s="1" customFormat="1" x14ac:dyDescent="0.3"/>
    <row r="94" spans="1:23" s="1" customFormat="1" x14ac:dyDescent="0.3"/>
    <row r="95" spans="1:23" s="1" customFormat="1" x14ac:dyDescent="0.3"/>
    <row r="96" spans="1:23" s="1" customFormat="1" x14ac:dyDescent="0.3"/>
    <row r="97" s="1" customFormat="1" x14ac:dyDescent="0.3"/>
    <row r="98" s="1" customFormat="1" x14ac:dyDescent="0.3"/>
    <row r="99" s="1" customFormat="1" x14ac:dyDescent="0.3"/>
    <row r="100" s="1" customFormat="1" x14ac:dyDescent="0.3"/>
    <row r="101" s="1" customFormat="1" x14ac:dyDescent="0.3"/>
    <row r="102" s="1" customFormat="1" x14ac:dyDescent="0.3"/>
    <row r="103" s="1" customFormat="1" x14ac:dyDescent="0.3"/>
    <row r="104" s="1" customFormat="1" x14ac:dyDescent="0.3"/>
    <row r="105" s="1" customFormat="1" x14ac:dyDescent="0.3"/>
    <row r="106" s="1" customFormat="1" x14ac:dyDescent="0.3"/>
    <row r="107" s="1" customFormat="1" x14ac:dyDescent="0.3"/>
    <row r="108" s="1" customFormat="1" x14ac:dyDescent="0.3"/>
    <row r="109" s="1" customFormat="1" x14ac:dyDescent="0.3"/>
    <row r="110" s="1" customFormat="1" x14ac:dyDescent="0.3"/>
    <row r="111" s="1" customFormat="1" x14ac:dyDescent="0.3"/>
    <row r="112" s="1" customFormat="1" x14ac:dyDescent="0.3"/>
    <row r="113" s="1" customFormat="1" x14ac:dyDescent="0.3"/>
    <row r="114" s="1" customFormat="1" x14ac:dyDescent="0.3"/>
    <row r="115" s="1" customFormat="1" x14ac:dyDescent="0.3"/>
    <row r="116" s="1" customFormat="1" x14ac:dyDescent="0.3"/>
    <row r="117" s="1" customFormat="1" x14ac:dyDescent="0.3"/>
    <row r="118" s="1" customFormat="1" x14ac:dyDescent="0.3"/>
    <row r="119" s="1" customFormat="1" x14ac:dyDescent="0.3"/>
    <row r="120" s="1" customFormat="1" x14ac:dyDescent="0.3"/>
    <row r="121" s="1" customFormat="1" x14ac:dyDescent="0.3"/>
  </sheetData>
  <pageMargins left="0.7" right="0.7" top="0.75" bottom="0.75" header="0.3" footer="0.3"/>
  <pageSetup paperSize="9" orientation="portrait" r:id="rId1"/>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21D14-4573-461A-B8EE-174E3C6DCE8C}">
  <dimension ref="A1:FQ27"/>
  <sheetViews>
    <sheetView zoomScale="85" zoomScaleNormal="85" workbookViewId="0">
      <selection activeCell="D8" sqref="D8"/>
    </sheetView>
  </sheetViews>
  <sheetFormatPr baseColWidth="10" defaultColWidth="8.6640625" defaultRowHeight="14.4" x14ac:dyDescent="0.3"/>
  <cols>
    <col min="1" max="1" width="4.33203125" customWidth="1"/>
    <col min="3" max="3" width="15.6640625" customWidth="1"/>
    <col min="4" max="7" width="14.5546875" customWidth="1"/>
    <col min="8" max="15" width="18" customWidth="1"/>
    <col min="16" max="17" width="18.6640625" customWidth="1"/>
    <col min="18" max="18" width="15.33203125" customWidth="1"/>
    <col min="19" max="22" width="18" customWidth="1"/>
    <col min="23" max="31" width="14.6640625" customWidth="1"/>
    <col min="32" max="32" width="15.33203125" customWidth="1"/>
    <col min="33" max="33" width="14.6640625" customWidth="1"/>
    <col min="34" max="41" width="13.5546875" customWidth="1"/>
    <col min="42" max="42" width="15.5546875" customWidth="1"/>
    <col min="43" max="43" width="13" customWidth="1"/>
    <col min="44" max="44" width="11.33203125" customWidth="1"/>
    <col min="45" max="45" width="12.33203125" customWidth="1"/>
    <col min="46" max="50" width="11.33203125" customWidth="1"/>
    <col min="51" max="51" width="13.44140625" customWidth="1"/>
    <col min="56" max="56" width="9.6640625" customWidth="1"/>
    <col min="60" max="60" width="16.44140625" customWidth="1"/>
    <col min="61" max="61" width="16.33203125" customWidth="1"/>
    <col min="62" max="63" width="15.33203125" customWidth="1"/>
    <col min="68" max="68" width="11.44140625" bestFit="1" customWidth="1"/>
    <col min="69" max="69" width="13.5546875" customWidth="1"/>
    <col min="70" max="70" width="13.6640625" customWidth="1"/>
    <col min="71" max="71" width="12.44140625" customWidth="1"/>
    <col min="72" max="77" width="12.6640625" customWidth="1"/>
    <col min="78" max="80" width="11.33203125" customWidth="1"/>
    <col min="81" max="85" width="11.6640625" hidden="1" customWidth="1"/>
    <col min="86" max="86" width="13.33203125" hidden="1" customWidth="1"/>
    <col min="87" max="88" width="11.6640625" hidden="1" customWidth="1"/>
    <col min="89" max="94" width="12.6640625" customWidth="1"/>
    <col min="95" max="96" width="11.33203125" customWidth="1"/>
    <col min="97" max="104" width="11.6640625" customWidth="1"/>
    <col min="105" max="108" width="13.44140625" customWidth="1"/>
    <col min="110" max="130" width="0.5546875" customWidth="1"/>
    <col min="131" max="132" width="15.5546875" customWidth="1"/>
    <col min="133" max="133" width="15.33203125" customWidth="1"/>
    <col min="134" max="134" width="14.5546875" customWidth="1"/>
    <col min="135" max="135" width="16.5546875" customWidth="1"/>
    <col min="136" max="138" width="18" customWidth="1"/>
    <col min="139" max="142" width="15.33203125" customWidth="1"/>
    <col min="143" max="143" width="11" customWidth="1"/>
    <col min="144" max="145" width="16" customWidth="1"/>
    <col min="146" max="146" width="9.33203125" customWidth="1"/>
    <col min="147" max="150" width="17" customWidth="1"/>
    <col min="153" max="153" width="10.6640625" customWidth="1"/>
    <col min="156" max="157" width="11.33203125" customWidth="1"/>
    <col min="158" max="161" width="9.6640625" customWidth="1"/>
    <col min="162" max="165" width="11.5546875" customWidth="1"/>
  </cols>
  <sheetData>
    <row r="1" spans="1:173" ht="15" thickBot="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ht="18" customHeight="1" thickBot="1" x14ac:dyDescent="0.35">
      <c r="A2" s="1"/>
      <c r="B2" s="2" t="s">
        <v>579</v>
      </c>
      <c r="C2" s="3"/>
      <c r="D2" s="3"/>
      <c r="E2" s="3"/>
      <c r="F2" s="3"/>
      <c r="G2" s="3"/>
      <c r="H2" s="4"/>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18" customHeight="1" x14ac:dyDescent="0.3">
      <c r="A3" s="1"/>
      <c r="B3" s="5" t="s">
        <v>0</v>
      </c>
      <c r="C3" s="6"/>
      <c r="D3" s="6"/>
      <c r="E3" s="6"/>
      <c r="F3" s="6"/>
      <c r="G3" s="6"/>
      <c r="H3" s="7"/>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18" customHeight="1" x14ac:dyDescent="0.3">
      <c r="A4" s="1"/>
      <c r="B4" s="8" t="s">
        <v>1</v>
      </c>
      <c r="C4" s="9"/>
      <c r="D4" s="9"/>
      <c r="E4" s="9"/>
      <c r="F4" s="9"/>
      <c r="G4" s="9"/>
      <c r="H4" s="10"/>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12.6" customHeight="1" x14ac:dyDescent="0.3">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row>
    <row r="6" spans="1:173" ht="12.6" customHeight="1" x14ac:dyDescent="0.3">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row>
    <row r="7" spans="1:173" ht="12.6" customHeight="1" x14ac:dyDescent="0.3">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c r="EU7" s="1"/>
      <c r="EV7" s="1"/>
      <c r="EW7" s="1"/>
      <c r="EX7" s="1"/>
      <c r="EY7" s="1"/>
      <c r="EZ7" s="1"/>
      <c r="FA7" s="1"/>
      <c r="FB7" s="1"/>
      <c r="FC7" s="1"/>
      <c r="FD7" s="1"/>
      <c r="FE7" s="1"/>
      <c r="FF7" s="1"/>
      <c r="FG7" s="1"/>
      <c r="FH7" s="1"/>
      <c r="FI7" s="1"/>
      <c r="FJ7" s="1"/>
      <c r="FK7" s="1"/>
      <c r="FL7" s="1"/>
      <c r="FM7" s="1"/>
      <c r="FN7" s="1"/>
      <c r="FO7" s="1"/>
      <c r="FP7" s="1"/>
      <c r="FQ7" s="1"/>
    </row>
    <row r="8" spans="1:173" ht="17.7" customHeight="1" x14ac:dyDescent="0.3">
      <c r="A8" s="1"/>
      <c r="B8" s="11" t="s">
        <v>2</v>
      </c>
      <c r="C8" s="12" t="s">
        <v>222</v>
      </c>
      <c r="D8" s="12" t="s">
        <v>659</v>
      </c>
      <c r="E8" s="124" t="s">
        <v>526</v>
      </c>
      <c r="F8" s="125"/>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56"/>
      <c r="CD8" s="56"/>
      <c r="CE8" s="56"/>
      <c r="CF8" s="56"/>
      <c r="CG8" s="56"/>
      <c r="CH8" s="56"/>
      <c r="CI8" s="56"/>
      <c r="CJ8" s="56"/>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row>
    <row r="9" spans="1:173" ht="10.35" customHeight="1" x14ac:dyDescent="0.3">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56"/>
      <c r="CD9" s="56"/>
      <c r="CE9" s="56"/>
      <c r="CF9" s="56"/>
      <c r="CG9" s="56"/>
      <c r="CH9" s="56"/>
      <c r="CI9" s="56"/>
      <c r="CJ9" s="56"/>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row>
    <row r="10" spans="1:173" x14ac:dyDescent="0.3">
      <c r="A10" s="1"/>
      <c r="B10" s="1"/>
      <c r="C10" s="13" t="s">
        <v>6</v>
      </c>
      <c r="D10" s="14"/>
      <c r="E10" s="14"/>
      <c r="F10" s="14"/>
      <c r="G10" s="14"/>
      <c r="H10" s="14"/>
      <c r="I10" s="14"/>
      <c r="J10" s="14"/>
      <c r="K10" s="14"/>
      <c r="L10" s="14"/>
      <c r="M10" s="14"/>
      <c r="N10" s="14"/>
      <c r="O10" s="14"/>
      <c r="P10" s="15" t="s">
        <v>580</v>
      </c>
      <c r="Q10" s="16"/>
      <c r="R10" s="16"/>
      <c r="S10" s="16"/>
      <c r="T10" s="16"/>
      <c r="U10" s="16"/>
      <c r="V10" s="16"/>
      <c r="W10" s="13" t="s">
        <v>628</v>
      </c>
      <c r="X10" s="17"/>
      <c r="Y10" s="17"/>
      <c r="Z10" s="17"/>
      <c r="AA10" s="17"/>
      <c r="AB10" s="17"/>
      <c r="AC10" s="17"/>
      <c r="AD10" s="13" t="s">
        <v>629</v>
      </c>
      <c r="AE10" s="17"/>
      <c r="AF10" s="17"/>
      <c r="AG10" s="18"/>
      <c r="AH10" s="19" t="s">
        <v>630</v>
      </c>
      <c r="AI10" s="20"/>
      <c r="AJ10" s="16"/>
      <c r="AK10" s="16"/>
      <c r="AL10" s="16"/>
      <c r="AM10" s="16"/>
      <c r="AN10" s="16"/>
      <c r="AO10" s="16"/>
      <c r="AP10" s="21"/>
      <c r="AQ10" s="19" t="s">
        <v>9</v>
      </c>
      <c r="AR10" s="16"/>
      <c r="AS10" s="16"/>
      <c r="AT10" s="16"/>
      <c r="AU10" s="16"/>
      <c r="AV10" s="16"/>
      <c r="AW10" s="16"/>
      <c r="AX10" s="16"/>
      <c r="AY10" s="21"/>
      <c r="AZ10" s="22" t="s">
        <v>10</v>
      </c>
      <c r="BA10" s="23"/>
      <c r="BB10" s="23"/>
      <c r="BC10" s="23"/>
      <c r="BD10" s="23"/>
      <c r="BE10" s="23"/>
      <c r="BF10" s="23"/>
      <c r="BG10" s="23"/>
      <c r="BH10" s="23"/>
      <c r="BI10" s="23"/>
      <c r="BJ10" s="23"/>
      <c r="BK10" s="23"/>
      <c r="BL10" s="23"/>
      <c r="BM10" s="23"/>
      <c r="BN10" s="23"/>
      <c r="BO10" s="23"/>
      <c r="BP10" s="23"/>
      <c r="BQ10" s="23"/>
      <c r="BR10" s="24"/>
      <c r="BS10" s="11"/>
      <c r="BT10" s="19"/>
      <c r="BU10" s="16"/>
      <c r="BV10" s="16"/>
      <c r="BW10" s="16"/>
      <c r="BX10" s="16"/>
      <c r="BY10" s="16"/>
      <c r="BZ10" s="16"/>
      <c r="CA10" s="16"/>
      <c r="CB10" s="16"/>
      <c r="CC10" s="58" t="s">
        <v>12</v>
      </c>
      <c r="CD10" s="59"/>
      <c r="CE10" s="59"/>
      <c r="CF10" s="59"/>
      <c r="CG10" s="59"/>
      <c r="CH10" s="59"/>
      <c r="CI10" s="59"/>
      <c r="CJ10" s="59"/>
      <c r="CK10" s="19" t="s">
        <v>581</v>
      </c>
      <c r="CL10" s="16"/>
      <c r="CM10" s="16"/>
      <c r="CN10" s="16"/>
      <c r="CO10" s="16"/>
      <c r="CP10" s="16"/>
      <c r="CQ10" s="16"/>
      <c r="CR10" s="16"/>
      <c r="CS10" s="19" t="s">
        <v>582</v>
      </c>
      <c r="CT10" s="127"/>
      <c r="CU10" s="59"/>
      <c r="CV10" s="59"/>
      <c r="CW10" s="59"/>
      <c r="CX10" s="59"/>
      <c r="CY10" s="59"/>
      <c r="CZ10" s="59"/>
      <c r="DA10" s="15" t="s">
        <v>15</v>
      </c>
      <c r="DB10" s="60"/>
      <c r="DC10" s="60"/>
      <c r="DD10" s="8" t="s">
        <v>16</v>
      </c>
      <c r="DE10" s="10"/>
      <c r="DF10" s="1"/>
      <c r="DG10" s="1"/>
      <c r="DH10" s="1"/>
      <c r="DI10" s="1"/>
      <c r="DJ10" s="1"/>
      <c r="DK10" s="1"/>
      <c r="DL10" s="1"/>
      <c r="DM10" s="1"/>
      <c r="DN10" s="1"/>
      <c r="DO10" s="1"/>
      <c r="DP10" s="1"/>
      <c r="DQ10" s="1"/>
      <c r="DR10" s="1"/>
      <c r="DS10" s="1"/>
      <c r="DT10" s="1"/>
      <c r="DU10" s="1"/>
      <c r="DV10" s="1"/>
      <c r="DW10" s="1"/>
      <c r="DX10" s="1"/>
      <c r="DY10" s="1"/>
      <c r="DZ10" s="1"/>
      <c r="EA10" s="13" t="s">
        <v>17</v>
      </c>
      <c r="EB10" s="14"/>
      <c r="EC10" s="14"/>
      <c r="ED10" s="14"/>
      <c r="EE10" s="14"/>
      <c r="EF10" s="14"/>
      <c r="EG10" s="14"/>
      <c r="EH10" s="14"/>
      <c r="EI10" s="14"/>
      <c r="EJ10" s="14"/>
      <c r="EK10" s="14"/>
      <c r="EL10" s="14"/>
      <c r="EM10" s="14"/>
      <c r="EN10" s="15" t="s">
        <v>583</v>
      </c>
      <c r="EO10" s="16"/>
      <c r="EP10" s="16"/>
      <c r="EQ10" s="16"/>
      <c r="ER10" s="16"/>
      <c r="ES10" s="16"/>
      <c r="ET10" s="16"/>
      <c r="EU10" s="16"/>
      <c r="EV10" s="13" t="s">
        <v>631</v>
      </c>
      <c r="EW10" s="14"/>
      <c r="EX10" s="14"/>
      <c r="EY10" s="61"/>
      <c r="EZ10" s="62" t="s">
        <v>19</v>
      </c>
      <c r="FA10" s="10"/>
      <c r="FB10" s="14" t="s">
        <v>632</v>
      </c>
      <c r="FC10" s="17"/>
      <c r="FD10" s="17"/>
      <c r="FE10" s="17"/>
      <c r="FF10" s="17"/>
      <c r="FG10" s="17"/>
      <c r="FH10" s="17"/>
      <c r="FI10" s="18"/>
      <c r="FJ10" s="1"/>
      <c r="FK10" s="1"/>
      <c r="FL10" s="1"/>
      <c r="FM10" s="1"/>
      <c r="FN10" s="1"/>
      <c r="FO10" s="1"/>
      <c r="FP10" s="1"/>
      <c r="FQ10" s="1"/>
    </row>
    <row r="11" spans="1:173" ht="78.75" customHeight="1" x14ac:dyDescent="0.3">
      <c r="A11" s="1"/>
      <c r="B11" s="25" t="s">
        <v>20</v>
      </c>
      <c r="C11" s="26" t="s">
        <v>21</v>
      </c>
      <c r="D11" s="27" t="s">
        <v>22</v>
      </c>
      <c r="E11" s="27" t="s">
        <v>23</v>
      </c>
      <c r="F11" s="27" t="s">
        <v>24</v>
      </c>
      <c r="G11" s="27" t="s">
        <v>25</v>
      </c>
      <c r="H11" s="27" t="s">
        <v>26</v>
      </c>
      <c r="I11" s="27" t="s">
        <v>27</v>
      </c>
      <c r="J11" s="121"/>
      <c r="K11" s="27" t="s">
        <v>29</v>
      </c>
      <c r="L11" s="27" t="s">
        <v>30</v>
      </c>
      <c r="M11" s="27" t="s">
        <v>31</v>
      </c>
      <c r="N11" s="27" t="s">
        <v>32</v>
      </c>
      <c r="O11" s="27" t="s">
        <v>33</v>
      </c>
      <c r="P11" s="26" t="s">
        <v>21</v>
      </c>
      <c r="Q11" s="27" t="s">
        <v>22</v>
      </c>
      <c r="R11" s="27" t="s">
        <v>34</v>
      </c>
      <c r="S11" s="27" t="s">
        <v>29</v>
      </c>
      <c r="T11" s="27" t="s">
        <v>30</v>
      </c>
      <c r="U11" s="27" t="s">
        <v>31</v>
      </c>
      <c r="V11" s="27" t="s">
        <v>32</v>
      </c>
      <c r="W11" s="27" t="s">
        <v>22</v>
      </c>
      <c r="X11" s="27" t="s">
        <v>23</v>
      </c>
      <c r="Y11" s="27" t="s">
        <v>35</v>
      </c>
      <c r="Z11" s="27" t="s">
        <v>36</v>
      </c>
      <c r="AA11" s="27" t="s">
        <v>26</v>
      </c>
      <c r="AB11" s="27" t="s">
        <v>27</v>
      </c>
      <c r="AC11" s="27" t="s">
        <v>28</v>
      </c>
      <c r="AD11" s="27" t="s">
        <v>29</v>
      </c>
      <c r="AE11" s="27" t="s">
        <v>30</v>
      </c>
      <c r="AF11" s="27" t="s">
        <v>31</v>
      </c>
      <c r="AG11" s="27" t="s">
        <v>32</v>
      </c>
      <c r="AH11" s="27" t="s">
        <v>37</v>
      </c>
      <c r="AI11" s="27" t="s">
        <v>38</v>
      </c>
      <c r="AJ11" s="27" t="s">
        <v>39</v>
      </c>
      <c r="AK11" s="27" t="s">
        <v>40</v>
      </c>
      <c r="AL11" s="27" t="s">
        <v>41</v>
      </c>
      <c r="AM11" s="27" t="s">
        <v>42</v>
      </c>
      <c r="AN11" s="121" t="s">
        <v>43</v>
      </c>
      <c r="AO11" s="27" t="s">
        <v>44</v>
      </c>
      <c r="AP11" s="27" t="s">
        <v>45</v>
      </c>
      <c r="AQ11" s="27" t="s">
        <v>37</v>
      </c>
      <c r="AR11" s="27" t="s">
        <v>38</v>
      </c>
      <c r="AS11" s="27" t="s">
        <v>39</v>
      </c>
      <c r="AT11" s="27" t="s">
        <v>40</v>
      </c>
      <c r="AU11" s="27" t="s">
        <v>41</v>
      </c>
      <c r="AV11" s="27" t="s">
        <v>42</v>
      </c>
      <c r="AW11" s="121"/>
      <c r="AX11" s="27" t="s">
        <v>44</v>
      </c>
      <c r="AY11" s="27" t="s">
        <v>45</v>
      </c>
      <c r="AZ11" s="27" t="s">
        <v>633</v>
      </c>
      <c r="BA11" s="27" t="s">
        <v>634</v>
      </c>
      <c r="BB11" s="27" t="s">
        <v>635</v>
      </c>
      <c r="BC11" s="27" t="s">
        <v>636</v>
      </c>
      <c r="BD11" s="27" t="s">
        <v>46</v>
      </c>
      <c r="BE11" s="27" t="s">
        <v>47</v>
      </c>
      <c r="BF11" s="27" t="s">
        <v>48</v>
      </c>
      <c r="BG11" s="27" t="s">
        <v>49</v>
      </c>
      <c r="BH11" s="27" t="s">
        <v>50</v>
      </c>
      <c r="BI11" s="27" t="s">
        <v>51</v>
      </c>
      <c r="BJ11" s="27" t="s">
        <v>52</v>
      </c>
      <c r="BK11" s="27" t="s">
        <v>53</v>
      </c>
      <c r="BL11" s="27" t="s">
        <v>54</v>
      </c>
      <c r="BM11" s="27" t="s">
        <v>55</v>
      </c>
      <c r="BN11" s="27" t="s">
        <v>56</v>
      </c>
      <c r="BO11" s="27" t="s">
        <v>57</v>
      </c>
      <c r="BP11" s="27" t="s">
        <v>637</v>
      </c>
      <c r="BQ11" s="27" t="s">
        <v>638</v>
      </c>
      <c r="BR11" s="27" t="s">
        <v>273</v>
      </c>
      <c r="BS11" s="27" t="s">
        <v>584</v>
      </c>
      <c r="BT11" s="27"/>
      <c r="BU11" s="27"/>
      <c r="BV11" s="27"/>
      <c r="BW11" s="27"/>
      <c r="BX11" s="27"/>
      <c r="BY11" s="27"/>
      <c r="BZ11" s="27"/>
      <c r="CA11" s="27"/>
      <c r="CB11" s="27"/>
      <c r="CC11" s="63" t="s">
        <v>68</v>
      </c>
      <c r="CD11" s="63" t="s">
        <v>69</v>
      </c>
      <c r="CE11" s="63" t="s">
        <v>70</v>
      </c>
      <c r="CF11" s="63" t="s">
        <v>71</v>
      </c>
      <c r="CG11" s="63" t="s">
        <v>72</v>
      </c>
      <c r="CH11" s="63" t="s">
        <v>73</v>
      </c>
      <c r="CI11" s="63" t="s">
        <v>74</v>
      </c>
      <c r="CJ11" s="63" t="s">
        <v>75</v>
      </c>
      <c r="CK11" s="27" t="s">
        <v>585</v>
      </c>
      <c r="CL11" s="27" t="s">
        <v>586</v>
      </c>
      <c r="CM11" s="27" t="s">
        <v>587</v>
      </c>
      <c r="CN11" s="27" t="s">
        <v>588</v>
      </c>
      <c r="CO11" s="27" t="s">
        <v>80</v>
      </c>
      <c r="CP11" s="27" t="s">
        <v>81</v>
      </c>
      <c r="CQ11" s="27" t="s">
        <v>82</v>
      </c>
      <c r="CR11" s="27" t="s">
        <v>589</v>
      </c>
      <c r="CS11" s="128" t="s">
        <v>590</v>
      </c>
      <c r="CT11" s="128" t="s">
        <v>591</v>
      </c>
      <c r="CU11" s="128" t="s">
        <v>592</v>
      </c>
      <c r="CV11" s="128" t="s">
        <v>593</v>
      </c>
      <c r="CW11" s="128" t="s">
        <v>88</v>
      </c>
      <c r="CX11" s="128" t="s">
        <v>89</v>
      </c>
      <c r="CY11" s="128" t="s">
        <v>90</v>
      </c>
      <c r="CZ11" s="128" t="s">
        <v>91</v>
      </c>
      <c r="DA11" s="64" t="s">
        <v>92</v>
      </c>
      <c r="DB11" s="64" t="s">
        <v>93</v>
      </c>
      <c r="DC11" s="64" t="s">
        <v>94</v>
      </c>
      <c r="DD11" s="64" t="s">
        <v>95</v>
      </c>
      <c r="DE11" s="64" t="s">
        <v>96</v>
      </c>
      <c r="DF11" s="1"/>
      <c r="DG11" s="1"/>
      <c r="DH11" s="1"/>
      <c r="DI11" s="1"/>
      <c r="DJ11" s="1"/>
      <c r="DK11" s="1"/>
      <c r="DL11" s="1"/>
      <c r="DM11" s="1"/>
      <c r="DN11" s="1"/>
      <c r="DO11" s="1"/>
      <c r="DP11" s="1"/>
      <c r="DQ11" s="1"/>
      <c r="DR11" s="1"/>
      <c r="DS11" s="1"/>
      <c r="DT11" s="1"/>
      <c r="DU11" s="1"/>
      <c r="DV11" s="1"/>
      <c r="DW11" s="1"/>
      <c r="DX11" s="1"/>
      <c r="DY11" s="1"/>
      <c r="DZ11" s="1"/>
      <c r="EA11" s="26" t="s">
        <v>97</v>
      </c>
      <c r="EB11" s="27" t="s">
        <v>98</v>
      </c>
      <c r="EC11" s="27" t="s">
        <v>99</v>
      </c>
      <c r="ED11" s="27" t="s">
        <v>100</v>
      </c>
      <c r="EE11" s="27" t="s">
        <v>101</v>
      </c>
      <c r="EF11" s="27" t="s">
        <v>102</v>
      </c>
      <c r="EG11" s="27" t="s">
        <v>103</v>
      </c>
      <c r="EH11" s="121"/>
      <c r="EI11" s="27" t="s">
        <v>104</v>
      </c>
      <c r="EJ11" s="27" t="s">
        <v>105</v>
      </c>
      <c r="EK11" s="27" t="s">
        <v>106</v>
      </c>
      <c r="EL11" s="27" t="s">
        <v>107</v>
      </c>
      <c r="EM11" s="27" t="s">
        <v>33</v>
      </c>
      <c r="EN11" s="27" t="s">
        <v>97</v>
      </c>
      <c r="EO11" s="27" t="s">
        <v>98</v>
      </c>
      <c r="EP11" s="27" t="s">
        <v>108</v>
      </c>
      <c r="EQ11" s="27" t="s">
        <v>104</v>
      </c>
      <c r="ER11" s="27" t="s">
        <v>105</v>
      </c>
      <c r="ES11" s="27" t="s">
        <v>106</v>
      </c>
      <c r="ET11" s="27" t="s">
        <v>107</v>
      </c>
      <c r="EU11" s="27" t="s">
        <v>594</v>
      </c>
      <c r="EV11" s="64" t="s">
        <v>639</v>
      </c>
      <c r="EW11" s="27" t="s">
        <v>99</v>
      </c>
      <c r="EX11" s="64" t="s">
        <v>110</v>
      </c>
      <c r="EY11" s="64" t="s">
        <v>640</v>
      </c>
      <c r="EZ11" s="64" t="s">
        <v>111</v>
      </c>
      <c r="FA11" s="64" t="s">
        <v>112</v>
      </c>
      <c r="FB11" s="27" t="s">
        <v>641</v>
      </c>
      <c r="FC11" s="27" t="s">
        <v>642</v>
      </c>
      <c r="FD11" s="27" t="s">
        <v>643</v>
      </c>
      <c r="FE11" s="27" t="s">
        <v>644</v>
      </c>
      <c r="FF11" s="27" t="s">
        <v>645</v>
      </c>
      <c r="FG11" s="27" t="s">
        <v>646</v>
      </c>
      <c r="FH11" s="27" t="s">
        <v>647</v>
      </c>
      <c r="FI11" s="27" t="s">
        <v>648</v>
      </c>
      <c r="FJ11" s="1"/>
      <c r="FK11" s="1"/>
      <c r="FL11" s="1"/>
      <c r="FM11" s="1"/>
      <c r="FN11" s="1"/>
      <c r="FO11" s="1"/>
      <c r="FP11" s="1"/>
      <c r="FQ11" s="1"/>
    </row>
    <row r="12" spans="1:173" x14ac:dyDescent="0.3">
      <c r="A12" s="1"/>
      <c r="B12" s="28">
        <v>1</v>
      </c>
      <c r="C12" s="129">
        <f>+'[51]2. Distributional by deciles o'!B100</f>
        <v>249448035.7044</v>
      </c>
      <c r="D12" s="129">
        <f>+'[51]2. Distributional by deciles o'!C100</f>
        <v>251349265.04159984</v>
      </c>
      <c r="E12" s="129">
        <f>+'[51]2. Distributional by deciles o'!D100</f>
        <v>248289716.66639996</v>
      </c>
      <c r="F12" s="129">
        <f>+'[51]2. Distributional by deciles o'!E100</f>
        <v>251266890.76919988</v>
      </c>
      <c r="G12" s="129">
        <f>+'[51]2. Distributional by deciles o'!F100</f>
        <v>249294719.4876</v>
      </c>
      <c r="H12" s="129">
        <f>+'[51]2. Distributional by deciles o'!G100</f>
        <v>249198943.95959991</v>
      </c>
      <c r="I12" s="129">
        <f>+'[51]2. Distributional by deciles o'!H100</f>
        <v>248635630.32600001</v>
      </c>
      <c r="J12" s="122"/>
      <c r="K12" s="130" t="s">
        <v>113</v>
      </c>
      <c r="L12" s="130" t="s">
        <v>113</v>
      </c>
      <c r="M12" s="130" t="s">
        <v>113</v>
      </c>
      <c r="N12" s="130" t="s">
        <v>113</v>
      </c>
      <c r="O12" s="131">
        <f>C12/C$22*100</f>
        <v>0.88682266309553381</v>
      </c>
      <c r="P12" s="129">
        <f>+'[51]2. Distributional by deciles o'!B118</f>
        <v>2295647552.7599969</v>
      </c>
      <c r="Q12" s="129">
        <f>+'[51]2. Distributional by deciles o'!C118</f>
        <v>2318606373.4223967</v>
      </c>
      <c r="R12" s="131">
        <f>(Q12/P12-1)*100</f>
        <v>1.0001021556988121</v>
      </c>
      <c r="S12" s="130" t="s">
        <v>113</v>
      </c>
      <c r="T12" s="130" t="s">
        <v>113</v>
      </c>
      <c r="U12" s="130" t="s">
        <v>113</v>
      </c>
      <c r="V12" s="130" t="s">
        <v>113</v>
      </c>
      <c r="W12" s="132">
        <f>IF(D12&lt;&gt;0,((D12-$C12)/ABS($C12)) / ($Q12/$P12-1),0)</f>
        <v>0.76209665482387212</v>
      </c>
      <c r="X12" s="132">
        <f>IF(E12&lt;&gt;0,((E12-$C12)/ABS($C12)) / ($Q12/$P12-1),0)</f>
        <v>-0.46430540850940816</v>
      </c>
      <c r="Y12" s="132">
        <f t="shared" ref="Y12:AA22" si="0">IF(F12&lt;&gt;0,MAX(((F12-$C12)/ABS($C12)) / ($Q12/$P12-1),0),0)</f>
        <v>0.72907740974320201</v>
      </c>
      <c r="Z12" s="132">
        <f t="shared" si="0"/>
        <v>0</v>
      </c>
      <c r="AA12" s="132">
        <f t="shared" si="0"/>
        <v>0</v>
      </c>
      <c r="AB12" s="132">
        <f>IF(I12&lt;&gt;0,MAX(((I12-$C12)/ABS($C12)) / ($Q12/$P12-1),0),AA12)</f>
        <v>0</v>
      </c>
      <c r="AC12" s="132">
        <f>IF(J12&lt;&gt;0,MAX(((J12-$C12)/ABS($C12)) / ($Q12/$P12-1),0),AB12)</f>
        <v>0</v>
      </c>
      <c r="AD12" s="130" t="s">
        <v>113</v>
      </c>
      <c r="AE12" s="130" t="s">
        <v>113</v>
      </c>
      <c r="AF12" s="130" t="s">
        <v>113</v>
      </c>
      <c r="AG12" s="130" t="s">
        <v>113</v>
      </c>
      <c r="AH12" s="133">
        <f t="shared" ref="AH12:AH22" si="1">MIN(W12,1)</f>
        <v>0.76209665482387212</v>
      </c>
      <c r="AI12" s="134">
        <f>IF(W12&gt;1,MAX(W12-SUM(AH12,AJ12:AO12),0),0)</f>
        <v>0</v>
      </c>
      <c r="AJ12" s="134">
        <f t="shared" ref="AJ12:AJ22" si="2">IF(W12&gt;1,MIN($W12-Y12,W12-AH12),0)</f>
        <v>0</v>
      </c>
      <c r="AK12" s="134">
        <f t="shared" ref="AK12:AK20" si="3">IF(W12&gt;1,MAX(MIN(Y12-Z12,W12-AH12-AJ12),0),0)</f>
        <v>0</v>
      </c>
      <c r="AL12" s="134">
        <f>IF(W12&gt;1,MAX(MIN(Z12-AA12,W12-AH12-AJ12-AK12),0),0)</f>
        <v>0</v>
      </c>
      <c r="AM12" s="134">
        <f>IF(I12&lt;&gt;0,IF(W12&gt;1,MAX(MIN(AA12-AB12,W12-AH12-AJ12-AK12-AL12),0),0),0)</f>
        <v>0</v>
      </c>
      <c r="AN12" s="135">
        <f>IF(J12&lt;&gt;0,IF(W12&gt;1,MIN(AB12-AC12,W12-AH12-AJ12-AK12-AL12-AM12),0),0)</f>
        <v>0</v>
      </c>
      <c r="AO12" s="134">
        <f>IF(W12&gt;1,MIN(AC12-X12,W12-AH12-AJ12-AK12-AL12-AM12-AN12),0)</f>
        <v>0</v>
      </c>
      <c r="AP12" s="134">
        <f t="shared" ref="AP12:AP21" si="4">AI12+AO12</f>
        <v>0</v>
      </c>
      <c r="AQ12" s="136" t="s">
        <v>113</v>
      </c>
      <c r="AR12" s="137">
        <f t="shared" ref="AR12:AY22" si="5">AI12/($W12-1)*100</f>
        <v>0</v>
      </c>
      <c r="AS12" s="137">
        <f t="shared" si="5"/>
        <v>0</v>
      </c>
      <c r="AT12" s="137">
        <f t="shared" si="5"/>
        <v>0</v>
      </c>
      <c r="AU12" s="137">
        <f t="shared" si="5"/>
        <v>0</v>
      </c>
      <c r="AV12" s="137">
        <f t="shared" si="5"/>
        <v>0</v>
      </c>
      <c r="AW12" s="138">
        <f t="shared" si="5"/>
        <v>0</v>
      </c>
      <c r="AX12" s="137">
        <f t="shared" si="5"/>
        <v>0</v>
      </c>
      <c r="AY12" s="137">
        <f t="shared" si="5"/>
        <v>0</v>
      </c>
      <c r="AZ12" s="139" t="s">
        <v>113</v>
      </c>
      <c r="BA12" s="139" t="s">
        <v>113</v>
      </c>
      <c r="BB12" s="139" t="s">
        <v>113</v>
      </c>
      <c r="BC12" s="139" t="s">
        <v>113</v>
      </c>
      <c r="BD12" s="139" t="s">
        <v>113</v>
      </c>
      <c r="BE12" s="139" t="s">
        <v>113</v>
      </c>
      <c r="BF12" s="139" t="s">
        <v>113</v>
      </c>
      <c r="BG12" s="139" t="s">
        <v>113</v>
      </c>
      <c r="BH12" s="140">
        <f>+'[51]2. Distributional by deciles o'!B136</f>
        <v>1040215328.7659998</v>
      </c>
      <c r="BI12" s="140">
        <f>+'[51]2. Distributional by deciles o'!B154</f>
        <v>1160315970.9839997</v>
      </c>
      <c r="BJ12" s="140">
        <f>+'[51]2. Distributional by deciles o'!B172</f>
        <v>46508221.024800017</v>
      </c>
      <c r="BK12" s="140">
        <f>+'[51]2. Distributional by deciles o'!B190</f>
        <v>48607767.760799982</v>
      </c>
      <c r="BL12" s="141">
        <f>BH12/SUM($BH12:$BK12)</f>
        <v>0.45312506584125845</v>
      </c>
      <c r="BM12" s="141">
        <f t="shared" ref="BM12:BO22" si="6">BI12/SUM($BH12:$BK12)</f>
        <v>0.50544174480922499</v>
      </c>
      <c r="BN12" s="141">
        <f t="shared" si="6"/>
        <v>2.0259306060238791E-2</v>
      </c>
      <c r="BO12" s="141">
        <f t="shared" si="6"/>
        <v>2.1173883289277873E-2</v>
      </c>
      <c r="BP12" s="139" t="s">
        <v>113</v>
      </c>
      <c r="BQ12" s="139" t="s">
        <v>113</v>
      </c>
      <c r="BR12" s="139" t="s">
        <v>113</v>
      </c>
      <c r="BS12" s="131">
        <f>P12/P$22*100</f>
        <v>1.6463136358973025</v>
      </c>
      <c r="BT12" s="139"/>
      <c r="BU12" s="139"/>
      <c r="BV12" s="139"/>
      <c r="BW12" s="139"/>
      <c r="BX12" s="139"/>
      <c r="BY12" s="139"/>
      <c r="BZ12" s="139"/>
      <c r="CA12" s="139"/>
      <c r="CB12" s="139"/>
      <c r="CC12" s="142" t="s">
        <v>113</v>
      </c>
      <c r="CD12" s="142" t="s">
        <v>113</v>
      </c>
      <c r="CE12" s="142" t="s">
        <v>113</v>
      </c>
      <c r="CF12" s="142" t="s">
        <v>113</v>
      </c>
      <c r="CG12" s="142" t="s">
        <v>113</v>
      </c>
      <c r="CH12" s="142" t="s">
        <v>113</v>
      </c>
      <c r="CI12" s="142" t="s">
        <v>113</v>
      </c>
      <c r="CJ12" s="142"/>
      <c r="CK12" s="139" t="s">
        <v>113</v>
      </c>
      <c r="CL12" s="139" t="s">
        <v>113</v>
      </c>
      <c r="CM12" s="139" t="s">
        <v>113</v>
      </c>
      <c r="CN12" s="139" t="s">
        <v>113</v>
      </c>
      <c r="CO12" s="139" t="s">
        <v>113</v>
      </c>
      <c r="CP12" s="139" t="s">
        <v>113</v>
      </c>
      <c r="CQ12" s="139" t="s">
        <v>113</v>
      </c>
      <c r="CR12" s="139"/>
      <c r="CS12" s="143" t="s">
        <v>113</v>
      </c>
      <c r="CT12" s="143" t="s">
        <v>113</v>
      </c>
      <c r="CU12" s="143" t="s">
        <v>113</v>
      </c>
      <c r="CV12" s="143" t="s">
        <v>113</v>
      </c>
      <c r="CW12" s="143" t="s">
        <v>113</v>
      </c>
      <c r="CX12" s="143" t="s">
        <v>113</v>
      </c>
      <c r="CY12" s="143" t="s">
        <v>113</v>
      </c>
      <c r="CZ12" s="143"/>
      <c r="DA12" s="139" t="s">
        <v>113</v>
      </c>
      <c r="DB12" s="139" t="s">
        <v>113</v>
      </c>
      <c r="DC12" s="139" t="s">
        <v>113</v>
      </c>
      <c r="DD12" s="144">
        <f>(1-DE12)*100</f>
        <v>28.171680686886745</v>
      </c>
      <c r="DE12" s="145">
        <f>+'[51]2. Distributional by deciles o'!$I46</f>
        <v>0.71828319313113254</v>
      </c>
      <c r="DF12" s="1"/>
      <c r="DG12" s="1"/>
      <c r="DH12" s="1"/>
      <c r="DI12" s="1"/>
      <c r="DJ12" s="1"/>
      <c r="DK12" s="1"/>
      <c r="DL12" s="1"/>
      <c r="DM12" s="1"/>
      <c r="DN12" s="1"/>
      <c r="DO12" s="1"/>
      <c r="DP12" s="1"/>
      <c r="DQ12" s="1"/>
      <c r="DR12" s="1"/>
      <c r="DS12" s="1"/>
      <c r="DT12" s="1"/>
      <c r="DU12" s="1"/>
      <c r="DV12" s="1"/>
      <c r="DW12" s="1"/>
      <c r="DX12" s="1"/>
      <c r="DY12" s="1"/>
      <c r="DZ12" s="1"/>
      <c r="EA12" s="146">
        <f>+'[52]2. Distributional by deciles o'!B100</f>
        <v>258749133.70320016</v>
      </c>
      <c r="EB12" s="146">
        <f>+'[52]2. Distributional by deciles o'!C100</f>
        <v>260509489.09800008</v>
      </c>
      <c r="EC12" s="146">
        <f>+'[52]2. Distributional by deciles o'!D100</f>
        <v>257811412.28759998</v>
      </c>
      <c r="ED12" s="146">
        <f>+'[52]2. Distributional by deciles o'!E100</f>
        <v>260456851.24800012</v>
      </c>
      <c r="EE12" s="146">
        <f>+'[52]2. Distributional by deciles o'!F100</f>
        <v>260265758.38079998</v>
      </c>
      <c r="EF12" s="146">
        <f>+'[52]2. Distributional by deciles o'!G100</f>
        <v>260115522.74039996</v>
      </c>
      <c r="EG12" s="146">
        <f>+'[52]2. Distributional by deciles o'!H100</f>
        <v>259699386.7895999</v>
      </c>
      <c r="EH12" s="122"/>
      <c r="EI12" s="130" t="s">
        <v>113</v>
      </c>
      <c r="EJ12" s="130" t="s">
        <v>113</v>
      </c>
      <c r="EK12" s="130" t="s">
        <v>113</v>
      </c>
      <c r="EL12" s="130" t="s">
        <v>113</v>
      </c>
      <c r="EM12" s="131">
        <f t="shared" ref="EM12:EM21" si="7">EA12/EA$22*100</f>
        <v>0.81665303108058285</v>
      </c>
      <c r="EN12" s="146">
        <f>+'[52]2. Distributional by deciles o'!B118</f>
        <v>2574372783.4319968</v>
      </c>
      <c r="EO12" s="146">
        <f>+'[52]2. Distributional by deciles o'!C118</f>
        <v>2600115888.7260008</v>
      </c>
      <c r="EP12" s="131">
        <f t="shared" ref="EP12:EP21" si="8">(EO12/EN12-1)*100</f>
        <v>0.99997581778676903</v>
      </c>
      <c r="EQ12" s="130" t="s">
        <v>113</v>
      </c>
      <c r="ER12" s="130" t="s">
        <v>113</v>
      </c>
      <c r="ES12" s="130" t="s">
        <v>113</v>
      </c>
      <c r="ET12" s="130" t="s">
        <v>113</v>
      </c>
      <c r="EU12" s="131">
        <f>EN12/EN$22*100</f>
        <v>1.6491741734380641</v>
      </c>
      <c r="EV12" s="132">
        <f>((EB12-$EA12)/ABS($EA12)) / ($EO12/$EN12-1)</f>
        <v>0.68034931747371863</v>
      </c>
      <c r="EW12" s="132">
        <f>IF(EC12&lt;&gt;0,((EC12-$EA12)/ABS($EA12)) / ($EO12/$EN12-1),0)</f>
        <v>-0.36241438914474694</v>
      </c>
      <c r="EX12" s="132"/>
      <c r="EY12" s="148">
        <f t="shared" ref="EY12:EY22" si="9">EV12-W12</f>
        <v>-8.1747337350153493E-2</v>
      </c>
      <c r="EZ12" s="144">
        <f>(1-FA12)*100</f>
        <v>36.481699379272527</v>
      </c>
      <c r="FA12" s="145">
        <f>+'[52]2. Distributional by deciles o'!I46</f>
        <v>0.63518300620727475</v>
      </c>
      <c r="FB12" s="130" t="s">
        <v>113</v>
      </c>
      <c r="FC12" s="130" t="s">
        <v>113</v>
      </c>
      <c r="FD12" s="130" t="s">
        <v>113</v>
      </c>
      <c r="FE12" s="130" t="s">
        <v>113</v>
      </c>
      <c r="FF12" s="130" t="s">
        <v>113</v>
      </c>
      <c r="FG12" s="130" t="s">
        <v>113</v>
      </c>
      <c r="FH12" s="130" t="s">
        <v>113</v>
      </c>
      <c r="FI12" s="130" t="s">
        <v>113</v>
      </c>
      <c r="FJ12" s="1"/>
      <c r="FK12" s="1"/>
      <c r="FL12" s="1"/>
      <c r="FM12" s="1"/>
      <c r="FN12" s="1"/>
      <c r="FO12" s="1"/>
      <c r="FP12" s="1"/>
      <c r="FQ12" s="1"/>
    </row>
    <row r="13" spans="1:173" x14ac:dyDescent="0.3">
      <c r="A13" s="1"/>
      <c r="B13" s="28">
        <v>2</v>
      </c>
      <c r="C13" s="129">
        <f>+'[51]2. Distributional by deciles o'!B101</f>
        <v>532344985.23960018</v>
      </c>
      <c r="D13" s="129">
        <f>+'[51]2. Distributional by deciles o'!C101</f>
        <v>548823998.16119969</v>
      </c>
      <c r="E13" s="129">
        <f>+'[51]2. Distributional by deciles o'!D101</f>
        <v>536585434.61640024</v>
      </c>
      <c r="F13" s="129">
        <f>+'[51]2. Distributional by deciles o'!E101</f>
        <v>547816492.72079968</v>
      </c>
      <c r="G13" s="129">
        <f>+'[51]2. Distributional by deciles o'!F101</f>
        <v>544357809.41999996</v>
      </c>
      <c r="H13" s="129">
        <f>+'[51]2. Distributional by deciles o'!G101</f>
        <v>543545151.38400042</v>
      </c>
      <c r="I13" s="129">
        <f>+'[51]2. Distributional by deciles o'!H101</f>
        <v>536864131.4004004</v>
      </c>
      <c r="J13" s="122"/>
      <c r="K13" s="130" t="s">
        <v>113</v>
      </c>
      <c r="L13" s="130" t="s">
        <v>113</v>
      </c>
      <c r="M13" s="130" t="s">
        <v>113</v>
      </c>
      <c r="N13" s="130" t="s">
        <v>113</v>
      </c>
      <c r="O13" s="131">
        <f t="shared" ref="O13:O21" si="10">C13/C$22*100</f>
        <v>1.8925608941462095</v>
      </c>
      <c r="P13" s="129">
        <f>+'[51]2. Distributional by deciles o'!B119</f>
        <v>6321648167.0015993</v>
      </c>
      <c r="Q13" s="129">
        <f>+'[51]2. Distributional by deciles o'!C119</f>
        <v>6384866028.0275974</v>
      </c>
      <c r="R13" s="131">
        <f>(Q13/P13-1)*100</f>
        <v>1.0000218195626465</v>
      </c>
      <c r="S13" s="130" t="s">
        <v>113</v>
      </c>
      <c r="T13" s="130" t="s">
        <v>113</v>
      </c>
      <c r="U13" s="130" t="s">
        <v>113</v>
      </c>
      <c r="V13" s="130" t="s">
        <v>113</v>
      </c>
      <c r="W13" s="132">
        <f t="shared" ref="W13:X22" si="11">IF(D13&lt;&gt;0,((D13-$C13)/ABS($C13)) / ($Q13/$P13-1),0)</f>
        <v>3.0954839101514788</v>
      </c>
      <c r="X13" s="132">
        <f t="shared" si="11"/>
        <v>0.79654302597769766</v>
      </c>
      <c r="Y13" s="132">
        <f t="shared" si="0"/>
        <v>2.9062300455549837</v>
      </c>
      <c r="Z13" s="132">
        <f t="shared" si="0"/>
        <v>2.2565370961731599</v>
      </c>
      <c r="AA13" s="132">
        <f t="shared" si="0"/>
        <v>2.1038841498553231</v>
      </c>
      <c r="AB13" s="132">
        <f t="shared" ref="AB13:AC22" si="12">IF(I13&lt;&gt;0,MAX(((I13-$C13)/ABS($C13)) / ($Q13/$P13-1),0),AA13)</f>
        <v>0.84889454817067356</v>
      </c>
      <c r="AC13" s="132">
        <f t="shared" si="12"/>
        <v>0.84889454817067356</v>
      </c>
      <c r="AD13" s="130" t="s">
        <v>113</v>
      </c>
      <c r="AE13" s="130" t="s">
        <v>113</v>
      </c>
      <c r="AF13" s="130" t="s">
        <v>113</v>
      </c>
      <c r="AG13" s="130" t="s">
        <v>113</v>
      </c>
      <c r="AH13" s="133">
        <f t="shared" si="1"/>
        <v>1</v>
      </c>
      <c r="AI13" s="134">
        <f t="shared" ref="AI13:AI22" si="13">IF(W13&gt;1,MAX(W13-SUM(AH13,AJ13:AO13),0),0)</f>
        <v>0</v>
      </c>
      <c r="AJ13" s="134">
        <f t="shared" si="2"/>
        <v>0.18925386459649518</v>
      </c>
      <c r="AK13" s="134">
        <f t="shared" si="3"/>
        <v>0.64969294938182376</v>
      </c>
      <c r="AL13" s="134">
        <f t="shared" ref="AL13:AL22" si="14">IF(W13&gt;1,MAX(MIN(Z13-AA13,W13-AH13-AJ13-AK13),0),0)</f>
        <v>0.15265294631783677</v>
      </c>
      <c r="AM13" s="134">
        <f t="shared" ref="AM13:AM22" si="15">IF(I13&lt;&gt;0,IF(W13&gt;1,MAX(MIN(AA13-AB13,W13-AH13-AJ13-AK13-AL13),0),0),0)</f>
        <v>1.1038841498553231</v>
      </c>
      <c r="AN13" s="135">
        <f t="shared" ref="AN13:AN22" si="16">IF(J13&lt;&gt;0,IF(W13&gt;1,MIN(AB13-AC13,W13-AH13-AJ13-AK13-AL13-AM13),0),0)</f>
        <v>0</v>
      </c>
      <c r="AO13" s="134">
        <f t="shared" ref="AO13:AO22" si="17">IF(W13&gt;1,MIN(AC13-X13,W13-AH13-AJ13-AK13-AL13-AM13-AN13),0)</f>
        <v>0</v>
      </c>
      <c r="AP13" s="134">
        <f>AI13+AO13</f>
        <v>0</v>
      </c>
      <c r="AQ13" s="136" t="s">
        <v>113</v>
      </c>
      <c r="AR13" s="137">
        <f t="shared" si="5"/>
        <v>0</v>
      </c>
      <c r="AS13" s="137">
        <f t="shared" si="5"/>
        <v>9.0315112265793704</v>
      </c>
      <c r="AT13" s="137">
        <f t="shared" si="5"/>
        <v>31.004435120423263</v>
      </c>
      <c r="AU13" s="137">
        <f t="shared" si="5"/>
        <v>7.2848541369521538</v>
      </c>
      <c r="AV13" s="137">
        <f t="shared" si="5"/>
        <v>52.679199516045216</v>
      </c>
      <c r="AW13" s="138">
        <f t="shared" si="5"/>
        <v>0</v>
      </c>
      <c r="AX13" s="137">
        <f t="shared" si="5"/>
        <v>0</v>
      </c>
      <c r="AY13" s="137">
        <f t="shared" si="5"/>
        <v>0</v>
      </c>
      <c r="AZ13" s="139" t="s">
        <v>113</v>
      </c>
      <c r="BA13" s="139" t="s">
        <v>113</v>
      </c>
      <c r="BB13" s="139" t="s">
        <v>113</v>
      </c>
      <c r="BC13" s="139" t="s">
        <v>113</v>
      </c>
      <c r="BD13" s="139" t="s">
        <v>113</v>
      </c>
      <c r="BE13" s="139" t="s">
        <v>113</v>
      </c>
      <c r="BF13" s="139" t="s">
        <v>113</v>
      </c>
      <c r="BG13" s="139" t="s">
        <v>113</v>
      </c>
      <c r="BH13" s="140">
        <f>+'[51]2. Distributional by deciles o'!B137</f>
        <v>2287764757.7507992</v>
      </c>
      <c r="BI13" s="140">
        <f>+'[51]2. Distributional by deciles o'!B155</f>
        <v>3704795759.4876003</v>
      </c>
      <c r="BJ13" s="140">
        <f>+'[51]2. Distributional by deciles o'!B173</f>
        <v>207886822.26000005</v>
      </c>
      <c r="BK13" s="140">
        <f>+'[51]2. Distributional by deciles o'!B191</f>
        <v>121201647.53519997</v>
      </c>
      <c r="BL13" s="141">
        <f t="shared" ref="BL13:BL22" si="18">BH13/SUM($BH13:$BK13)</f>
        <v>0.36189367085126956</v>
      </c>
      <c r="BM13" s="141">
        <f t="shared" si="6"/>
        <v>0.5860489513237046</v>
      </c>
      <c r="BN13" s="141">
        <f t="shared" ref="BN13:BO22" si="19">BJ13/SUM($BH13:$BK13)</f>
        <v>3.2884904347963463E-2</v>
      </c>
      <c r="BO13" s="141">
        <f t="shared" si="19"/>
        <v>1.9172473477062382E-2</v>
      </c>
      <c r="BP13" s="139" t="s">
        <v>113</v>
      </c>
      <c r="BQ13" s="139" t="s">
        <v>113</v>
      </c>
      <c r="BR13" s="139" t="s">
        <v>113</v>
      </c>
      <c r="BS13" s="131">
        <f>P13/P$22*100</f>
        <v>4.5335424273501204</v>
      </c>
      <c r="BT13" s="139"/>
      <c r="BU13" s="139"/>
      <c r="BV13" s="139"/>
      <c r="BW13" s="139"/>
      <c r="BX13" s="139"/>
      <c r="BY13" s="139"/>
      <c r="BZ13" s="139"/>
      <c r="CA13" s="139"/>
      <c r="CB13" s="139"/>
      <c r="CC13" s="142" t="s">
        <v>113</v>
      </c>
      <c r="CD13" s="142" t="s">
        <v>113</v>
      </c>
      <c r="CE13" s="142" t="s">
        <v>113</v>
      </c>
      <c r="CF13" s="142" t="s">
        <v>113</v>
      </c>
      <c r="CG13" s="142" t="s">
        <v>113</v>
      </c>
      <c r="CH13" s="142" t="s">
        <v>113</v>
      </c>
      <c r="CI13" s="142" t="s">
        <v>113</v>
      </c>
      <c r="CJ13" s="142"/>
      <c r="CK13" s="139" t="s">
        <v>113</v>
      </c>
      <c r="CL13" s="139" t="s">
        <v>113</v>
      </c>
      <c r="CM13" s="139" t="s">
        <v>113</v>
      </c>
      <c r="CN13" s="139" t="s">
        <v>113</v>
      </c>
      <c r="CO13" s="139" t="s">
        <v>113</v>
      </c>
      <c r="CP13" s="139" t="s">
        <v>113</v>
      </c>
      <c r="CQ13" s="139" t="s">
        <v>113</v>
      </c>
      <c r="CR13" s="139"/>
      <c r="CS13" s="143" t="s">
        <v>113</v>
      </c>
      <c r="CT13" s="143" t="s">
        <v>113</v>
      </c>
      <c r="CU13" s="143" t="s">
        <v>113</v>
      </c>
      <c r="CV13" s="143" t="s">
        <v>113</v>
      </c>
      <c r="CW13" s="143" t="s">
        <v>113</v>
      </c>
      <c r="CX13" s="143" t="s">
        <v>113</v>
      </c>
      <c r="CY13" s="143" t="s">
        <v>113</v>
      </c>
      <c r="CZ13" s="143"/>
      <c r="DA13" s="139" t="s">
        <v>113</v>
      </c>
      <c r="DB13" s="139" t="s">
        <v>113</v>
      </c>
      <c r="DC13" s="139" t="s">
        <v>113</v>
      </c>
      <c r="DD13" s="144">
        <f t="shared" ref="DD13:DD22" si="20">(1-DE13)*100</f>
        <v>3.9017049650940439</v>
      </c>
      <c r="DE13" s="145">
        <f>+'[51]2. Distributional by deciles o'!$I47</f>
        <v>0.96098295034905956</v>
      </c>
      <c r="DF13" s="1"/>
      <c r="DG13" s="1"/>
      <c r="DH13" s="1"/>
      <c r="DI13" s="1"/>
      <c r="DJ13" s="1"/>
      <c r="DK13" s="1"/>
      <c r="DL13" s="1"/>
      <c r="DM13" s="1"/>
      <c r="DN13" s="1"/>
      <c r="DO13" s="1"/>
      <c r="DP13" s="1"/>
      <c r="DQ13" s="1"/>
      <c r="DR13" s="1"/>
      <c r="DS13" s="1"/>
      <c r="DT13" s="1"/>
      <c r="DU13" s="1"/>
      <c r="DV13" s="1"/>
      <c r="DW13" s="1"/>
      <c r="DX13" s="1"/>
      <c r="DY13" s="1"/>
      <c r="DZ13" s="1"/>
      <c r="EA13" s="146">
        <f>+'[52]2. Distributional by deciles o'!B101</f>
        <v>552288902.06880009</v>
      </c>
      <c r="EB13" s="146">
        <f>+'[52]2. Distributional by deciles o'!C101</f>
        <v>570627485.30879927</v>
      </c>
      <c r="EC13" s="146">
        <f>+'[52]2. Distributional by deciles o'!D101</f>
        <v>557047435.69080043</v>
      </c>
      <c r="ED13" s="146">
        <f>+'[52]2. Distributional by deciles o'!E101</f>
        <v>569785580.65320003</v>
      </c>
      <c r="EE13" s="146">
        <f>+'[52]2. Distributional by deciles o'!F101</f>
        <v>568855290.11639929</v>
      </c>
      <c r="EF13" s="146">
        <f>+'[52]2. Distributional by deciles o'!G101</f>
        <v>567739642.03679955</v>
      </c>
      <c r="EG13" s="146">
        <f>+'[52]2. Distributional by deciles o'!H101</f>
        <v>560186365.33439994</v>
      </c>
      <c r="EH13" s="122"/>
      <c r="EI13" s="130" t="s">
        <v>113</v>
      </c>
      <c r="EJ13" s="130" t="s">
        <v>113</v>
      </c>
      <c r="EK13" s="130" t="s">
        <v>113</v>
      </c>
      <c r="EL13" s="130" t="s">
        <v>113</v>
      </c>
      <c r="EM13" s="131">
        <f t="shared" si="7"/>
        <v>1.743110786310913</v>
      </c>
      <c r="EN13" s="146">
        <f>+'[52]2. Distributional by deciles o'!B119</f>
        <v>7057831095.2591991</v>
      </c>
      <c r="EO13" s="146">
        <f>+'[52]2. Distributional by deciles o'!C119</f>
        <v>7128408909.5376005</v>
      </c>
      <c r="EP13" s="131">
        <f t="shared" si="8"/>
        <v>0.99999296279289496</v>
      </c>
      <c r="EQ13" s="130" t="s">
        <v>113</v>
      </c>
      <c r="ER13" s="130" t="s">
        <v>113</v>
      </c>
      <c r="ES13" s="130" t="s">
        <v>113</v>
      </c>
      <c r="ET13" s="130" t="s">
        <v>113</v>
      </c>
      <c r="EU13" s="131">
        <f t="shared" ref="EU13:EU21" si="21">EN13/EN$22*100</f>
        <v>4.5213315016764435</v>
      </c>
      <c r="EV13" s="132">
        <f t="shared" ref="EV13:EV22" si="22">((EB13-$EA13)/ABS($EA13)) / ($EO13/$EN13-1)</f>
        <v>3.3204926306904357</v>
      </c>
      <c r="EW13" s="132">
        <f t="shared" ref="EW13:EW22" si="23">IF(EC13&lt;&gt;0,((EC13-$EA13)/ABS($EA13)) / ($EO13/$EN13-1),0)</f>
        <v>0.86160831608197308</v>
      </c>
      <c r="EX13" s="132"/>
      <c r="EY13" s="148">
        <f t="shared" si="9"/>
        <v>0.22500872053895682</v>
      </c>
      <c r="EZ13" s="144">
        <f t="shared" ref="EZ13:EZ22" si="24">(1-FA13)*100</f>
        <v>5.0002097740151079</v>
      </c>
      <c r="FA13" s="145">
        <f>+'[52]2. Distributional by deciles o'!I47</f>
        <v>0.94999790225984893</v>
      </c>
      <c r="FB13" s="130" t="s">
        <v>113</v>
      </c>
      <c r="FC13" s="130" t="s">
        <v>113</v>
      </c>
      <c r="FD13" s="130" t="s">
        <v>113</v>
      </c>
      <c r="FE13" s="130" t="s">
        <v>113</v>
      </c>
      <c r="FF13" s="130" t="s">
        <v>113</v>
      </c>
      <c r="FG13" s="130" t="s">
        <v>113</v>
      </c>
      <c r="FH13" s="130" t="s">
        <v>113</v>
      </c>
      <c r="FI13" s="130" t="s">
        <v>113</v>
      </c>
      <c r="FJ13" s="1"/>
      <c r="FK13" s="1"/>
      <c r="FL13" s="1"/>
      <c r="FM13" s="1"/>
      <c r="FN13" s="1"/>
      <c r="FO13" s="1"/>
      <c r="FP13" s="1"/>
      <c r="FQ13" s="1"/>
    </row>
    <row r="14" spans="1:173" x14ac:dyDescent="0.3">
      <c r="A14" s="1"/>
      <c r="B14" s="28">
        <v>3</v>
      </c>
      <c r="C14" s="129">
        <f>+'[51]2. Distributional by deciles o'!B102</f>
        <v>1071877967.3219998</v>
      </c>
      <c r="D14" s="129">
        <f>+'[51]2. Distributional by deciles o'!C102</f>
        <v>1097390745.7152002</v>
      </c>
      <c r="E14" s="129">
        <f>+'[51]2. Distributional by deciles o'!D102</f>
        <v>1081871865.1032002</v>
      </c>
      <c r="F14" s="129">
        <f>+'[51]2. Distributional by deciles o'!E102</f>
        <v>1095268199.0640011</v>
      </c>
      <c r="G14" s="129">
        <f>+'[51]2. Distributional by deciles o'!F102</f>
        <v>1091472756.4139996</v>
      </c>
      <c r="H14" s="129">
        <f>+'[51]2. Distributional by deciles o'!G102</f>
        <v>1089803101.8804004</v>
      </c>
      <c r="I14" s="129">
        <f>+'[51]2. Distributional by deciles o'!H102</f>
        <v>1082223369.237601</v>
      </c>
      <c r="J14" s="122"/>
      <c r="K14" s="130" t="s">
        <v>113</v>
      </c>
      <c r="L14" s="130" t="s">
        <v>113</v>
      </c>
      <c r="M14" s="130" t="s">
        <v>113</v>
      </c>
      <c r="N14" s="130" t="s">
        <v>113</v>
      </c>
      <c r="O14" s="131">
        <f t="shared" si="10"/>
        <v>3.810676122622827</v>
      </c>
      <c r="P14" s="129">
        <f>+'[51]2. Distributional by deciles o'!B120</f>
        <v>8445294608.5907974</v>
      </c>
      <c r="Q14" s="129">
        <f>+'[51]2. Distributional by deciles o'!C120</f>
        <v>8529748966.7244015</v>
      </c>
      <c r="R14" s="131">
        <f t="shared" ref="R14:R21" si="25">(Q14/P14-1)*100</f>
        <v>1.000016719934127</v>
      </c>
      <c r="S14" s="130" t="s">
        <v>113</v>
      </c>
      <c r="T14" s="130" t="s">
        <v>113</v>
      </c>
      <c r="U14" s="130" t="s">
        <v>113</v>
      </c>
      <c r="V14" s="130" t="s">
        <v>113</v>
      </c>
      <c r="W14" s="132">
        <f t="shared" si="11"/>
        <v>2.3801545144265766</v>
      </c>
      <c r="X14" s="132">
        <f t="shared" si="11"/>
        <v>0.93235713312124235</v>
      </c>
      <c r="Y14" s="132">
        <f t="shared" si="0"/>
        <v>2.1821365284561032</v>
      </c>
      <c r="Z14" s="132">
        <f t="shared" si="0"/>
        <v>1.828049654089807</v>
      </c>
      <c r="AA14" s="132">
        <f t="shared" si="0"/>
        <v>1.672283170548448</v>
      </c>
      <c r="AB14" s="132">
        <f t="shared" si="12"/>
        <v>0.9651498826775492</v>
      </c>
      <c r="AC14" s="132">
        <f t="shared" si="12"/>
        <v>0.9651498826775492</v>
      </c>
      <c r="AD14" s="130" t="s">
        <v>113</v>
      </c>
      <c r="AE14" s="130" t="s">
        <v>113</v>
      </c>
      <c r="AF14" s="130" t="s">
        <v>113</v>
      </c>
      <c r="AG14" s="130" t="s">
        <v>113</v>
      </c>
      <c r="AH14" s="133">
        <f t="shared" si="1"/>
        <v>1</v>
      </c>
      <c r="AI14" s="134">
        <f t="shared" si="13"/>
        <v>0</v>
      </c>
      <c r="AJ14" s="134">
        <f t="shared" si="2"/>
        <v>0.19801798597047338</v>
      </c>
      <c r="AK14" s="134">
        <f t="shared" si="3"/>
        <v>0.35408687436629616</v>
      </c>
      <c r="AL14" s="134">
        <f t="shared" si="14"/>
        <v>0.15576648354135902</v>
      </c>
      <c r="AM14" s="134">
        <f t="shared" si="15"/>
        <v>0.67228317054844799</v>
      </c>
      <c r="AN14" s="135">
        <f t="shared" si="16"/>
        <v>0</v>
      </c>
      <c r="AO14" s="134">
        <f t="shared" si="17"/>
        <v>0</v>
      </c>
      <c r="AP14" s="134">
        <f t="shared" si="4"/>
        <v>0</v>
      </c>
      <c r="AQ14" s="136" t="s">
        <v>113</v>
      </c>
      <c r="AR14" s="137">
        <f t="shared" si="5"/>
        <v>0</v>
      </c>
      <c r="AS14" s="137">
        <f t="shared" si="5"/>
        <v>14.347522969393426</v>
      </c>
      <c r="AT14" s="137">
        <f t="shared" si="5"/>
        <v>25.655596577417374</v>
      </c>
      <c r="AU14" s="137">
        <f t="shared" si="5"/>
        <v>11.286162666074858</v>
      </c>
      <c r="AV14" s="137">
        <f t="shared" si="5"/>
        <v>48.710717787114341</v>
      </c>
      <c r="AW14" s="138">
        <f t="shared" si="5"/>
        <v>0</v>
      </c>
      <c r="AX14" s="137">
        <f t="shared" si="5"/>
        <v>0</v>
      </c>
      <c r="AY14" s="137">
        <f t="shared" si="5"/>
        <v>0</v>
      </c>
      <c r="AZ14" s="139" t="s">
        <v>113</v>
      </c>
      <c r="BA14" s="139" t="s">
        <v>113</v>
      </c>
      <c r="BB14" s="139" t="s">
        <v>113</v>
      </c>
      <c r="BC14" s="139" t="s">
        <v>113</v>
      </c>
      <c r="BD14" s="139" t="s">
        <v>113</v>
      </c>
      <c r="BE14" s="139" t="s">
        <v>113</v>
      </c>
      <c r="BF14" s="139" t="s">
        <v>113</v>
      </c>
      <c r="BG14" s="139" t="s">
        <v>113</v>
      </c>
      <c r="BH14" s="140">
        <f>+'[51]2. Distributional by deciles o'!B138</f>
        <v>3163916482.1615992</v>
      </c>
      <c r="BI14" s="140">
        <f>+'[51]2. Distributional by deciles o'!B156</f>
        <v>4853586538.7255974</v>
      </c>
      <c r="BJ14" s="140">
        <f>+'[51]2. Distributional by deciles o'!B174</f>
        <v>249911919.39479998</v>
      </c>
      <c r="BK14" s="140">
        <f>+'[51]2. Distributional by deciles o'!B192</f>
        <v>177880087.81200016</v>
      </c>
      <c r="BL14" s="141">
        <f t="shared" si="18"/>
        <v>0.37463658423258867</v>
      </c>
      <c r="BM14" s="141">
        <f t="shared" si="6"/>
        <v>0.57470893824072766</v>
      </c>
      <c r="BN14" s="141">
        <f t="shared" si="19"/>
        <v>2.9591851861118717E-2</v>
      </c>
      <c r="BO14" s="141">
        <f t="shared" si="19"/>
        <v>2.1062625665564886E-2</v>
      </c>
      <c r="BP14" s="139" t="s">
        <v>113</v>
      </c>
      <c r="BQ14" s="139" t="s">
        <v>113</v>
      </c>
      <c r="BR14" s="139" t="s">
        <v>113</v>
      </c>
      <c r="BS14" s="131">
        <f t="shared" ref="BS14:BS21" si="26">P14/P$22*100</f>
        <v>6.0565062161119041</v>
      </c>
      <c r="BT14" s="139"/>
      <c r="BU14" s="139"/>
      <c r="BV14" s="139"/>
      <c r="BW14" s="139"/>
      <c r="BX14" s="139"/>
      <c r="BY14" s="139"/>
      <c r="BZ14" s="139"/>
      <c r="CA14" s="139"/>
      <c r="CB14" s="139"/>
      <c r="CC14" s="142" t="s">
        <v>113</v>
      </c>
      <c r="CD14" s="142" t="s">
        <v>113</v>
      </c>
      <c r="CE14" s="142" t="s">
        <v>113</v>
      </c>
      <c r="CF14" s="142" t="s">
        <v>113</v>
      </c>
      <c r="CG14" s="142" t="s">
        <v>113</v>
      </c>
      <c r="CH14" s="142" t="s">
        <v>113</v>
      </c>
      <c r="CI14" s="142" t="s">
        <v>113</v>
      </c>
      <c r="CJ14" s="142"/>
      <c r="CK14" s="139" t="s">
        <v>113</v>
      </c>
      <c r="CL14" s="139" t="s">
        <v>113</v>
      </c>
      <c r="CM14" s="139" t="s">
        <v>113</v>
      </c>
      <c r="CN14" s="139" t="s">
        <v>113</v>
      </c>
      <c r="CO14" s="139" t="s">
        <v>113</v>
      </c>
      <c r="CP14" s="139" t="s">
        <v>113</v>
      </c>
      <c r="CQ14" s="139" t="s">
        <v>113</v>
      </c>
      <c r="CR14" s="139"/>
      <c r="CS14" s="143" t="s">
        <v>113</v>
      </c>
      <c r="CT14" s="143" t="s">
        <v>113</v>
      </c>
      <c r="CU14" s="143" t="s">
        <v>113</v>
      </c>
      <c r="CV14" s="143" t="s">
        <v>113</v>
      </c>
      <c r="CW14" s="143" t="s">
        <v>113</v>
      </c>
      <c r="CX14" s="143" t="s">
        <v>113</v>
      </c>
      <c r="CY14" s="143" t="s">
        <v>113</v>
      </c>
      <c r="CZ14" s="143"/>
      <c r="DA14" s="139" t="s">
        <v>113</v>
      </c>
      <c r="DB14" s="139" t="s">
        <v>113</v>
      </c>
      <c r="DC14" s="139" t="s">
        <v>113</v>
      </c>
      <c r="DD14" s="144">
        <f t="shared" si="20"/>
        <v>9.9381243954976828E-2</v>
      </c>
      <c r="DE14" s="145">
        <f>+'[51]2. Distributional by deciles o'!$I48</f>
        <v>0.99900618756045023</v>
      </c>
      <c r="DF14" s="1"/>
      <c r="DG14" s="1"/>
      <c r="DH14" s="1"/>
      <c r="DI14" s="1"/>
      <c r="DJ14" s="1"/>
      <c r="DK14" s="1"/>
      <c r="DL14" s="1"/>
      <c r="DM14" s="1"/>
      <c r="DN14" s="1"/>
      <c r="DO14" s="1"/>
      <c r="DP14" s="1"/>
      <c r="DQ14" s="1"/>
      <c r="DR14" s="1"/>
      <c r="DS14" s="1"/>
      <c r="DT14" s="1"/>
      <c r="DU14" s="1"/>
      <c r="DV14" s="1"/>
      <c r="DW14" s="1"/>
      <c r="DX14" s="1"/>
      <c r="DY14" s="1"/>
      <c r="DZ14" s="1"/>
      <c r="EA14" s="146">
        <f>+'[52]2. Distributional by deciles o'!B102</f>
        <v>1156856426.5595994</v>
      </c>
      <c r="EB14" s="146">
        <f>+'[52]2. Distributional by deciles o'!C102</f>
        <v>1187440401.8603997</v>
      </c>
      <c r="EC14" s="146">
        <f>+'[52]2. Distributional by deciles o'!D102</f>
        <v>1168257418.034399</v>
      </c>
      <c r="ED14" s="146">
        <f>+'[52]2. Distributional by deciles o'!E102</f>
        <v>1185013307.3423996</v>
      </c>
      <c r="EE14" s="146">
        <f>+'[52]2. Distributional by deciles o'!F102</f>
        <v>1183608716.3543994</v>
      </c>
      <c r="EF14" s="146">
        <f>+'[52]2. Distributional by deciles o'!G102</f>
        <v>1181522237.9891999</v>
      </c>
      <c r="EG14" s="146">
        <f>+'[52]2. Distributional by deciles o'!H102</f>
        <v>1171770184.2611995</v>
      </c>
      <c r="EH14" s="122"/>
      <c r="EI14" s="130" t="s">
        <v>113</v>
      </c>
      <c r="EJ14" s="130" t="s">
        <v>113</v>
      </c>
      <c r="EK14" s="130" t="s">
        <v>113</v>
      </c>
      <c r="EL14" s="130" t="s">
        <v>113</v>
      </c>
      <c r="EM14" s="131">
        <f t="shared" si="7"/>
        <v>3.6512211413184108</v>
      </c>
      <c r="EN14" s="146">
        <f>+'[52]2. Distributional by deciles o'!B120</f>
        <v>9409631420.0280018</v>
      </c>
      <c r="EO14" s="146">
        <f>+'[52]2. Distributional by deciles o'!C120</f>
        <v>9503727461.3363991</v>
      </c>
      <c r="EP14" s="131">
        <f t="shared" si="8"/>
        <v>0.99999709986640095</v>
      </c>
      <c r="EQ14" s="130" t="s">
        <v>113</v>
      </c>
      <c r="ER14" s="130" t="s">
        <v>113</v>
      </c>
      <c r="ES14" s="130" t="s">
        <v>113</v>
      </c>
      <c r="ET14" s="130" t="s">
        <v>113</v>
      </c>
      <c r="EU14" s="131">
        <f t="shared" si="21"/>
        <v>6.0279230806634398</v>
      </c>
      <c r="EV14" s="132">
        <f t="shared" si="22"/>
        <v>2.6437216664497027</v>
      </c>
      <c r="EW14" s="132">
        <f t="shared" si="23"/>
        <v>0.98551767337280738</v>
      </c>
      <c r="EX14" s="132"/>
      <c r="EY14" s="148">
        <f t="shared" si="9"/>
        <v>0.26356715202312619</v>
      </c>
      <c r="EZ14" s="144">
        <f t="shared" si="24"/>
        <v>9.9584916476325169E-2</v>
      </c>
      <c r="FA14" s="145">
        <f>+'[52]2. Distributional by deciles o'!I48</f>
        <v>0.99900415083523675</v>
      </c>
      <c r="FB14" s="130" t="s">
        <v>113</v>
      </c>
      <c r="FC14" s="130" t="s">
        <v>113</v>
      </c>
      <c r="FD14" s="130" t="s">
        <v>113</v>
      </c>
      <c r="FE14" s="130" t="s">
        <v>113</v>
      </c>
      <c r="FF14" s="130" t="s">
        <v>113</v>
      </c>
      <c r="FG14" s="130" t="s">
        <v>113</v>
      </c>
      <c r="FH14" s="130" t="s">
        <v>113</v>
      </c>
      <c r="FI14" s="130" t="s">
        <v>113</v>
      </c>
      <c r="FJ14" s="1"/>
      <c r="FK14" s="1"/>
      <c r="FL14" s="1"/>
      <c r="FM14" s="1"/>
      <c r="FN14" s="1"/>
      <c r="FO14" s="1"/>
      <c r="FP14" s="1"/>
      <c r="FQ14" s="1"/>
    </row>
    <row r="15" spans="1:173" x14ac:dyDescent="0.3">
      <c r="A15" s="1"/>
      <c r="B15" s="28">
        <v>4</v>
      </c>
      <c r="C15" s="129">
        <f>+'[51]2. Distributional by deciles o'!B103</f>
        <v>1471568174.8488002</v>
      </c>
      <c r="D15" s="129">
        <f>+'[51]2. Distributional by deciles o'!C103</f>
        <v>1502895332.6891999</v>
      </c>
      <c r="E15" s="129">
        <f>+'[51]2. Distributional by deciles o'!D103</f>
        <v>1486061060.2991974</v>
      </c>
      <c r="F15" s="129">
        <f>+'[51]2. Distributional by deciles o'!E103</f>
        <v>1498718396.8271995</v>
      </c>
      <c r="G15" s="129">
        <f>+'[51]2. Distributional by deciles o'!F103</f>
        <v>1495471448.2092009</v>
      </c>
      <c r="H15" s="129">
        <f>+'[51]2. Distributional by deciles o'!G103</f>
        <v>1493301767.7216005</v>
      </c>
      <c r="I15" s="129">
        <f>+'[51]2. Distributional by deciles o'!H103</f>
        <v>1486517999.2187986</v>
      </c>
      <c r="J15" s="122"/>
      <c r="K15" s="130" t="s">
        <v>113</v>
      </c>
      <c r="L15" s="130" t="s">
        <v>113</v>
      </c>
      <c r="M15" s="130" t="s">
        <v>113</v>
      </c>
      <c r="N15" s="130" t="s">
        <v>113</v>
      </c>
      <c r="O15" s="131">
        <f t="shared" si="10"/>
        <v>5.231630724454841</v>
      </c>
      <c r="P15" s="129">
        <f>+'[51]2. Distributional by deciles o'!B121</f>
        <v>10012217434.520397</v>
      </c>
      <c r="Q15" s="129">
        <f>+'[51]2. Distributional by deciles o'!C121</f>
        <v>10112340250.989609</v>
      </c>
      <c r="R15" s="131">
        <f t="shared" si="25"/>
        <v>1.0000064134045417</v>
      </c>
      <c r="S15" s="130" t="s">
        <v>113</v>
      </c>
      <c r="T15" s="130" t="s">
        <v>113</v>
      </c>
      <c r="U15" s="130" t="s">
        <v>113</v>
      </c>
      <c r="V15" s="130" t="s">
        <v>113</v>
      </c>
      <c r="W15" s="132">
        <f t="shared" si="11"/>
        <v>2.1288145166071337</v>
      </c>
      <c r="X15" s="132">
        <f t="shared" si="11"/>
        <v>0.98485362417851252</v>
      </c>
      <c r="Y15" s="132">
        <f t="shared" si="0"/>
        <v>1.8449738393498933</v>
      </c>
      <c r="Z15" s="132">
        <f t="shared" si="0"/>
        <v>1.6243297774823044</v>
      </c>
      <c r="AA15" s="132">
        <f t="shared" si="0"/>
        <v>1.4768906978845275</v>
      </c>
      <c r="AB15" s="132">
        <f t="shared" si="12"/>
        <v>1.0159045803554361</v>
      </c>
      <c r="AC15" s="132">
        <f t="shared" si="12"/>
        <v>1.0159045803554361</v>
      </c>
      <c r="AD15" s="130" t="s">
        <v>113</v>
      </c>
      <c r="AE15" s="130" t="s">
        <v>113</v>
      </c>
      <c r="AF15" s="130" t="s">
        <v>113</v>
      </c>
      <c r="AG15" s="130" t="s">
        <v>113</v>
      </c>
      <c r="AH15" s="133">
        <f t="shared" si="1"/>
        <v>1</v>
      </c>
      <c r="AI15" s="134">
        <f t="shared" si="13"/>
        <v>0</v>
      </c>
      <c r="AJ15" s="134">
        <f t="shared" si="2"/>
        <v>0.28384067725724038</v>
      </c>
      <c r="AK15" s="134">
        <f t="shared" si="3"/>
        <v>0.22064406186758889</v>
      </c>
      <c r="AL15" s="134">
        <f t="shared" si="14"/>
        <v>0.14743907959777691</v>
      </c>
      <c r="AM15" s="134">
        <f t="shared" si="15"/>
        <v>0.46098611752909147</v>
      </c>
      <c r="AN15" s="135">
        <f t="shared" si="16"/>
        <v>0</v>
      </c>
      <c r="AO15" s="134">
        <f t="shared" si="17"/>
        <v>1.5904580355436071E-2</v>
      </c>
      <c r="AP15" s="134">
        <f t="shared" si="4"/>
        <v>1.5904580355436071E-2</v>
      </c>
      <c r="AQ15" s="136" t="s">
        <v>113</v>
      </c>
      <c r="AR15" s="137">
        <f t="shared" si="5"/>
        <v>0</v>
      </c>
      <c r="AS15" s="137">
        <f t="shared" si="5"/>
        <v>25.145023658127414</v>
      </c>
      <c r="AT15" s="137">
        <f t="shared" si="5"/>
        <v>19.546529444959347</v>
      </c>
      <c r="AU15" s="137">
        <f t="shared" si="5"/>
        <v>13.06140888770044</v>
      </c>
      <c r="AV15" s="137">
        <f t="shared" si="5"/>
        <v>40.838074878295572</v>
      </c>
      <c r="AW15" s="138">
        <f t="shared" si="5"/>
        <v>0</v>
      </c>
      <c r="AX15" s="137">
        <f t="shared" si="5"/>
        <v>1.4089631309172304</v>
      </c>
      <c r="AY15" s="137">
        <f t="shared" si="5"/>
        <v>1.4089631309172304</v>
      </c>
      <c r="AZ15" s="139" t="s">
        <v>113</v>
      </c>
      <c r="BA15" s="139" t="s">
        <v>113</v>
      </c>
      <c r="BB15" s="139" t="s">
        <v>113</v>
      </c>
      <c r="BC15" s="139" t="s">
        <v>113</v>
      </c>
      <c r="BD15" s="139" t="s">
        <v>113</v>
      </c>
      <c r="BE15" s="139" t="s">
        <v>113</v>
      </c>
      <c r="BF15" s="139" t="s">
        <v>113</v>
      </c>
      <c r="BG15" s="139" t="s">
        <v>113</v>
      </c>
      <c r="BH15" s="140">
        <f>+'[51]2. Distributional by deciles o'!B139</f>
        <v>4495384067.6460018</v>
      </c>
      <c r="BI15" s="140">
        <f>+'[51]2. Distributional by deciles o'!B157</f>
        <v>4968318209.4011993</v>
      </c>
      <c r="BJ15" s="140">
        <f>+'[51]2. Distributional by deciles o'!B175</f>
        <v>294329464.21199989</v>
      </c>
      <c r="BK15" s="140">
        <f>+'[51]2. Distributional by deciles o'!B193</f>
        <v>254185392.60719991</v>
      </c>
      <c r="BL15" s="141">
        <f t="shared" si="18"/>
        <v>0.44898986983016287</v>
      </c>
      <c r="BM15" s="141">
        <f t="shared" si="6"/>
        <v>0.49622557551172403</v>
      </c>
      <c r="BN15" s="141">
        <f t="shared" si="19"/>
        <v>2.9397031674076285E-2</v>
      </c>
      <c r="BO15" s="141">
        <f t="shared" si="19"/>
        <v>2.5387522984036758E-2</v>
      </c>
      <c r="BP15" s="139" t="s">
        <v>113</v>
      </c>
      <c r="BQ15" s="139" t="s">
        <v>113</v>
      </c>
      <c r="BR15" s="139" t="s">
        <v>113</v>
      </c>
      <c r="BS15" s="131">
        <f t="shared" si="26"/>
        <v>7.1802180906220814</v>
      </c>
      <c r="BT15" s="139"/>
      <c r="BU15" s="139"/>
      <c r="BV15" s="139"/>
      <c r="BW15" s="139"/>
      <c r="BX15" s="139"/>
      <c r="BY15" s="139"/>
      <c r="BZ15" s="139"/>
      <c r="CA15" s="139"/>
      <c r="CB15" s="139"/>
      <c r="CC15" s="142" t="s">
        <v>113</v>
      </c>
      <c r="CD15" s="142" t="s">
        <v>113</v>
      </c>
      <c r="CE15" s="142" t="s">
        <v>113</v>
      </c>
      <c r="CF15" s="142" t="s">
        <v>113</v>
      </c>
      <c r="CG15" s="142" t="s">
        <v>113</v>
      </c>
      <c r="CH15" s="142" t="s">
        <v>113</v>
      </c>
      <c r="CI15" s="142" t="s">
        <v>113</v>
      </c>
      <c r="CJ15" s="142"/>
      <c r="CK15" s="139" t="s">
        <v>113</v>
      </c>
      <c r="CL15" s="139" t="s">
        <v>113</v>
      </c>
      <c r="CM15" s="139" t="s">
        <v>113</v>
      </c>
      <c r="CN15" s="139" t="s">
        <v>113</v>
      </c>
      <c r="CO15" s="139" t="s">
        <v>113</v>
      </c>
      <c r="CP15" s="139" t="s">
        <v>113</v>
      </c>
      <c r="CQ15" s="139" t="s">
        <v>113</v>
      </c>
      <c r="CR15" s="139"/>
      <c r="CS15" s="143" t="s">
        <v>113</v>
      </c>
      <c r="CT15" s="143" t="s">
        <v>113</v>
      </c>
      <c r="CU15" s="143" t="s">
        <v>113</v>
      </c>
      <c r="CV15" s="143" t="s">
        <v>113</v>
      </c>
      <c r="CW15" s="143" t="s">
        <v>113</v>
      </c>
      <c r="CX15" s="143" t="s">
        <v>113</v>
      </c>
      <c r="CY15" s="143" t="s">
        <v>113</v>
      </c>
      <c r="CZ15" s="143"/>
      <c r="DA15" s="139" t="s">
        <v>113</v>
      </c>
      <c r="DB15" s="139" t="s">
        <v>113</v>
      </c>
      <c r="DC15" s="139" t="s">
        <v>113</v>
      </c>
      <c r="DD15" s="144">
        <f t="shared" si="20"/>
        <v>0</v>
      </c>
      <c r="DE15" s="145">
        <f>+'[51]2. Distributional by deciles o'!$I49</f>
        <v>1</v>
      </c>
      <c r="DF15" s="1"/>
      <c r="DG15" s="1"/>
      <c r="DH15" s="1"/>
      <c r="DI15" s="1"/>
      <c r="DJ15" s="1"/>
      <c r="DK15" s="1"/>
      <c r="DL15" s="1"/>
      <c r="DM15" s="1"/>
      <c r="DN15" s="1"/>
      <c r="DO15" s="1"/>
      <c r="DP15" s="1"/>
      <c r="DQ15" s="1"/>
      <c r="DR15" s="1"/>
      <c r="DS15" s="1"/>
      <c r="DT15" s="1"/>
      <c r="DU15" s="1"/>
      <c r="DV15" s="1"/>
      <c r="DW15" s="1"/>
      <c r="DX15" s="1"/>
      <c r="DY15" s="1"/>
      <c r="DZ15" s="1"/>
      <c r="EA15" s="146">
        <f>+'[52]2. Distributional by deciles o'!B103</f>
        <v>1651870806.1860003</v>
      </c>
      <c r="EB15" s="146">
        <f>+'[52]2. Distributional by deciles o'!C103</f>
        <v>1690065719.4276016</v>
      </c>
      <c r="EC15" s="146">
        <f>+'[52]2. Distributional by deciles o'!D103</f>
        <v>1668628927.9980001</v>
      </c>
      <c r="ED15" s="146">
        <f>+'[52]2. Distributional by deciles o'!E103</f>
        <v>1684664302.2000008</v>
      </c>
      <c r="EE15" s="146">
        <f>+'[52]2. Distributional by deciles o'!F103</f>
        <v>1682626300.9020009</v>
      </c>
      <c r="EF15" s="146">
        <f>+'[52]2. Distributional by deciles o'!G103</f>
        <v>1679818492.2420001</v>
      </c>
      <c r="EG15" s="146">
        <f>+'[52]2. Distributional by deciles o'!H103</f>
        <v>1671613195.4928002</v>
      </c>
      <c r="EH15" s="122"/>
      <c r="EI15" s="130" t="s">
        <v>113</v>
      </c>
      <c r="EJ15" s="130" t="s">
        <v>113</v>
      </c>
      <c r="EK15" s="130" t="s">
        <v>113</v>
      </c>
      <c r="EL15" s="130" t="s">
        <v>113</v>
      </c>
      <c r="EM15" s="131">
        <f t="shared" si="7"/>
        <v>5.2135645113800004</v>
      </c>
      <c r="EN15" s="146">
        <f>+'[52]2. Distributional by deciles o'!B121</f>
        <v>11176840205.109591</v>
      </c>
      <c r="EO15" s="146">
        <f>+'[52]2. Distributional by deciles o'!C121</f>
        <v>11288609130.352798</v>
      </c>
      <c r="EP15" s="131">
        <f t="shared" si="8"/>
        <v>1.0000046810377805</v>
      </c>
      <c r="EQ15" s="130" t="s">
        <v>113</v>
      </c>
      <c r="ER15" s="130" t="s">
        <v>113</v>
      </c>
      <c r="ES15" s="130" t="s">
        <v>113</v>
      </c>
      <c r="ET15" s="130" t="s">
        <v>113</v>
      </c>
      <c r="EU15" s="131">
        <f t="shared" si="21"/>
        <v>7.1600182869932958</v>
      </c>
      <c r="EV15" s="132">
        <f t="shared" si="22"/>
        <v>2.3122107556821567</v>
      </c>
      <c r="EW15" s="132">
        <f t="shared" si="23"/>
        <v>1.0144887423525732</v>
      </c>
      <c r="EX15" s="132"/>
      <c r="EY15" s="148">
        <f t="shared" si="9"/>
        <v>0.183396239075023</v>
      </c>
      <c r="EZ15" s="144">
        <f t="shared" si="24"/>
        <v>0</v>
      </c>
      <c r="FA15" s="145">
        <f>+'[52]2. Distributional by deciles o'!I49</f>
        <v>1</v>
      </c>
      <c r="FB15" s="130" t="s">
        <v>113</v>
      </c>
      <c r="FC15" s="130" t="s">
        <v>113</v>
      </c>
      <c r="FD15" s="130" t="s">
        <v>113</v>
      </c>
      <c r="FE15" s="130" t="s">
        <v>113</v>
      </c>
      <c r="FF15" s="130" t="s">
        <v>113</v>
      </c>
      <c r="FG15" s="130" t="s">
        <v>113</v>
      </c>
      <c r="FH15" s="130" t="s">
        <v>113</v>
      </c>
      <c r="FI15" s="130" t="s">
        <v>113</v>
      </c>
      <c r="FJ15" s="1"/>
      <c r="FK15" s="1"/>
      <c r="FL15" s="1"/>
      <c r="FM15" s="1"/>
      <c r="FN15" s="1"/>
      <c r="FO15" s="1"/>
      <c r="FP15" s="1"/>
      <c r="FQ15" s="1"/>
    </row>
    <row r="16" spans="1:173" x14ac:dyDescent="0.3">
      <c r="A16" s="1"/>
      <c r="B16" s="28">
        <v>5</v>
      </c>
      <c r="C16" s="129">
        <f>+'[51]2. Distributional by deciles o'!B104</f>
        <v>1743844112.2907972</v>
      </c>
      <c r="D16" s="129">
        <f>+'[51]2. Distributional by deciles o'!C104</f>
        <v>1779128193.7163992</v>
      </c>
      <c r="E16" s="129">
        <f>+'[51]2. Distributional by deciles o'!D104</f>
        <v>1761326156.4215984</v>
      </c>
      <c r="F16" s="129">
        <f>+'[51]2. Distributional by deciles o'!E104</f>
        <v>1772202422.8499985</v>
      </c>
      <c r="G16" s="129">
        <f>+'[51]2. Distributional by deciles o'!F104</f>
        <v>1769043380.0304012</v>
      </c>
      <c r="H16" s="129">
        <f>+'[51]2. Distributional by deciles o'!G104</f>
        <v>1765819450.7052002</v>
      </c>
      <c r="I16" s="129">
        <f>+'[51]2. Distributional by deciles o'!H104</f>
        <v>1761943030.4411995</v>
      </c>
      <c r="J16" s="122"/>
      <c r="K16" s="130" t="s">
        <v>113</v>
      </c>
      <c r="L16" s="130" t="s">
        <v>113</v>
      </c>
      <c r="M16" s="130" t="s">
        <v>113</v>
      </c>
      <c r="N16" s="130" t="s">
        <v>113</v>
      </c>
      <c r="O16" s="131">
        <f t="shared" si="10"/>
        <v>6.1996097717033001</v>
      </c>
      <c r="P16" s="129">
        <f>+'[51]2. Distributional by deciles o'!B122</f>
        <v>11281341708.691175</v>
      </c>
      <c r="Q16" s="129">
        <f>+'[51]2. Distributional by deciles o'!C122</f>
        <v>11394155661.01078</v>
      </c>
      <c r="R16" s="131">
        <f t="shared" si="25"/>
        <v>1.0000047444063576</v>
      </c>
      <c r="S16" s="130" t="s">
        <v>113</v>
      </c>
      <c r="T16" s="130" t="s">
        <v>113</v>
      </c>
      <c r="U16" s="130" t="s">
        <v>113</v>
      </c>
      <c r="V16" s="130" t="s">
        <v>113</v>
      </c>
      <c r="W16" s="132">
        <f t="shared" si="11"/>
        <v>2.0233410644730911</v>
      </c>
      <c r="X16" s="132">
        <f t="shared" si="11"/>
        <v>1.0024956397225353</v>
      </c>
      <c r="Y16" s="132">
        <f t="shared" si="0"/>
        <v>1.6261875598064783</v>
      </c>
      <c r="Z16" s="132">
        <f t="shared" si="0"/>
        <v>1.4450344504419226</v>
      </c>
      <c r="AA16" s="132">
        <f t="shared" si="0"/>
        <v>1.260160469624467</v>
      </c>
      <c r="AB16" s="132">
        <f t="shared" si="12"/>
        <v>1.0378698505574486</v>
      </c>
      <c r="AC16" s="132">
        <f t="shared" si="12"/>
        <v>1.0378698505574486</v>
      </c>
      <c r="AD16" s="130" t="s">
        <v>113</v>
      </c>
      <c r="AE16" s="130" t="s">
        <v>113</v>
      </c>
      <c r="AF16" s="130" t="s">
        <v>113</v>
      </c>
      <c r="AG16" s="130" t="s">
        <v>113</v>
      </c>
      <c r="AH16" s="133">
        <f t="shared" si="1"/>
        <v>1</v>
      </c>
      <c r="AI16" s="134">
        <f t="shared" si="13"/>
        <v>2.4956397225350813E-3</v>
      </c>
      <c r="AJ16" s="134">
        <f t="shared" si="2"/>
        <v>0.39715350466661281</v>
      </c>
      <c r="AK16" s="134">
        <f t="shared" si="3"/>
        <v>0.18115310936455575</v>
      </c>
      <c r="AL16" s="134">
        <f t="shared" si="14"/>
        <v>0.18487398081745554</v>
      </c>
      <c r="AM16" s="134">
        <f t="shared" si="15"/>
        <v>0.22229061906701841</v>
      </c>
      <c r="AN16" s="135">
        <f t="shared" si="16"/>
        <v>0</v>
      </c>
      <c r="AO16" s="134">
        <f t="shared" si="17"/>
        <v>3.5374210834913322E-2</v>
      </c>
      <c r="AP16" s="134">
        <f t="shared" si="4"/>
        <v>3.7869850557448403E-2</v>
      </c>
      <c r="AQ16" s="136" t="s">
        <v>113</v>
      </c>
      <c r="AR16" s="137">
        <f t="shared" si="5"/>
        <v>0.24387174610451728</v>
      </c>
      <c r="AS16" s="137">
        <f t="shared" si="5"/>
        <v>38.809495529342747</v>
      </c>
      <c r="AT16" s="137">
        <f t="shared" si="5"/>
        <v>17.702124507026383</v>
      </c>
      <c r="AU16" s="137">
        <f t="shared" si="5"/>
        <v>18.065724833650201</v>
      </c>
      <c r="AV16" s="137">
        <f t="shared" si="5"/>
        <v>21.72204622527034</v>
      </c>
      <c r="AW16" s="138">
        <f t="shared" si="5"/>
        <v>0</v>
      </c>
      <c r="AX16" s="137">
        <f t="shared" si="5"/>
        <v>3.4567371586057849</v>
      </c>
      <c r="AY16" s="137">
        <f t="shared" si="5"/>
        <v>3.7006089047103021</v>
      </c>
      <c r="AZ16" s="139" t="s">
        <v>113</v>
      </c>
      <c r="BA16" s="139" t="s">
        <v>113</v>
      </c>
      <c r="BB16" s="139" t="s">
        <v>113</v>
      </c>
      <c r="BC16" s="139" t="s">
        <v>113</v>
      </c>
      <c r="BD16" s="139" t="s">
        <v>113</v>
      </c>
      <c r="BE16" s="139" t="s">
        <v>113</v>
      </c>
      <c r="BF16" s="139" t="s">
        <v>113</v>
      </c>
      <c r="BG16" s="139" t="s">
        <v>113</v>
      </c>
      <c r="BH16" s="140">
        <f>+'[51]2. Distributional by deciles o'!B140</f>
        <v>6868506456.4763966</v>
      </c>
      <c r="BI16" s="140">
        <f>+'[51]2. Distributional by deciles o'!B158</f>
        <v>3847298506.1951995</v>
      </c>
      <c r="BJ16" s="140">
        <f>+'[51]2. Distributional by deciles o'!B176</f>
        <v>304976743.33319998</v>
      </c>
      <c r="BK16" s="140">
        <f>+'[51]2. Distributional by deciles o'!B194</f>
        <v>260560393.18200004</v>
      </c>
      <c r="BL16" s="141">
        <f t="shared" si="18"/>
        <v>0.60883770708198859</v>
      </c>
      <c r="BM16" s="141">
        <f t="shared" si="6"/>
        <v>0.34103198647548577</v>
      </c>
      <c r="BN16" s="141">
        <f t="shared" si="19"/>
        <v>2.7033728846427227E-2</v>
      </c>
      <c r="BO16" s="141">
        <f t="shared" si="19"/>
        <v>2.3096577596098452E-2</v>
      </c>
      <c r="BP16" s="139" t="s">
        <v>113</v>
      </c>
      <c r="BQ16" s="139" t="s">
        <v>113</v>
      </c>
      <c r="BR16" s="139" t="s">
        <v>113</v>
      </c>
      <c r="BS16" s="131">
        <f t="shared" si="26"/>
        <v>8.0903650318211415</v>
      </c>
      <c r="BT16" s="139"/>
      <c r="BU16" s="139"/>
      <c r="BV16" s="139"/>
      <c r="BW16" s="139"/>
      <c r="BX16" s="139"/>
      <c r="BY16" s="139"/>
      <c r="BZ16" s="139"/>
      <c r="CA16" s="139"/>
      <c r="CB16" s="139"/>
      <c r="CC16" s="142" t="s">
        <v>113</v>
      </c>
      <c r="CD16" s="142" t="s">
        <v>113</v>
      </c>
      <c r="CE16" s="142" t="s">
        <v>113</v>
      </c>
      <c r="CF16" s="142" t="s">
        <v>113</v>
      </c>
      <c r="CG16" s="142" t="s">
        <v>113</v>
      </c>
      <c r="CH16" s="142" t="s">
        <v>113</v>
      </c>
      <c r="CI16" s="142" t="s">
        <v>113</v>
      </c>
      <c r="CJ16" s="142"/>
      <c r="CK16" s="139" t="s">
        <v>113</v>
      </c>
      <c r="CL16" s="139" t="s">
        <v>113</v>
      </c>
      <c r="CM16" s="139" t="s">
        <v>113</v>
      </c>
      <c r="CN16" s="139" t="s">
        <v>113</v>
      </c>
      <c r="CO16" s="139" t="s">
        <v>113</v>
      </c>
      <c r="CP16" s="139" t="s">
        <v>113</v>
      </c>
      <c r="CQ16" s="139" t="s">
        <v>113</v>
      </c>
      <c r="CR16" s="139"/>
      <c r="CS16" s="143" t="s">
        <v>113</v>
      </c>
      <c r="CT16" s="143" t="s">
        <v>113</v>
      </c>
      <c r="CU16" s="143" t="s">
        <v>113</v>
      </c>
      <c r="CV16" s="143" t="s">
        <v>113</v>
      </c>
      <c r="CW16" s="143" t="s">
        <v>113</v>
      </c>
      <c r="CX16" s="143" t="s">
        <v>113</v>
      </c>
      <c r="CY16" s="143" t="s">
        <v>113</v>
      </c>
      <c r="CZ16" s="143"/>
      <c r="DA16" s="139" t="s">
        <v>113</v>
      </c>
      <c r="DB16" s="139" t="s">
        <v>113</v>
      </c>
      <c r="DC16" s="139" t="s">
        <v>113</v>
      </c>
      <c r="DD16" s="144">
        <f t="shared" si="20"/>
        <v>0</v>
      </c>
      <c r="DE16" s="145">
        <f>+'[51]2. Distributional by deciles o'!$I50</f>
        <v>1</v>
      </c>
      <c r="DF16" s="1"/>
      <c r="DG16" s="1"/>
      <c r="DH16" s="1"/>
      <c r="DI16" s="1"/>
      <c r="DJ16" s="1"/>
      <c r="DK16" s="1"/>
      <c r="DL16" s="1"/>
      <c r="DM16" s="1"/>
      <c r="DN16" s="1"/>
      <c r="DO16" s="1"/>
      <c r="DP16" s="1"/>
      <c r="DQ16" s="1"/>
      <c r="DR16" s="1"/>
      <c r="DS16" s="1"/>
      <c r="DT16" s="1"/>
      <c r="DU16" s="1"/>
      <c r="DV16" s="1"/>
      <c r="DW16" s="1"/>
      <c r="DX16" s="1"/>
      <c r="DY16" s="1"/>
      <c r="DZ16" s="1"/>
      <c r="EA16" s="146">
        <f>+'[52]2. Distributional by deciles o'!B104</f>
        <v>1964161712.2080007</v>
      </c>
      <c r="EB16" s="146">
        <f>+'[52]2. Distributional by deciles o'!C104</f>
        <v>2005768142.8223987</v>
      </c>
      <c r="EC16" s="146">
        <f>+'[52]2. Distributional by deciles o'!D104</f>
        <v>1984425536.0399981</v>
      </c>
      <c r="ED16" s="146">
        <f>+'[52]2. Distributional by deciles o'!E104</f>
        <v>1997701702.7124014</v>
      </c>
      <c r="EE16" s="146">
        <f>+'[52]2. Distributional by deciles o'!F104</f>
        <v>1994815073.5440006</v>
      </c>
      <c r="EF16" s="146">
        <f>+'[52]2. Distributional by deciles o'!G104</f>
        <v>1990559680.3908029</v>
      </c>
      <c r="EG16" s="146">
        <f>+'[52]2. Distributional by deciles o'!H104</f>
        <v>1986664040.1324019</v>
      </c>
      <c r="EH16" s="122"/>
      <c r="EI16" s="130" t="s">
        <v>113</v>
      </c>
      <c r="EJ16" s="130" t="s">
        <v>113</v>
      </c>
      <c r="EK16" s="130" t="s">
        <v>113</v>
      </c>
      <c r="EL16" s="130" t="s">
        <v>113</v>
      </c>
      <c r="EM16" s="131">
        <f t="shared" si="7"/>
        <v>6.1992038112367709</v>
      </c>
      <c r="EN16" s="146">
        <f>+'[52]2. Distributional by deciles o'!B122</f>
        <v>12651315382.313999</v>
      </c>
      <c r="EO16" s="146">
        <f>+'[52]2. Distributional by deciles o'!C122</f>
        <v>12777828568.227598</v>
      </c>
      <c r="EP16" s="131">
        <f t="shared" si="8"/>
        <v>1.0000002536531438</v>
      </c>
      <c r="EQ16" s="130" t="s">
        <v>113</v>
      </c>
      <c r="ER16" s="130" t="s">
        <v>113</v>
      </c>
      <c r="ES16" s="130" t="s">
        <v>113</v>
      </c>
      <c r="ET16" s="130" t="s">
        <v>113</v>
      </c>
      <c r="EU16" s="131">
        <f t="shared" si="21"/>
        <v>8.1045848226833108</v>
      </c>
      <c r="EV16" s="132">
        <f t="shared" si="22"/>
        <v>2.1182787446776539</v>
      </c>
      <c r="EW16" s="132">
        <f t="shared" si="23"/>
        <v>1.0316777160489818</v>
      </c>
      <c r="EX16" s="132"/>
      <c r="EY16" s="148">
        <f t="shared" si="9"/>
        <v>9.4937680204562724E-2</v>
      </c>
      <c r="EZ16" s="144">
        <f t="shared" si="24"/>
        <v>0</v>
      </c>
      <c r="FA16" s="145">
        <f>+'[52]2. Distributional by deciles o'!I50</f>
        <v>1</v>
      </c>
      <c r="FB16" s="130" t="s">
        <v>113</v>
      </c>
      <c r="FC16" s="130" t="s">
        <v>113</v>
      </c>
      <c r="FD16" s="130" t="s">
        <v>113</v>
      </c>
      <c r="FE16" s="130" t="s">
        <v>113</v>
      </c>
      <c r="FF16" s="130" t="s">
        <v>113</v>
      </c>
      <c r="FG16" s="130" t="s">
        <v>113</v>
      </c>
      <c r="FH16" s="130" t="s">
        <v>113</v>
      </c>
      <c r="FI16" s="130" t="s">
        <v>113</v>
      </c>
      <c r="FJ16" s="1"/>
      <c r="FK16" s="1"/>
      <c r="FL16" s="1"/>
      <c r="FM16" s="1"/>
      <c r="FN16" s="1"/>
      <c r="FO16" s="1"/>
      <c r="FP16" s="1"/>
      <c r="FQ16" s="1"/>
    </row>
    <row r="17" spans="1:173" x14ac:dyDescent="0.3">
      <c r="A17" s="1"/>
      <c r="B17" s="28">
        <v>6</v>
      </c>
      <c r="C17" s="129">
        <f>+'[51]2. Distributional by deciles o'!B105</f>
        <v>2148339773.4803996</v>
      </c>
      <c r="D17" s="129">
        <f>+'[51]2. Distributional by deciles o'!C105</f>
        <v>2191708357.4891982</v>
      </c>
      <c r="E17" s="129">
        <f>+'[51]2. Distributional by deciles o'!D105</f>
        <v>2170254543.9059982</v>
      </c>
      <c r="F17" s="129">
        <f>+'[51]2. Distributional by deciles o'!E105</f>
        <v>2181527922.9492021</v>
      </c>
      <c r="G17" s="129">
        <f>+'[51]2. Distributional by deciles o'!F105</f>
        <v>2178403743.9059982</v>
      </c>
      <c r="H17" s="129">
        <f>+'[51]2. Distributional by deciles o'!G105</f>
        <v>2174543615.5944004</v>
      </c>
      <c r="I17" s="129">
        <f>+'[51]2. Distributional by deciles o'!H105</f>
        <v>2170990033.5840011</v>
      </c>
      <c r="J17" s="122"/>
      <c r="K17" s="130" t="s">
        <v>113</v>
      </c>
      <c r="L17" s="130" t="s">
        <v>113</v>
      </c>
      <c r="M17" s="130" t="s">
        <v>113</v>
      </c>
      <c r="N17" s="130" t="s">
        <v>113</v>
      </c>
      <c r="O17" s="131">
        <f t="shared" si="10"/>
        <v>7.6376484335584545</v>
      </c>
      <c r="P17" s="129">
        <f>+'[51]2. Distributional by deciles o'!B123</f>
        <v>12877127953.720798</v>
      </c>
      <c r="Q17" s="129">
        <f>+'[51]2. Distributional by deciles o'!C123</f>
        <v>13005899596.96801</v>
      </c>
      <c r="R17" s="131">
        <f t="shared" si="25"/>
        <v>1.0000028244652404</v>
      </c>
      <c r="S17" s="130" t="s">
        <v>113</v>
      </c>
      <c r="T17" s="130" t="s">
        <v>113</v>
      </c>
      <c r="U17" s="130" t="s">
        <v>113</v>
      </c>
      <c r="V17" s="130" t="s">
        <v>113</v>
      </c>
      <c r="W17" s="132">
        <f t="shared" si="11"/>
        <v>2.0186965791648412</v>
      </c>
      <c r="X17" s="132">
        <f t="shared" si="11"/>
        <v>1.0200764701555283</v>
      </c>
      <c r="Y17" s="132">
        <f t="shared" si="0"/>
        <v>1.5448234092192326</v>
      </c>
      <c r="Z17" s="132">
        <f t="shared" si="0"/>
        <v>1.3994008714224129</v>
      </c>
      <c r="AA17" s="132">
        <f t="shared" si="0"/>
        <v>1.2197217789212846</v>
      </c>
      <c r="AB17" s="132">
        <f t="shared" si="12"/>
        <v>1.0543116321034984</v>
      </c>
      <c r="AC17" s="132">
        <f t="shared" si="12"/>
        <v>1.0543116321034984</v>
      </c>
      <c r="AD17" s="130" t="s">
        <v>113</v>
      </c>
      <c r="AE17" s="130" t="s">
        <v>113</v>
      </c>
      <c r="AF17" s="130" t="s">
        <v>113</v>
      </c>
      <c r="AG17" s="130" t="s">
        <v>113</v>
      </c>
      <c r="AH17" s="133">
        <f t="shared" si="1"/>
        <v>1</v>
      </c>
      <c r="AI17" s="134">
        <f t="shared" si="13"/>
        <v>2.007647015552827E-2</v>
      </c>
      <c r="AJ17" s="134">
        <f t="shared" si="2"/>
        <v>0.47387316994560869</v>
      </c>
      <c r="AK17" s="134">
        <f t="shared" si="3"/>
        <v>0.14542253779681968</v>
      </c>
      <c r="AL17" s="134">
        <f t="shared" si="14"/>
        <v>0.17967909250112823</v>
      </c>
      <c r="AM17" s="134">
        <f t="shared" si="15"/>
        <v>0.16541014681778621</v>
      </c>
      <c r="AN17" s="135">
        <f t="shared" si="16"/>
        <v>0</v>
      </c>
      <c r="AO17" s="134">
        <f t="shared" si="17"/>
        <v>3.4235161947970161E-2</v>
      </c>
      <c r="AP17" s="134">
        <f t="shared" si="4"/>
        <v>5.4311632103498431E-2</v>
      </c>
      <c r="AQ17" s="136" t="s">
        <v>113</v>
      </c>
      <c r="AR17" s="137">
        <f t="shared" si="5"/>
        <v>1.9707998010543608</v>
      </c>
      <c r="AS17" s="137">
        <f t="shared" si="5"/>
        <v>46.517597058596635</v>
      </c>
      <c r="AT17" s="137">
        <f t="shared" si="5"/>
        <v>14.275353502810576</v>
      </c>
      <c r="AU17" s="137">
        <f t="shared" si="5"/>
        <v>17.638136435918405</v>
      </c>
      <c r="AV17" s="137">
        <f t="shared" si="5"/>
        <v>16.237430281094547</v>
      </c>
      <c r="AW17" s="138">
        <f t="shared" si="5"/>
        <v>0</v>
      </c>
      <c r="AX17" s="137">
        <f t="shared" si="5"/>
        <v>3.3606829205254818</v>
      </c>
      <c r="AY17" s="137">
        <f t="shared" si="5"/>
        <v>5.3314827215798424</v>
      </c>
      <c r="AZ17" s="139" t="s">
        <v>113</v>
      </c>
      <c r="BA17" s="139" t="s">
        <v>113</v>
      </c>
      <c r="BB17" s="139" t="s">
        <v>113</v>
      </c>
      <c r="BC17" s="139" t="s">
        <v>113</v>
      </c>
      <c r="BD17" s="139" t="s">
        <v>113</v>
      </c>
      <c r="BE17" s="139" t="s">
        <v>113</v>
      </c>
      <c r="BF17" s="139" t="s">
        <v>113</v>
      </c>
      <c r="BG17" s="139" t="s">
        <v>113</v>
      </c>
      <c r="BH17" s="140">
        <f>+'[51]2. Distributional by deciles o'!B141</f>
        <v>8374208005.2144146</v>
      </c>
      <c r="BI17" s="140">
        <f>+'[51]2. Distributional by deciles o'!B159</f>
        <v>3806411919.8004007</v>
      </c>
      <c r="BJ17" s="140">
        <f>+'[51]2. Distributional by deciles o'!B177</f>
        <v>364081573.56599998</v>
      </c>
      <c r="BK17" s="140">
        <f>+'[51]2. Distributional by deciles o'!B195</f>
        <v>332426400.10560018</v>
      </c>
      <c r="BL17" s="141">
        <f t="shared" si="18"/>
        <v>0.65031644254062737</v>
      </c>
      <c r="BM17" s="141">
        <f t="shared" si="6"/>
        <v>0.29559479021627866</v>
      </c>
      <c r="BN17" s="141">
        <f t="shared" si="19"/>
        <v>2.8273507604373457E-2</v>
      </c>
      <c r="BO17" s="141">
        <f t="shared" si="19"/>
        <v>2.5815259638720424E-2</v>
      </c>
      <c r="BP17" s="139" t="s">
        <v>113</v>
      </c>
      <c r="BQ17" s="139" t="s">
        <v>113</v>
      </c>
      <c r="BR17" s="139" t="s">
        <v>113</v>
      </c>
      <c r="BS17" s="131">
        <f t="shared" si="26"/>
        <v>9.2347761815253069</v>
      </c>
      <c r="BT17" s="139"/>
      <c r="BU17" s="139"/>
      <c r="BV17" s="139"/>
      <c r="BW17" s="139"/>
      <c r="BX17" s="139"/>
      <c r="BY17" s="139"/>
      <c r="BZ17" s="139"/>
      <c r="CA17" s="139"/>
      <c r="CB17" s="139"/>
      <c r="CC17" s="142" t="s">
        <v>113</v>
      </c>
      <c r="CD17" s="142" t="s">
        <v>113</v>
      </c>
      <c r="CE17" s="142" t="s">
        <v>113</v>
      </c>
      <c r="CF17" s="142" t="s">
        <v>113</v>
      </c>
      <c r="CG17" s="142" t="s">
        <v>113</v>
      </c>
      <c r="CH17" s="142" t="s">
        <v>113</v>
      </c>
      <c r="CI17" s="142" t="s">
        <v>113</v>
      </c>
      <c r="CJ17" s="142"/>
      <c r="CK17" s="139" t="s">
        <v>113</v>
      </c>
      <c r="CL17" s="139" t="s">
        <v>113</v>
      </c>
      <c r="CM17" s="139" t="s">
        <v>113</v>
      </c>
      <c r="CN17" s="139" t="s">
        <v>113</v>
      </c>
      <c r="CO17" s="139" t="s">
        <v>113</v>
      </c>
      <c r="CP17" s="139" t="s">
        <v>113</v>
      </c>
      <c r="CQ17" s="139" t="s">
        <v>113</v>
      </c>
      <c r="CR17" s="139"/>
      <c r="CS17" s="143" t="s">
        <v>113</v>
      </c>
      <c r="CT17" s="143" t="s">
        <v>113</v>
      </c>
      <c r="CU17" s="143" t="s">
        <v>113</v>
      </c>
      <c r="CV17" s="143" t="s">
        <v>113</v>
      </c>
      <c r="CW17" s="143" t="s">
        <v>113</v>
      </c>
      <c r="CX17" s="143" t="s">
        <v>113</v>
      </c>
      <c r="CY17" s="143" t="s">
        <v>113</v>
      </c>
      <c r="CZ17" s="143"/>
      <c r="DA17" s="139" t="s">
        <v>113</v>
      </c>
      <c r="DB17" s="139" t="s">
        <v>113</v>
      </c>
      <c r="DC17" s="139" t="s">
        <v>113</v>
      </c>
      <c r="DD17" s="144">
        <f t="shared" si="20"/>
        <v>0</v>
      </c>
      <c r="DE17" s="145">
        <f>+'[51]2. Distributional by deciles o'!$I51</f>
        <v>1</v>
      </c>
      <c r="DF17" s="1"/>
      <c r="DG17" s="1"/>
      <c r="DH17" s="1"/>
      <c r="DI17" s="1"/>
      <c r="DJ17" s="1"/>
      <c r="DK17" s="1"/>
      <c r="DL17" s="1"/>
      <c r="DM17" s="1"/>
      <c r="DN17" s="1"/>
      <c r="DO17" s="1"/>
      <c r="DP17" s="1"/>
      <c r="DQ17" s="1"/>
      <c r="DR17" s="1"/>
      <c r="DS17" s="1"/>
      <c r="DT17" s="1"/>
      <c r="DU17" s="1"/>
      <c r="DV17" s="1"/>
      <c r="DW17" s="1"/>
      <c r="DX17" s="1"/>
      <c r="DY17" s="1"/>
      <c r="DZ17" s="1"/>
      <c r="EA17" s="146">
        <f>+'[52]2. Distributional by deciles o'!B105</f>
        <v>2426773825.2395992</v>
      </c>
      <c r="EB17" s="146">
        <f>+'[52]2. Distributional by deciles o'!C105</f>
        <v>2476491577.7123981</v>
      </c>
      <c r="EC17" s="146">
        <f>+'[52]2. Distributional by deciles o'!D105</f>
        <v>2451788154.7919989</v>
      </c>
      <c r="ED17" s="146">
        <f>+'[52]2. Distributional by deciles o'!E105</f>
        <v>2465219160.0432019</v>
      </c>
      <c r="EE17" s="146">
        <f>+'[52]2. Distributional by deciles o'!F105</f>
        <v>2461670554.4220028</v>
      </c>
      <c r="EF17" s="146">
        <f>+'[52]2. Distributional by deciles o'!G105</f>
        <v>2456624505.4548011</v>
      </c>
      <c r="EG17" s="146">
        <f>+'[52]2. Distributional by deciles o'!H105</f>
        <v>2453715064.0560002</v>
      </c>
      <c r="EH17" s="122"/>
      <c r="EI17" s="130" t="s">
        <v>113</v>
      </c>
      <c r="EJ17" s="130" t="s">
        <v>113</v>
      </c>
      <c r="EK17" s="130" t="s">
        <v>113</v>
      </c>
      <c r="EL17" s="130" t="s">
        <v>113</v>
      </c>
      <c r="EM17" s="131">
        <f t="shared" si="7"/>
        <v>7.6592805230498389</v>
      </c>
      <c r="EN17" s="146">
        <f>+'[52]2. Distributional by deciles o'!B123</f>
        <v>14434378937.529594</v>
      </c>
      <c r="EO17" s="146">
        <f>+'[52]2. Distributional by deciles o'!C123</f>
        <v>14578722955.004398</v>
      </c>
      <c r="EP17" s="131">
        <f t="shared" si="8"/>
        <v>1.0000015802516193</v>
      </c>
      <c r="EQ17" s="130" t="s">
        <v>113</v>
      </c>
      <c r="ER17" s="130" t="s">
        <v>113</v>
      </c>
      <c r="ES17" s="130" t="s">
        <v>113</v>
      </c>
      <c r="ET17" s="130" t="s">
        <v>113</v>
      </c>
      <c r="EU17" s="131">
        <f t="shared" si="21"/>
        <v>9.2468367854856872</v>
      </c>
      <c r="EV17" s="132">
        <f t="shared" si="22"/>
        <v>2.0487147747052785</v>
      </c>
      <c r="EW17" s="132">
        <f t="shared" si="23"/>
        <v>1.030763137601322</v>
      </c>
      <c r="EX17" s="132"/>
      <c r="EY17" s="148">
        <f t="shared" si="9"/>
        <v>3.0018195540437276E-2</v>
      </c>
      <c r="EZ17" s="144">
        <f t="shared" si="24"/>
        <v>0</v>
      </c>
      <c r="FA17" s="145">
        <f>+'[52]2. Distributional by deciles o'!I51</f>
        <v>1</v>
      </c>
      <c r="FB17" s="130" t="s">
        <v>113</v>
      </c>
      <c r="FC17" s="130" t="s">
        <v>113</v>
      </c>
      <c r="FD17" s="130" t="s">
        <v>113</v>
      </c>
      <c r="FE17" s="130" t="s">
        <v>113</v>
      </c>
      <c r="FF17" s="130" t="s">
        <v>113</v>
      </c>
      <c r="FG17" s="130" t="s">
        <v>113</v>
      </c>
      <c r="FH17" s="130" t="s">
        <v>113</v>
      </c>
      <c r="FI17" s="130" t="s">
        <v>113</v>
      </c>
      <c r="FJ17" s="1"/>
      <c r="FK17" s="1"/>
      <c r="FL17" s="1"/>
      <c r="FM17" s="1"/>
      <c r="FN17" s="1"/>
      <c r="FO17" s="1"/>
      <c r="FP17" s="1"/>
      <c r="FQ17" s="1"/>
    </row>
    <row r="18" spans="1:173" x14ac:dyDescent="0.3">
      <c r="A18" s="1"/>
      <c r="B18" s="28">
        <v>7</v>
      </c>
      <c r="C18" s="129">
        <f>+'[51]2. Distributional by deciles o'!B106</f>
        <v>2735256413.4816008</v>
      </c>
      <c r="D18" s="129">
        <f>+'[51]2. Distributional by deciles o'!C106</f>
        <v>2787405705.2603965</v>
      </c>
      <c r="E18" s="129">
        <f>+'[51]2. Distributional by deciles o'!D106</f>
        <v>2763507100.7579994</v>
      </c>
      <c r="F18" s="129">
        <f>+'[51]2. Distributional by deciles o'!E106</f>
        <v>2775243992.7360015</v>
      </c>
      <c r="G18" s="129">
        <f>+'[51]2. Distributional by deciles o'!F106</f>
        <v>2771901120.3995981</v>
      </c>
      <c r="H18" s="129">
        <f>+'[51]2. Distributional by deciles o'!G106</f>
        <v>2767513231.2912006</v>
      </c>
      <c r="I18" s="129">
        <f>+'[51]2. Distributional by deciles o'!H106</f>
        <v>2764350592.0883999</v>
      </c>
      <c r="J18" s="122"/>
      <c r="K18" s="130" t="s">
        <v>113</v>
      </c>
      <c r="L18" s="130" t="s">
        <v>113</v>
      </c>
      <c r="M18" s="130" t="s">
        <v>113</v>
      </c>
      <c r="N18" s="130" t="s">
        <v>113</v>
      </c>
      <c r="O18" s="131">
        <f t="shared" si="10"/>
        <v>9.7242191946036041</v>
      </c>
      <c r="P18" s="129">
        <f>+'[51]2. Distributional by deciles o'!B124</f>
        <v>14995619955.769211</v>
      </c>
      <c r="Q18" s="129">
        <f>+'[51]2. Distributional by deciles o'!C124</f>
        <v>15145577174.692818</v>
      </c>
      <c r="R18" s="131">
        <f t="shared" si="25"/>
        <v>1.0000067977577354</v>
      </c>
      <c r="S18" s="130" t="s">
        <v>113</v>
      </c>
      <c r="T18" s="130" t="s">
        <v>113</v>
      </c>
      <c r="U18" s="130" t="s">
        <v>113</v>
      </c>
      <c r="V18" s="130" t="s">
        <v>113</v>
      </c>
      <c r="W18" s="132">
        <f t="shared" si="11"/>
        <v>1.9065465682091418</v>
      </c>
      <c r="X18" s="132">
        <f t="shared" si="11"/>
        <v>1.0328280411713646</v>
      </c>
      <c r="Y18" s="132">
        <f t="shared" si="0"/>
        <v>1.461921713565203</v>
      </c>
      <c r="Z18" s="132">
        <f t="shared" si="0"/>
        <v>1.339708322672662</v>
      </c>
      <c r="AA18" s="132">
        <f t="shared" si="0"/>
        <v>1.1792897506087736</v>
      </c>
      <c r="AB18" s="132">
        <f t="shared" si="12"/>
        <v>1.0636655740780541</v>
      </c>
      <c r="AC18" s="132">
        <f t="shared" si="12"/>
        <v>1.0636655740780541</v>
      </c>
      <c r="AD18" s="130" t="s">
        <v>113</v>
      </c>
      <c r="AE18" s="130" t="s">
        <v>113</v>
      </c>
      <c r="AF18" s="130" t="s">
        <v>113</v>
      </c>
      <c r="AG18" s="130" t="s">
        <v>113</v>
      </c>
      <c r="AH18" s="133">
        <f t="shared" si="1"/>
        <v>1</v>
      </c>
      <c r="AI18" s="134">
        <f t="shared" si="13"/>
        <v>3.2828041171364619E-2</v>
      </c>
      <c r="AJ18" s="134">
        <f t="shared" si="2"/>
        <v>0.44462485464393886</v>
      </c>
      <c r="AK18" s="134">
        <f t="shared" si="3"/>
        <v>0.12221339089254091</v>
      </c>
      <c r="AL18" s="134">
        <f t="shared" si="14"/>
        <v>0.16041857206388843</v>
      </c>
      <c r="AM18" s="134">
        <f t="shared" si="15"/>
        <v>0.11562417653071955</v>
      </c>
      <c r="AN18" s="135">
        <f t="shared" si="16"/>
        <v>0</v>
      </c>
      <c r="AO18" s="134">
        <f t="shared" si="17"/>
        <v>3.0837532906689447E-2</v>
      </c>
      <c r="AP18" s="134">
        <f t="shared" si="4"/>
        <v>6.3665574078054066E-2</v>
      </c>
      <c r="AQ18" s="136" t="s">
        <v>113</v>
      </c>
      <c r="AR18" s="137">
        <f t="shared" si="5"/>
        <v>3.6212195073680022</v>
      </c>
      <c r="AS18" s="137">
        <f t="shared" si="5"/>
        <v>49.04600273566566</v>
      </c>
      <c r="AT18" s="137">
        <f t="shared" si="5"/>
        <v>13.481203854091042</v>
      </c>
      <c r="AU18" s="137">
        <f t="shared" si="5"/>
        <v>17.695568842182148</v>
      </c>
      <c r="AV18" s="137">
        <f t="shared" si="5"/>
        <v>12.75435599068363</v>
      </c>
      <c r="AW18" s="138">
        <f t="shared" si="5"/>
        <v>0</v>
      </c>
      <c r="AX18" s="137">
        <f t="shared" si="5"/>
        <v>3.401649070009515</v>
      </c>
      <c r="AY18" s="137">
        <f t="shared" si="5"/>
        <v>7.0228685773775181</v>
      </c>
      <c r="AZ18" s="139" t="s">
        <v>113</v>
      </c>
      <c r="BA18" s="139" t="s">
        <v>113</v>
      </c>
      <c r="BB18" s="139" t="s">
        <v>113</v>
      </c>
      <c r="BC18" s="139" t="s">
        <v>113</v>
      </c>
      <c r="BD18" s="139" t="s">
        <v>113</v>
      </c>
      <c r="BE18" s="139" t="s">
        <v>113</v>
      </c>
      <c r="BF18" s="139" t="s">
        <v>113</v>
      </c>
      <c r="BG18" s="139" t="s">
        <v>113</v>
      </c>
      <c r="BH18" s="140">
        <f>+'[51]2. Distributional by deciles o'!B142</f>
        <v>10319318093.110798</v>
      </c>
      <c r="BI18" s="140">
        <f>+'[51]2. Distributional by deciles o'!B160</f>
        <v>3687382969.4735942</v>
      </c>
      <c r="BJ18" s="140">
        <f>+'[51]2. Distributional by deciles o'!B178</f>
        <v>503486442.43320012</v>
      </c>
      <c r="BK18" s="140">
        <f>+'[51]2. Distributional by deciles o'!B196</f>
        <v>485432658.36000061</v>
      </c>
      <c r="BL18" s="141">
        <f t="shared" si="18"/>
        <v>0.68815547344368633</v>
      </c>
      <c r="BM18" s="141">
        <f t="shared" si="6"/>
        <v>0.24589733064051236</v>
      </c>
      <c r="BN18" s="141">
        <f t="shared" si="19"/>
        <v>3.3575566528606673E-2</v>
      </c>
      <c r="BO18" s="141">
        <f t="shared" si="19"/>
        <v>3.2371629387194505E-2</v>
      </c>
      <c r="BP18" s="139" t="s">
        <v>113</v>
      </c>
      <c r="BQ18" s="139" t="s">
        <v>113</v>
      </c>
      <c r="BR18" s="139" t="s">
        <v>113</v>
      </c>
      <c r="BS18" s="131">
        <f t="shared" si="26"/>
        <v>10.754043486438251</v>
      </c>
      <c r="BT18" s="139"/>
      <c r="BU18" s="139"/>
      <c r="BV18" s="139"/>
      <c r="BW18" s="139"/>
      <c r="BX18" s="139"/>
      <c r="BY18" s="139"/>
      <c r="BZ18" s="139"/>
      <c r="CA18" s="139"/>
      <c r="CB18" s="139"/>
      <c r="CC18" s="142" t="s">
        <v>113</v>
      </c>
      <c r="CD18" s="142" t="s">
        <v>113</v>
      </c>
      <c r="CE18" s="142" t="s">
        <v>113</v>
      </c>
      <c r="CF18" s="142" t="s">
        <v>113</v>
      </c>
      <c r="CG18" s="142" t="s">
        <v>113</v>
      </c>
      <c r="CH18" s="142" t="s">
        <v>113</v>
      </c>
      <c r="CI18" s="142" t="s">
        <v>113</v>
      </c>
      <c r="CJ18" s="142"/>
      <c r="CK18" s="139" t="s">
        <v>113</v>
      </c>
      <c r="CL18" s="139" t="s">
        <v>113</v>
      </c>
      <c r="CM18" s="139" t="s">
        <v>113</v>
      </c>
      <c r="CN18" s="139" t="s">
        <v>113</v>
      </c>
      <c r="CO18" s="139" t="s">
        <v>113</v>
      </c>
      <c r="CP18" s="139" t="s">
        <v>113</v>
      </c>
      <c r="CQ18" s="139" t="s">
        <v>113</v>
      </c>
      <c r="CR18" s="139"/>
      <c r="CS18" s="143" t="s">
        <v>113</v>
      </c>
      <c r="CT18" s="143" t="s">
        <v>113</v>
      </c>
      <c r="CU18" s="143" t="s">
        <v>113</v>
      </c>
      <c r="CV18" s="143" t="s">
        <v>113</v>
      </c>
      <c r="CW18" s="143" t="s">
        <v>113</v>
      </c>
      <c r="CX18" s="143" t="s">
        <v>113</v>
      </c>
      <c r="CY18" s="143" t="s">
        <v>113</v>
      </c>
      <c r="CZ18" s="143"/>
      <c r="DA18" s="139" t="s">
        <v>113</v>
      </c>
      <c r="DB18" s="139" t="s">
        <v>113</v>
      </c>
      <c r="DC18" s="139" t="s">
        <v>113</v>
      </c>
      <c r="DD18" s="144">
        <f t="shared" si="20"/>
        <v>0</v>
      </c>
      <c r="DE18" s="145">
        <f>+'[51]2. Distributional by deciles o'!$I52</f>
        <v>1</v>
      </c>
      <c r="DF18" s="1"/>
      <c r="DG18" s="1"/>
      <c r="DH18" s="1"/>
      <c r="DI18" s="1"/>
      <c r="DJ18" s="1"/>
      <c r="DK18" s="1"/>
      <c r="DL18" s="1"/>
      <c r="DM18" s="1"/>
      <c r="DN18" s="1"/>
      <c r="DO18" s="1"/>
      <c r="DP18" s="1"/>
      <c r="DQ18" s="1"/>
      <c r="DR18" s="1"/>
      <c r="DS18" s="1"/>
      <c r="DT18" s="1"/>
      <c r="DU18" s="1"/>
      <c r="DV18" s="1"/>
      <c r="DW18" s="1"/>
      <c r="DX18" s="1"/>
      <c r="DY18" s="1"/>
      <c r="DZ18" s="1"/>
      <c r="EA18" s="146">
        <f>+'[52]2. Distributional by deciles o'!B106</f>
        <v>3068705809.0104032</v>
      </c>
      <c r="EB18" s="146">
        <f>+'[52]2. Distributional by deciles o'!C106</f>
        <v>3128231555.6759968</v>
      </c>
      <c r="EC18" s="146">
        <f>+'[52]2. Distributional by deciles o'!D106</f>
        <v>3100483601.3136024</v>
      </c>
      <c r="ED18" s="146">
        <f>+'[52]2. Distributional by deciles o'!E106</f>
        <v>3114364920.2748017</v>
      </c>
      <c r="EE18" s="146">
        <f>+'[52]2. Distributional by deciles o'!F106</f>
        <v>3110116880.6856031</v>
      </c>
      <c r="EF18" s="146">
        <f>+'[52]2. Distributional by deciles o'!G106</f>
        <v>3104453501.9760027</v>
      </c>
      <c r="EG18" s="146">
        <f>+'[52]2. Distributional by deciles o'!H106</f>
        <v>3102436213.9044013</v>
      </c>
      <c r="EH18" s="122"/>
      <c r="EI18" s="130" t="s">
        <v>113</v>
      </c>
      <c r="EJ18" s="130" t="s">
        <v>113</v>
      </c>
      <c r="EK18" s="130" t="s">
        <v>113</v>
      </c>
      <c r="EL18" s="130" t="s">
        <v>113</v>
      </c>
      <c r="EM18" s="131">
        <f t="shared" si="7"/>
        <v>9.6853189981982286</v>
      </c>
      <c r="EN18" s="146">
        <f>+'[52]2. Distributional by deciles o'!B124</f>
        <v>16753202711.753975</v>
      </c>
      <c r="EO18" s="146">
        <f>+'[52]2. Distributional by deciles o'!C124</f>
        <v>16920734516.621979</v>
      </c>
      <c r="EP18" s="131">
        <f t="shared" si="8"/>
        <v>0.99999867339075621</v>
      </c>
      <c r="EQ18" s="130" t="s">
        <v>113</v>
      </c>
      <c r="ER18" s="130" t="s">
        <v>113</v>
      </c>
      <c r="ES18" s="130" t="s">
        <v>113</v>
      </c>
      <c r="ET18" s="130" t="s">
        <v>113</v>
      </c>
      <c r="EU18" s="131">
        <f t="shared" si="21"/>
        <v>10.732303189503099</v>
      </c>
      <c r="EV18" s="132">
        <f t="shared" si="22"/>
        <v>1.9397697054674672</v>
      </c>
      <c r="EW18" s="132">
        <f t="shared" si="23"/>
        <v>1.0355451593522402</v>
      </c>
      <c r="EX18" s="132"/>
      <c r="EY18" s="148">
        <f t="shared" si="9"/>
        <v>3.3223137258325375E-2</v>
      </c>
      <c r="EZ18" s="144">
        <f t="shared" si="24"/>
        <v>0</v>
      </c>
      <c r="FA18" s="145">
        <f>+'[52]2. Distributional by deciles o'!I52</f>
        <v>1</v>
      </c>
      <c r="FB18" s="130" t="s">
        <v>113</v>
      </c>
      <c r="FC18" s="130" t="s">
        <v>113</v>
      </c>
      <c r="FD18" s="130" t="s">
        <v>113</v>
      </c>
      <c r="FE18" s="130" t="s">
        <v>113</v>
      </c>
      <c r="FF18" s="130" t="s">
        <v>113</v>
      </c>
      <c r="FG18" s="130" t="s">
        <v>113</v>
      </c>
      <c r="FH18" s="130" t="s">
        <v>113</v>
      </c>
      <c r="FI18" s="130" t="s">
        <v>113</v>
      </c>
      <c r="FJ18" s="1"/>
      <c r="FK18" s="1"/>
      <c r="FL18" s="1"/>
      <c r="FM18" s="1"/>
      <c r="FN18" s="1"/>
      <c r="FO18" s="1"/>
      <c r="FP18" s="1"/>
      <c r="FQ18" s="1"/>
    </row>
    <row r="19" spans="1:173" x14ac:dyDescent="0.3">
      <c r="A19" s="1"/>
      <c r="B19" s="28">
        <v>8</v>
      </c>
      <c r="C19" s="129">
        <f>+'[51]2. Distributional by deciles o'!B107</f>
        <v>3470485114.8816013</v>
      </c>
      <c r="D19" s="129">
        <f>+'[51]2. Distributional by deciles o'!C107</f>
        <v>3532865114.7851987</v>
      </c>
      <c r="E19" s="129">
        <f>+'[51]2. Distributional by deciles o'!D107</f>
        <v>3506566045.4040041</v>
      </c>
      <c r="F19" s="129">
        <f>+'[51]2. Distributional by deciles o'!E107</f>
        <v>3518073652.0931978</v>
      </c>
      <c r="G19" s="129">
        <f>+'[51]2. Distributional by deciles o'!F107</f>
        <v>3514767829.916398</v>
      </c>
      <c r="H19" s="129">
        <f>+'[51]2. Distributional by deciles o'!G107</f>
        <v>3509739752.3304014</v>
      </c>
      <c r="I19" s="129">
        <f>+'[51]2. Distributional by deciles o'!H107</f>
        <v>3507529545.7920027</v>
      </c>
      <c r="J19" s="122"/>
      <c r="K19" s="130" t="s">
        <v>113</v>
      </c>
      <c r="L19" s="130" t="s">
        <v>113</v>
      </c>
      <c r="M19" s="130" t="s">
        <v>113</v>
      </c>
      <c r="N19" s="130" t="s">
        <v>113</v>
      </c>
      <c r="O19" s="131">
        <f t="shared" si="10"/>
        <v>12.338060081819373</v>
      </c>
      <c r="P19" s="129">
        <f>+'[51]2. Distributional by deciles o'!B125</f>
        <v>17446179191.781578</v>
      </c>
      <c r="Q19" s="129">
        <f>+'[51]2. Distributional by deciles o'!C125</f>
        <v>17620642140.583195</v>
      </c>
      <c r="R19" s="131">
        <f t="shared" si="25"/>
        <v>1.0000066311585343</v>
      </c>
      <c r="S19" s="130" t="s">
        <v>113</v>
      </c>
      <c r="T19" s="130" t="s">
        <v>113</v>
      </c>
      <c r="U19" s="130" t="s">
        <v>113</v>
      </c>
      <c r="V19" s="130" t="s">
        <v>113</v>
      </c>
      <c r="W19" s="132">
        <f t="shared" si="11"/>
        <v>1.7974313155006783</v>
      </c>
      <c r="X19" s="132">
        <f t="shared" si="11"/>
        <v>1.0396440287527318</v>
      </c>
      <c r="Y19" s="132">
        <f t="shared" si="0"/>
        <v>1.3712267902401853</v>
      </c>
      <c r="Z19" s="132">
        <f t="shared" si="0"/>
        <v>1.2759720882004395</v>
      </c>
      <c r="AA19" s="132">
        <f t="shared" si="0"/>
        <v>1.1310919323202819</v>
      </c>
      <c r="AB19" s="132">
        <f t="shared" si="12"/>
        <v>1.0674065451451988</v>
      </c>
      <c r="AC19" s="132">
        <f t="shared" si="12"/>
        <v>1.0674065451451988</v>
      </c>
      <c r="AD19" s="130" t="s">
        <v>113</v>
      </c>
      <c r="AE19" s="130" t="s">
        <v>113</v>
      </c>
      <c r="AF19" s="130" t="s">
        <v>113</v>
      </c>
      <c r="AG19" s="130" t="s">
        <v>113</v>
      </c>
      <c r="AH19" s="133">
        <f t="shared" si="1"/>
        <v>1</v>
      </c>
      <c r="AI19" s="134">
        <f t="shared" si="13"/>
        <v>3.9644028752731764E-2</v>
      </c>
      <c r="AJ19" s="134">
        <f t="shared" si="2"/>
        <v>0.42620452526049291</v>
      </c>
      <c r="AK19" s="134">
        <f t="shared" si="3"/>
        <v>9.5254702039745842E-2</v>
      </c>
      <c r="AL19" s="134">
        <f t="shared" si="14"/>
        <v>0.14488015588015757</v>
      </c>
      <c r="AM19" s="134">
        <f t="shared" si="15"/>
        <v>6.3685387175083097E-2</v>
      </c>
      <c r="AN19" s="135">
        <f t="shared" si="16"/>
        <v>0</v>
      </c>
      <c r="AO19" s="134">
        <f t="shared" si="17"/>
        <v>2.7762516392467074E-2</v>
      </c>
      <c r="AP19" s="134">
        <f t="shared" si="4"/>
        <v>6.7406545145198837E-2</v>
      </c>
      <c r="AQ19" s="136" t="s">
        <v>113</v>
      </c>
      <c r="AR19" s="137">
        <f t="shared" si="5"/>
        <v>4.971466254474934</v>
      </c>
      <c r="AS19" s="137">
        <f t="shared" si="5"/>
        <v>53.447176825868006</v>
      </c>
      <c r="AT19" s="137">
        <f t="shared" si="5"/>
        <v>11.945192042017922</v>
      </c>
      <c r="AU19" s="137">
        <f t="shared" si="5"/>
        <v>18.168355451302105</v>
      </c>
      <c r="AV19" s="137">
        <f t="shared" si="5"/>
        <v>7.9863163055111954</v>
      </c>
      <c r="AW19" s="138">
        <f t="shared" si="5"/>
        <v>0</v>
      </c>
      <c r="AX19" s="137">
        <f t="shared" si="5"/>
        <v>3.4814931208258351</v>
      </c>
      <c r="AY19" s="137">
        <f t="shared" si="5"/>
        <v>8.4529593753007681</v>
      </c>
      <c r="AZ19" s="139" t="s">
        <v>113</v>
      </c>
      <c r="BA19" s="139" t="s">
        <v>113</v>
      </c>
      <c r="BB19" s="139" t="s">
        <v>113</v>
      </c>
      <c r="BC19" s="139" t="s">
        <v>113</v>
      </c>
      <c r="BD19" s="139" t="s">
        <v>113</v>
      </c>
      <c r="BE19" s="139" t="s">
        <v>113</v>
      </c>
      <c r="BF19" s="139" t="s">
        <v>113</v>
      </c>
      <c r="BG19" s="139" t="s">
        <v>113</v>
      </c>
      <c r="BH19" s="140">
        <f>+'[51]2. Distributional by deciles o'!B143</f>
        <v>13060333568.588402</v>
      </c>
      <c r="BI19" s="140">
        <f>+'[51]2. Distributional by deciles o'!B161</f>
        <v>3218635674.2976031</v>
      </c>
      <c r="BJ19" s="140">
        <f>+'[51]2. Distributional by deciles o'!B179</f>
        <v>488046782.28240001</v>
      </c>
      <c r="BK19" s="140">
        <f>+'[51]2. Distributional by deciles o'!B197</f>
        <v>679164522.55319941</v>
      </c>
      <c r="BL19" s="141">
        <f t="shared" si="18"/>
        <v>0.74860703939545237</v>
      </c>
      <c r="BM19" s="141">
        <f t="shared" si="6"/>
        <v>0.18448941678056538</v>
      </c>
      <c r="BN19" s="141">
        <f t="shared" si="19"/>
        <v>2.7974420014020594E-2</v>
      </c>
      <c r="BO19" s="141">
        <f t="shared" si="19"/>
        <v>3.8929123809961684E-2</v>
      </c>
      <c r="BP19" s="139" t="s">
        <v>113</v>
      </c>
      <c r="BQ19" s="139" t="s">
        <v>113</v>
      </c>
      <c r="BR19" s="139" t="s">
        <v>113</v>
      </c>
      <c r="BS19" s="131">
        <f t="shared" si="26"/>
        <v>12.511451360730973</v>
      </c>
      <c r="BT19" s="139"/>
      <c r="BU19" s="139"/>
      <c r="BV19" s="139"/>
      <c r="BW19" s="139"/>
      <c r="BX19" s="139"/>
      <c r="BY19" s="139"/>
      <c r="BZ19" s="139"/>
      <c r="CA19" s="139"/>
      <c r="CB19" s="139"/>
      <c r="CC19" s="142" t="s">
        <v>113</v>
      </c>
      <c r="CD19" s="142" t="s">
        <v>113</v>
      </c>
      <c r="CE19" s="142" t="s">
        <v>113</v>
      </c>
      <c r="CF19" s="142" t="s">
        <v>113</v>
      </c>
      <c r="CG19" s="142" t="s">
        <v>113</v>
      </c>
      <c r="CH19" s="142" t="s">
        <v>113</v>
      </c>
      <c r="CI19" s="142" t="s">
        <v>113</v>
      </c>
      <c r="CJ19" s="142"/>
      <c r="CK19" s="139" t="s">
        <v>113</v>
      </c>
      <c r="CL19" s="139" t="s">
        <v>113</v>
      </c>
      <c r="CM19" s="139" t="s">
        <v>113</v>
      </c>
      <c r="CN19" s="139" t="s">
        <v>113</v>
      </c>
      <c r="CO19" s="139" t="s">
        <v>113</v>
      </c>
      <c r="CP19" s="139" t="s">
        <v>113</v>
      </c>
      <c r="CQ19" s="139" t="s">
        <v>113</v>
      </c>
      <c r="CR19" s="139"/>
      <c r="CS19" s="143" t="s">
        <v>113</v>
      </c>
      <c r="CT19" s="143" t="s">
        <v>113</v>
      </c>
      <c r="CU19" s="143" t="s">
        <v>113</v>
      </c>
      <c r="CV19" s="143" t="s">
        <v>113</v>
      </c>
      <c r="CW19" s="143" t="s">
        <v>113</v>
      </c>
      <c r="CX19" s="143" t="s">
        <v>113</v>
      </c>
      <c r="CY19" s="143" t="s">
        <v>113</v>
      </c>
      <c r="CZ19" s="143"/>
      <c r="DA19" s="139" t="s">
        <v>113</v>
      </c>
      <c r="DB19" s="139" t="s">
        <v>113</v>
      </c>
      <c r="DC19" s="139" t="s">
        <v>113</v>
      </c>
      <c r="DD19" s="144">
        <f t="shared" si="20"/>
        <v>0</v>
      </c>
      <c r="DE19" s="145">
        <f>+'[51]2. Distributional by deciles o'!$I53</f>
        <v>1</v>
      </c>
      <c r="DF19" s="1"/>
      <c r="DG19" s="1"/>
      <c r="DH19" s="1"/>
      <c r="DI19" s="1"/>
      <c r="DJ19" s="1"/>
      <c r="DK19" s="1"/>
      <c r="DL19" s="1"/>
      <c r="DM19" s="1"/>
      <c r="DN19" s="1"/>
      <c r="DO19" s="1"/>
      <c r="DP19" s="1"/>
      <c r="DQ19" s="1"/>
      <c r="DR19" s="1"/>
      <c r="DS19" s="1"/>
      <c r="DT19" s="1"/>
      <c r="DU19" s="1"/>
      <c r="DV19" s="1"/>
      <c r="DW19" s="1"/>
      <c r="DX19" s="1"/>
      <c r="DY19" s="1"/>
      <c r="DZ19" s="1"/>
      <c r="EA19" s="146">
        <f>+'[52]2. Distributional by deciles o'!B107</f>
        <v>3907702971.1944079</v>
      </c>
      <c r="EB19" s="146">
        <f>+'[52]2. Distributional by deciles o'!C107</f>
        <v>3979918791.7427974</v>
      </c>
      <c r="EC19" s="146">
        <f>+'[52]2. Distributional by deciles o'!D107</f>
        <v>3948371082.7103992</v>
      </c>
      <c r="ED19" s="146">
        <f>+'[52]2. Distributional by deciles o'!E107</f>
        <v>3963313542.1116018</v>
      </c>
      <c r="EE19" s="146">
        <f>+'[52]2. Distributional by deciles o'!F107</f>
        <v>3958395331.2023983</v>
      </c>
      <c r="EF19" s="146">
        <f>+'[52]2. Distributional by deciles o'!G107</f>
        <v>3951872984.3495979</v>
      </c>
      <c r="EG19" s="146">
        <f>+'[52]2. Distributional by deciles o'!H107</f>
        <v>3950074482.5567966</v>
      </c>
      <c r="EH19" s="122"/>
      <c r="EI19" s="130" t="s">
        <v>113</v>
      </c>
      <c r="EJ19" s="130" t="s">
        <v>113</v>
      </c>
      <c r="EK19" s="130" t="s">
        <v>113</v>
      </c>
      <c r="EL19" s="130" t="s">
        <v>113</v>
      </c>
      <c r="EM19" s="131">
        <f t="shared" si="7"/>
        <v>12.333326223418556</v>
      </c>
      <c r="EN19" s="146">
        <f>+'[52]2. Distributional by deciles o'!B125</f>
        <v>19544529770.078426</v>
      </c>
      <c r="EO19" s="146">
        <f>+'[52]2. Distributional by deciles o'!C125</f>
        <v>19739976765.973175</v>
      </c>
      <c r="EP19" s="131">
        <f t="shared" si="8"/>
        <v>1.000008688845333</v>
      </c>
      <c r="EQ19" s="130" t="s">
        <v>113</v>
      </c>
      <c r="ER19" s="130" t="s">
        <v>113</v>
      </c>
      <c r="ES19" s="130" t="s">
        <v>113</v>
      </c>
      <c r="ET19" s="130" t="s">
        <v>113</v>
      </c>
      <c r="EU19" s="131">
        <f t="shared" si="21"/>
        <v>12.520460881284853</v>
      </c>
      <c r="EV19" s="132">
        <f t="shared" si="22"/>
        <v>1.8480215516399174</v>
      </c>
      <c r="EW19" s="132">
        <f t="shared" si="23"/>
        <v>1.0407075066839133</v>
      </c>
      <c r="EX19" s="132"/>
      <c r="EY19" s="148">
        <f t="shared" si="9"/>
        <v>5.0590236139239186E-2</v>
      </c>
      <c r="EZ19" s="144">
        <f t="shared" si="24"/>
        <v>0</v>
      </c>
      <c r="FA19" s="145">
        <f>+'[52]2. Distributional by deciles o'!I53</f>
        <v>1</v>
      </c>
      <c r="FB19" s="130" t="s">
        <v>113</v>
      </c>
      <c r="FC19" s="130" t="s">
        <v>113</v>
      </c>
      <c r="FD19" s="130" t="s">
        <v>113</v>
      </c>
      <c r="FE19" s="130" t="s">
        <v>113</v>
      </c>
      <c r="FF19" s="130" t="s">
        <v>113</v>
      </c>
      <c r="FG19" s="130" t="s">
        <v>113</v>
      </c>
      <c r="FH19" s="130" t="s">
        <v>113</v>
      </c>
      <c r="FI19" s="130" t="s">
        <v>113</v>
      </c>
      <c r="FJ19" s="1"/>
      <c r="FK19" s="1"/>
      <c r="FL19" s="1"/>
      <c r="FM19" s="1"/>
      <c r="FN19" s="1"/>
      <c r="FO19" s="1"/>
      <c r="FP19" s="1"/>
      <c r="FQ19" s="1"/>
    </row>
    <row r="20" spans="1:173" x14ac:dyDescent="0.3">
      <c r="A20" s="1"/>
      <c r="B20" s="28">
        <v>9</v>
      </c>
      <c r="C20" s="129">
        <f>+'[51]2. Distributional by deciles o'!B108</f>
        <v>4589044995.7056036</v>
      </c>
      <c r="D20" s="129">
        <f>+'[51]2. Distributional by deciles o'!C108</f>
        <v>4666814833.9332056</v>
      </c>
      <c r="E20" s="129">
        <f>+'[51]2. Distributional by deciles o'!D108</f>
        <v>4636554848.8428068</v>
      </c>
      <c r="F20" s="129">
        <f>+'[51]2. Distributional by deciles o'!E108</f>
        <v>4648137082.7124033</v>
      </c>
      <c r="G20" s="129">
        <f>+'[51]2. Distributional by deciles o'!F108</f>
        <v>4644847052.5908031</v>
      </c>
      <c r="H20" s="129">
        <f>+'[51]2. Distributional by deciles o'!G108</f>
        <v>4639314561.1260014</v>
      </c>
      <c r="I20" s="129">
        <f>+'[51]2. Distributional by deciles o'!H108</f>
        <v>4637621798.1456032</v>
      </c>
      <c r="J20" s="122"/>
      <c r="K20" s="130" t="s">
        <v>113</v>
      </c>
      <c r="L20" s="130" t="s">
        <v>113</v>
      </c>
      <c r="M20" s="130" t="s">
        <v>113</v>
      </c>
      <c r="N20" s="130" t="s">
        <v>113</v>
      </c>
      <c r="O20" s="131">
        <f t="shared" si="10"/>
        <v>16.314696937439511</v>
      </c>
      <c r="P20" s="129">
        <f>+'[51]2. Distributional by deciles o'!B126</f>
        <v>20688384170.528397</v>
      </c>
      <c r="Q20" s="129">
        <f>+'[51]2. Distributional by deciles o'!C126</f>
        <v>20895269517.70797</v>
      </c>
      <c r="R20" s="131">
        <f t="shared" si="25"/>
        <v>1.0000072769061008</v>
      </c>
      <c r="S20" s="130" t="s">
        <v>113</v>
      </c>
      <c r="T20" s="130" t="s">
        <v>113</v>
      </c>
      <c r="U20" s="130" t="s">
        <v>113</v>
      </c>
      <c r="V20" s="130" t="s">
        <v>113</v>
      </c>
      <c r="W20" s="132">
        <f t="shared" si="11"/>
        <v>1.6946722549176536</v>
      </c>
      <c r="X20" s="132">
        <f t="shared" si="11"/>
        <v>1.035280923578608</v>
      </c>
      <c r="Y20" s="132">
        <f t="shared" si="0"/>
        <v>1.2876678493598976</v>
      </c>
      <c r="Z20" s="132">
        <f t="shared" si="0"/>
        <v>1.2159752382913012</v>
      </c>
      <c r="AA20" s="132">
        <f t="shared" si="0"/>
        <v>1.0954174487980388</v>
      </c>
      <c r="AB20" s="132">
        <f t="shared" si="12"/>
        <v>1.0585306746654115</v>
      </c>
      <c r="AC20" s="132">
        <f t="shared" si="12"/>
        <v>1.0585306746654115</v>
      </c>
      <c r="AD20" s="130" t="s">
        <v>113</v>
      </c>
      <c r="AE20" s="130" t="s">
        <v>113</v>
      </c>
      <c r="AF20" s="130" t="s">
        <v>113</v>
      </c>
      <c r="AG20" s="130" t="s">
        <v>113</v>
      </c>
      <c r="AH20" s="133">
        <f t="shared" si="1"/>
        <v>1</v>
      </c>
      <c r="AI20" s="134">
        <f t="shared" si="13"/>
        <v>3.5280923578608014E-2</v>
      </c>
      <c r="AJ20" s="134">
        <f t="shared" si="2"/>
        <v>0.40700440555775597</v>
      </c>
      <c r="AK20" s="134">
        <f t="shared" si="3"/>
        <v>7.1692611068596479E-2</v>
      </c>
      <c r="AL20" s="134">
        <f t="shared" si="14"/>
        <v>0.12055778949326235</v>
      </c>
      <c r="AM20" s="134">
        <f t="shared" si="15"/>
        <v>3.6886774132627309E-2</v>
      </c>
      <c r="AN20" s="135">
        <f t="shared" si="16"/>
        <v>0</v>
      </c>
      <c r="AO20" s="134">
        <f t="shared" si="17"/>
        <v>2.3249751086803494E-2</v>
      </c>
      <c r="AP20" s="134">
        <f t="shared" si="4"/>
        <v>5.8530674665411508E-2</v>
      </c>
      <c r="AQ20" s="136" t="s">
        <v>113</v>
      </c>
      <c r="AR20" s="137">
        <f t="shared" si="5"/>
        <v>5.0787869140952253</v>
      </c>
      <c r="AS20" s="137">
        <f t="shared" si="5"/>
        <v>58.589414313948993</v>
      </c>
      <c r="AT20" s="137">
        <f t="shared" si="5"/>
        <v>10.32035043303909</v>
      </c>
      <c r="AU20" s="137">
        <f t="shared" si="5"/>
        <v>17.354628551784216</v>
      </c>
      <c r="AV20" s="137">
        <f t="shared" si="5"/>
        <v>5.309953560330384</v>
      </c>
      <c r="AW20" s="138">
        <f t="shared" si="5"/>
        <v>0</v>
      </c>
      <c r="AX20" s="137">
        <f t="shared" si="5"/>
        <v>3.3468662268020934</v>
      </c>
      <c r="AY20" s="137">
        <f t="shared" si="5"/>
        <v>8.4256531408973192</v>
      </c>
      <c r="AZ20" s="139" t="s">
        <v>113</v>
      </c>
      <c r="BA20" s="139" t="s">
        <v>113</v>
      </c>
      <c r="BB20" s="139" t="s">
        <v>113</v>
      </c>
      <c r="BC20" s="139" t="s">
        <v>113</v>
      </c>
      <c r="BD20" s="139" t="s">
        <v>113</v>
      </c>
      <c r="BE20" s="139" t="s">
        <v>113</v>
      </c>
      <c r="BF20" s="139" t="s">
        <v>113</v>
      </c>
      <c r="BG20" s="139" t="s">
        <v>113</v>
      </c>
      <c r="BH20" s="140">
        <f>+'[51]2. Distributional by deciles o'!B144</f>
        <v>16124100628.03561</v>
      </c>
      <c r="BI20" s="140">
        <f>+'[51]2. Distributional by deciles o'!B162</f>
        <v>3015928413.7379999</v>
      </c>
      <c r="BJ20" s="140">
        <f>+'[51]2. Distributional by deciles o'!B180</f>
        <v>593848019.03760004</v>
      </c>
      <c r="BK20" s="140">
        <f>+'[51]2. Distributional by deciles o'!B198</f>
        <v>954507337.94759989</v>
      </c>
      <c r="BL20" s="141">
        <f t="shared" si="18"/>
        <v>0.7793794004041692</v>
      </c>
      <c r="BM20" s="141">
        <f t="shared" si="6"/>
        <v>0.14577882717216617</v>
      </c>
      <c r="BN20" s="141">
        <f t="shared" si="19"/>
        <v>2.8704417299652823E-2</v>
      </c>
      <c r="BO20" s="141">
        <f t="shared" si="19"/>
        <v>4.6137355124011764E-2</v>
      </c>
      <c r="BP20" s="139" t="s">
        <v>113</v>
      </c>
      <c r="BQ20" s="139" t="s">
        <v>113</v>
      </c>
      <c r="BR20" s="139" t="s">
        <v>113</v>
      </c>
      <c r="BS20" s="131">
        <f t="shared" si="26"/>
        <v>14.836584528698179</v>
      </c>
      <c r="BT20" s="139"/>
      <c r="BU20" s="139"/>
      <c r="BV20" s="139"/>
      <c r="BW20" s="139"/>
      <c r="BX20" s="139"/>
      <c r="BY20" s="139"/>
      <c r="BZ20" s="139"/>
      <c r="CA20" s="139"/>
      <c r="CB20" s="139"/>
      <c r="CC20" s="142" t="s">
        <v>113</v>
      </c>
      <c r="CD20" s="142" t="s">
        <v>113</v>
      </c>
      <c r="CE20" s="142" t="s">
        <v>113</v>
      </c>
      <c r="CF20" s="142" t="s">
        <v>113</v>
      </c>
      <c r="CG20" s="142" t="s">
        <v>113</v>
      </c>
      <c r="CH20" s="142" t="s">
        <v>113</v>
      </c>
      <c r="CI20" s="142" t="s">
        <v>113</v>
      </c>
      <c r="CJ20" s="142"/>
      <c r="CK20" s="139" t="s">
        <v>113</v>
      </c>
      <c r="CL20" s="139" t="s">
        <v>113</v>
      </c>
      <c r="CM20" s="139" t="s">
        <v>113</v>
      </c>
      <c r="CN20" s="139" t="s">
        <v>113</v>
      </c>
      <c r="CO20" s="139" t="s">
        <v>113</v>
      </c>
      <c r="CP20" s="139" t="s">
        <v>113</v>
      </c>
      <c r="CQ20" s="139" t="s">
        <v>113</v>
      </c>
      <c r="CR20" s="139"/>
      <c r="CS20" s="143" t="s">
        <v>113</v>
      </c>
      <c r="CT20" s="143" t="s">
        <v>113</v>
      </c>
      <c r="CU20" s="143" t="s">
        <v>113</v>
      </c>
      <c r="CV20" s="143" t="s">
        <v>113</v>
      </c>
      <c r="CW20" s="143" t="s">
        <v>113</v>
      </c>
      <c r="CX20" s="143" t="s">
        <v>113</v>
      </c>
      <c r="CY20" s="143" t="s">
        <v>113</v>
      </c>
      <c r="CZ20" s="143"/>
      <c r="DA20" s="139" t="s">
        <v>113</v>
      </c>
      <c r="DB20" s="139" t="s">
        <v>113</v>
      </c>
      <c r="DC20" s="139" t="s">
        <v>113</v>
      </c>
      <c r="DD20" s="144">
        <f t="shared" si="20"/>
        <v>0</v>
      </c>
      <c r="DE20" s="145">
        <f>+'[51]2. Distributional by deciles o'!$I54</f>
        <v>1</v>
      </c>
      <c r="DF20" s="1"/>
      <c r="DG20" s="1"/>
      <c r="DH20" s="1"/>
      <c r="DI20" s="1"/>
      <c r="DJ20" s="1"/>
      <c r="DK20" s="1"/>
      <c r="DL20" s="1"/>
      <c r="DM20" s="1"/>
      <c r="DN20" s="1"/>
      <c r="DO20" s="1"/>
      <c r="DP20" s="1"/>
      <c r="DQ20" s="1"/>
      <c r="DR20" s="1"/>
      <c r="DS20" s="1"/>
      <c r="DT20" s="1"/>
      <c r="DU20" s="1"/>
      <c r="DV20" s="1"/>
      <c r="DW20" s="1"/>
      <c r="DX20" s="1"/>
      <c r="DY20" s="1"/>
      <c r="DZ20" s="1"/>
      <c r="EA20" s="146">
        <f>+'[52]2. Distributional by deciles o'!B108</f>
        <v>5204372221.2624025</v>
      </c>
      <c r="EB20" s="146">
        <f>+'[52]2. Distributional by deciles o'!C108</f>
        <v>5293970472.681591</v>
      </c>
      <c r="EC20" s="146">
        <f>+'[52]2. Distributional by deciles o'!D108</f>
        <v>5258270503.1963997</v>
      </c>
      <c r="ED20" s="146">
        <f>+'[52]2. Distributional by deciles o'!E108</f>
        <v>5273437499.2475939</v>
      </c>
      <c r="EE20" s="146">
        <f>+'[52]2. Distributional by deciles o'!F108</f>
        <v>5268182737.8024015</v>
      </c>
      <c r="EF20" s="146">
        <f>+'[52]2. Distributional by deciles o'!G108</f>
        <v>5261245138.4556007</v>
      </c>
      <c r="EG20" s="146">
        <f>+'[52]2. Distributional by deciles o'!H108</f>
        <v>5259863918.5908012</v>
      </c>
      <c r="EH20" s="122"/>
      <c r="EI20" s="130" t="s">
        <v>113</v>
      </c>
      <c r="EJ20" s="130" t="s">
        <v>113</v>
      </c>
      <c r="EK20" s="130" t="s">
        <v>113</v>
      </c>
      <c r="EL20" s="130" t="s">
        <v>113</v>
      </c>
      <c r="EM20" s="131">
        <f t="shared" si="7"/>
        <v>16.425818662800655</v>
      </c>
      <c r="EN20" s="146">
        <f>+'[52]2. Distributional by deciles o'!B126</f>
        <v>23192275360.296005</v>
      </c>
      <c r="EO20" s="146">
        <f>+'[52]2. Distributional by deciles o'!C126</f>
        <v>23424198920.89798</v>
      </c>
      <c r="EP20" s="131">
        <f t="shared" si="8"/>
        <v>1.0000034796025847</v>
      </c>
      <c r="EQ20" s="130" t="s">
        <v>113</v>
      </c>
      <c r="ER20" s="130" t="s">
        <v>113</v>
      </c>
      <c r="ES20" s="130" t="s">
        <v>113</v>
      </c>
      <c r="ET20" s="130" t="s">
        <v>113</v>
      </c>
      <c r="EU20" s="131">
        <f t="shared" si="21"/>
        <v>14.857250586868814</v>
      </c>
      <c r="EV20" s="132">
        <f t="shared" si="22"/>
        <v>1.7215897680783618</v>
      </c>
      <c r="EW20" s="132">
        <f t="shared" si="23"/>
        <v>1.0356310444100936</v>
      </c>
      <c r="EX20" s="132"/>
      <c r="EY20" s="148">
        <f t="shared" si="9"/>
        <v>2.6917513160708229E-2</v>
      </c>
      <c r="EZ20" s="144">
        <f t="shared" si="24"/>
        <v>0</v>
      </c>
      <c r="FA20" s="145">
        <f>+'[52]2. Distributional by deciles o'!I54</f>
        <v>1</v>
      </c>
      <c r="FB20" s="130" t="s">
        <v>113</v>
      </c>
      <c r="FC20" s="130" t="s">
        <v>113</v>
      </c>
      <c r="FD20" s="130" t="s">
        <v>113</v>
      </c>
      <c r="FE20" s="130" t="s">
        <v>113</v>
      </c>
      <c r="FF20" s="130" t="s">
        <v>113</v>
      </c>
      <c r="FG20" s="130" t="s">
        <v>113</v>
      </c>
      <c r="FH20" s="130" t="s">
        <v>113</v>
      </c>
      <c r="FI20" s="130" t="s">
        <v>113</v>
      </c>
      <c r="FJ20" s="1"/>
      <c r="FK20" s="1"/>
      <c r="FL20" s="1"/>
      <c r="FM20" s="1"/>
      <c r="FN20" s="1"/>
      <c r="FO20" s="1"/>
      <c r="FP20" s="1"/>
      <c r="FQ20" s="1"/>
    </row>
    <row r="21" spans="1:173" x14ac:dyDescent="0.3">
      <c r="A21" s="1"/>
      <c r="B21" s="33">
        <v>10</v>
      </c>
      <c r="C21" s="129">
        <f>+'[51]2. Distributional by deciles o'!B109</f>
        <v>10116078763.033199</v>
      </c>
      <c r="D21" s="129">
        <f>+'[51]2. Distributional by deciles o'!C109</f>
        <v>10260005028.841188</v>
      </c>
      <c r="E21" s="129">
        <f>+'[51]2. Distributional by deciles o'!D109</f>
        <v>10219199296.041597</v>
      </c>
      <c r="F21" s="129">
        <f>+'[51]2. Distributional by deciles o'!E109</f>
        <v>10230503126.707191</v>
      </c>
      <c r="G21" s="129">
        <f>+'[51]2. Distributional by deciles o'!F109</f>
        <v>10227696643.696796</v>
      </c>
      <c r="H21" s="129">
        <f>+'[51]2. Distributional by deciles o'!G109</f>
        <v>10222247902.730385</v>
      </c>
      <c r="I21" s="129">
        <f>+'[51]2. Distributional by deciles o'!H109</f>
        <v>10220417024.569191</v>
      </c>
      <c r="J21" s="122"/>
      <c r="K21" s="130" t="s">
        <v>113</v>
      </c>
      <c r="L21" s="130" t="s">
        <v>113</v>
      </c>
      <c r="M21" s="130" t="s">
        <v>113</v>
      </c>
      <c r="N21" s="130" t="s">
        <v>113</v>
      </c>
      <c r="O21" s="131">
        <f t="shared" si="10"/>
        <v>35.96407517655603</v>
      </c>
      <c r="P21" s="129">
        <f>+'[51]2. Distributional by deciles o'!B127</f>
        <v>35078229023.652023</v>
      </c>
      <c r="Q21" s="129">
        <f>+'[51]2. Distributional by deciles o'!C127</f>
        <v>35429011732.944</v>
      </c>
      <c r="R21" s="131">
        <f t="shared" si="25"/>
        <v>1.0000011946311727</v>
      </c>
      <c r="S21" s="130" t="s">
        <v>113</v>
      </c>
      <c r="T21" s="130" t="s">
        <v>113</v>
      </c>
      <c r="U21" s="130" t="s">
        <v>113</v>
      </c>
      <c r="V21" s="130" t="s">
        <v>113</v>
      </c>
      <c r="W21" s="132">
        <f t="shared" si="11"/>
        <v>1.4227458805019833</v>
      </c>
      <c r="X21" s="132">
        <f t="shared" si="11"/>
        <v>1.019371361503935</v>
      </c>
      <c r="Y21" s="132">
        <f t="shared" si="0"/>
        <v>1.1311124563143953</v>
      </c>
      <c r="Z21" s="132">
        <f t="shared" si="0"/>
        <v>1.1033696942874467</v>
      </c>
      <c r="AA21" s="132">
        <f t="shared" si="0"/>
        <v>1.0495075745390847</v>
      </c>
      <c r="AB21" s="132">
        <f t="shared" si="12"/>
        <v>1.0314089019520065</v>
      </c>
      <c r="AC21" s="132">
        <f t="shared" si="12"/>
        <v>1.0314089019520065</v>
      </c>
      <c r="AD21" s="130" t="s">
        <v>113</v>
      </c>
      <c r="AE21" s="130" t="s">
        <v>113</v>
      </c>
      <c r="AF21" s="130" t="s">
        <v>113</v>
      </c>
      <c r="AG21" s="130" t="s">
        <v>113</v>
      </c>
      <c r="AH21" s="133">
        <f t="shared" si="1"/>
        <v>1</v>
      </c>
      <c r="AI21" s="134">
        <f t="shared" si="13"/>
        <v>1.9371361503935036E-2</v>
      </c>
      <c r="AJ21" s="134">
        <f t="shared" si="2"/>
        <v>0.29163342418758798</v>
      </c>
      <c r="AK21" s="134">
        <f>IF(W21&gt;1,MAX(MIN(Y21-Z21,W21-AH21-AJ21),0),0)</f>
        <v>2.7742762026948586E-2</v>
      </c>
      <c r="AL21" s="134">
        <f t="shared" si="14"/>
        <v>5.386211974836197E-2</v>
      </c>
      <c r="AM21" s="134">
        <f t="shared" si="15"/>
        <v>1.8098672587078202E-2</v>
      </c>
      <c r="AN21" s="135">
        <f t="shared" si="16"/>
        <v>0</v>
      </c>
      <c r="AO21" s="134">
        <f t="shared" si="17"/>
        <v>1.2037540448071482E-2</v>
      </c>
      <c r="AP21" s="134">
        <f t="shared" si="4"/>
        <v>3.1408901952006518E-2</v>
      </c>
      <c r="AQ21" s="136" t="s">
        <v>113</v>
      </c>
      <c r="AR21" s="137">
        <f t="shared" si="5"/>
        <v>4.5822709096379137</v>
      </c>
      <c r="AS21" s="137">
        <f t="shared" si="5"/>
        <v>68.985515326912761</v>
      </c>
      <c r="AT21" s="137">
        <f t="shared" si="5"/>
        <v>6.5625150489948849</v>
      </c>
      <c r="AU21" s="137">
        <f t="shared" si="5"/>
        <v>12.741015875637677</v>
      </c>
      <c r="AV21" s="137">
        <f t="shared" si="5"/>
        <v>4.2812179661188425</v>
      </c>
      <c r="AW21" s="138">
        <f t="shared" si="5"/>
        <v>0</v>
      </c>
      <c r="AX21" s="137">
        <f t="shared" si="5"/>
        <v>2.8474648726979161</v>
      </c>
      <c r="AY21" s="137">
        <f t="shared" si="5"/>
        <v>7.4297357823358308</v>
      </c>
      <c r="AZ21" s="139" t="s">
        <v>113</v>
      </c>
      <c r="BA21" s="139" t="s">
        <v>113</v>
      </c>
      <c r="BB21" s="139" t="s">
        <v>113</v>
      </c>
      <c r="BC21" s="139" t="s">
        <v>113</v>
      </c>
      <c r="BD21" s="139" t="s">
        <v>113</v>
      </c>
      <c r="BE21" s="139" t="s">
        <v>113</v>
      </c>
      <c r="BF21" s="139" t="s">
        <v>113</v>
      </c>
      <c r="BG21" s="139" t="s">
        <v>113</v>
      </c>
      <c r="BH21" s="140">
        <f>+'[51]2. Distributional by deciles o'!B145</f>
        <v>25317620057.643593</v>
      </c>
      <c r="BI21" s="140">
        <f>+'[51]2. Distributional by deciles o'!B163</f>
        <v>4210072156.3475976</v>
      </c>
      <c r="BJ21" s="140">
        <f>+'[51]2. Distributional by deciles o'!B181</f>
        <v>1423416272.4215996</v>
      </c>
      <c r="BK21" s="140">
        <f>+'[51]2. Distributional by deciles o'!B199</f>
        <v>4127121424.3572021</v>
      </c>
      <c r="BL21" s="141">
        <f t="shared" si="18"/>
        <v>0.72174736644480386</v>
      </c>
      <c r="BM21" s="141">
        <f t="shared" si="6"/>
        <v>0.12001951543897567</v>
      </c>
      <c r="BN21" s="141">
        <f t="shared" si="19"/>
        <v>4.0578338075849464E-2</v>
      </c>
      <c r="BO21" s="141">
        <f t="shared" si="19"/>
        <v>0.11765478004037086</v>
      </c>
      <c r="BP21" s="139" t="s">
        <v>113</v>
      </c>
      <c r="BQ21" s="139" t="s">
        <v>113</v>
      </c>
      <c r="BR21" s="139" t="s">
        <v>113</v>
      </c>
      <c r="BS21" s="131">
        <f t="shared" si="26"/>
        <v>25.156199040804765</v>
      </c>
      <c r="BT21" s="139"/>
      <c r="BU21" s="139"/>
      <c r="BV21" s="139"/>
      <c r="BW21" s="139"/>
      <c r="BX21" s="139"/>
      <c r="BY21" s="139"/>
      <c r="BZ21" s="139"/>
      <c r="CA21" s="139"/>
      <c r="CB21" s="139"/>
      <c r="CC21" s="142" t="s">
        <v>113</v>
      </c>
      <c r="CD21" s="142" t="s">
        <v>113</v>
      </c>
      <c r="CE21" s="142" t="s">
        <v>113</v>
      </c>
      <c r="CF21" s="142" t="s">
        <v>113</v>
      </c>
      <c r="CG21" s="142" t="s">
        <v>113</v>
      </c>
      <c r="CH21" s="142" t="s">
        <v>113</v>
      </c>
      <c r="CI21" s="142" t="s">
        <v>113</v>
      </c>
      <c r="CJ21" s="142"/>
      <c r="CK21" s="139" t="s">
        <v>113</v>
      </c>
      <c r="CL21" s="139" t="s">
        <v>113</v>
      </c>
      <c r="CM21" s="139" t="s">
        <v>113</v>
      </c>
      <c r="CN21" s="139" t="s">
        <v>113</v>
      </c>
      <c r="CO21" s="139" t="s">
        <v>113</v>
      </c>
      <c r="CP21" s="139" t="s">
        <v>113</v>
      </c>
      <c r="CQ21" s="139" t="s">
        <v>113</v>
      </c>
      <c r="CR21" s="139"/>
      <c r="CS21" s="143" t="s">
        <v>113</v>
      </c>
      <c r="CT21" s="143" t="s">
        <v>113</v>
      </c>
      <c r="CU21" s="143" t="s">
        <v>113</v>
      </c>
      <c r="CV21" s="143" t="s">
        <v>113</v>
      </c>
      <c r="CW21" s="143" t="s">
        <v>113</v>
      </c>
      <c r="CX21" s="143" t="s">
        <v>113</v>
      </c>
      <c r="CY21" s="143" t="s">
        <v>113</v>
      </c>
      <c r="CZ21" s="143"/>
      <c r="DA21" s="139" t="s">
        <v>113</v>
      </c>
      <c r="DB21" s="139" t="s">
        <v>113</v>
      </c>
      <c r="DC21" s="139" t="s">
        <v>113</v>
      </c>
      <c r="DD21" s="144">
        <f t="shared" si="20"/>
        <v>0</v>
      </c>
      <c r="DE21" s="145">
        <f>+'[51]2. Distributional by deciles o'!$I55</f>
        <v>1</v>
      </c>
      <c r="DF21" s="1"/>
      <c r="DG21" s="1"/>
      <c r="DH21" s="1"/>
      <c r="DI21" s="1"/>
      <c r="DJ21" s="1"/>
      <c r="DK21" s="1"/>
      <c r="DL21" s="1"/>
      <c r="DM21" s="1"/>
      <c r="DN21" s="1"/>
      <c r="DO21" s="1"/>
      <c r="DP21" s="1"/>
      <c r="DQ21" s="1"/>
      <c r="DR21" s="1"/>
      <c r="DS21" s="1"/>
      <c r="DT21" s="1"/>
      <c r="DU21" s="1"/>
      <c r="DV21" s="1"/>
      <c r="DW21" s="1"/>
      <c r="DX21" s="1"/>
      <c r="DY21" s="1"/>
      <c r="DZ21" s="1"/>
      <c r="EA21" s="146">
        <f>+'[52]2. Distributional by deciles o'!B109</f>
        <v>11492614602.621601</v>
      </c>
      <c r="EB21" s="146">
        <f>+'[52]2. Distributional by deciles o'!C109</f>
        <v>11656689162.331196</v>
      </c>
      <c r="EC21" s="146">
        <f>+'[52]2. Distributional by deciles o'!D109</f>
        <v>11610002087.377193</v>
      </c>
      <c r="ED21" s="146">
        <f>+'[52]2. Distributional by deciles o'!E109</f>
        <v>11623759678.813198</v>
      </c>
      <c r="EE21" s="146">
        <f>+'[52]2. Distributional by deciles o'!F109</f>
        <v>11619205696.03318</v>
      </c>
      <c r="EF21" s="146">
        <f>+'[52]2. Distributional by deciles o'!G109</f>
        <v>11613124458.400793</v>
      </c>
      <c r="EG21" s="146">
        <f>+'[52]2. Distributional by deciles o'!H109</f>
        <v>11611553954.157593</v>
      </c>
      <c r="EH21" s="122"/>
      <c r="EI21" s="130" t="s">
        <v>113</v>
      </c>
      <c r="EJ21" s="130" t="s">
        <v>113</v>
      </c>
      <c r="EK21" s="130" t="s">
        <v>113</v>
      </c>
      <c r="EL21" s="130" t="s">
        <v>113</v>
      </c>
      <c r="EM21" s="131">
        <f t="shared" si="7"/>
        <v>36.272502311206075</v>
      </c>
      <c r="EN21" s="146">
        <f>+'[52]2. Distributional by deciles o'!B127</f>
        <v>39306343828.348862</v>
      </c>
      <c r="EO21" s="146">
        <f>+'[52]2. Distributional by deciles o'!C127</f>
        <v>39699407549.514008</v>
      </c>
      <c r="EP21" s="131">
        <f t="shared" si="8"/>
        <v>1.0000007196844907</v>
      </c>
      <c r="EQ21" s="130" t="s">
        <v>113</v>
      </c>
      <c r="ER21" s="130" t="s">
        <v>113</v>
      </c>
      <c r="ES21" s="130" t="s">
        <v>113</v>
      </c>
      <c r="ET21" s="130" t="s">
        <v>113</v>
      </c>
      <c r="EU21" s="131">
        <f t="shared" si="21"/>
        <v>25.180116691402983</v>
      </c>
      <c r="EV21" s="132">
        <f t="shared" si="22"/>
        <v>1.4276511246651955</v>
      </c>
      <c r="EW21" s="132">
        <f t="shared" si="23"/>
        <v>1.0214159643613518</v>
      </c>
      <c r="EX21" s="132"/>
      <c r="EY21" s="148">
        <f t="shared" si="9"/>
        <v>4.9052441632122523E-3</v>
      </c>
      <c r="EZ21" s="144">
        <f t="shared" si="24"/>
        <v>0</v>
      </c>
      <c r="FA21" s="145">
        <f>+'[52]2. Distributional by deciles o'!I55</f>
        <v>1</v>
      </c>
      <c r="FB21" s="130" t="s">
        <v>113</v>
      </c>
      <c r="FC21" s="130" t="s">
        <v>113</v>
      </c>
      <c r="FD21" s="130" t="s">
        <v>113</v>
      </c>
      <c r="FE21" s="130" t="s">
        <v>113</v>
      </c>
      <c r="FF21" s="130" t="s">
        <v>113</v>
      </c>
      <c r="FG21" s="130" t="s">
        <v>113</v>
      </c>
      <c r="FH21" s="130" t="s">
        <v>113</v>
      </c>
      <c r="FI21" s="130" t="s">
        <v>113</v>
      </c>
      <c r="FJ21" s="1"/>
      <c r="FK21" s="1"/>
      <c r="FL21" s="1"/>
      <c r="FM21" s="1"/>
      <c r="FN21" s="1"/>
      <c r="FO21" s="1"/>
      <c r="FP21" s="1"/>
      <c r="FQ21" s="1"/>
    </row>
    <row r="22" spans="1:173" ht="13.2" customHeight="1" x14ac:dyDescent="0.3">
      <c r="A22" s="1"/>
      <c r="B22" s="34" t="s">
        <v>114</v>
      </c>
      <c r="C22" s="150">
        <f>+'[51]2. Distributional by deciles o'!B110</f>
        <v>28128288335.988091</v>
      </c>
      <c r="D22" s="150">
        <f>+'[51]2. Distributional by deciles o'!C110</f>
        <v>28618386575.63282</v>
      </c>
      <c r="E22" s="150">
        <f>+'[51]2. Distributional by deciles o'!D110</f>
        <v>28410216068.059113</v>
      </c>
      <c r="F22" s="150">
        <f>+'[51]2. Distributional by deciles o'!E110</f>
        <v>28518758179.429237</v>
      </c>
      <c r="G22" s="150">
        <f>+'[51]2. Distributional by deciles o'!F110</f>
        <v>28487256504.070736</v>
      </c>
      <c r="H22" s="150">
        <f>+'[51]2. Distributional by deciles o'!G110</f>
        <v>28455027478.723103</v>
      </c>
      <c r="I22" s="150">
        <f>+'[51]2. Distributional by deciles o'!H110</f>
        <v>28417093154.803223</v>
      </c>
      <c r="J22" s="122"/>
      <c r="K22" s="150">
        <f>+'[53]1. Fiscal'!D126</f>
        <v>28451406756.160789</v>
      </c>
      <c r="L22" s="150">
        <f>+'[53]1. Fiscal'!E126</f>
        <v>28260739843.155571</v>
      </c>
      <c r="M22" s="150">
        <f>+'[53]1. Fiscal'!F126</f>
        <v>28139179828.304546</v>
      </c>
      <c r="N22" s="150">
        <f>+'[53]1. Fiscal'!G126</f>
        <v>28151942153.554932</v>
      </c>
      <c r="O22" s="152" t="s">
        <v>113</v>
      </c>
      <c r="P22" s="129">
        <f>+'[51]2. Distributional by deciles o'!B128</f>
        <v>139441689767.01593</v>
      </c>
      <c r="Q22" s="129">
        <f>+'[51]2. Distributional by deciles o'!C128</f>
        <v>140836117443.07147</v>
      </c>
      <c r="R22" s="153">
        <f>(Q22/P22-1)*100</f>
        <v>1.0000077296721033</v>
      </c>
      <c r="S22" s="150">
        <f>+'[53]1. Fiscal'!D131</f>
        <v>140352212984.80853</v>
      </c>
      <c r="T22" s="150">
        <f>+'[53]1. Fiscal'!E131</f>
        <v>139806426321.13171</v>
      </c>
      <c r="U22" s="150">
        <f>+'[53]1. Fiscal'!F131</f>
        <v>139486455061.50873</v>
      </c>
      <c r="V22" s="150">
        <f>+'[53]1. Fiscal'!G131</f>
        <v>139516103015.95776</v>
      </c>
      <c r="W22" s="154">
        <f t="shared" si="11"/>
        <v>1.7423543356823485</v>
      </c>
      <c r="X22" s="154">
        <f t="shared" si="11"/>
        <v>1.0022847800455659</v>
      </c>
      <c r="Y22" s="154">
        <f t="shared" si="0"/>
        <v>1.3881641875842357</v>
      </c>
      <c r="Z22" s="154">
        <f t="shared" si="0"/>
        <v>1.2761721904655963</v>
      </c>
      <c r="AA22" s="154">
        <f t="shared" si="0"/>
        <v>1.1615943823715058</v>
      </c>
      <c r="AB22" s="154">
        <f t="shared" si="12"/>
        <v>1.0267335964994868</v>
      </c>
      <c r="AC22" s="154">
        <f t="shared" si="12"/>
        <v>1.0267335964994868</v>
      </c>
      <c r="AD22" s="155">
        <f>(K22/$C22-1) / (S22/$P22-1)</f>
        <v>1.7592194742378242</v>
      </c>
      <c r="AE22" s="155">
        <f>(L22/$C22-1) / (T22/$P22-1)</f>
        <v>1.8002256504988021</v>
      </c>
      <c r="AF22" s="155">
        <f>(M22/$C22-1) / (U22/$P22-1)</f>
        <v>1.2061332089795913</v>
      </c>
      <c r="AG22" s="155">
        <f>(N22/$C22-1) / (V22/$P22-1)</f>
        <v>1.5757971404149997</v>
      </c>
      <c r="AH22" s="156">
        <f t="shared" si="1"/>
        <v>1</v>
      </c>
      <c r="AI22" s="155">
        <f t="shared" si="13"/>
        <v>2.2847800455658707E-3</v>
      </c>
      <c r="AJ22" s="155">
        <f t="shared" si="2"/>
        <v>0.35419014809811289</v>
      </c>
      <c r="AK22" s="155">
        <f>IF(W22&gt;1,MAX(MIN(Y22-Z22,W22-AH22-AJ22),0),0)</f>
        <v>0.11199199711863939</v>
      </c>
      <c r="AL22" s="155">
        <f t="shared" si="14"/>
        <v>0.11457780809409046</v>
      </c>
      <c r="AM22" s="155">
        <f t="shared" si="15"/>
        <v>0.134860785872019</v>
      </c>
      <c r="AN22" s="157">
        <f t="shared" si="16"/>
        <v>0</v>
      </c>
      <c r="AO22" s="155">
        <f t="shared" si="17"/>
        <v>2.4448816453920941E-2</v>
      </c>
      <c r="AP22" s="155">
        <f>AI22+AO22</f>
        <v>2.6733596499486811E-2</v>
      </c>
      <c r="AQ22" s="136" t="s">
        <v>113</v>
      </c>
      <c r="AR22" s="137">
        <f>AI22/($W22-1)*100</f>
        <v>0.30777486380082542</v>
      </c>
      <c r="AS22" s="137">
        <f t="shared" si="5"/>
        <v>47.71173697969347</v>
      </c>
      <c r="AT22" s="137">
        <f t="shared" si="5"/>
        <v>15.086056851233973</v>
      </c>
      <c r="AU22" s="137">
        <f t="shared" si="5"/>
        <v>15.434382556515169</v>
      </c>
      <c r="AV22" s="137">
        <f t="shared" si="5"/>
        <v>18.166632750660671</v>
      </c>
      <c r="AW22" s="138">
        <f t="shared" si="5"/>
        <v>0</v>
      </c>
      <c r="AX22" s="137">
        <f t="shared" si="5"/>
        <v>3.2934159980958908</v>
      </c>
      <c r="AY22" s="137">
        <f t="shared" si="5"/>
        <v>3.6011908618967166</v>
      </c>
      <c r="AZ22" s="158">
        <v>1.48</v>
      </c>
      <c r="BA22" s="158">
        <v>1.5</v>
      </c>
      <c r="BB22" s="158">
        <v>1.43</v>
      </c>
      <c r="BC22" s="158">
        <v>1.32</v>
      </c>
      <c r="BD22" s="159">
        <f>W22-AZ22</f>
        <v>0.26235433568234856</v>
      </c>
      <c r="BE22" s="159">
        <f>AD22-BA22</f>
        <v>0.25921947423782421</v>
      </c>
      <c r="BF22" s="159">
        <f>AF22-BB22</f>
        <v>-0.22386679102040863</v>
      </c>
      <c r="BG22" s="159">
        <f>AG22-BC22</f>
        <v>0.25579714041499968</v>
      </c>
      <c r="BH22" s="140">
        <f>+'[51]2. Distributional by deciles o'!B146</f>
        <v>91051367445.393738</v>
      </c>
      <c r="BI22" s="140">
        <f>+'[51]2. Distributional by deciles o'!B164</f>
        <v>36472746118.450775</v>
      </c>
      <c r="BJ22" s="140">
        <f>+'[51]2. Distributional by deciles o'!B182</f>
        <v>4476492259.965601</v>
      </c>
      <c r="BK22" s="140">
        <f>+'[51]2. Distributional by deciles o'!B200</f>
        <v>7441087632.2208166</v>
      </c>
      <c r="BL22" s="141">
        <f t="shared" si="18"/>
        <v>0.65297089549550147</v>
      </c>
      <c r="BM22" s="141">
        <f t="shared" si="6"/>
        <v>0.26156270204758691</v>
      </c>
      <c r="BN22" s="141">
        <f t="shared" si="19"/>
        <v>3.210296826592355E-2</v>
      </c>
      <c r="BO22" s="141">
        <f t="shared" si="19"/>
        <v>5.3363434190987907E-2</v>
      </c>
      <c r="BP22" s="159">
        <f>(AD22*BL22+AF22*BN22+AG22*BO22)/(BL22+BN22+BO22)</f>
        <v>1.7219194129619515</v>
      </c>
      <c r="BQ22" s="159">
        <f>W22-BP22</f>
        <v>2.0434922720397042E-2</v>
      </c>
      <c r="BR22" s="159">
        <f>BP22-AZ22</f>
        <v>0.24191941296195152</v>
      </c>
      <c r="BS22" s="152" t="s">
        <v>113</v>
      </c>
      <c r="BT22" s="161"/>
      <c r="BU22" s="161"/>
      <c r="BV22" s="161"/>
      <c r="BW22" s="161"/>
      <c r="BX22" s="162"/>
      <c r="BY22" s="162"/>
      <c r="BZ22" s="163"/>
      <c r="CA22" s="164"/>
      <c r="CB22" s="165"/>
      <c r="CC22" s="166"/>
      <c r="CD22" s="166"/>
      <c r="CE22" s="166"/>
      <c r="CF22" s="166"/>
      <c r="CG22" s="167"/>
      <c r="CH22" s="167"/>
      <c r="CI22" s="168"/>
      <c r="CJ22" s="169"/>
      <c r="CK22" s="161">
        <f>+'[51]3. Inequality and Poverty'!$B$7</f>
        <v>0.34716603282854602</v>
      </c>
      <c r="CL22" s="161">
        <f>+'[51]3. Inequality and Poverty'!$B$8</f>
        <v>0.32923022016174802</v>
      </c>
      <c r="CM22" s="161">
        <f>+'[51]3. Inequality and Poverty'!$C$7</f>
        <v>0.34716600216839799</v>
      </c>
      <c r="CN22" s="161">
        <f>+'[51]3. Inequality and Poverty'!$C$8</f>
        <v>0.32905790136185797</v>
      </c>
      <c r="CO22" s="162">
        <f t="shared" ref="CO22" si="27">(CK22-CL22)/CK22</f>
        <v>5.1663500949863703E-2</v>
      </c>
      <c r="CP22" s="162">
        <f>(CM22-CN22)/CM22</f>
        <v>5.2159775707980804E-2</v>
      </c>
      <c r="CQ22" s="163">
        <f>(CP22-CO22)*100</f>
        <v>4.9627475811710176E-2</v>
      </c>
      <c r="CR22" s="165">
        <f>CN22-CL22</f>
        <v>-1.7231879989004772E-4</v>
      </c>
      <c r="CS22" s="170">
        <f>(SUM(P20:P21))/(SUM(P12:P13))</f>
        <v>6.4714749276033015</v>
      </c>
      <c r="CT22" s="170">
        <f>(SUM(P20:P21)-SUM(C20:C21))/(SUM(P12:P13)-SUM(C12:C13))</f>
        <v>5.2404409791905167</v>
      </c>
      <c r="CU22" s="170">
        <f>(SUM(Q20:Q21))/(SUM(Q12:Q13))</f>
        <v>6.4714723793768085</v>
      </c>
      <c r="CV22" s="170">
        <f>(SUM(Q20:Q21)-SUM(D20:D21))/(SUM(Q12:Q13)-SUM(D12:D13))</f>
        <v>5.237997532895962</v>
      </c>
      <c r="CW22" s="162">
        <f>(CS22-CT22)/CS22</f>
        <v>0.1902246338252748</v>
      </c>
      <c r="CX22" s="162">
        <f>(CU22-CV22)/CU22</f>
        <v>0.19060188689233468</v>
      </c>
      <c r="CY22" s="163">
        <f>(CX22-CW22)*100</f>
        <v>3.7725306705987949E-2</v>
      </c>
      <c r="CZ22" s="165">
        <f>CV22-CT22</f>
        <v>-2.4434462945546187E-3</v>
      </c>
      <c r="DA22" s="171">
        <f>+'[51]3. Inequality and Poverty'!$B$34</f>
        <v>0.39006948599399299</v>
      </c>
      <c r="DB22" s="171">
        <f>+'[51]3. Inequality and Poverty'!$C$34</f>
        <v>0.38648867496135297</v>
      </c>
      <c r="DC22" s="172">
        <f>DB22-DA22</f>
        <v>-3.5808110326400189E-3</v>
      </c>
      <c r="DD22" s="144">
        <f t="shared" si="20"/>
        <v>4.0332719907852699</v>
      </c>
      <c r="DE22" s="145">
        <f>+'[51]2. Distributional by deciles o'!$I56</f>
        <v>0.9596672800921473</v>
      </c>
      <c r="DF22" s="1"/>
      <c r="DG22" s="1"/>
      <c r="DH22" s="1"/>
      <c r="DI22" s="1"/>
      <c r="DJ22" s="1"/>
      <c r="DK22" s="1"/>
      <c r="DL22" s="1"/>
      <c r="DM22" s="1"/>
      <c r="DN22" s="1"/>
      <c r="DO22" s="1"/>
      <c r="DP22" s="1"/>
      <c r="DQ22" s="1"/>
      <c r="DR22" s="1"/>
      <c r="DS22" s="1"/>
      <c r="DT22" s="1"/>
      <c r="DU22" s="1"/>
      <c r="DV22" s="1"/>
      <c r="DW22" s="1"/>
      <c r="DX22" s="1"/>
      <c r="DY22" s="1"/>
      <c r="DZ22" s="1"/>
      <c r="EA22" s="146">
        <f>+'[52]2. Distributional by deciles o'!B110</f>
        <v>31684096410.054005</v>
      </c>
      <c r="EB22" s="146">
        <f>+'[52]2. Distributional by deciles o'!C110</f>
        <v>32249712798.661274</v>
      </c>
      <c r="EC22" s="146">
        <f>+'[52]2. Distributional by deciles o'!D110</f>
        <v>32005086159.440311</v>
      </c>
      <c r="ED22" s="146">
        <f>+'[52]2. Distributional by deciles o'!E110</f>
        <v>32137716544.646515</v>
      </c>
      <c r="EE22" s="146">
        <f>+'[52]2. Distributional by deciles o'!F110</f>
        <v>32107742339.443279</v>
      </c>
      <c r="EF22" s="146">
        <f>+'[52]2. Distributional by deciles o'!G110</f>
        <v>32067076164.036018</v>
      </c>
      <c r="EG22" s="146">
        <f>+'[52]2. Distributional by deciles o'!H110</f>
        <v>32027576805.27597</v>
      </c>
      <c r="EH22" s="123"/>
      <c r="EI22" s="151">
        <f>+'[54]1. Fiscal'!D128</f>
        <v>32056984286.46489</v>
      </c>
      <c r="EJ22" s="151">
        <f>+'[54]1. Fiscal'!E128</f>
        <v>31837563912.267723</v>
      </c>
      <c r="EK22" s="151">
        <f>+'[54]1. Fiscal'!F128</f>
        <v>31696418800.706383</v>
      </c>
      <c r="EL22" s="151">
        <f>+'[54]1. Fiscal'!G128</f>
        <v>31710894337.323589</v>
      </c>
      <c r="EM22" s="152" t="s">
        <v>113</v>
      </c>
      <c r="EN22" s="146">
        <f>+'[52]2. Distributional by deciles o'!B128</f>
        <v>156100721494.14966</v>
      </c>
      <c r="EO22" s="146">
        <f>+'[52]2. Distributional by deciles o'!C128</f>
        <v>157661730666.19174</v>
      </c>
      <c r="EP22" s="153">
        <f>(EO22/EN22-1)*100</f>
        <v>1.0000012537421776</v>
      </c>
      <c r="EQ22" s="151">
        <f>+'[54]1. Fiscal'!D133</f>
        <v>157122552446.88745</v>
      </c>
      <c r="ER22" s="151">
        <f>+'[54]1. Fiscal'!E133</f>
        <v>156506036174.49057</v>
      </c>
      <c r="ES22" s="151">
        <f>+'[54]1. Fiscal'!F133</f>
        <v>156150822177.76556</v>
      </c>
      <c r="ET22" s="151">
        <f>+'[54]1. Fiscal'!G133</f>
        <v>156184485682.772</v>
      </c>
      <c r="EU22" s="152" t="s">
        <v>113</v>
      </c>
      <c r="EV22" s="154">
        <f t="shared" si="22"/>
        <v>1.7851721953842885</v>
      </c>
      <c r="EW22" s="154">
        <f t="shared" si="23"/>
        <v>1.0130929498326091</v>
      </c>
      <c r="EX22" s="174">
        <f>EW22-X22</f>
        <v>1.0808169787043242E-2</v>
      </c>
      <c r="EY22" s="175">
        <f t="shared" si="9"/>
        <v>4.2817859701939964E-2</v>
      </c>
      <c r="EZ22" s="144">
        <f t="shared" si="24"/>
        <v>5.2260959796932234</v>
      </c>
      <c r="FA22" s="145">
        <f>+'[52]2. Distributional by deciles o'!I56</f>
        <v>0.94773904020306776</v>
      </c>
      <c r="FB22" s="155">
        <f>(EI22/$EA22-1) / (EQ22/$EN22-1)</f>
        <v>1.7978886626911899</v>
      </c>
      <c r="FC22" s="155">
        <f>(EJ22/$EA22-1) / (ER22/$EN22-1)</f>
        <v>1.8654674475300641</v>
      </c>
      <c r="FD22" s="155">
        <f>(EK22/$EA22-1) / (ES22/$EN22-1)</f>
        <v>1.211755237220933</v>
      </c>
      <c r="FE22" s="155">
        <f>(EL22/$EA22-1) / (ET22/$EN22-1)</f>
        <v>1.576182140509591</v>
      </c>
      <c r="FF22" s="75">
        <f>FB22-AD22</f>
        <v>3.8669188453365644E-2</v>
      </c>
      <c r="FG22" s="75">
        <f>FC22-AE22</f>
        <v>6.5241797031261983E-2</v>
      </c>
      <c r="FH22" s="75">
        <f>FD22-AF22</f>
        <v>5.6220282413417255E-3</v>
      </c>
      <c r="FI22" s="75">
        <f>FE22-AG22</f>
        <v>3.8500009459130347E-4</v>
      </c>
      <c r="FJ22" s="1"/>
      <c r="FK22" s="1"/>
      <c r="FL22" s="1"/>
      <c r="FM22" s="1"/>
      <c r="FN22" s="1"/>
      <c r="FO22" s="1"/>
      <c r="FP22" s="1"/>
      <c r="FQ22" s="1"/>
    </row>
    <row r="23" spans="1:173" x14ac:dyDescent="0.3">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c r="ET23" s="1"/>
      <c r="EU23" s="1"/>
      <c r="EV23" s="1"/>
      <c r="EW23" s="1"/>
      <c r="EX23" s="1"/>
      <c r="EY23" s="1"/>
      <c r="EZ23" s="1"/>
      <c r="FA23" s="1"/>
      <c r="FB23" s="1"/>
      <c r="FC23" s="1"/>
      <c r="FD23" s="1"/>
      <c r="FE23" s="1"/>
      <c r="FF23" s="1"/>
      <c r="FG23" s="1"/>
      <c r="FH23" s="1"/>
      <c r="FI23" s="1"/>
      <c r="FJ23" s="1"/>
      <c r="FK23" s="1"/>
      <c r="FL23" s="1"/>
      <c r="FM23" s="1"/>
      <c r="FN23" s="1"/>
      <c r="FO23" s="1"/>
      <c r="FP23" s="1"/>
      <c r="FQ23" s="1"/>
    </row>
    <row r="24" spans="1:173" x14ac:dyDescent="0.3">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c r="EJ24" s="1"/>
      <c r="EK24" s="1"/>
      <c r="EL24" s="1"/>
      <c r="EM24" s="1"/>
      <c r="EN24" s="1"/>
      <c r="EO24" s="1"/>
      <c r="EP24" s="1"/>
      <c r="EQ24" s="1"/>
      <c r="ER24" s="1"/>
      <c r="ES24" s="1"/>
      <c r="ET24" s="1"/>
      <c r="EU24" s="1"/>
      <c r="EV24" s="1"/>
      <c r="EW24" s="1"/>
      <c r="EX24" s="1"/>
      <c r="EY24" s="1"/>
      <c r="EZ24" s="1"/>
      <c r="FA24" s="1"/>
      <c r="FB24" s="1"/>
      <c r="FC24" s="1"/>
      <c r="FD24" s="1"/>
      <c r="FE24" s="1"/>
      <c r="FF24" s="1"/>
      <c r="FG24" s="1"/>
      <c r="FH24" s="1"/>
      <c r="FI24" s="1"/>
      <c r="FJ24" s="1"/>
      <c r="FK24" s="1"/>
      <c r="FL24" s="1"/>
      <c r="FM24" s="1"/>
      <c r="FN24" s="1"/>
      <c r="FO24" s="1"/>
      <c r="FP24" s="1"/>
      <c r="FQ24" s="1"/>
    </row>
    <row r="25" spans="1:173" x14ac:dyDescent="0.3">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Q25" s="1"/>
    </row>
    <row r="26" spans="1:173" x14ac:dyDescent="0.3">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c r="ER26" s="1"/>
      <c r="ES26" s="1"/>
      <c r="ET26" s="1"/>
      <c r="EU26" s="1"/>
      <c r="EV26" s="1"/>
      <c r="EW26" s="1"/>
      <c r="EX26" s="1"/>
      <c r="EY26" s="1"/>
      <c r="EZ26" s="1"/>
      <c r="FA26" s="1"/>
      <c r="FB26" s="1"/>
      <c r="FC26" s="1"/>
      <c r="FD26" s="1"/>
      <c r="FE26" s="1"/>
      <c r="FF26" s="1"/>
      <c r="FG26" s="1"/>
      <c r="FH26" s="1"/>
      <c r="FI26" s="1"/>
      <c r="FJ26" s="1"/>
      <c r="FK26" s="1"/>
      <c r="FL26" s="1"/>
      <c r="FM26" s="1"/>
      <c r="FN26" s="1"/>
      <c r="FO26" s="1"/>
      <c r="FP26" s="1"/>
      <c r="FQ26" s="1"/>
    </row>
    <row r="27" spans="1:173" x14ac:dyDescent="0.3">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c r="CW27" s="1"/>
      <c r="CX27" s="1"/>
      <c r="CY27" s="1"/>
      <c r="CZ27" s="1"/>
      <c r="DA27" s="1"/>
      <c r="DB27" s="1"/>
      <c r="DC27" s="1"/>
      <c r="DD27" s="1"/>
      <c r="DE27" s="1"/>
      <c r="DF27" s="1"/>
      <c r="DG27" s="1"/>
      <c r="DH27" s="1"/>
      <c r="DI27" s="1"/>
      <c r="DJ27" s="1"/>
      <c r="DK27" s="1"/>
      <c r="DL27" s="1"/>
      <c r="DM27" s="1"/>
      <c r="DN27" s="1"/>
      <c r="DO27" s="1"/>
      <c r="DP27" s="1"/>
      <c r="DQ27" s="1"/>
      <c r="DR27" s="1"/>
      <c r="DS27" s="1"/>
      <c r="DT27" s="1"/>
      <c r="DU27" s="1"/>
      <c r="DV27" s="1"/>
      <c r="DW27" s="1"/>
      <c r="DX27" s="1"/>
      <c r="DY27" s="1"/>
      <c r="DZ27" s="1"/>
      <c r="EA27" s="1"/>
      <c r="EB27" s="1"/>
      <c r="EC27" s="1"/>
      <c r="ED27" s="1"/>
      <c r="EE27" s="1"/>
      <c r="EF27" s="1"/>
      <c r="EG27" s="1"/>
      <c r="EH27" s="1"/>
      <c r="EI27" s="1"/>
      <c r="EJ27" s="1"/>
      <c r="EK27" s="1"/>
      <c r="EL27" s="1"/>
      <c r="EM27" s="1"/>
      <c r="EN27" s="1"/>
      <c r="EO27" s="1"/>
      <c r="EP27" s="1"/>
      <c r="EQ27" s="1"/>
      <c r="ER27" s="1"/>
      <c r="ES27" s="1"/>
      <c r="ET27" s="1"/>
      <c r="EU27" s="1"/>
      <c r="EV27" s="1"/>
      <c r="EW27" s="1"/>
      <c r="EX27" s="1"/>
      <c r="EY27" s="1"/>
      <c r="EZ27" s="1"/>
      <c r="FA27" s="1"/>
      <c r="FB27" s="1"/>
      <c r="FC27" s="1"/>
      <c r="FD27" s="1"/>
      <c r="FE27" s="1"/>
      <c r="FF27" s="1"/>
      <c r="FG27" s="1"/>
      <c r="FH27" s="1"/>
      <c r="FI27" s="1"/>
      <c r="FJ27" s="1"/>
      <c r="FK27" s="1"/>
      <c r="FL27" s="1"/>
      <c r="FM27" s="1"/>
      <c r="FN27" s="1"/>
      <c r="FO27" s="1"/>
      <c r="FP27" s="1"/>
      <c r="FQ27" s="1"/>
    </row>
  </sheetData>
  <pageMargins left="0.7" right="0.7" top="0.75" bottom="0.75" header="0.3" footer="0.3"/>
  <pageSetup paperSize="9" orientation="portrait" r:id="rId1"/>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E1F234-C7C9-412D-AF5B-E4026D5D0556}">
  <dimension ref="A1:BN121"/>
  <sheetViews>
    <sheetView zoomScale="55" zoomScaleNormal="55" workbookViewId="0">
      <selection activeCell="D8" sqref="D8"/>
    </sheetView>
  </sheetViews>
  <sheetFormatPr baseColWidth="10" defaultColWidth="8.6640625" defaultRowHeight="14.4" x14ac:dyDescent="0.3"/>
  <cols>
    <col min="1" max="1" width="4.33203125" customWidth="1"/>
    <col min="3" max="3" width="17.33203125" customWidth="1"/>
    <col min="4" max="4" width="15.6640625" customWidth="1"/>
    <col min="5" max="5" width="16.33203125" customWidth="1"/>
    <col min="6" max="6" width="15.6640625" customWidth="1"/>
    <col min="7" max="7" width="16" customWidth="1"/>
    <col min="8" max="8" width="19" customWidth="1"/>
    <col min="9" max="12" width="17" customWidth="1"/>
    <col min="13" max="13" width="17.33203125" customWidth="1"/>
    <col min="14" max="18" width="16.33203125" customWidth="1"/>
    <col min="19" max="19" width="17" customWidth="1"/>
    <col min="20" max="33" width="16.33203125" customWidth="1"/>
    <col min="34" max="34" width="14.6640625" customWidth="1"/>
    <col min="35" max="36" width="12.6640625" customWidth="1"/>
    <col min="37" max="37" width="17.33203125" customWidth="1"/>
    <col min="38" max="38" width="12.33203125" customWidth="1"/>
    <col min="39" max="39" width="9.6640625" customWidth="1"/>
    <col min="40" max="42" width="18.88671875" customWidth="1"/>
    <col min="43" max="50" width="9.6640625" customWidth="1"/>
    <col min="51" max="59" width="0.5546875" customWidth="1"/>
  </cols>
  <sheetData>
    <row r="1" spans="1:66" ht="15" thickBot="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row>
    <row r="2" spans="1:66" ht="18" customHeight="1" thickBot="1" x14ac:dyDescent="0.35">
      <c r="A2" s="1"/>
      <c r="B2" s="2" t="s">
        <v>654</v>
      </c>
      <c r="C2" s="3"/>
      <c r="D2" s="3"/>
      <c r="E2" s="3"/>
      <c r="F2" s="3"/>
      <c r="G2" s="3"/>
      <c r="H2" s="3"/>
      <c r="I2" s="3"/>
      <c r="J2" s="3"/>
      <c r="K2" s="3"/>
      <c r="L2" s="3"/>
      <c r="M2" s="4"/>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row>
    <row r="3" spans="1:66" ht="18" customHeight="1" x14ac:dyDescent="0.3">
      <c r="A3" s="1"/>
      <c r="B3" s="5" t="s">
        <v>115</v>
      </c>
      <c r="C3" s="6"/>
      <c r="D3" s="6"/>
      <c r="E3" s="6"/>
      <c r="F3" s="6"/>
      <c r="G3" s="6"/>
      <c r="H3" s="6"/>
      <c r="I3" s="6"/>
      <c r="J3" s="6"/>
      <c r="K3" s="6"/>
      <c r="L3" s="6"/>
      <c r="M3" s="7"/>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row>
    <row r="4" spans="1:66" ht="18" customHeight="1" x14ac:dyDescent="0.3">
      <c r="A4" s="1"/>
      <c r="B4" s="99" t="s">
        <v>1</v>
      </c>
      <c r="C4" s="296"/>
      <c r="D4" s="296"/>
      <c r="E4" s="296"/>
      <c r="F4" s="296"/>
      <c r="G4" s="296"/>
      <c r="H4" s="296"/>
      <c r="I4" s="296"/>
      <c r="J4" s="296"/>
      <c r="K4" s="296"/>
      <c r="L4" s="296"/>
      <c r="M4" s="100"/>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row>
    <row r="5" spans="1:66" ht="14.25" customHeight="1" x14ac:dyDescent="0.3">
      <c r="A5" s="1"/>
      <c r="B5" s="293" t="s">
        <v>116</v>
      </c>
      <c r="C5" s="294"/>
      <c r="D5" s="294"/>
      <c r="E5" s="294"/>
      <c r="F5" s="294"/>
      <c r="G5" s="294"/>
      <c r="H5" s="294"/>
      <c r="I5" s="294"/>
      <c r="J5" s="294"/>
      <c r="K5" s="294"/>
      <c r="L5" s="294"/>
      <c r="M5" s="295"/>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row>
    <row r="6" spans="1:66" ht="12.6" customHeight="1" x14ac:dyDescent="0.3">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row>
    <row r="7" spans="1:66" ht="12.6" customHeight="1" x14ac:dyDescent="0.3">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row>
    <row r="8" spans="1:66" ht="17.7" customHeight="1" x14ac:dyDescent="0.3">
      <c r="A8" s="1"/>
      <c r="B8" s="11" t="s">
        <v>2</v>
      </c>
      <c r="C8" s="12" t="s">
        <v>222</v>
      </c>
      <c r="D8" s="12" t="s">
        <v>659</v>
      </c>
      <c r="E8" s="124" t="s">
        <v>206</v>
      </c>
      <c r="F8" s="125"/>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row>
    <row r="9" spans="1:66" ht="10.35" customHeight="1" x14ac:dyDescent="0.3">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row>
    <row r="10" spans="1:66" x14ac:dyDescent="0.3">
      <c r="A10" s="1"/>
      <c r="B10" s="1"/>
      <c r="C10" s="13" t="s">
        <v>6</v>
      </c>
      <c r="D10" s="14"/>
      <c r="E10" s="14"/>
      <c r="F10" s="14"/>
      <c r="G10" s="14"/>
      <c r="H10" s="14"/>
      <c r="I10" s="14"/>
      <c r="J10" s="14"/>
      <c r="K10" s="14"/>
      <c r="L10" s="14"/>
      <c r="M10" s="14"/>
      <c r="N10" s="14"/>
      <c r="O10" s="14"/>
      <c r="P10" s="15" t="s">
        <v>596</v>
      </c>
      <c r="Q10" s="16"/>
      <c r="R10" s="16"/>
      <c r="S10" s="16"/>
      <c r="T10" s="16"/>
      <c r="U10" s="16"/>
      <c r="V10" s="16"/>
      <c r="W10" s="16"/>
      <c r="X10" s="13"/>
      <c r="Y10" s="17"/>
      <c r="Z10" s="17"/>
      <c r="AA10" s="17"/>
      <c r="AB10" s="17"/>
      <c r="AC10" s="17"/>
      <c r="AD10" s="17"/>
      <c r="AE10" s="19"/>
      <c r="AF10" s="16"/>
      <c r="AG10" s="16"/>
      <c r="AH10" s="16"/>
      <c r="AI10" s="16"/>
      <c r="AJ10" s="16"/>
      <c r="AK10" s="1"/>
      <c r="AL10" s="1"/>
      <c r="AM10" s="99" t="s">
        <v>562</v>
      </c>
      <c r="AN10" s="9"/>
      <c r="AO10" s="9"/>
      <c r="AP10" s="9"/>
      <c r="AQ10" s="9"/>
      <c r="AR10" s="9"/>
      <c r="AS10" s="10"/>
      <c r="AT10" s="1"/>
      <c r="AU10" s="1"/>
      <c r="AV10" s="1"/>
      <c r="AW10" s="1"/>
      <c r="AX10" s="1"/>
      <c r="AY10" s="1"/>
      <c r="AZ10" s="1"/>
      <c r="BA10" s="1"/>
      <c r="BB10" s="1"/>
      <c r="BC10" s="1"/>
      <c r="BD10" s="1"/>
      <c r="BE10" s="1"/>
      <c r="BF10" s="1"/>
      <c r="BG10" s="1"/>
      <c r="BH10" s="1"/>
      <c r="BI10" s="1"/>
      <c r="BJ10" s="1"/>
      <c r="BK10" s="1"/>
      <c r="BL10" s="1"/>
      <c r="BM10" s="1"/>
      <c r="BN10" s="1"/>
    </row>
    <row r="11" spans="1:66" ht="78.75" customHeight="1" x14ac:dyDescent="0.3">
      <c r="A11" s="1"/>
      <c r="B11" s="25" t="s">
        <v>20</v>
      </c>
      <c r="C11" s="26" t="s">
        <v>119</v>
      </c>
      <c r="D11" s="27" t="s">
        <v>120</v>
      </c>
      <c r="E11" s="26" t="s">
        <v>121</v>
      </c>
      <c r="F11" s="27" t="s">
        <v>122</v>
      </c>
      <c r="G11" s="27" t="s">
        <v>123</v>
      </c>
      <c r="H11" s="27" t="s">
        <v>124</v>
      </c>
      <c r="I11" s="27" t="s">
        <v>125</v>
      </c>
      <c r="J11" s="27" t="s">
        <v>126</v>
      </c>
      <c r="K11" s="27" t="s">
        <v>127</v>
      </c>
      <c r="L11" s="27"/>
      <c r="M11" s="27"/>
      <c r="N11" s="27"/>
      <c r="O11" s="27"/>
      <c r="P11" s="26" t="s">
        <v>119</v>
      </c>
      <c r="Q11" s="27" t="s">
        <v>120</v>
      </c>
      <c r="R11" s="27" t="s">
        <v>121</v>
      </c>
      <c r="S11" s="27" t="s">
        <v>122</v>
      </c>
      <c r="T11" s="27" t="s">
        <v>123</v>
      </c>
      <c r="U11" s="27" t="s">
        <v>130</v>
      </c>
      <c r="V11" s="27"/>
      <c r="W11" s="27"/>
      <c r="X11" s="27"/>
      <c r="Y11" s="27"/>
      <c r="Z11" s="27"/>
      <c r="AA11" s="27"/>
      <c r="AB11" s="27"/>
      <c r="AC11" s="27"/>
      <c r="AD11" s="27"/>
      <c r="AE11" s="27"/>
      <c r="AF11" s="27"/>
      <c r="AG11" s="27"/>
      <c r="AH11" s="27"/>
      <c r="AI11" s="27"/>
      <c r="AJ11" s="27"/>
      <c r="AK11" s="27" t="s">
        <v>150</v>
      </c>
      <c r="AL11" s="1"/>
      <c r="AM11" s="522" t="s">
        <v>563</v>
      </c>
      <c r="AN11" s="523" t="s">
        <v>568</v>
      </c>
      <c r="AO11" s="523" t="s">
        <v>569</v>
      </c>
      <c r="AP11" s="523" t="s">
        <v>570</v>
      </c>
      <c r="AQ11" s="523" t="s">
        <v>564</v>
      </c>
      <c r="AR11" s="523" t="s">
        <v>565</v>
      </c>
      <c r="AS11" s="523" t="s">
        <v>566</v>
      </c>
      <c r="AT11" s="1"/>
      <c r="AU11" s="1"/>
      <c r="AV11" s="1"/>
      <c r="AW11" s="1"/>
      <c r="AX11" s="1"/>
      <c r="AY11" s="1"/>
      <c r="AZ11" s="1"/>
      <c r="BA11" s="1"/>
      <c r="BB11" s="1"/>
      <c r="BC11" s="1"/>
      <c r="BD11" s="1"/>
      <c r="BE11" s="1"/>
      <c r="BF11" s="1"/>
      <c r="BG11" s="1"/>
      <c r="BH11" s="1"/>
      <c r="BI11" s="1"/>
      <c r="BJ11" s="1"/>
      <c r="BK11" s="1"/>
      <c r="BL11" s="1"/>
      <c r="BM11" s="1"/>
      <c r="BN11" s="1"/>
    </row>
    <row r="12" spans="1:66" x14ac:dyDescent="0.3">
      <c r="A12" s="1"/>
      <c r="B12" s="28">
        <v>1</v>
      </c>
      <c r="C12" s="129">
        <f>+'[55]2. Distributional by deciles o'!B100</f>
        <v>249448035.7044</v>
      </c>
      <c r="D12" s="129">
        <f>+'[55]2. Distributional by deciles o'!C100</f>
        <v>248994927.47640008</v>
      </c>
      <c r="E12" s="129">
        <f>+'[55]2. Distributional by deciles o'!D100</f>
        <v>247720437.89399984</v>
      </c>
      <c r="F12" s="129">
        <f>+'[55]2. Distributional by deciles o'!E100</f>
        <v>251518849.71480018</v>
      </c>
      <c r="G12" s="129">
        <f>+'[55]2. Distributional by deciles o'!F100</f>
        <v>258683572.80480015</v>
      </c>
      <c r="H12" s="129">
        <f>+'[55]2. Distributional by deciles o'!H100</f>
        <v>273766179.52199996</v>
      </c>
      <c r="I12" s="129">
        <f>+'[55]2. Distributional by deciles o'!I100</f>
        <v>231019708.20960018</v>
      </c>
      <c r="J12" s="129">
        <f>+'[55]2. Distributional by deciles o'!J100</f>
        <v>233495444.09160027</v>
      </c>
      <c r="K12" s="129">
        <f>+'[55]2. Distributional by deciles o'!K100</f>
        <v>224444157.8688001</v>
      </c>
      <c r="L12" s="139"/>
      <c r="M12" s="139"/>
      <c r="N12" s="139"/>
      <c r="O12" s="139"/>
      <c r="P12" s="129">
        <f>+'[55]2. Distributional by deciles o'!B118</f>
        <v>2295647552.7599969</v>
      </c>
      <c r="Q12" s="129">
        <f>+'[55]2. Distributional by deciles o'!C118</f>
        <v>2316216536.2104025</v>
      </c>
      <c r="R12" s="129">
        <f>+'[55]2. Distributional by deciles o'!D118</f>
        <v>2368682346.5603981</v>
      </c>
      <c r="S12" s="129">
        <f>+'[55]2. Distributional by deciles o'!E118</f>
        <v>2434235445.4223981</v>
      </c>
      <c r="T12" s="129">
        <f>+'[55]2. Distributional by deciles o'!F118</f>
        <v>2564840830.763998</v>
      </c>
      <c r="U12" s="209">
        <f t="shared" ref="U12:U22" si="0">T12/P12-1</f>
        <v>0.11726245942255242</v>
      </c>
      <c r="V12" s="139"/>
      <c r="W12" s="209"/>
      <c r="X12" s="132"/>
      <c r="Y12" s="132"/>
      <c r="Z12" s="132"/>
      <c r="AA12" s="132"/>
      <c r="AB12" s="132"/>
      <c r="AC12" s="132"/>
      <c r="AD12" s="132"/>
      <c r="AE12" s="139"/>
      <c r="AF12" s="139"/>
      <c r="AG12" s="139"/>
      <c r="AH12" s="139"/>
      <c r="AI12" s="139"/>
      <c r="AJ12" s="139"/>
      <c r="AK12" s="408">
        <f>+'[55]2. Distributional by deciles o'!M100</f>
        <v>278239433.86080009</v>
      </c>
      <c r="AL12" s="1"/>
      <c r="AM12" s="32" cm="1">
        <f t="array" aca="1" ref="AM12" ca="1">INDIRECT("'1"&amp;$C$8&amp;"'!W12")</f>
        <v>0.76209665482387212</v>
      </c>
      <c r="AN12" s="524">
        <f t="shared" ref="AN12:AN21" ca="1" si="1">C12+C12*U12*AM12</f>
        <v>271740041.24963182</v>
      </c>
      <c r="AO12" s="524">
        <f t="shared" ref="AO12:AO21" ca="1" si="2">C12+C12*U$22*AM12</f>
        <v>272159611.19643688</v>
      </c>
      <c r="AP12" s="524">
        <f t="shared" ref="AP12:AP21" ca="1" si="3">C12+C12*AR12*AM12</f>
        <v>271740041.24963182</v>
      </c>
      <c r="AQ12" s="525">
        <f t="shared" ref="AQ12:AQ21" si="4">U12</f>
        <v>0.11726245942255242</v>
      </c>
      <c r="AR12" s="344">
        <f>AQ12</f>
        <v>0.11726245942255242</v>
      </c>
      <c r="AS12" s="41">
        <f>P12/P$22</f>
        <v>1.6463136358973025E-2</v>
      </c>
      <c r="AT12" s="1"/>
      <c r="AU12" s="1"/>
      <c r="AV12" s="1"/>
      <c r="AW12" s="1"/>
      <c r="AX12" s="1"/>
      <c r="AY12" s="1"/>
      <c r="AZ12" s="1"/>
      <c r="BA12" s="1"/>
      <c r="BB12" s="1"/>
      <c r="BC12" s="1"/>
      <c r="BD12" s="1"/>
      <c r="BE12" s="1"/>
      <c r="BF12" s="1"/>
      <c r="BG12" s="1"/>
      <c r="BH12" s="1"/>
      <c r="BI12" s="1"/>
      <c r="BJ12" s="1"/>
      <c r="BK12" s="1"/>
      <c r="BL12" s="1"/>
      <c r="BM12" s="1"/>
      <c r="BN12" s="1"/>
    </row>
    <row r="13" spans="1:66" x14ac:dyDescent="0.3">
      <c r="A13" s="1"/>
      <c r="B13" s="28">
        <v>2</v>
      </c>
      <c r="C13" s="129">
        <f>+'[55]2. Distributional by deciles o'!B101</f>
        <v>532344985.23960018</v>
      </c>
      <c r="D13" s="129">
        <f>+'[55]2. Distributional by deciles o'!C101</f>
        <v>517288327.80600053</v>
      </c>
      <c r="E13" s="129">
        <f>+'[55]2. Distributional by deciles o'!D101</f>
        <v>526611509.13120013</v>
      </c>
      <c r="F13" s="129">
        <f>+'[55]2. Distributional by deciles o'!E101</f>
        <v>539968616.58359981</v>
      </c>
      <c r="G13" s="129">
        <f>+'[55]2. Distributional by deciles o'!F101</f>
        <v>550232601.58440006</v>
      </c>
      <c r="H13" s="129">
        <f>+'[55]2. Distributional by deciles o'!H101</f>
        <v>720356762.41559982</v>
      </c>
      <c r="I13" s="129">
        <f>+'[55]2. Distributional by deciles o'!I101</f>
        <v>568018319.26199985</v>
      </c>
      <c r="J13" s="129">
        <f>+'[55]2. Distributional by deciles o'!J101</f>
        <v>578922023.60279989</v>
      </c>
      <c r="K13" s="129">
        <f>+'[55]2. Distributional by deciles o'!K101</f>
        <v>536831928.87719947</v>
      </c>
      <c r="L13" s="139"/>
      <c r="M13" s="139"/>
      <c r="N13" s="139"/>
      <c r="O13" s="139"/>
      <c r="P13" s="129">
        <f>+'[55]2. Distributional by deciles o'!B119</f>
        <v>6321648167.0015993</v>
      </c>
      <c r="Q13" s="129">
        <f>+'[55]2. Distributional by deciles o'!C119</f>
        <v>6381279174.960001</v>
      </c>
      <c r="R13" s="129">
        <f>+'[55]2. Distributional by deciles o'!D119</f>
        <v>6504093957.610796</v>
      </c>
      <c r="S13" s="129">
        <f>+'[55]2. Distributional by deciles o'!E119</f>
        <v>6677961422.4348068</v>
      </c>
      <c r="T13" s="129">
        <f>+'[55]2. Distributional by deciles o'!F119</f>
        <v>7054693135.306798</v>
      </c>
      <c r="U13" s="209">
        <f t="shared" si="0"/>
        <v>0.11595788771219873</v>
      </c>
      <c r="V13" s="139"/>
      <c r="W13" s="209"/>
      <c r="X13" s="132"/>
      <c r="Y13" s="132"/>
      <c r="Z13" s="132"/>
      <c r="AA13" s="132"/>
      <c r="AB13" s="132"/>
      <c r="AC13" s="132"/>
      <c r="AD13" s="132"/>
      <c r="AE13" s="139"/>
      <c r="AF13" s="139"/>
      <c r="AG13" s="139"/>
      <c r="AH13" s="139"/>
      <c r="AI13" s="139"/>
      <c r="AJ13" s="139"/>
      <c r="AK13" s="408">
        <f>+'[55]2. Distributional by deciles o'!M101</f>
        <v>600389572.03920007</v>
      </c>
      <c r="AL13" s="1"/>
      <c r="AM13" s="32" cm="1">
        <f t="array" aca="1" ref="AM13" ca="1">INDIRECT("'1"&amp;$C$8&amp;"'!W13")</f>
        <v>3.0954839101514788</v>
      </c>
      <c r="AN13" s="524">
        <f t="shared" ca="1" si="1"/>
        <v>723427968.88953853</v>
      </c>
      <c r="AO13" s="524">
        <f t="shared" ca="1" si="2"/>
        <v>729214665.80630898</v>
      </c>
      <c r="AP13" s="524">
        <f t="shared" ca="1" si="3"/>
        <v>723427968.88953853</v>
      </c>
      <c r="AQ13" s="525">
        <f t="shared" si="4"/>
        <v>0.11595788771219873</v>
      </c>
      <c r="AR13" s="344">
        <f t="shared" ref="AR13:AR18" si="5">AQ13</f>
        <v>0.11595788771219873</v>
      </c>
      <c r="AS13" s="41">
        <f t="shared" ref="AS13:AS21" si="6">P13/P$22</f>
        <v>4.5335424273501207E-2</v>
      </c>
      <c r="AT13" s="1"/>
      <c r="AU13" s="1"/>
      <c r="AV13" s="1"/>
      <c r="AW13" s="1"/>
      <c r="AX13" s="1"/>
      <c r="AY13" s="1"/>
      <c r="AZ13" s="1"/>
      <c r="BA13" s="1"/>
      <c r="BB13" s="1"/>
      <c r="BC13" s="1"/>
      <c r="BD13" s="1"/>
      <c r="BE13" s="1"/>
      <c r="BF13" s="1"/>
      <c r="BG13" s="1"/>
      <c r="BH13" s="1"/>
      <c r="BI13" s="1"/>
      <c r="BJ13" s="1"/>
      <c r="BK13" s="1"/>
      <c r="BL13" s="1"/>
      <c r="BM13" s="1"/>
      <c r="BN13" s="1"/>
    </row>
    <row r="14" spans="1:66" x14ac:dyDescent="0.3">
      <c r="A14" s="1"/>
      <c r="B14" s="28">
        <v>3</v>
      </c>
      <c r="C14" s="129">
        <f>+'[55]2. Distributional by deciles o'!B102</f>
        <v>1071877967.3219998</v>
      </c>
      <c r="D14" s="129">
        <f>+'[55]2. Distributional by deciles o'!C102</f>
        <v>1056497729.6735992</v>
      </c>
      <c r="E14" s="129">
        <f>+'[55]2. Distributional by deciles o'!D102</f>
        <v>1079005834.4639997</v>
      </c>
      <c r="F14" s="129">
        <f>+'[55]2. Distributional by deciles o'!E102</f>
        <v>1108565027.1720004</v>
      </c>
      <c r="G14" s="129">
        <f>+'[55]2. Distributional by deciles o'!F102</f>
        <v>1157043713.5619998</v>
      </c>
      <c r="H14" s="129">
        <f>+'[55]2. Distributional by deciles o'!H102</f>
        <v>1363255633.7915998</v>
      </c>
      <c r="I14" s="129">
        <f>+'[55]2. Distributional by deciles o'!I102</f>
        <v>1172848859.3711998</v>
      </c>
      <c r="J14" s="129">
        <f>+'[55]2. Distributional by deciles o'!J102</f>
        <v>1186769009.8644004</v>
      </c>
      <c r="K14" s="129">
        <f>+'[55]2. Distributional by deciles o'!K102</f>
        <v>1132742621.7599993</v>
      </c>
      <c r="L14" s="139"/>
      <c r="M14" s="139"/>
      <c r="N14" s="139"/>
      <c r="O14" s="139"/>
      <c r="P14" s="129">
        <f>+'[55]2. Distributional by deciles o'!B120</f>
        <v>8445294608.5907974</v>
      </c>
      <c r="Q14" s="129">
        <f>+'[55]2. Distributional by deciles o'!C120</f>
        <v>8521456684.2539921</v>
      </c>
      <c r="R14" s="129">
        <f>+'[55]2. Distributional by deciles o'!D120</f>
        <v>8686238502.5580082</v>
      </c>
      <c r="S14" s="129">
        <f>+'[55]2. Distributional by deciles o'!E120</f>
        <v>8919064616.6063957</v>
      </c>
      <c r="T14" s="129">
        <f>+'[55]2. Distributional by deciles o'!F120</f>
        <v>9424705574.4252014</v>
      </c>
      <c r="U14" s="209">
        <f t="shared" si="0"/>
        <v>0.11597120186169918</v>
      </c>
      <c r="V14" s="139"/>
      <c r="W14" s="209"/>
      <c r="X14" s="132"/>
      <c r="Y14" s="132"/>
      <c r="Z14" s="132"/>
      <c r="AA14" s="132"/>
      <c r="AB14" s="132"/>
      <c r="AC14" s="132"/>
      <c r="AD14" s="132"/>
      <c r="AE14" s="139"/>
      <c r="AF14" s="139"/>
      <c r="AG14" s="139"/>
      <c r="AH14" s="139"/>
      <c r="AI14" s="139"/>
      <c r="AJ14" s="139"/>
      <c r="AK14" s="408">
        <f>+'[55]2. Distributional by deciles o'!M102</f>
        <v>1194272879.0736005</v>
      </c>
      <c r="AL14" s="1"/>
      <c r="AM14" s="32" cm="1">
        <f t="array" aca="1" ref="AM14" ca="1">INDIRECT("'1"&amp;$C$8&amp;"'!W14")</f>
        <v>2.3801545144265766</v>
      </c>
      <c r="AN14" s="524">
        <f t="shared" ca="1" si="1"/>
        <v>1367747777.707324</v>
      </c>
      <c r="AO14" s="524">
        <f t="shared" ca="1" si="2"/>
        <v>1376672809.7056112</v>
      </c>
      <c r="AP14" s="524">
        <f t="shared" ca="1" si="3"/>
        <v>1367747777.707324</v>
      </c>
      <c r="AQ14" s="525">
        <f t="shared" si="4"/>
        <v>0.11597120186169918</v>
      </c>
      <c r="AR14" s="344">
        <f t="shared" si="5"/>
        <v>0.11597120186169918</v>
      </c>
      <c r="AS14" s="41">
        <f t="shared" si="6"/>
        <v>6.0565062161119045E-2</v>
      </c>
      <c r="AT14" s="1"/>
      <c r="AU14" s="1"/>
      <c r="AV14" s="1"/>
      <c r="AW14" s="1"/>
      <c r="AX14" s="1"/>
      <c r="AY14" s="1"/>
      <c r="AZ14" s="1"/>
      <c r="BA14" s="1"/>
      <c r="BB14" s="1"/>
      <c r="BC14" s="1"/>
      <c r="BD14" s="1"/>
      <c r="BE14" s="1"/>
      <c r="BF14" s="1"/>
      <c r="BG14" s="1"/>
      <c r="BH14" s="1"/>
      <c r="BI14" s="1"/>
      <c r="BJ14" s="1"/>
      <c r="BK14" s="1"/>
      <c r="BL14" s="1"/>
      <c r="BM14" s="1"/>
      <c r="BN14" s="1"/>
    </row>
    <row r="15" spans="1:66" x14ac:dyDescent="0.3">
      <c r="A15" s="1"/>
      <c r="B15" s="28">
        <v>4</v>
      </c>
      <c r="C15" s="129">
        <f>+'[55]2. Distributional by deciles o'!B103</f>
        <v>1471568174.8488002</v>
      </c>
      <c r="D15" s="129">
        <f>+'[55]2. Distributional by deciles o'!C103</f>
        <v>1459434184.8660004</v>
      </c>
      <c r="E15" s="129">
        <f>+'[55]2. Distributional by deciles o'!D103</f>
        <v>1497080585.6532001</v>
      </c>
      <c r="F15" s="129">
        <f>+'[55]2. Distributional by deciles o'!E103</f>
        <v>1539112451.3148007</v>
      </c>
      <c r="G15" s="129">
        <f>+'[55]2. Distributional by deciles o'!F103</f>
        <v>1644937081.2636003</v>
      </c>
      <c r="H15" s="129">
        <f>+'[55]2. Distributional by deciles o'!H103</f>
        <v>1826803147.8780007</v>
      </c>
      <c r="I15" s="129">
        <f>+'[55]2. Distributional by deciles o'!I103</f>
        <v>1623281560.0967989</v>
      </c>
      <c r="J15" s="129">
        <f>+'[55]2. Distributional by deciles o'!J103</f>
        <v>1638463831.7652001</v>
      </c>
      <c r="K15" s="129">
        <f>+'[55]2. Distributional by deciles o'!K103</f>
        <v>1579504342.8779988</v>
      </c>
      <c r="L15" s="139"/>
      <c r="M15" s="139"/>
      <c r="N15" s="139"/>
      <c r="O15" s="139"/>
      <c r="P15" s="129">
        <f>+'[55]2. Distributional by deciles o'!B121</f>
        <v>10012217434.520397</v>
      </c>
      <c r="Q15" s="129">
        <f>+'[55]2. Distributional by deciles o'!C121</f>
        <v>10097295209.337591</v>
      </c>
      <c r="R15" s="129">
        <f>+'[55]2. Distributional by deciles o'!D121</f>
        <v>10315012531.318798</v>
      </c>
      <c r="S15" s="129">
        <f>+'[55]2. Distributional by deciles o'!E121</f>
        <v>10598145930.72599</v>
      </c>
      <c r="T15" s="129">
        <f>+'[55]2. Distributional by deciles o'!F121</f>
        <v>11180830203.194391</v>
      </c>
      <c r="U15" s="209">
        <f t="shared" si="0"/>
        <v>0.11671867658854662</v>
      </c>
      <c r="V15" s="139"/>
      <c r="W15" s="209"/>
      <c r="X15" s="132"/>
      <c r="Y15" s="132"/>
      <c r="Z15" s="132"/>
      <c r="AA15" s="132"/>
      <c r="AB15" s="132"/>
      <c r="AC15" s="132"/>
      <c r="AD15" s="132"/>
      <c r="AE15" s="139"/>
      <c r="AF15" s="139"/>
      <c r="AG15" s="139"/>
      <c r="AH15" s="139"/>
      <c r="AI15" s="139"/>
      <c r="AJ15" s="139"/>
      <c r="AK15" s="408">
        <f>+'[55]2. Distributional by deciles o'!M103</f>
        <v>1640694054.0911999</v>
      </c>
      <c r="AL15" s="1"/>
      <c r="AM15" s="32" cm="1">
        <f t="array" aca="1" ref="AM15" ca="1">INDIRECT("'1"&amp;$C$8&amp;"'!W15")</f>
        <v>2.1288145166071337</v>
      </c>
      <c r="AN15" s="524">
        <f t="shared" ca="1" si="1"/>
        <v>1837212270.266495</v>
      </c>
      <c r="AO15" s="524">
        <f t="shared" ca="1" si="2"/>
        <v>1845829825.1839852</v>
      </c>
      <c r="AP15" s="524">
        <f t="shared" ca="1" si="3"/>
        <v>1837212270.266495</v>
      </c>
      <c r="AQ15" s="525">
        <f t="shared" si="4"/>
        <v>0.11671867658854662</v>
      </c>
      <c r="AR15" s="344">
        <f t="shared" si="5"/>
        <v>0.11671867658854662</v>
      </c>
      <c r="AS15" s="41">
        <f t="shared" si="6"/>
        <v>7.1802180906220814E-2</v>
      </c>
      <c r="AT15" s="1"/>
      <c r="AU15" s="1"/>
      <c r="AV15" s="1"/>
      <c r="AW15" s="1"/>
      <c r="AX15" s="1"/>
      <c r="AY15" s="1"/>
      <c r="AZ15" s="1"/>
      <c r="BA15" s="1"/>
      <c r="BB15" s="1"/>
      <c r="BC15" s="1"/>
      <c r="BD15" s="1"/>
      <c r="BE15" s="1"/>
      <c r="BF15" s="1"/>
      <c r="BG15" s="1"/>
      <c r="BH15" s="1"/>
      <c r="BI15" s="1"/>
      <c r="BJ15" s="1"/>
      <c r="BK15" s="1"/>
      <c r="BL15" s="1"/>
      <c r="BM15" s="1"/>
      <c r="BN15" s="1"/>
    </row>
    <row r="16" spans="1:66" x14ac:dyDescent="0.3">
      <c r="A16" s="1"/>
      <c r="B16" s="28">
        <v>5</v>
      </c>
      <c r="C16" s="129">
        <f>+'[55]2. Distributional by deciles o'!B104</f>
        <v>1743844112.2907972</v>
      </c>
      <c r="D16" s="129">
        <f>+'[55]2. Distributional by deciles o'!C104</f>
        <v>1729056386.7419991</v>
      </c>
      <c r="E16" s="129">
        <f>+'[55]2. Distributional by deciles o'!D104</f>
        <v>1784852444.4528008</v>
      </c>
      <c r="F16" s="129">
        <f>+'[55]2. Distributional by deciles o'!E104</f>
        <v>1840888326.9504008</v>
      </c>
      <c r="G16" s="129">
        <f>+'[55]2. Distributional by deciles o'!F104</f>
        <v>1959190038.9096007</v>
      </c>
      <c r="H16" s="129">
        <f>+'[55]2. Distributional by deciles o'!H104</f>
        <v>2167624920.4764018</v>
      </c>
      <c r="I16" s="129">
        <f>+'[55]2. Distributional by deciles o'!I104</f>
        <v>1937075303.7768009</v>
      </c>
      <c r="J16" s="129">
        <f>+'[55]2. Distributional by deciles o'!J104</f>
        <v>1953061317.9791994</v>
      </c>
      <c r="K16" s="129">
        <f>+'[55]2. Distributional by deciles o'!K104</f>
        <v>1891780475.5524025</v>
      </c>
      <c r="L16" s="139"/>
      <c r="M16" s="139"/>
      <c r="N16" s="139"/>
      <c r="O16" s="139"/>
      <c r="P16" s="129">
        <f>+'[55]2. Distributional by deciles o'!B122</f>
        <v>11281341708.691175</v>
      </c>
      <c r="Q16" s="129">
        <f>+'[55]2. Distributional by deciles o'!C122</f>
        <v>11359853439.337191</v>
      </c>
      <c r="R16" s="129">
        <f>+'[55]2. Distributional by deciles o'!D122</f>
        <v>11660172802.779606</v>
      </c>
      <c r="S16" s="129">
        <f>+'[55]2. Distributional by deciles o'!E122</f>
        <v>11997709759.852797</v>
      </c>
      <c r="T16" s="129">
        <f>+'[55]2. Distributional by deciles o'!F122</f>
        <v>12614449341.794401</v>
      </c>
      <c r="U16" s="209">
        <f t="shared" si="0"/>
        <v>0.11816924507092952</v>
      </c>
      <c r="V16" s="139"/>
      <c r="W16" s="209"/>
      <c r="X16" s="132"/>
      <c r="Y16" s="132"/>
      <c r="Z16" s="132"/>
      <c r="AA16" s="132"/>
      <c r="AB16" s="132"/>
      <c r="AC16" s="132"/>
      <c r="AD16" s="132"/>
      <c r="AE16" s="139"/>
      <c r="AF16" s="139"/>
      <c r="AG16" s="139"/>
      <c r="AH16" s="139"/>
      <c r="AI16" s="139"/>
      <c r="AJ16" s="139"/>
      <c r="AK16" s="408">
        <f>+'[55]2. Distributional by deciles o'!M104</f>
        <v>1978513658.4455988</v>
      </c>
      <c r="AL16" s="1"/>
      <c r="AM16" s="32" cm="1">
        <f t="array" aca="1" ref="AM16" ca="1">INDIRECT("'1"&amp;$C$8&amp;"'!W16")</f>
        <v>2.0233410644730911</v>
      </c>
      <c r="AN16" s="524">
        <f t="shared" ca="1" si="1"/>
        <v>2160791460.6316061</v>
      </c>
      <c r="AO16" s="524">
        <f t="shared" ca="1" si="2"/>
        <v>2165379339.0738688</v>
      </c>
      <c r="AP16" s="524">
        <f t="shared" ca="1" si="3"/>
        <v>2160791460.6316061</v>
      </c>
      <c r="AQ16" s="525">
        <f t="shared" si="4"/>
        <v>0.11816924507092952</v>
      </c>
      <c r="AR16" s="344">
        <f t="shared" si="5"/>
        <v>0.11816924507092952</v>
      </c>
      <c r="AS16" s="41">
        <f t="shared" si="6"/>
        <v>8.0903650318211409E-2</v>
      </c>
      <c r="AT16" s="1"/>
      <c r="AU16" s="1"/>
      <c r="AV16" s="1"/>
      <c r="AW16" s="1"/>
      <c r="AX16" s="1"/>
      <c r="AY16" s="1"/>
      <c r="AZ16" s="1"/>
      <c r="BA16" s="1"/>
      <c r="BB16" s="1"/>
      <c r="BC16" s="1"/>
      <c r="BD16" s="1"/>
      <c r="BE16" s="1"/>
      <c r="BF16" s="1"/>
      <c r="BG16" s="1"/>
      <c r="BH16" s="1"/>
      <c r="BI16" s="1"/>
      <c r="BJ16" s="1"/>
      <c r="BK16" s="1"/>
      <c r="BL16" s="1"/>
      <c r="BM16" s="1"/>
      <c r="BN16" s="1"/>
    </row>
    <row r="17" spans="1:66" x14ac:dyDescent="0.3">
      <c r="A17" s="1"/>
      <c r="B17" s="28">
        <v>6</v>
      </c>
      <c r="C17" s="129">
        <f>+'[55]2. Distributional by deciles o'!B105</f>
        <v>2148339773.4803996</v>
      </c>
      <c r="D17" s="129">
        <f>+'[55]2. Distributional by deciles o'!C105</f>
        <v>2129999204.8427975</v>
      </c>
      <c r="E17" s="129">
        <f>+'[55]2. Distributional by deciles o'!D105</f>
        <v>2203441611.3671999</v>
      </c>
      <c r="F17" s="129">
        <f>+'[55]2. Distributional by deciles o'!E105</f>
        <v>2276936413.0536022</v>
      </c>
      <c r="G17" s="129">
        <f>+'[55]2. Distributional by deciles o'!F105</f>
        <v>2417502232.3164001</v>
      </c>
      <c r="H17" s="129">
        <f>+'[55]2. Distributional by deciles o'!H105</f>
        <v>2660865218.7311993</v>
      </c>
      <c r="I17" s="129">
        <f>+'[55]2. Distributional by deciles o'!I105</f>
        <v>2393770250.5056019</v>
      </c>
      <c r="J17" s="129">
        <f>+'[55]2. Distributional by deciles o'!J105</f>
        <v>2413041316.6008005</v>
      </c>
      <c r="K17" s="129">
        <f>+'[55]2. Distributional by deciles o'!K105</f>
        <v>2338335101.5727987</v>
      </c>
      <c r="L17" s="139"/>
      <c r="M17" s="139"/>
      <c r="N17" s="139"/>
      <c r="O17" s="139"/>
      <c r="P17" s="129">
        <f>+'[55]2. Distributional by deciles o'!B123</f>
        <v>12877127953.720798</v>
      </c>
      <c r="Q17" s="129">
        <f>+'[55]2. Distributional by deciles o'!C123</f>
        <v>12959524949.973598</v>
      </c>
      <c r="R17" s="129">
        <f>+'[55]2. Distributional by deciles o'!D123</f>
        <v>13321421895.778801</v>
      </c>
      <c r="S17" s="129">
        <f>+'[55]2. Distributional by deciles o'!E123</f>
        <v>13713002855.163597</v>
      </c>
      <c r="T17" s="129">
        <f>+'[55]2. Distributional by deciles o'!F123</f>
        <v>14406700173.021599</v>
      </c>
      <c r="U17" s="209">
        <f t="shared" si="0"/>
        <v>0.11878209370893433</v>
      </c>
      <c r="V17" s="139"/>
      <c r="W17" s="209"/>
      <c r="X17" s="132"/>
      <c r="Y17" s="132"/>
      <c r="Z17" s="132"/>
      <c r="AA17" s="132"/>
      <c r="AB17" s="132"/>
      <c r="AC17" s="132"/>
      <c r="AD17" s="132"/>
      <c r="AE17" s="139"/>
      <c r="AF17" s="139"/>
      <c r="AG17" s="139"/>
      <c r="AH17" s="139"/>
      <c r="AI17" s="139"/>
      <c r="AJ17" s="139"/>
      <c r="AK17" s="408">
        <f>+'[55]2. Distributional by deciles o'!M105</f>
        <v>2445520719.1596003</v>
      </c>
      <c r="AL17" s="1"/>
      <c r="AM17" s="32" cm="1">
        <f t="array" aca="1" ref="AM17" ca="1">INDIRECT("'1"&amp;$C$8&amp;"'!W17")</f>
        <v>2.0186965791648412</v>
      </c>
      <c r="AN17" s="524">
        <f t="shared" ca="1" si="1"/>
        <v>2663479439.4620099</v>
      </c>
      <c r="AO17" s="524">
        <f t="shared" ca="1" si="2"/>
        <v>2666460700.9882364</v>
      </c>
      <c r="AP17" s="524">
        <f t="shared" ca="1" si="3"/>
        <v>2663479439.4620099</v>
      </c>
      <c r="AQ17" s="525">
        <f t="shared" si="4"/>
        <v>0.11878209370893433</v>
      </c>
      <c r="AR17" s="344">
        <f t="shared" si="5"/>
        <v>0.11878209370893433</v>
      </c>
      <c r="AS17" s="41">
        <f t="shared" si="6"/>
        <v>9.2347761815253074E-2</v>
      </c>
      <c r="AT17" s="1"/>
      <c r="AU17" s="1"/>
      <c r="AV17" s="1"/>
      <c r="AW17" s="1"/>
      <c r="AX17" s="1"/>
      <c r="AY17" s="1"/>
      <c r="AZ17" s="1"/>
      <c r="BA17" s="1"/>
      <c r="BB17" s="1"/>
      <c r="BC17" s="1"/>
      <c r="BD17" s="1"/>
      <c r="BE17" s="1"/>
      <c r="BF17" s="1"/>
      <c r="BG17" s="1"/>
      <c r="BH17" s="1"/>
      <c r="BI17" s="1"/>
      <c r="BJ17" s="1"/>
      <c r="BK17" s="1"/>
      <c r="BL17" s="1"/>
      <c r="BM17" s="1"/>
      <c r="BN17" s="1"/>
    </row>
    <row r="18" spans="1:66" x14ac:dyDescent="0.3">
      <c r="A18" s="1"/>
      <c r="B18" s="28">
        <v>7</v>
      </c>
      <c r="C18" s="129">
        <f>+'[55]2. Distributional by deciles o'!B106</f>
        <v>2735256413.4816008</v>
      </c>
      <c r="D18" s="129">
        <f>+'[55]2. Distributional by deciles o'!C106</f>
        <v>2715938532.8675985</v>
      </c>
      <c r="E18" s="129">
        <f>+'[55]2. Distributional by deciles o'!D106</f>
        <v>2811678104.0963955</v>
      </c>
      <c r="F18" s="129">
        <f>+'[55]2. Distributional by deciles o'!E106</f>
        <v>2906187093.9324017</v>
      </c>
      <c r="G18" s="129">
        <f>+'[55]2. Distributional by deciles o'!F106</f>
        <v>3076305206.7180033</v>
      </c>
      <c r="H18" s="129">
        <f>+'[55]2. Distributional by deciles o'!H106</f>
        <v>3345932823.6972008</v>
      </c>
      <c r="I18" s="129">
        <f>+'[55]2. Distributional by deciles o'!I106</f>
        <v>3052502995.7880011</v>
      </c>
      <c r="J18" s="129">
        <f>+'[55]2. Distributional by deciles o'!J106</f>
        <v>3074053789.5564008</v>
      </c>
      <c r="K18" s="129">
        <f>+'[55]2. Distributional by deciles o'!K106</f>
        <v>2990392944.2123985</v>
      </c>
      <c r="L18" s="139"/>
      <c r="M18" s="139"/>
      <c r="N18" s="139"/>
      <c r="O18" s="139"/>
      <c r="P18" s="129">
        <f>+'[55]2. Distributional by deciles o'!B124</f>
        <v>14995619955.769211</v>
      </c>
      <c r="Q18" s="129">
        <f>+'[55]2. Distributional by deciles o'!C124</f>
        <v>15086914015.844406</v>
      </c>
      <c r="R18" s="129">
        <f>+'[55]2. Distributional by deciles o'!D124</f>
        <v>15526746843.908392</v>
      </c>
      <c r="S18" s="129">
        <f>+'[55]2. Distributional by deciles o'!E124</f>
        <v>15987675410.893173</v>
      </c>
      <c r="T18" s="129">
        <f>+'[55]2. Distributional by deciles o'!F124</f>
        <v>16779090372.098377</v>
      </c>
      <c r="U18" s="209">
        <f t="shared" si="0"/>
        <v>0.11893275647086665</v>
      </c>
      <c r="V18" s="139"/>
      <c r="W18" s="209"/>
      <c r="X18" s="132"/>
      <c r="Y18" s="132"/>
      <c r="Z18" s="132"/>
      <c r="AA18" s="132"/>
      <c r="AB18" s="132"/>
      <c r="AC18" s="132"/>
      <c r="AD18" s="132"/>
      <c r="AE18" s="139"/>
      <c r="AF18" s="139"/>
      <c r="AG18" s="139"/>
      <c r="AH18" s="139"/>
      <c r="AI18" s="139"/>
      <c r="AJ18" s="139"/>
      <c r="AK18" s="408">
        <f>+'[55]2. Distributional by deciles o'!M106</f>
        <v>3102419648.3759999</v>
      </c>
      <c r="AL18" s="1"/>
      <c r="AM18" s="32" cm="1">
        <f t="array" aca="1" ref="AM18" ca="1">INDIRECT("'1"&amp;$C$8&amp;"'!W18")</f>
        <v>1.9065465682091418</v>
      </c>
      <c r="AN18" s="524">
        <f t="shared" ca="1" si="1"/>
        <v>3355478099.2904062</v>
      </c>
      <c r="AO18" s="524">
        <f t="shared" ca="1" si="2"/>
        <v>3358277263.4043002</v>
      </c>
      <c r="AP18" s="524">
        <f t="shared" ca="1" si="3"/>
        <v>3355478099.2904062</v>
      </c>
      <c r="AQ18" s="525">
        <f t="shared" si="4"/>
        <v>0.11893275647086665</v>
      </c>
      <c r="AR18" s="344">
        <f t="shared" si="5"/>
        <v>0.11893275647086665</v>
      </c>
      <c r="AS18" s="41">
        <f t="shared" si="6"/>
        <v>0.10754043486438251</v>
      </c>
      <c r="AT18" s="1"/>
      <c r="AU18" s="1"/>
      <c r="AV18" s="1"/>
      <c r="AW18" s="1"/>
      <c r="AX18" s="1"/>
      <c r="AY18" s="1"/>
      <c r="AZ18" s="1"/>
      <c r="BA18" s="1"/>
      <c r="BB18" s="1"/>
      <c r="BC18" s="1"/>
      <c r="BD18" s="1"/>
      <c r="BE18" s="1"/>
      <c r="BF18" s="1"/>
      <c r="BG18" s="1"/>
      <c r="BH18" s="1"/>
      <c r="BI18" s="1"/>
      <c r="BJ18" s="1"/>
      <c r="BK18" s="1"/>
      <c r="BL18" s="1"/>
      <c r="BM18" s="1"/>
      <c r="BN18" s="1"/>
    </row>
    <row r="19" spans="1:66" x14ac:dyDescent="0.3">
      <c r="A19" s="1"/>
      <c r="B19" s="28">
        <v>8</v>
      </c>
      <c r="C19" s="129">
        <f>+'[55]2. Distributional by deciles o'!B107</f>
        <v>3470485114.8816013</v>
      </c>
      <c r="D19" s="129">
        <f>+'[55]2. Distributional by deciles o'!C107</f>
        <v>3442870634.6483994</v>
      </c>
      <c r="E19" s="129">
        <f>+'[55]2. Distributional by deciles o'!D107</f>
        <v>3573427471.4675951</v>
      </c>
      <c r="F19" s="129">
        <f>+'[55]2. Distributional by deciles o'!E107</f>
        <v>3698744068.7123976</v>
      </c>
      <c r="G19" s="129">
        <f>+'[55]2. Distributional by deciles o'!F107</f>
        <v>3917028731.9844065</v>
      </c>
      <c r="H19" s="129">
        <f>+'[55]2. Distributional by deciles o'!H107</f>
        <v>4218059820.9635983</v>
      </c>
      <c r="I19" s="129">
        <f>+'[55]2. Distributional by deciles o'!I107</f>
        <v>3887709827.0027981</v>
      </c>
      <c r="J19" s="129">
        <f>+'[55]2. Distributional by deciles o'!J107</f>
        <v>3911381360.4083991</v>
      </c>
      <c r="K19" s="129">
        <f>+'[55]2. Distributional by deciles o'!K107</f>
        <v>3819533540.8044019</v>
      </c>
      <c r="L19" s="139"/>
      <c r="M19" s="139"/>
      <c r="N19" s="139"/>
      <c r="O19" s="139"/>
      <c r="P19" s="129">
        <f>+'[55]2. Distributional by deciles o'!B125</f>
        <v>17446179191.781578</v>
      </c>
      <c r="Q19" s="129">
        <f>+'[55]2. Distributional by deciles o'!C125</f>
        <v>17525330391.548389</v>
      </c>
      <c r="R19" s="129">
        <f>+'[55]2. Distributional by deciles o'!D125</f>
        <v>18084128470.830032</v>
      </c>
      <c r="S19" s="129">
        <f>+'[55]2. Distributional by deciles o'!E125</f>
        <v>18637060564.269611</v>
      </c>
      <c r="T19" s="129">
        <f>+'[55]2. Distributional by deciles o'!F125</f>
        <v>19539790181.336422</v>
      </c>
      <c r="U19" s="209">
        <f t="shared" si="0"/>
        <v>0.12000398290882441</v>
      </c>
      <c r="V19" s="139"/>
      <c r="W19" s="209"/>
      <c r="X19" s="132"/>
      <c r="Y19" s="132"/>
      <c r="Z19" s="132"/>
      <c r="AA19" s="132"/>
      <c r="AB19" s="132"/>
      <c r="AC19" s="132"/>
      <c r="AD19" s="132"/>
      <c r="AE19" s="139"/>
      <c r="AF19" s="139"/>
      <c r="AG19" s="139"/>
      <c r="AH19" s="139"/>
      <c r="AI19" s="139"/>
      <c r="AJ19" s="139"/>
      <c r="AK19" s="408">
        <f>+'[55]2. Distributional by deciles o'!M107</f>
        <v>3929862084.2268004</v>
      </c>
      <c r="AL19" s="1"/>
      <c r="AM19" s="32" cm="1">
        <f t="array" aca="1" ref="AM19" ca="1">INDIRECT("'1"&amp;$C$8&amp;"'!W19")</f>
        <v>1.7974313155006783</v>
      </c>
      <c r="AN19" s="524">
        <f t="shared" ca="1" si="1"/>
        <v>4219064995.1581163</v>
      </c>
      <c r="AO19" s="524">
        <f t="shared" ca="1" si="2"/>
        <v>4215731036.8711824</v>
      </c>
      <c r="AP19" s="524">
        <f t="shared" ca="1" si="3"/>
        <v>3932164448.7623649</v>
      </c>
      <c r="AQ19" s="525">
        <f t="shared" si="4"/>
        <v>0.12000398290882441</v>
      </c>
      <c r="AR19" s="526">
        <f>U19-AP31*AS21/SUM(AS19:AS20)</f>
        <v>7.4011285037368868E-2</v>
      </c>
      <c r="AS19" s="41">
        <f t="shared" si="6"/>
        <v>0.12511451360730974</v>
      </c>
      <c r="AT19" s="1"/>
      <c r="AU19" s="1"/>
      <c r="AV19" s="1"/>
      <c r="AW19" s="1"/>
      <c r="AX19" s="1"/>
      <c r="AY19" s="1"/>
      <c r="AZ19" s="1"/>
      <c r="BA19" s="1"/>
      <c r="BB19" s="1"/>
      <c r="BC19" s="1"/>
      <c r="BD19" s="1"/>
      <c r="BE19" s="1"/>
      <c r="BF19" s="1"/>
      <c r="BG19" s="1"/>
      <c r="BH19" s="1"/>
      <c r="BI19" s="1"/>
      <c r="BJ19" s="1"/>
      <c r="BK19" s="1"/>
      <c r="BL19" s="1"/>
      <c r="BM19" s="1"/>
      <c r="BN19" s="1"/>
    </row>
    <row r="20" spans="1:66" x14ac:dyDescent="0.3">
      <c r="A20" s="1"/>
      <c r="B20" s="28">
        <v>9</v>
      </c>
      <c r="C20" s="129">
        <f>+'[55]2. Distributional by deciles o'!B108</f>
        <v>4589044995.7056036</v>
      </c>
      <c r="D20" s="129">
        <f>+'[55]2. Distributional by deciles o'!C108</f>
        <v>4560295272.0588007</v>
      </c>
      <c r="E20" s="129">
        <f>+'[55]2. Distributional by deciles o'!D108</f>
        <v>4734076386.4091988</v>
      </c>
      <c r="F20" s="129">
        <f>+'[55]2. Distributional by deciles o'!E108</f>
        <v>4900587949.9679995</v>
      </c>
      <c r="G20" s="129">
        <f>+'[55]2. Distributional by deciles o'!F108</f>
        <v>5196143818.8960028</v>
      </c>
      <c r="H20" s="129">
        <f>+'[55]2. Distributional by deciles o'!H108</f>
        <v>5520796776.7368021</v>
      </c>
      <c r="I20" s="129">
        <f>+'[55]2. Distributional by deciles o'!I108</f>
        <v>5144903808.0515985</v>
      </c>
      <c r="J20" s="129">
        <f>+'[55]2. Distributional by deciles o'!J108</f>
        <v>5172151248.5759964</v>
      </c>
      <c r="K20" s="129">
        <f>+'[55]2. Distributional by deciles o'!K108</f>
        <v>5066662734.3900013</v>
      </c>
      <c r="L20" s="139"/>
      <c r="M20" s="139"/>
      <c r="N20" s="139"/>
      <c r="O20" s="139"/>
      <c r="P20" s="129">
        <f>+'[55]2. Distributional by deciles o'!B126</f>
        <v>20688384170.528397</v>
      </c>
      <c r="Q20" s="129">
        <f>+'[55]2. Distributional by deciles o'!C126</f>
        <v>20772136630.666786</v>
      </c>
      <c r="R20" s="129">
        <f>+'[55]2. Distributional by deciles o'!D126</f>
        <v>21459334126.616436</v>
      </c>
      <c r="S20" s="129">
        <f>+'[55]2. Distributional by deciles o'!E126</f>
        <v>22122178162.274441</v>
      </c>
      <c r="T20" s="129">
        <f>+'[55]2. Distributional by deciles o'!F126</f>
        <v>23176405139.955616</v>
      </c>
      <c r="U20" s="209">
        <f t="shared" si="0"/>
        <v>0.1202617347454098</v>
      </c>
      <c r="V20" s="139"/>
      <c r="W20" s="209"/>
      <c r="X20" s="132"/>
      <c r="Y20" s="132"/>
      <c r="Z20" s="132"/>
      <c r="AA20" s="132"/>
      <c r="AB20" s="132"/>
      <c r="AC20" s="132"/>
      <c r="AD20" s="132"/>
      <c r="AE20" s="139"/>
      <c r="AF20" s="139"/>
      <c r="AG20" s="139"/>
      <c r="AH20" s="139"/>
      <c r="AI20" s="139"/>
      <c r="AJ20" s="139"/>
      <c r="AK20" s="408">
        <f>+'[55]2. Distributional by deciles o'!M108</f>
        <v>5172526140.0636034</v>
      </c>
      <c r="AL20" s="1"/>
      <c r="AM20" s="32" cm="1">
        <f t="array" aca="1" ref="AM20" ca="1">INDIRECT("'1"&amp;$C$8&amp;"'!W20")</f>
        <v>1.6946722549176536</v>
      </c>
      <c r="AN20" s="524">
        <f t="shared" ca="1" si="1"/>
        <v>5524311755.4693441</v>
      </c>
      <c r="AO20" s="524">
        <f t="shared" ca="1" si="2"/>
        <v>5518150758.0771313</v>
      </c>
      <c r="AP20" s="524">
        <f t="shared" ca="1" si="3"/>
        <v>5166629890.9752789</v>
      </c>
      <c r="AQ20" s="525">
        <f t="shared" si="4"/>
        <v>0.1202617347454098</v>
      </c>
      <c r="AR20" s="526">
        <f>U20-AP31*AS21/SUM(AS19:AS20)</f>
        <v>7.4269036873954253E-2</v>
      </c>
      <c r="AS20" s="41">
        <f t="shared" si="6"/>
        <v>0.1483658452869818</v>
      </c>
      <c r="AT20" s="1"/>
      <c r="AU20" s="1"/>
      <c r="AV20" s="1"/>
      <c r="AW20" s="1"/>
      <c r="AX20" s="1"/>
      <c r="AY20" s="1"/>
      <c r="AZ20" s="1"/>
      <c r="BA20" s="1"/>
      <c r="BB20" s="1"/>
      <c r="BC20" s="1"/>
      <c r="BD20" s="1"/>
      <c r="BE20" s="1"/>
      <c r="BF20" s="1"/>
      <c r="BG20" s="1"/>
      <c r="BH20" s="1"/>
      <c r="BI20" s="1"/>
      <c r="BJ20" s="1"/>
      <c r="BK20" s="1"/>
      <c r="BL20" s="1"/>
      <c r="BM20" s="1"/>
      <c r="BN20" s="1"/>
    </row>
    <row r="21" spans="1:66" x14ac:dyDescent="0.3">
      <c r="A21" s="1"/>
      <c r="B21" s="33">
        <v>10</v>
      </c>
      <c r="C21" s="129">
        <f>+'[55]2. Distributional by deciles o'!B109</f>
        <v>10116078763.033199</v>
      </c>
      <c r="D21" s="129">
        <f>+'[55]2. Distributional by deciles o'!C109</f>
        <v>10037647963.323587</v>
      </c>
      <c r="E21" s="129">
        <f>+'[55]2. Distributional by deciles o'!D109</f>
        <v>10466341500.10561</v>
      </c>
      <c r="F21" s="129">
        <f>+'[55]2. Distributional by deciles o'!E109</f>
        <v>10844565272.583588</v>
      </c>
      <c r="G21" s="129">
        <f>+'[55]2. Distributional by deciles o'!F109</f>
        <v>11507029412.014799</v>
      </c>
      <c r="H21" s="129">
        <f>+'[55]2. Distributional by deciles o'!H109</f>
        <v>11865352986.359993</v>
      </c>
      <c r="I21" s="129">
        <f>+'[55]2. Distributional by deciles o'!I109</f>
        <v>11360360808.440411</v>
      </c>
      <c r="J21" s="129">
        <f>+'[55]2. Distributional by deciles o'!J109</f>
        <v>11397058876.176001</v>
      </c>
      <c r="K21" s="129">
        <f>+'[55]2. Distributional by deciles o'!K109</f>
        <v>11254591058.277611</v>
      </c>
      <c r="L21" s="139"/>
      <c r="M21" s="139"/>
      <c r="N21" s="139"/>
      <c r="O21" s="139"/>
      <c r="P21" s="129">
        <f>+'[55]2. Distributional by deciles o'!B127</f>
        <v>35078229023.652023</v>
      </c>
      <c r="Q21" s="129">
        <f>+'[55]2. Distributional by deciles o'!C127</f>
        <v>35000710173.625168</v>
      </c>
      <c r="R21" s="129">
        <f>+'[55]2. Distributional by deciles o'!D127</f>
        <v>36383324875.192734</v>
      </c>
      <c r="S21" s="129">
        <f>+'[55]2. Distributional by deciles o'!E127</f>
        <v>37576819790.937637</v>
      </c>
      <c r="T21" s="129">
        <f>+'[55]2. Distributional by deciles o'!F127</f>
        <v>39359216542.252861</v>
      </c>
      <c r="U21" s="209">
        <f t="shared" si="0"/>
        <v>0.12204115309567998</v>
      </c>
      <c r="V21" s="139"/>
      <c r="W21" s="209"/>
      <c r="X21" s="132"/>
      <c r="Y21" s="132"/>
      <c r="Z21" s="132"/>
      <c r="AA21" s="132"/>
      <c r="AB21" s="132"/>
      <c r="AC21" s="132"/>
      <c r="AD21" s="132"/>
      <c r="AE21" s="139"/>
      <c r="AF21" s="139"/>
      <c r="AG21" s="139"/>
      <c r="AH21" s="139"/>
      <c r="AI21" s="139"/>
      <c r="AJ21" s="139"/>
      <c r="AK21" s="408">
        <f>+'[55]2. Distributional by deciles o'!M109</f>
        <v>11204827260.115191</v>
      </c>
      <c r="AL21" s="1"/>
      <c r="AM21" s="32" cm="1">
        <f t="array" aca="1" ref="AM21" ca="1">INDIRECT("'1"&amp;$C$8&amp;"'!W21")</f>
        <v>1.4227458805019833</v>
      </c>
      <c r="AN21" s="524">
        <f t="shared" ca="1" si="1"/>
        <v>11872569408.670952</v>
      </c>
      <c r="AO21" s="524">
        <f t="shared" ca="1" si="2"/>
        <v>11835556896.250546</v>
      </c>
      <c r="AP21" s="524">
        <f t="shared" ca="1" si="3"/>
        <v>12592199878.017906</v>
      </c>
      <c r="AQ21" s="525">
        <f t="shared" si="4"/>
        <v>0.12204115309567998</v>
      </c>
      <c r="AR21" s="527">
        <f>U21+AP31</f>
        <v>0.17204115309567997</v>
      </c>
      <c r="AS21" s="41">
        <f t="shared" si="6"/>
        <v>0.25156199040804766</v>
      </c>
      <c r="AT21" s="1"/>
      <c r="AU21" s="1"/>
      <c r="AV21" s="1"/>
      <c r="AW21" s="1"/>
      <c r="AX21" s="1"/>
      <c r="AY21" s="1"/>
      <c r="AZ21" s="1"/>
      <c r="BA21" s="1"/>
      <c r="BB21" s="1"/>
      <c r="BC21" s="1"/>
      <c r="BD21" s="1"/>
      <c r="BE21" s="1"/>
      <c r="BF21" s="1"/>
      <c r="BG21" s="1"/>
      <c r="BH21" s="1"/>
      <c r="BI21" s="1"/>
      <c r="BJ21" s="1"/>
      <c r="BK21" s="1"/>
      <c r="BL21" s="1"/>
      <c r="BM21" s="1"/>
      <c r="BN21" s="1"/>
    </row>
    <row r="22" spans="1:66" ht="13.2" customHeight="1" x14ac:dyDescent="0.3">
      <c r="A22" s="1"/>
      <c r="B22" s="34" t="s">
        <v>114</v>
      </c>
      <c r="C22" s="129">
        <f>+'[55]2. Distributional by deciles o'!B110</f>
        <v>28128288335.988091</v>
      </c>
      <c r="D22" s="129">
        <f>+'[55]2. Distributional by deciles o'!C110</f>
        <v>27898023164.305264</v>
      </c>
      <c r="E22" s="129">
        <f>+'[55]2. Distributional by deciles o'!D110</f>
        <v>28924235885.041176</v>
      </c>
      <c r="F22" s="129">
        <f>+'[55]2. Distributional by deciles o'!E110</f>
        <v>29907074069.985657</v>
      </c>
      <c r="G22" s="129">
        <f>+'[55]2. Distributional by deciles o'!F110</f>
        <v>31684096410.054005</v>
      </c>
      <c r="H22" s="129">
        <f>+'[55]2. Distributional by deciles o'!H110</f>
        <v>33962814270.572308</v>
      </c>
      <c r="I22" s="129">
        <f>+'[55]2. Distributional by deciles o'!I110</f>
        <v>31371491440.50473</v>
      </c>
      <c r="J22" s="129">
        <f>+'[55]2. Distributional by deciles o'!J110</f>
        <v>31558398218.620686</v>
      </c>
      <c r="K22" s="129">
        <f>+'[55]2. Distributional by deciles o'!K110</f>
        <v>30834818906.193619</v>
      </c>
      <c r="L22" s="139"/>
      <c r="M22" s="139"/>
      <c r="N22" s="139"/>
      <c r="O22" s="139"/>
      <c r="P22" s="129">
        <f>+'[55]2. Distributional by deciles o'!B128</f>
        <v>139441689767.01593</v>
      </c>
      <c r="Q22" s="129">
        <f>+'[55]2. Distributional by deciles o'!C128</f>
        <v>140020717205.75818</v>
      </c>
      <c r="R22" s="129">
        <f>+'[55]2. Distributional by deciles o'!D128</f>
        <v>144309156353.15497</v>
      </c>
      <c r="S22" s="129">
        <f>+'[55]2. Distributional by deciles o'!E128</f>
        <v>148663853958.58017</v>
      </c>
      <c r="T22" s="129">
        <f>+'[55]2. Distributional by deciles o'!F128</f>
        <v>156100721494.14966</v>
      </c>
      <c r="U22" s="210">
        <f t="shared" si="0"/>
        <v>0.11946951987578625</v>
      </c>
      <c r="V22" s="139"/>
      <c r="W22" s="210"/>
      <c r="X22" s="154"/>
      <c r="Y22" s="154"/>
      <c r="Z22" s="154"/>
      <c r="AA22" s="154"/>
      <c r="AB22" s="154"/>
      <c r="AC22" s="154"/>
      <c r="AD22" s="154"/>
      <c r="AE22" s="161"/>
      <c r="AF22" s="161"/>
      <c r="AG22" s="161"/>
      <c r="AH22" s="161"/>
      <c r="AI22" s="162"/>
      <c r="AJ22" s="162"/>
      <c r="AK22" s="408">
        <f>+'[55]2. Distributional by deciles o'!M110</f>
        <v>31547265449.451637</v>
      </c>
      <c r="AL22" s="1"/>
      <c r="AM22" s="534" cm="1">
        <f t="array" aca="1" ref="AM22" ca="1">INDIRECT("'1"&amp;$C$8&amp;"'!W22")</f>
        <v>1.7423543356823485</v>
      </c>
      <c r="AN22" s="528">
        <f ca="1">SUM(AN12:AN21)</f>
        <v>33995823216.795425</v>
      </c>
      <c r="AO22" s="528">
        <f ca="1">SUM(AO12:AO21)</f>
        <v>33983432906.557606</v>
      </c>
      <c r="AP22" s="528">
        <f ca="1">SUM(AP12:AP21)</f>
        <v>34070871275.252563</v>
      </c>
      <c r="AQ22" s="529">
        <f>SUMPRODUCT(AQ12:AQ21,AS12:AS21)</f>
        <v>0.11946951987578602</v>
      </c>
      <c r="AR22" s="529">
        <f>SUMPRODUCT(AR12:AR21,AS12:AS21)</f>
        <v>0.11946951987578602</v>
      </c>
      <c r="AS22" s="530"/>
      <c r="AT22" s="1"/>
      <c r="AU22" s="1"/>
      <c r="AV22" s="1"/>
      <c r="AW22" s="1"/>
      <c r="AX22" s="1"/>
      <c r="AY22" s="1"/>
      <c r="AZ22" s="1"/>
      <c r="BA22" s="1"/>
      <c r="BB22" s="1"/>
      <c r="BC22" s="1"/>
      <c r="BD22" s="1"/>
      <c r="BE22" s="1"/>
      <c r="BF22" s="1"/>
      <c r="BG22" s="1"/>
      <c r="BH22" s="1"/>
      <c r="BI22" s="1"/>
      <c r="BJ22" s="1"/>
      <c r="BK22" s="1"/>
      <c r="BL22" s="1"/>
      <c r="BM22" s="1"/>
      <c r="BN22" s="1"/>
    </row>
    <row r="23" spans="1:66" ht="12.6" customHeight="1" x14ac:dyDescent="0.3">
      <c r="A23" s="1"/>
      <c r="B23" s="1"/>
      <c r="C23" s="1"/>
      <c r="D23" s="1"/>
      <c r="E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531"/>
      <c r="AO23" s="531"/>
      <c r="AP23" s="1"/>
      <c r="AQ23" s="1"/>
      <c r="AR23" s="525">
        <f>U22</f>
        <v>0.11946951987578625</v>
      </c>
      <c r="AS23" s="1"/>
      <c r="AT23" s="1"/>
      <c r="AU23" s="1"/>
      <c r="AV23" s="1"/>
      <c r="AW23" s="1"/>
      <c r="AX23" s="1"/>
      <c r="AY23" s="1"/>
      <c r="AZ23" s="1"/>
      <c r="BA23" s="1"/>
      <c r="BB23" s="1"/>
      <c r="BC23" s="1"/>
      <c r="BD23" s="1"/>
      <c r="BE23" s="1"/>
      <c r="BF23" s="1"/>
      <c r="BG23" s="1"/>
      <c r="BH23" s="1"/>
      <c r="BI23" s="1"/>
      <c r="BJ23" s="1"/>
      <c r="BK23" s="1"/>
      <c r="BL23" s="1"/>
      <c r="BM23" s="1"/>
      <c r="BN23" s="1"/>
    </row>
    <row r="24" spans="1:66" ht="13.95" customHeight="1" x14ac:dyDescent="0.3">
      <c r="A24" s="1"/>
      <c r="B24" s="1"/>
      <c r="C24" s="1"/>
      <c r="D24" s="1"/>
      <c r="E24" s="1"/>
      <c r="F24" s="1"/>
      <c r="G24" s="11" t="s">
        <v>151</v>
      </c>
      <c r="H24" s="212">
        <f>U22</f>
        <v>0.11946951987578625</v>
      </c>
      <c r="I24" s="1"/>
      <c r="J24" s="1"/>
      <c r="K24" s="11" t="s">
        <v>151</v>
      </c>
      <c r="L24" s="212"/>
      <c r="M24" s="1"/>
      <c r="O24" s="1"/>
      <c r="P24" s="1"/>
      <c r="Q24" s="1"/>
      <c r="R24" s="1"/>
      <c r="S24" s="1"/>
      <c r="T24" s="1"/>
      <c r="U24" s="1"/>
      <c r="V24" s="1"/>
      <c r="W24" s="1"/>
      <c r="X24" s="1"/>
      <c r="Y24" s="55"/>
      <c r="Z24" s="55"/>
      <c r="AA24" s="55"/>
      <c r="AB24" s="55"/>
      <c r="AC24" s="55"/>
      <c r="AD24" s="55"/>
      <c r="AE24" s="55"/>
      <c r="AF24" s="55"/>
      <c r="AG24" s="55"/>
      <c r="AH24" s="1"/>
      <c r="AI24" s="1"/>
      <c r="AJ24" s="1"/>
      <c r="AK24" s="1"/>
      <c r="AL24" s="1"/>
      <c r="AM24" s="1"/>
      <c r="AN24" s="531">
        <f ca="1">AN22/G22-1</f>
        <v>7.2961740073731907E-2</v>
      </c>
      <c r="AO24" s="531"/>
      <c r="AP24" s="1"/>
      <c r="AQ24" s="1"/>
      <c r="AR24" s="532" t="str">
        <f>IF(AR23-AR22&lt;0.0000000001,"ok","wrong")</f>
        <v>ok</v>
      </c>
      <c r="AS24" s="1"/>
      <c r="AT24" s="1"/>
      <c r="AU24" s="1"/>
      <c r="AV24" s="1"/>
      <c r="AW24" s="1"/>
      <c r="AX24" s="1"/>
      <c r="AY24" s="1"/>
      <c r="AZ24" s="1"/>
      <c r="BA24" s="1"/>
      <c r="BB24" s="1"/>
      <c r="BC24" s="1"/>
      <c r="BD24" s="1"/>
      <c r="BE24" s="1"/>
      <c r="BF24" s="1"/>
      <c r="BG24" s="1"/>
      <c r="BH24" s="1"/>
      <c r="BI24" s="1"/>
      <c r="BJ24" s="1"/>
      <c r="BK24" s="1"/>
      <c r="BL24" s="1"/>
      <c r="BM24" s="1"/>
      <c r="BN24" s="1"/>
    </row>
    <row r="25" spans="1:66" ht="13.95" customHeight="1" x14ac:dyDescent="0.3">
      <c r="A25" s="1"/>
      <c r="B25" s="1"/>
      <c r="C25" s="1"/>
      <c r="D25" s="1"/>
      <c r="E25" s="1"/>
      <c r="F25" s="1"/>
      <c r="G25" s="11" t="s">
        <v>152</v>
      </c>
      <c r="H25" s="213">
        <v>0.1105</v>
      </c>
      <c r="I25" s="1"/>
      <c r="J25" s="1"/>
      <c r="K25" s="11" t="s">
        <v>152</v>
      </c>
      <c r="L25" s="139"/>
      <c r="M25" s="1"/>
      <c r="N25" s="1"/>
      <c r="O25" s="1"/>
      <c r="P25" s="1"/>
      <c r="Q25" s="1"/>
      <c r="R25" s="1"/>
      <c r="S25" s="1"/>
      <c r="T25" s="1"/>
      <c r="U25" s="1"/>
      <c r="V25" s="1"/>
      <c r="W25" s="1"/>
      <c r="X25" s="1"/>
      <c r="Y25" s="55"/>
      <c r="Z25" s="55"/>
      <c r="AA25" s="55"/>
      <c r="AB25" s="55"/>
      <c r="AC25" s="55"/>
      <c r="AD25" s="55"/>
      <c r="AE25" s="55"/>
      <c r="AF25" s="55"/>
      <c r="AG25" s="55"/>
      <c r="AH25" s="1"/>
      <c r="AI25" s="1"/>
      <c r="AJ25" s="1"/>
      <c r="AK25" s="1"/>
      <c r="AL25" s="1"/>
      <c r="AM25" s="1"/>
      <c r="AN25" s="1"/>
      <c r="AO25" s="531"/>
      <c r="AP25" s="1"/>
      <c r="AQ25" s="1"/>
      <c r="AR25" s="532" t="str">
        <f>IF(AQ22-AR22&lt;0.0000000001,"ok","wrong")</f>
        <v>ok</v>
      </c>
      <c r="AS25" s="1"/>
      <c r="AT25" s="1"/>
      <c r="AU25" s="1"/>
      <c r="AV25" s="1"/>
      <c r="AW25" s="1"/>
      <c r="AX25" s="1"/>
      <c r="AY25" s="1"/>
      <c r="AZ25" s="1"/>
      <c r="BA25" s="1"/>
      <c r="BB25" s="1"/>
      <c r="BC25" s="1"/>
      <c r="BD25" s="1"/>
      <c r="BE25" s="1"/>
      <c r="BF25" s="1"/>
      <c r="BG25" s="1"/>
      <c r="BH25" s="1"/>
      <c r="BI25" s="1"/>
      <c r="BJ25" s="1"/>
      <c r="BK25" s="1"/>
      <c r="BL25" s="1"/>
      <c r="BM25" s="1"/>
      <c r="BN25" s="1"/>
    </row>
    <row r="26" spans="1:66" ht="13.95" customHeight="1" x14ac:dyDescent="0.3">
      <c r="A26" s="1"/>
      <c r="B26" s="1"/>
      <c r="C26" s="1"/>
      <c r="D26" s="1"/>
      <c r="E26" s="1"/>
      <c r="F26" s="1"/>
      <c r="G26" s="11" t="s">
        <v>153</v>
      </c>
      <c r="H26" s="213">
        <v>0.1457</v>
      </c>
      <c r="I26" s="1"/>
      <c r="J26" s="1"/>
      <c r="K26" s="11" t="s">
        <v>153</v>
      </c>
      <c r="L26" s="139"/>
      <c r="M26" s="1"/>
      <c r="N26" s="1"/>
      <c r="O26" s="1"/>
      <c r="P26" s="1"/>
      <c r="Q26" s="1"/>
      <c r="R26" s="1"/>
      <c r="S26" s="1"/>
      <c r="T26" s="1"/>
      <c r="U26" s="1"/>
      <c r="V26" s="1"/>
      <c r="W26" s="1"/>
      <c r="X26" s="1"/>
      <c r="Y26" s="55"/>
      <c r="Z26" s="55"/>
      <c r="AA26" s="55"/>
      <c r="AB26" s="55"/>
      <c r="AC26" s="55"/>
      <c r="AD26" s="55"/>
      <c r="AE26" s="55"/>
      <c r="AF26" s="55"/>
      <c r="AG26" s="55"/>
      <c r="AH26" s="1"/>
      <c r="AI26" s="1"/>
      <c r="AJ26" s="1"/>
      <c r="AK26" s="1"/>
      <c r="AL26" s="1"/>
      <c r="AM26" s="8" t="s">
        <v>571</v>
      </c>
      <c r="AN26" s="533"/>
      <c r="AO26" s="535">
        <f ca="1">AO22/$AN22-1</f>
        <v>-3.6446566270231795E-4</v>
      </c>
      <c r="AP26" s="536">
        <f ca="1">AP22/$AN22-1</f>
        <v>2.2075670290007121E-3</v>
      </c>
      <c r="AQ26" s="1"/>
      <c r="AR26" s="1"/>
      <c r="AS26" s="1"/>
      <c r="AT26" s="1"/>
      <c r="AU26" s="1"/>
      <c r="AV26" s="1"/>
      <c r="AW26" s="1"/>
      <c r="AX26" s="1"/>
      <c r="AY26" s="1"/>
      <c r="AZ26" s="1"/>
      <c r="BA26" s="1"/>
      <c r="BB26" s="1"/>
      <c r="BC26" s="1"/>
      <c r="BD26" s="1"/>
      <c r="BE26" s="1"/>
      <c r="BF26" s="1"/>
      <c r="BG26" s="1"/>
      <c r="BH26" s="1"/>
      <c r="BI26" s="1"/>
      <c r="BJ26" s="1"/>
      <c r="BK26" s="1"/>
      <c r="BL26" s="1"/>
      <c r="BM26" s="1"/>
      <c r="BN26" s="1"/>
    </row>
    <row r="27" spans="1:66" ht="9" customHeight="1" x14ac:dyDescent="0.3">
      <c r="A27" s="1"/>
      <c r="B27" s="1"/>
      <c r="C27" s="1"/>
      <c r="D27" s="1"/>
      <c r="E27" s="1"/>
      <c r="F27" s="1"/>
      <c r="G27" s="1"/>
      <c r="H27" s="1"/>
      <c r="I27" s="1"/>
      <c r="J27" s="1"/>
      <c r="K27" s="1"/>
      <c r="L27" s="1"/>
      <c r="M27" s="1"/>
      <c r="N27" s="1"/>
      <c r="O27" s="1"/>
      <c r="P27" s="1"/>
      <c r="Q27" s="1"/>
      <c r="R27" s="1"/>
      <c r="S27" s="1"/>
      <c r="T27" s="55"/>
      <c r="U27" s="55"/>
      <c r="V27" s="55"/>
      <c r="W27" s="55"/>
      <c r="X27" s="55"/>
      <c r="Y27" s="55"/>
      <c r="Z27" s="55"/>
      <c r="AA27" s="55"/>
      <c r="AB27" s="55"/>
      <c r="AC27" s="55"/>
      <c r="AD27" s="55"/>
      <c r="AE27" s="55"/>
      <c r="AF27" s="55"/>
      <c r="AG27" s="55"/>
      <c r="AH27" s="1"/>
      <c r="AI27" s="1"/>
      <c r="AJ27" s="1"/>
      <c r="AK27" s="1"/>
      <c r="AL27" s="1"/>
      <c r="AM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row>
    <row r="28" spans="1:66" ht="12" customHeight="1" thickBot="1" x14ac:dyDescent="0.35">
      <c r="A28" s="214"/>
      <c r="B28" s="214"/>
      <c r="C28" s="214"/>
      <c r="D28" s="214"/>
      <c r="E28" s="214"/>
      <c r="F28" s="214"/>
      <c r="G28" s="214"/>
      <c r="H28" s="214"/>
      <c r="I28" s="214"/>
      <c r="J28" s="214"/>
      <c r="K28" s="214"/>
      <c r="L28" s="214"/>
      <c r="M28" s="214"/>
      <c r="N28" s="214"/>
      <c r="O28" s="214"/>
      <c r="P28" s="214"/>
      <c r="Q28" s="214"/>
      <c r="R28" s="214"/>
      <c r="S28" s="214"/>
      <c r="T28" s="215"/>
      <c r="U28" s="215"/>
      <c r="V28" s="215"/>
      <c r="W28" s="215"/>
      <c r="X28" s="215"/>
      <c r="Y28" s="215"/>
      <c r="Z28" s="215"/>
      <c r="AA28" s="214"/>
      <c r="AB28" s="214"/>
      <c r="AC28" s="214"/>
      <c r="AD28" s="214"/>
      <c r="AE28" s="214"/>
      <c r="AF28" s="214"/>
      <c r="AG28" s="214"/>
      <c r="AH28" s="214"/>
      <c r="AI28" s="214"/>
      <c r="AJ28" s="1"/>
      <c r="AK28" s="1"/>
      <c r="AL28" s="1"/>
      <c r="AM28" s="8" t="s">
        <v>572</v>
      </c>
      <c r="AN28" s="8"/>
      <c r="AO28" s="535">
        <f ca="1">(AO22-$AN22)/($W$37*1000000)</f>
        <v>-4.1673463114181644E-3</v>
      </c>
      <c r="AP28" s="536">
        <f ca="1">(AP22-$AN22)/($W$37*1000000)</f>
        <v>2.5241599571560368E-2</v>
      </c>
      <c r="AQ28" s="1"/>
      <c r="AR28" s="1"/>
      <c r="AS28" s="1"/>
      <c r="AT28" s="1"/>
      <c r="AU28" s="1"/>
      <c r="AV28" s="1"/>
      <c r="AW28" s="1"/>
      <c r="AX28" s="1"/>
      <c r="AY28" s="1"/>
      <c r="AZ28" s="1"/>
      <c r="BA28" s="1"/>
      <c r="BB28" s="1"/>
      <c r="BC28" s="1"/>
      <c r="BD28" s="1"/>
      <c r="BE28" s="1"/>
      <c r="BF28" s="1"/>
      <c r="BG28" s="1"/>
      <c r="BH28" s="1"/>
      <c r="BI28" s="1"/>
      <c r="BJ28" s="1"/>
      <c r="BK28" s="1"/>
      <c r="BL28" s="1"/>
      <c r="BM28" s="1"/>
      <c r="BN28" s="1"/>
    </row>
    <row r="29" spans="1:66" ht="12" customHeight="1" thickBot="1" x14ac:dyDescent="0.35">
      <c r="A29" s="214"/>
      <c r="B29" s="216" t="s">
        <v>154</v>
      </c>
      <c r="C29" s="217"/>
      <c r="D29" s="217"/>
      <c r="E29" s="217"/>
      <c r="F29" s="217"/>
      <c r="G29" s="217"/>
      <c r="H29" s="217"/>
      <c r="I29" s="217"/>
      <c r="J29" s="217"/>
      <c r="K29" s="217"/>
      <c r="L29" s="217"/>
      <c r="M29" s="217"/>
      <c r="N29" s="217"/>
      <c r="O29" s="217"/>
      <c r="P29" s="217"/>
      <c r="Q29" s="217"/>
      <c r="R29" s="217"/>
      <c r="S29" s="217"/>
      <c r="T29" s="218"/>
      <c r="U29" s="218"/>
      <c r="V29" s="219"/>
      <c r="W29" s="215"/>
      <c r="X29" s="215"/>
      <c r="Y29" s="215"/>
      <c r="Z29" s="215"/>
      <c r="AA29" s="214"/>
      <c r="AB29" s="214"/>
      <c r="AC29" s="214"/>
      <c r="AD29" s="214"/>
      <c r="AE29" s="214"/>
      <c r="AF29" s="214"/>
      <c r="AG29" s="214"/>
      <c r="AH29" s="214"/>
      <c r="AI29" s="214"/>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row>
    <row r="30" spans="1:66" ht="21.6" customHeight="1" thickBot="1" x14ac:dyDescent="0.35">
      <c r="A30" s="214"/>
      <c r="B30" s="220"/>
      <c r="C30" s="214"/>
      <c r="D30" s="214"/>
      <c r="E30" s="214"/>
      <c r="F30" s="214"/>
      <c r="G30" s="214"/>
      <c r="H30" s="214"/>
      <c r="I30" s="214"/>
      <c r="J30" s="214"/>
      <c r="K30" s="214"/>
      <c r="L30" s="214"/>
      <c r="M30" s="214"/>
      <c r="N30" s="214"/>
      <c r="O30" s="214"/>
      <c r="P30" s="214"/>
      <c r="Q30" s="214"/>
      <c r="R30" s="214"/>
      <c r="S30" s="214"/>
      <c r="T30" s="214"/>
      <c r="U30" s="214"/>
      <c r="V30" s="214"/>
      <c r="W30" s="214"/>
      <c r="X30" s="214"/>
      <c r="Y30" s="214"/>
      <c r="Z30" s="214"/>
      <c r="AA30" s="214"/>
      <c r="AB30" s="214"/>
      <c r="AC30" s="216" t="s">
        <v>158</v>
      </c>
      <c r="AD30" s="221"/>
      <c r="AE30" s="214"/>
      <c r="AF30" s="214"/>
      <c r="AG30" s="214"/>
      <c r="AH30" s="214"/>
      <c r="AI30" s="214"/>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row>
    <row r="31" spans="1:66" ht="21" customHeight="1" thickBot="1" x14ac:dyDescent="0.35">
      <c r="A31" s="214"/>
      <c r="B31" s="216" t="s">
        <v>159</v>
      </c>
      <c r="C31" s="221"/>
      <c r="D31" s="223"/>
      <c r="E31" s="222" t="s">
        <v>160</v>
      </c>
      <c r="F31" s="222" t="s">
        <v>160</v>
      </c>
      <c r="G31" s="223"/>
      <c r="H31" s="224" t="s">
        <v>161</v>
      </c>
      <c r="I31" s="222"/>
      <c r="J31" s="222"/>
      <c r="K31" s="222"/>
      <c r="L31" s="222"/>
      <c r="M31" s="223"/>
      <c r="N31" s="216" t="s">
        <v>162</v>
      </c>
      <c r="O31" s="221"/>
      <c r="P31" s="222" t="s">
        <v>163</v>
      </c>
      <c r="Q31" s="222"/>
      <c r="R31" s="222"/>
      <c r="S31" s="223"/>
      <c r="T31" s="224" t="s">
        <v>164</v>
      </c>
      <c r="U31" s="222"/>
      <c r="V31" s="222"/>
      <c r="W31" s="223"/>
      <c r="X31" s="225" t="s">
        <v>165</v>
      </c>
      <c r="Y31" s="222"/>
      <c r="Z31" s="222"/>
      <c r="AA31" s="223"/>
      <c r="AB31" s="214"/>
      <c r="AC31" s="347" t="s">
        <v>163</v>
      </c>
      <c r="AD31" s="348"/>
      <c r="AE31" s="223"/>
      <c r="AF31" s="224" t="s">
        <v>164</v>
      </c>
      <c r="AG31" s="222"/>
      <c r="AH31" s="223"/>
      <c r="AI31" s="214"/>
      <c r="AJ31" s="1"/>
      <c r="AK31" s="1"/>
      <c r="AL31" s="1"/>
      <c r="AM31" s="1"/>
      <c r="AN31" s="1"/>
      <c r="AO31" s="8" t="s">
        <v>567</v>
      </c>
      <c r="AP31" s="10">
        <v>0.05</v>
      </c>
      <c r="AQ31" s="1"/>
      <c r="AR31" s="1"/>
      <c r="AS31" s="1"/>
      <c r="AT31" s="1"/>
      <c r="AU31" s="1"/>
      <c r="AV31" s="1"/>
      <c r="AW31" s="1"/>
      <c r="AX31" s="1"/>
      <c r="AY31" s="1"/>
      <c r="AZ31" s="1"/>
      <c r="BA31" s="1"/>
      <c r="BB31" s="1"/>
      <c r="BC31" s="1"/>
      <c r="BD31" s="1"/>
      <c r="BE31" s="1"/>
      <c r="BF31" s="1"/>
      <c r="BG31" s="1"/>
      <c r="BH31" s="1"/>
      <c r="BI31" s="1"/>
      <c r="BJ31" s="1"/>
      <c r="BK31" s="1"/>
      <c r="BL31" s="1"/>
      <c r="BM31" s="1"/>
      <c r="BN31" s="1"/>
    </row>
    <row r="32" spans="1:66" ht="51" customHeight="1" x14ac:dyDescent="0.3">
      <c r="A32" s="214"/>
      <c r="B32" s="226"/>
      <c r="C32" s="227" t="s">
        <v>166</v>
      </c>
      <c r="D32" s="228" t="s">
        <v>167</v>
      </c>
      <c r="E32" s="228" t="s">
        <v>168</v>
      </c>
      <c r="F32" s="410" t="s">
        <v>169</v>
      </c>
      <c r="G32" s="228" t="s">
        <v>170</v>
      </c>
      <c r="H32" s="228" t="s">
        <v>171</v>
      </c>
      <c r="I32" s="229" t="s">
        <v>172</v>
      </c>
      <c r="J32" s="229" t="s">
        <v>173</v>
      </c>
      <c r="K32" s="230" t="s">
        <v>174</v>
      </c>
      <c r="L32" s="229" t="s">
        <v>175</v>
      </c>
      <c r="M32" s="411" t="s">
        <v>176</v>
      </c>
      <c r="N32" s="227"/>
      <c r="O32" s="227" t="s">
        <v>177</v>
      </c>
      <c r="P32" s="231" t="s">
        <v>178</v>
      </c>
      <c r="Q32" s="231" t="s">
        <v>179</v>
      </c>
      <c r="R32" s="231" t="s">
        <v>180</v>
      </c>
      <c r="S32" s="231" t="s">
        <v>181</v>
      </c>
      <c r="T32" s="231" t="s">
        <v>182</v>
      </c>
      <c r="U32" s="231" t="s">
        <v>183</v>
      </c>
      <c r="V32" s="231" t="s">
        <v>184</v>
      </c>
      <c r="W32" s="231" t="s">
        <v>185</v>
      </c>
      <c r="X32" s="231" t="s">
        <v>186</v>
      </c>
      <c r="Y32" s="231" t="s">
        <v>187</v>
      </c>
      <c r="Z32" s="231" t="s">
        <v>188</v>
      </c>
      <c r="AA32" s="231" t="s">
        <v>189</v>
      </c>
      <c r="AB32" s="214"/>
      <c r="AC32" s="231" t="s">
        <v>178</v>
      </c>
      <c r="AD32" s="231" t="s">
        <v>179</v>
      </c>
      <c r="AE32" s="231" t="s">
        <v>180</v>
      </c>
      <c r="AF32" s="231" t="s">
        <v>182</v>
      </c>
      <c r="AG32" s="231" t="s">
        <v>183</v>
      </c>
      <c r="AH32" s="231" t="s">
        <v>184</v>
      </c>
      <c r="AI32" s="214"/>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row>
    <row r="33" spans="1:66" ht="15.6" customHeight="1" x14ac:dyDescent="0.3">
      <c r="A33" s="214"/>
      <c r="B33" s="232">
        <v>2019</v>
      </c>
      <c r="C33" s="233">
        <f>C22</f>
        <v>28128288335.988091</v>
      </c>
      <c r="D33" s="146">
        <f>+'[56]Sheet 1'!$P$39</f>
        <v>238518</v>
      </c>
      <c r="E33" s="259">
        <f>(F33/1000000/D33)*100</f>
        <v>12.326533007991012</v>
      </c>
      <c r="F33" s="146">
        <f>+'[57]Sheet 1'!$M$105*1000000</f>
        <v>29401000000</v>
      </c>
      <c r="G33" s="234">
        <f>F33/C33</f>
        <v>1.0452466800969034</v>
      </c>
      <c r="H33" s="235">
        <f>C33*G33</f>
        <v>29401000000</v>
      </c>
      <c r="I33" s="235" t="s">
        <v>113</v>
      </c>
      <c r="J33" s="235" t="s">
        <v>113</v>
      </c>
      <c r="K33" s="235" t="s">
        <v>113</v>
      </c>
      <c r="L33" s="235" t="s">
        <v>113</v>
      </c>
      <c r="M33" s="214"/>
      <c r="N33" s="232">
        <v>2019</v>
      </c>
      <c r="O33" s="236">
        <f>G33</f>
        <v>1.0452466800969034</v>
      </c>
      <c r="P33" s="237"/>
      <c r="Q33" s="237"/>
      <c r="R33" s="237"/>
      <c r="S33" s="237"/>
      <c r="T33" s="237"/>
      <c r="U33" s="237"/>
      <c r="V33" s="238"/>
      <c r="W33" s="238"/>
      <c r="X33" s="238"/>
      <c r="Y33" s="238"/>
      <c r="Z33" s="238"/>
      <c r="AA33" s="238"/>
      <c r="AB33" s="214"/>
      <c r="AC33" s="237"/>
      <c r="AD33" s="237"/>
      <c r="AE33" s="237"/>
      <c r="AF33" s="237"/>
      <c r="AG33" s="237"/>
      <c r="AH33" s="238"/>
      <c r="AI33" s="214"/>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row>
    <row r="34" spans="1:66" s="51" customFormat="1" ht="15.6" customHeight="1" x14ac:dyDescent="0.3">
      <c r="A34" s="239"/>
      <c r="B34" s="240">
        <v>2020</v>
      </c>
      <c r="C34" s="241">
        <f>D22</f>
        <v>27898023164.305264</v>
      </c>
      <c r="D34" s="146">
        <f>+'[56]Sheet 1'!$R$39</f>
        <v>236387</v>
      </c>
      <c r="E34" s="259">
        <f t="shared" ref="E34:E36" si="7">(F34/1000000/D34)*100</f>
        <v>12.637327771831785</v>
      </c>
      <c r="F34" s="146">
        <f>+'[57]Sheet 1'!$O$105*1000000</f>
        <v>29873000000</v>
      </c>
      <c r="G34" s="234">
        <f>F34/C34</f>
        <v>1.0707927161743009</v>
      </c>
      <c r="H34" s="242">
        <f>C34*G34</f>
        <v>29873000000</v>
      </c>
      <c r="I34" s="243"/>
      <c r="J34" s="243"/>
      <c r="K34" s="243"/>
      <c r="L34" s="243"/>
      <c r="M34" s="214"/>
      <c r="N34" s="240">
        <v>2020</v>
      </c>
      <c r="O34" s="244"/>
      <c r="P34" s="245"/>
      <c r="Q34" s="245"/>
      <c r="R34" s="245"/>
      <c r="S34" s="245"/>
      <c r="T34" s="245"/>
      <c r="U34" s="245"/>
      <c r="V34" s="245"/>
      <c r="W34" s="245"/>
      <c r="X34" s="245"/>
      <c r="Y34" s="245"/>
      <c r="Z34" s="245"/>
      <c r="AA34" s="245"/>
      <c r="AB34" s="239"/>
      <c r="AC34" s="245"/>
      <c r="AD34" s="245"/>
      <c r="AE34" s="245"/>
      <c r="AF34" s="245"/>
      <c r="AG34" s="245"/>
      <c r="AH34" s="245"/>
      <c r="AI34" s="239"/>
      <c r="AJ34" s="47"/>
      <c r="AK34" s="47"/>
      <c r="AL34" s="47"/>
      <c r="AM34" s="47"/>
      <c r="AN34" s="47"/>
      <c r="AO34" s="47"/>
      <c r="AP34" s="47"/>
      <c r="AQ34" s="47"/>
      <c r="AR34" s="47"/>
      <c r="AS34" s="47"/>
      <c r="AT34" s="47"/>
      <c r="AU34" s="47"/>
      <c r="AV34" s="47"/>
      <c r="AW34" s="47"/>
      <c r="AX34" s="47"/>
      <c r="AY34" s="47"/>
      <c r="AZ34" s="47"/>
      <c r="BA34" s="47"/>
      <c r="BB34" s="47"/>
      <c r="BC34" s="47"/>
      <c r="BD34" s="47"/>
      <c r="BE34" s="47"/>
      <c r="BF34" s="47"/>
      <c r="BG34" s="47"/>
      <c r="BH34" s="47"/>
      <c r="BI34" s="47"/>
      <c r="BJ34" s="47"/>
      <c r="BK34" s="47"/>
      <c r="BL34" s="47"/>
      <c r="BM34" s="47"/>
      <c r="BN34" s="47"/>
    </row>
    <row r="35" spans="1:66" ht="15.6" customHeight="1" x14ac:dyDescent="0.3">
      <c r="A35" s="214"/>
      <c r="B35" s="232">
        <v>2021</v>
      </c>
      <c r="C35" s="241">
        <f>E22</f>
        <v>28924235885.041176</v>
      </c>
      <c r="D35" s="146">
        <f>+'[56]Sheet 1'!$T$39</f>
        <v>248764</v>
      </c>
      <c r="E35" s="259">
        <f t="shared" si="7"/>
        <v>12.972134231641233</v>
      </c>
      <c r="F35" s="146">
        <f>+'[57]Sheet 1'!$Q$105*1000000</f>
        <v>32270000000</v>
      </c>
      <c r="G35" s="234">
        <f>F35/C35</f>
        <v>1.1156733795235421</v>
      </c>
      <c r="H35" s="242">
        <f>C35*G35</f>
        <v>32270000000</v>
      </c>
      <c r="I35" s="243"/>
      <c r="J35" s="243"/>
      <c r="K35" s="243"/>
      <c r="L35" s="243"/>
      <c r="M35" s="214"/>
      <c r="N35" s="232">
        <v>2021</v>
      </c>
      <c r="O35" s="244"/>
      <c r="P35" s="246"/>
      <c r="Q35" s="246"/>
      <c r="R35" s="246"/>
      <c r="S35" s="246"/>
      <c r="T35" s="246"/>
      <c r="U35" s="246"/>
      <c r="V35" s="247"/>
      <c r="W35" s="247"/>
      <c r="X35" s="247"/>
      <c r="Y35" s="247"/>
      <c r="Z35" s="247"/>
      <c r="AA35" s="247"/>
      <c r="AB35" s="214"/>
      <c r="AC35" s="246"/>
      <c r="AD35" s="246"/>
      <c r="AE35" s="246"/>
      <c r="AF35" s="246"/>
      <c r="AG35" s="246"/>
      <c r="AH35" s="247"/>
      <c r="AI35" s="214"/>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row>
    <row r="36" spans="1:66" ht="15.6" customHeight="1" x14ac:dyDescent="0.3">
      <c r="A36" s="214"/>
      <c r="B36" s="240">
        <v>2022</v>
      </c>
      <c r="C36" s="248">
        <f>F22</f>
        <v>29907074069.985657</v>
      </c>
      <c r="D36" s="146">
        <f>+'[56]Sheet 1'!$V$39</f>
        <v>266124</v>
      </c>
      <c r="E36" s="259">
        <f t="shared" si="7"/>
        <v>13.002961025687274</v>
      </c>
      <c r="F36" s="146">
        <f>+'[57]Sheet 1'!$S$105*1000000</f>
        <v>34604000000</v>
      </c>
      <c r="G36" s="234">
        <f>F36/C36</f>
        <v>1.1570506669767511</v>
      </c>
      <c r="H36" s="242">
        <f>C36*G36</f>
        <v>34604000000</v>
      </c>
      <c r="I36" s="249"/>
      <c r="J36" s="249"/>
      <c r="K36" s="249"/>
      <c r="L36" s="249"/>
      <c r="M36" s="412">
        <f>AK22*$G36</f>
        <v>36501784529.580635</v>
      </c>
      <c r="N36" s="240">
        <v>2022</v>
      </c>
      <c r="O36" s="250"/>
      <c r="P36" s="225"/>
      <c r="Q36" s="225"/>
      <c r="R36" s="225"/>
      <c r="S36" s="225"/>
      <c r="T36" s="225"/>
      <c r="U36" s="225"/>
      <c r="V36" s="225"/>
      <c r="W36" s="225"/>
      <c r="X36" s="225"/>
      <c r="Y36" s="225"/>
      <c r="Z36" s="225"/>
      <c r="AA36" s="225"/>
      <c r="AB36" s="214"/>
      <c r="AC36" s="225"/>
      <c r="AD36" s="225"/>
      <c r="AE36" s="225"/>
      <c r="AF36" s="225"/>
      <c r="AG36" s="225"/>
      <c r="AH36" s="225"/>
      <c r="AI36" s="214"/>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row>
    <row r="37" spans="1:66" ht="15.6" customHeight="1" x14ac:dyDescent="0.3">
      <c r="A37" s="214"/>
      <c r="B37" s="232">
        <v>2023</v>
      </c>
      <c r="C37" s="251">
        <f>G22</f>
        <v>31684096410.054005</v>
      </c>
      <c r="D37" s="146">
        <f>+'[56]Sheet 1'!$X$39</f>
        <v>273320</v>
      </c>
      <c r="E37" s="259">
        <f>(F37/1000000/D37)*100</f>
        <v>12.727937948192594</v>
      </c>
      <c r="F37" s="146">
        <f>+'[57]Sheet 1'!$U$105*1000000</f>
        <v>34788000000</v>
      </c>
      <c r="G37" s="234">
        <f>F37/C37</f>
        <v>1.0979640874013079</v>
      </c>
      <c r="H37" s="242">
        <f>C37*G37</f>
        <v>34788000000</v>
      </c>
      <c r="I37" s="235">
        <f>H22*$G37</f>
        <v>37289950376.169037</v>
      </c>
      <c r="J37" s="235">
        <f>I22*$G37</f>
        <v>34444770969.891716</v>
      </c>
      <c r="K37" s="235">
        <f>J22*$G37</f>
        <v>34649987899.954926</v>
      </c>
      <c r="L37" s="235">
        <f>K22*$G37</f>
        <v>33855523800.523472</v>
      </c>
      <c r="M37" s="412"/>
      <c r="N37" s="232">
        <v>2023</v>
      </c>
      <c r="O37" s="252">
        <f>G37</f>
        <v>1.0979640874013079</v>
      </c>
      <c r="P37" s="253">
        <f>($H37-J37)/1000000</f>
        <v>343.22903010828401</v>
      </c>
      <c r="Q37" s="253">
        <f>($H37-K37)/1000000</f>
        <v>138.01210004507448</v>
      </c>
      <c r="R37" s="253">
        <f>($H37-L37)/1000000</f>
        <v>932.47619947652822</v>
      </c>
      <c r="S37" s="253">
        <f>AVERAGE(P37:R37)</f>
        <v>471.2391098766289</v>
      </c>
      <c r="T37" s="253">
        <f t="shared" ref="T37:V37" si="8">($I37-J37)/1000000</f>
        <v>2845.179406277321</v>
      </c>
      <c r="U37" s="253">
        <f t="shared" si="8"/>
        <v>2639.9624762141111</v>
      </c>
      <c r="V37" s="253">
        <f t="shared" si="8"/>
        <v>3434.4265756455652</v>
      </c>
      <c r="W37" s="253">
        <f>AVERAGE(T37:V37)</f>
        <v>2973.1894860456655</v>
      </c>
      <c r="X37" s="254">
        <f>(T37-P37)/T37</f>
        <v>0.87936471445314923</v>
      </c>
      <c r="Y37" s="254">
        <f>(U37-Q37)/U37</f>
        <v>0.94772194631986084</v>
      </c>
      <c r="Z37" s="254">
        <f>(V37-R37)/V37</f>
        <v>0.72849144422275158</v>
      </c>
      <c r="AA37" s="254">
        <f>AVERAGE(X37:Z37)</f>
        <v>0.85185936833192055</v>
      </c>
      <c r="AB37" s="214"/>
      <c r="AC37" s="351">
        <f>P37/$D37</f>
        <v>1.2557772212362212E-3</v>
      </c>
      <c r="AD37" s="351">
        <f>Q37/$D37</f>
        <v>5.0494694879655525E-4</v>
      </c>
      <c r="AE37" s="351">
        <f>R37/$D37</f>
        <v>3.4116647134367342E-3</v>
      </c>
      <c r="AF37" s="351">
        <f>T37/$D37</f>
        <v>1.040970074007508E-2</v>
      </c>
      <c r="AG37" s="351">
        <f>U37/$D37</f>
        <v>9.658870467635413E-3</v>
      </c>
      <c r="AH37" s="351">
        <f>V37/$D37</f>
        <v>1.2565588232275594E-2</v>
      </c>
      <c r="AI37" s="214"/>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row>
    <row r="38" spans="1:66" ht="15.6" customHeight="1" x14ac:dyDescent="0.3">
      <c r="A38" s="214"/>
      <c r="B38" s="240">
        <v>2024</v>
      </c>
      <c r="C38" s="255"/>
      <c r="D38" s="256">
        <v>276820.68599999999</v>
      </c>
      <c r="E38" s="256"/>
      <c r="F38" s="256"/>
      <c r="G38" s="257"/>
      <c r="H38" s="256"/>
      <c r="I38" s="249"/>
      <c r="J38" s="249"/>
      <c r="K38" s="249"/>
      <c r="L38" s="249"/>
      <c r="M38" s="214"/>
      <c r="N38" s="240">
        <v>2024</v>
      </c>
      <c r="O38" s="250"/>
      <c r="P38" s="225"/>
      <c r="Q38" s="225"/>
      <c r="R38" s="225"/>
      <c r="S38" s="225"/>
      <c r="T38" s="258"/>
      <c r="U38" s="258"/>
      <c r="V38" s="258"/>
      <c r="W38" s="258"/>
      <c r="X38" s="225"/>
      <c r="Y38" s="225"/>
      <c r="Z38" s="225"/>
      <c r="AA38" s="225"/>
      <c r="AB38" s="214"/>
      <c r="AC38" s="353"/>
      <c r="AD38" s="353"/>
      <c r="AE38" s="353"/>
      <c r="AF38" s="354"/>
      <c r="AG38" s="354"/>
      <c r="AH38" s="354"/>
      <c r="AI38" s="214"/>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row>
    <row r="39" spans="1:66" ht="15.6" customHeight="1" x14ac:dyDescent="0.3">
      <c r="A39" s="214"/>
      <c r="B39" s="232">
        <v>2025</v>
      </c>
      <c r="C39" s="255"/>
      <c r="D39" s="256">
        <v>285371.06199999998</v>
      </c>
      <c r="E39" s="256"/>
      <c r="F39" s="256"/>
      <c r="G39" s="257"/>
      <c r="H39" s="256"/>
      <c r="I39" s="249"/>
      <c r="J39" s="249"/>
      <c r="K39" s="249"/>
      <c r="L39" s="249"/>
      <c r="M39" s="214"/>
      <c r="N39" s="232">
        <v>2025</v>
      </c>
      <c r="O39" s="250"/>
      <c r="P39" s="225"/>
      <c r="Q39" s="225"/>
      <c r="R39" s="225"/>
      <c r="S39" s="225"/>
      <c r="T39" s="258"/>
      <c r="U39" s="258"/>
      <c r="V39" s="258"/>
      <c r="W39" s="258"/>
      <c r="X39" s="225"/>
      <c r="Y39" s="225"/>
      <c r="Z39" s="225"/>
      <c r="AA39" s="225"/>
      <c r="AB39" s="214"/>
      <c r="AC39" s="353"/>
      <c r="AD39" s="353"/>
      <c r="AE39" s="353"/>
      <c r="AF39" s="354"/>
      <c r="AG39" s="354"/>
      <c r="AH39" s="354"/>
      <c r="AI39" s="214"/>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row>
    <row r="40" spans="1:66" ht="15.6" customHeight="1" x14ac:dyDescent="0.3">
      <c r="A40" s="214"/>
      <c r="B40" s="240">
        <v>2026</v>
      </c>
      <c r="C40" s="251"/>
      <c r="D40" s="256">
        <v>295711.75799999997</v>
      </c>
      <c r="E40" s="256"/>
      <c r="F40" s="256"/>
      <c r="G40" s="259"/>
      <c r="H40" s="256"/>
      <c r="I40" s="235"/>
      <c r="J40" s="235"/>
      <c r="K40" s="235"/>
      <c r="L40" s="235"/>
      <c r="M40" s="214"/>
      <c r="N40" s="240">
        <v>2026</v>
      </c>
      <c r="O40" s="252"/>
      <c r="P40" s="225"/>
      <c r="Q40" s="225"/>
      <c r="R40" s="225"/>
      <c r="S40" s="225"/>
      <c r="T40" s="253"/>
      <c r="U40" s="253"/>
      <c r="V40" s="253"/>
      <c r="W40" s="253"/>
      <c r="X40" s="225"/>
      <c r="Y40" s="225"/>
      <c r="Z40" s="225"/>
      <c r="AA40" s="225"/>
      <c r="AB40" s="214"/>
      <c r="AC40" s="353"/>
      <c r="AD40" s="353"/>
      <c r="AE40" s="353"/>
      <c r="AF40" s="351"/>
      <c r="AG40" s="351"/>
      <c r="AH40" s="351"/>
      <c r="AI40" s="214"/>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row>
    <row r="41" spans="1:66" ht="12.6" customHeight="1" x14ac:dyDescent="0.3">
      <c r="A41" s="214"/>
      <c r="B41" s="214"/>
      <c r="C41" s="214"/>
      <c r="D41" s="214"/>
      <c r="E41" s="214"/>
      <c r="F41" s="214"/>
      <c r="G41" s="214"/>
      <c r="H41" s="214"/>
      <c r="I41" s="260"/>
      <c r="J41" s="214"/>
      <c r="K41" s="214"/>
      <c r="L41" s="214"/>
      <c r="M41" s="214"/>
      <c r="N41" s="214"/>
      <c r="O41" s="214"/>
      <c r="P41" s="214"/>
      <c r="Q41" s="214"/>
      <c r="R41" s="214"/>
      <c r="S41" s="214"/>
      <c r="T41" s="260"/>
      <c r="U41" s="214"/>
      <c r="V41" s="214"/>
      <c r="W41" s="214"/>
      <c r="X41" s="413" t="s">
        <v>190</v>
      </c>
      <c r="Y41" s="414"/>
      <c r="Z41" s="414"/>
      <c r="AA41" s="415"/>
      <c r="AB41" s="214"/>
      <c r="AC41" s="214"/>
      <c r="AD41" s="214"/>
      <c r="AE41" s="214"/>
      <c r="AF41" s="260"/>
      <c r="AG41" s="214"/>
      <c r="AH41" s="214"/>
      <c r="AI41" s="214"/>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row>
    <row r="42" spans="1:66" ht="12.6" customHeight="1" x14ac:dyDescent="0.3">
      <c r="A42" s="214"/>
      <c r="B42" s="214"/>
      <c r="C42" s="214"/>
      <c r="D42" s="214"/>
      <c r="E42" s="214"/>
      <c r="F42" s="214"/>
      <c r="G42" s="214"/>
      <c r="H42" s="214"/>
      <c r="I42" s="214"/>
      <c r="J42" s="214"/>
      <c r="K42" s="214"/>
      <c r="L42" s="214"/>
      <c r="M42" s="214"/>
      <c r="N42" s="214"/>
      <c r="O42" s="214"/>
      <c r="P42" s="214"/>
      <c r="Q42" s="214"/>
      <c r="R42" s="214"/>
      <c r="S42" s="214"/>
      <c r="T42" s="214"/>
      <c r="U42" s="214"/>
      <c r="V42" s="214"/>
      <c r="W42" s="416">
        <v>2023</v>
      </c>
      <c r="X42" s="417">
        <f>(($M36-$H36)/1000000)/T37</f>
        <v>0.66701752634422695</v>
      </c>
      <c r="Y42" s="417">
        <f t="shared" ref="Y42:Z42" si="9">(($M36-$H36)/1000000)/U37</f>
        <v>0.71886799402625956</v>
      </c>
      <c r="Z42" s="417">
        <f t="shared" si="9"/>
        <v>0.55257682404344621</v>
      </c>
      <c r="AA42" s="417">
        <f>AVERAGE(X42:Z42)</f>
        <v>0.64615411480464424</v>
      </c>
      <c r="AB42" s="214"/>
      <c r="AC42" s="214"/>
      <c r="AD42" s="214"/>
      <c r="AE42" s="214"/>
      <c r="AF42" s="214"/>
      <c r="AG42" s="214"/>
      <c r="AH42" s="214"/>
      <c r="AI42" s="214"/>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row>
    <row r="43" spans="1:66" ht="12.6" customHeight="1" thickBot="1" x14ac:dyDescent="0.35">
      <c r="A43" s="214"/>
      <c r="B43" s="214"/>
      <c r="C43" s="214"/>
      <c r="D43" s="214"/>
      <c r="E43" s="214"/>
      <c r="F43" s="214"/>
      <c r="G43" s="214"/>
      <c r="H43" s="214"/>
      <c r="I43" s="214"/>
      <c r="J43" s="214"/>
      <c r="K43" s="214"/>
      <c r="L43" s="214"/>
      <c r="M43" s="214"/>
      <c r="N43" s="214"/>
      <c r="O43" s="214"/>
      <c r="P43" s="214"/>
      <c r="Q43" s="214"/>
      <c r="R43" s="214"/>
      <c r="S43" s="214"/>
      <c r="T43" s="214"/>
      <c r="U43" s="214"/>
      <c r="V43" s="214"/>
      <c r="W43" s="214"/>
      <c r="X43" s="214"/>
      <c r="Y43" s="214"/>
      <c r="Z43" s="214"/>
      <c r="AA43" s="214"/>
      <c r="AB43" s="214"/>
      <c r="AC43" s="214"/>
      <c r="AD43" s="214"/>
      <c r="AE43" s="214"/>
      <c r="AF43" s="214"/>
      <c r="AG43" s="214"/>
      <c r="AH43" s="214"/>
      <c r="AI43" s="214"/>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row>
    <row r="44" spans="1:66" ht="18" customHeight="1" thickBot="1" x14ac:dyDescent="0.35">
      <c r="A44" s="214"/>
      <c r="B44" s="216" t="s">
        <v>191</v>
      </c>
      <c r="C44" s="221"/>
      <c r="D44" s="222" t="s">
        <v>160</v>
      </c>
      <c r="E44" s="223"/>
      <c r="F44" s="224" t="s">
        <v>161</v>
      </c>
      <c r="G44" s="222"/>
      <c r="H44" s="222"/>
      <c r="I44" s="222"/>
      <c r="J44" s="223"/>
      <c r="K44" s="214"/>
      <c r="L44" s="214"/>
      <c r="M44" s="214"/>
      <c r="N44" s="214"/>
      <c r="O44" s="214"/>
      <c r="P44" s="214"/>
      <c r="Q44" s="214"/>
      <c r="R44" s="214"/>
      <c r="S44" s="214"/>
      <c r="T44" s="214"/>
      <c r="U44" s="216" t="s">
        <v>192</v>
      </c>
      <c r="V44" s="221"/>
      <c r="W44" s="222" t="s">
        <v>160</v>
      </c>
      <c r="X44" s="223"/>
      <c r="Y44" s="224" t="s">
        <v>161</v>
      </c>
      <c r="Z44" s="222"/>
      <c r="AA44" s="222"/>
      <c r="AB44" s="222"/>
      <c r="AC44" s="223"/>
      <c r="AD44" s="214"/>
      <c r="AE44" s="214"/>
      <c r="AF44" s="214"/>
      <c r="AG44" s="214"/>
      <c r="AH44" s="214"/>
      <c r="AI44" s="214"/>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row>
    <row r="45" spans="1:66" ht="42" customHeight="1" x14ac:dyDescent="0.3">
      <c r="A45" s="214"/>
      <c r="B45" s="227"/>
      <c r="C45" s="231" t="s">
        <v>193</v>
      </c>
      <c r="D45" s="228" t="s">
        <v>194</v>
      </c>
      <c r="E45" s="228" t="s">
        <v>170</v>
      </c>
      <c r="F45" s="229" t="s">
        <v>195</v>
      </c>
      <c r="G45" s="229" t="s">
        <v>196</v>
      </c>
      <c r="H45" s="261" t="s">
        <v>197</v>
      </c>
      <c r="I45" s="261" t="s">
        <v>198</v>
      </c>
      <c r="J45" s="261" t="s">
        <v>199</v>
      </c>
      <c r="K45" s="411" t="s">
        <v>176</v>
      </c>
      <c r="L45" s="214"/>
      <c r="M45" s="214"/>
      <c r="N45" s="214"/>
      <c r="O45" s="214"/>
      <c r="P45" s="214"/>
      <c r="Q45" s="214"/>
      <c r="R45" s="214"/>
      <c r="S45" s="214"/>
      <c r="T45" s="214"/>
      <c r="U45" s="227"/>
      <c r="V45" s="231" t="s">
        <v>193</v>
      </c>
      <c r="W45" s="228" t="s">
        <v>194</v>
      </c>
      <c r="X45" s="228" t="s">
        <v>170</v>
      </c>
      <c r="Y45" s="229" t="s">
        <v>195</v>
      </c>
      <c r="Z45" s="229" t="s">
        <v>196</v>
      </c>
      <c r="AA45" s="261" t="s">
        <v>197</v>
      </c>
      <c r="AB45" s="261" t="s">
        <v>198</v>
      </c>
      <c r="AC45" s="261" t="s">
        <v>199</v>
      </c>
      <c r="AD45" s="214"/>
      <c r="AE45" s="214"/>
      <c r="AF45" s="214"/>
      <c r="AG45" s="214"/>
      <c r="AH45" s="214"/>
      <c r="AI45" s="214"/>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row>
    <row r="46" spans="1:66" ht="15" customHeight="1" x14ac:dyDescent="0.3">
      <c r="A46" s="214"/>
      <c r="B46" s="232">
        <v>2019</v>
      </c>
      <c r="C46" s="262">
        <f>C33/1000000</f>
        <v>28128.288335988091</v>
      </c>
      <c r="D46" s="263">
        <f>F33/1000000</f>
        <v>29401</v>
      </c>
      <c r="E46" s="264"/>
      <c r="F46" s="262">
        <f>H33/1000000</f>
        <v>29401</v>
      </c>
      <c r="G46" s="264"/>
      <c r="H46" s="264"/>
      <c r="I46" s="264"/>
      <c r="J46" s="264"/>
      <c r="K46" s="214"/>
      <c r="L46" s="214"/>
      <c r="M46" s="214"/>
      <c r="N46" s="214"/>
      <c r="O46" s="214"/>
      <c r="P46" s="214"/>
      <c r="Q46" s="214"/>
      <c r="R46" s="214"/>
      <c r="S46" s="214"/>
      <c r="T46" s="214"/>
      <c r="U46" s="232">
        <v>2019</v>
      </c>
      <c r="V46" s="355">
        <f>C33/1000000/D33</f>
        <v>0.11792941554091553</v>
      </c>
      <c r="W46" s="355">
        <f>F33/(D33*1000000)</f>
        <v>0.12326533007991011</v>
      </c>
      <c r="X46" s="264"/>
      <c r="Y46" s="355">
        <f>H33/($D33*1000000)</f>
        <v>0.12326533007991011</v>
      </c>
      <c r="Z46" s="355"/>
      <c r="AA46" s="355"/>
      <c r="AB46" s="355"/>
      <c r="AC46" s="355"/>
      <c r="AD46" s="214"/>
      <c r="AE46" s="214"/>
      <c r="AF46" s="214"/>
      <c r="AG46" s="214"/>
      <c r="AH46" s="214"/>
      <c r="AI46" s="214"/>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row>
    <row r="47" spans="1:66" ht="15" customHeight="1" x14ac:dyDescent="0.3">
      <c r="A47" s="214"/>
      <c r="B47" s="240">
        <v>2020</v>
      </c>
      <c r="C47" s="262">
        <f t="shared" ref="C47:C49" si="10">C34/1000000</f>
        <v>27898.023164305265</v>
      </c>
      <c r="D47" s="263">
        <f>F34/1000000</f>
        <v>29873</v>
      </c>
      <c r="E47" s="264"/>
      <c r="F47" s="264"/>
      <c r="G47" s="264"/>
      <c r="H47" s="264"/>
      <c r="I47" s="264"/>
      <c r="J47" s="264"/>
      <c r="K47" s="214"/>
      <c r="L47" s="214"/>
      <c r="M47" s="214"/>
      <c r="N47" s="214"/>
      <c r="O47" s="214"/>
      <c r="P47" s="214"/>
      <c r="Q47" s="214"/>
      <c r="R47" s="214"/>
      <c r="S47" s="214"/>
      <c r="T47" s="214"/>
      <c r="U47" s="240">
        <v>2020</v>
      </c>
      <c r="V47" s="355">
        <f t="shared" ref="V47:V50" si="11">C34/1000000/D34</f>
        <v>0.11801843233471072</v>
      </c>
      <c r="W47" s="355">
        <f t="shared" ref="W47:W50" si="12">F34/(D34*1000000)</f>
        <v>0.12637327771831786</v>
      </c>
      <c r="X47" s="264"/>
      <c r="Y47" s="355"/>
      <c r="Z47" s="355"/>
      <c r="AA47" s="355"/>
      <c r="AB47" s="355"/>
      <c r="AC47" s="355"/>
      <c r="AD47" s="214"/>
      <c r="AE47" s="214"/>
      <c r="AF47" s="214"/>
      <c r="AG47" s="214"/>
      <c r="AH47" s="214"/>
      <c r="AI47" s="214"/>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row>
    <row r="48" spans="1:66" ht="15" customHeight="1" x14ac:dyDescent="0.3">
      <c r="A48" s="214"/>
      <c r="B48" s="232">
        <v>2021</v>
      </c>
      <c r="C48" s="262">
        <f t="shared" si="10"/>
        <v>28924.235885041177</v>
      </c>
      <c r="D48" s="263">
        <f>F35/1000000</f>
        <v>32270</v>
      </c>
      <c r="E48" s="264"/>
      <c r="F48" s="264"/>
      <c r="G48" s="264"/>
      <c r="H48" s="264"/>
      <c r="I48" s="264"/>
      <c r="J48" s="264"/>
      <c r="K48" s="214"/>
      <c r="L48" s="214"/>
      <c r="M48" s="214"/>
      <c r="N48" s="214"/>
      <c r="O48" s="214"/>
      <c r="P48" s="214"/>
      <c r="Q48" s="214"/>
      <c r="R48" s="214"/>
      <c r="S48" s="214"/>
      <c r="T48" s="214"/>
      <c r="U48" s="232">
        <v>2021</v>
      </c>
      <c r="V48" s="355">
        <f t="shared" si="11"/>
        <v>0.11627179127623441</v>
      </c>
      <c r="W48" s="355">
        <f t="shared" si="12"/>
        <v>0.12972134231641233</v>
      </c>
      <c r="X48" s="264"/>
      <c r="Y48" s="355"/>
      <c r="Z48" s="355"/>
      <c r="AA48" s="355"/>
      <c r="AB48" s="355"/>
      <c r="AC48" s="355"/>
      <c r="AD48" s="214"/>
      <c r="AE48" s="214"/>
      <c r="AF48" s="214"/>
      <c r="AG48" s="214"/>
      <c r="AH48" s="214"/>
      <c r="AI48" s="214"/>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row>
    <row r="49" spans="1:66" ht="15" customHeight="1" x14ac:dyDescent="0.3">
      <c r="A49" s="214"/>
      <c r="B49" s="240">
        <v>2022</v>
      </c>
      <c r="C49" s="262">
        <f t="shared" si="10"/>
        <v>29907.074069985658</v>
      </c>
      <c r="D49" s="263">
        <f>F36/1000000</f>
        <v>34604</v>
      </c>
      <c r="E49" s="264"/>
      <c r="F49" s="262">
        <f t="shared" ref="F49:J50" si="13">H36/1000000</f>
        <v>34604</v>
      </c>
      <c r="G49" s="264"/>
      <c r="H49" s="264"/>
      <c r="I49" s="264"/>
      <c r="J49" s="264"/>
      <c r="K49" s="440">
        <f>+M36/1000000</f>
        <v>36501.784529580633</v>
      </c>
      <c r="L49" s="214"/>
      <c r="M49" s="214"/>
      <c r="N49" s="214"/>
      <c r="O49" s="214"/>
      <c r="P49" s="214"/>
      <c r="Q49" s="214"/>
      <c r="R49" s="214"/>
      <c r="S49" s="214"/>
      <c r="T49" s="214"/>
      <c r="U49" s="240">
        <v>2022</v>
      </c>
      <c r="V49" s="355">
        <f t="shared" si="11"/>
        <v>0.11238022151322563</v>
      </c>
      <c r="W49" s="355">
        <f t="shared" si="12"/>
        <v>0.13002961025687274</v>
      </c>
      <c r="X49" s="264"/>
      <c r="Y49" s="355"/>
      <c r="Z49" s="355"/>
      <c r="AA49" s="355"/>
      <c r="AB49" s="355"/>
      <c r="AC49" s="355"/>
      <c r="AD49" s="214"/>
      <c r="AE49" s="214"/>
      <c r="AF49" s="214"/>
      <c r="AG49" s="214"/>
      <c r="AH49" s="214"/>
      <c r="AI49" s="214"/>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row>
    <row r="50" spans="1:66" ht="15" customHeight="1" x14ac:dyDescent="0.3">
      <c r="A50" s="214"/>
      <c r="B50" s="232">
        <v>2023</v>
      </c>
      <c r="C50" s="262">
        <f>C37/1000000</f>
        <v>31684.096410054004</v>
      </c>
      <c r="D50" s="263">
        <f>F37/1000000</f>
        <v>34788</v>
      </c>
      <c r="E50" s="264"/>
      <c r="F50" s="262">
        <f t="shared" si="13"/>
        <v>34788</v>
      </c>
      <c r="G50" s="262">
        <f t="shared" si="13"/>
        <v>37289.950376169036</v>
      </c>
      <c r="H50" s="262">
        <f t="shared" si="13"/>
        <v>34444.770969891717</v>
      </c>
      <c r="I50" s="262">
        <f t="shared" si="13"/>
        <v>34649.987899954926</v>
      </c>
      <c r="J50" s="262">
        <f t="shared" si="13"/>
        <v>33855.523800523471</v>
      </c>
      <c r="K50" s="441">
        <f>F50+K49-F49</f>
        <v>36685.784529580633</v>
      </c>
      <c r="L50" s="214"/>
      <c r="M50" s="214"/>
      <c r="N50" s="214"/>
      <c r="O50" s="214"/>
      <c r="P50" s="214"/>
      <c r="Q50" s="214"/>
      <c r="R50" s="214"/>
      <c r="S50" s="214"/>
      <c r="T50" s="214"/>
      <c r="U50" s="232">
        <v>2023</v>
      </c>
      <c r="V50" s="355">
        <f t="shared" si="11"/>
        <v>0.11592308067486465</v>
      </c>
      <c r="W50" s="355">
        <f t="shared" si="12"/>
        <v>0.12727937948192594</v>
      </c>
      <c r="X50" s="264"/>
      <c r="Y50" s="355">
        <f>H37/($D37*1000000)</f>
        <v>0.12727937948192594</v>
      </c>
      <c r="Z50" s="355">
        <f t="shared" ref="Z50:AC50" si="14">I37/($D37*1000000)</f>
        <v>0.13643330300076481</v>
      </c>
      <c r="AA50" s="355">
        <f t="shared" si="14"/>
        <v>0.12602360226068973</v>
      </c>
      <c r="AB50" s="355">
        <f t="shared" si="14"/>
        <v>0.12677443253312939</v>
      </c>
      <c r="AC50" s="355">
        <f t="shared" si="14"/>
        <v>0.12386771476848921</v>
      </c>
      <c r="AD50" s="214"/>
      <c r="AE50" s="214"/>
      <c r="AF50" s="214"/>
      <c r="AG50" s="214"/>
      <c r="AH50" s="214"/>
      <c r="AI50" s="214"/>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row>
    <row r="51" spans="1:66" ht="15" customHeight="1" x14ac:dyDescent="0.3">
      <c r="A51" s="214"/>
      <c r="B51" s="240">
        <v>2024</v>
      </c>
      <c r="C51" s="264"/>
      <c r="D51" s="264"/>
      <c r="E51" s="264"/>
      <c r="F51" s="264"/>
      <c r="G51" s="264"/>
      <c r="H51" s="264"/>
      <c r="I51" s="264"/>
      <c r="J51" s="264"/>
      <c r="K51" s="214"/>
      <c r="L51" s="214"/>
      <c r="M51" s="214"/>
      <c r="N51" s="214"/>
      <c r="O51" s="214"/>
      <c r="P51" s="214"/>
      <c r="Q51" s="214"/>
      <c r="R51" s="214"/>
      <c r="S51" s="214"/>
      <c r="T51" s="214"/>
      <c r="U51" s="240">
        <v>2024</v>
      </c>
      <c r="V51" s="264"/>
      <c r="W51" s="264"/>
      <c r="X51" s="264"/>
      <c r="Y51" s="355"/>
      <c r="Z51" s="355"/>
      <c r="AA51" s="355"/>
      <c r="AB51" s="355"/>
      <c r="AC51" s="355"/>
      <c r="AD51" s="214"/>
      <c r="AE51" s="214"/>
      <c r="AF51" s="214"/>
      <c r="AG51" s="214"/>
      <c r="AH51" s="214"/>
      <c r="AI51" s="214"/>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row>
    <row r="52" spans="1:66" ht="15" customHeight="1" x14ac:dyDescent="0.3">
      <c r="A52" s="214"/>
      <c r="B52" s="232">
        <v>2025</v>
      </c>
      <c r="C52" s="264"/>
      <c r="D52" s="264"/>
      <c r="E52" s="264"/>
      <c r="F52" s="264"/>
      <c r="G52" s="264"/>
      <c r="H52" s="264"/>
      <c r="I52" s="264"/>
      <c r="J52" s="264"/>
      <c r="K52" s="214"/>
      <c r="L52" s="214"/>
      <c r="M52" s="214"/>
      <c r="N52" s="214"/>
      <c r="O52" s="214"/>
      <c r="P52" s="214"/>
      <c r="Q52" s="214"/>
      <c r="R52" s="214"/>
      <c r="S52" s="214"/>
      <c r="T52" s="214"/>
      <c r="U52" s="232">
        <v>2025</v>
      </c>
      <c r="V52" s="264"/>
      <c r="W52" s="264"/>
      <c r="X52" s="264"/>
      <c r="Y52" s="355"/>
      <c r="Z52" s="355"/>
      <c r="AA52" s="355"/>
      <c r="AB52" s="355"/>
      <c r="AC52" s="355"/>
      <c r="AD52" s="214"/>
      <c r="AE52" s="214"/>
      <c r="AF52" s="214"/>
      <c r="AG52" s="214"/>
      <c r="AH52" s="214"/>
      <c r="AI52" s="214"/>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row>
    <row r="53" spans="1:66" ht="15" customHeight="1" x14ac:dyDescent="0.3">
      <c r="A53" s="214"/>
      <c r="B53" s="240">
        <v>2026</v>
      </c>
      <c r="C53" s="262"/>
      <c r="D53" s="264"/>
      <c r="E53" s="264"/>
      <c r="F53" s="264"/>
      <c r="G53" s="262"/>
      <c r="H53" s="262"/>
      <c r="I53" s="262"/>
      <c r="J53" s="262"/>
      <c r="K53" s="214"/>
      <c r="L53" s="214"/>
      <c r="M53" s="214"/>
      <c r="N53" s="214"/>
      <c r="O53" s="214"/>
      <c r="P53" s="214"/>
      <c r="Q53" s="214"/>
      <c r="R53" s="214"/>
      <c r="S53" s="214"/>
      <c r="T53" s="214"/>
      <c r="U53" s="240">
        <v>2026</v>
      </c>
      <c r="V53" s="262"/>
      <c r="W53" s="264"/>
      <c r="X53" s="264"/>
      <c r="Y53" s="355"/>
      <c r="Z53" s="355"/>
      <c r="AA53" s="355"/>
      <c r="AB53" s="355"/>
      <c r="AC53" s="355"/>
      <c r="AD53" s="214"/>
      <c r="AE53" s="214"/>
      <c r="AF53" s="214"/>
      <c r="AG53" s="214"/>
      <c r="AH53" s="214"/>
      <c r="AI53" s="214"/>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row>
    <row r="54" spans="1:66" ht="12.6" customHeight="1" x14ac:dyDescent="0.3">
      <c r="A54" s="214"/>
      <c r="B54" s="214"/>
      <c r="C54" s="214"/>
      <c r="D54" s="214"/>
      <c r="E54" s="214"/>
      <c r="F54" s="214"/>
      <c r="G54" s="214"/>
      <c r="H54" s="214"/>
      <c r="I54" s="214"/>
      <c r="J54" s="214"/>
      <c r="K54" s="214"/>
      <c r="L54" s="214"/>
      <c r="M54" s="214"/>
      <c r="N54" s="214"/>
      <c r="O54" s="214"/>
      <c r="P54" s="214"/>
      <c r="Q54" s="214"/>
      <c r="R54" s="214"/>
      <c r="S54" s="214"/>
      <c r="T54" s="214"/>
      <c r="U54" s="214"/>
      <c r="V54" s="214"/>
      <c r="W54" s="214"/>
      <c r="X54" s="214"/>
      <c r="Y54" s="214"/>
      <c r="Z54" s="214"/>
      <c r="AA54" s="214"/>
      <c r="AB54" s="214"/>
      <c r="AC54" s="214"/>
      <c r="AD54" s="214"/>
      <c r="AE54" s="214"/>
      <c r="AF54" s="214"/>
      <c r="AG54" s="214"/>
      <c r="AH54" s="214"/>
      <c r="AI54" s="214"/>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row>
    <row r="55" spans="1:66" ht="12.6" customHeight="1" x14ac:dyDescent="0.3">
      <c r="A55" s="214"/>
      <c r="B55" s="214"/>
      <c r="C55" s="214"/>
      <c r="D55" s="214"/>
      <c r="E55" s="214"/>
      <c r="F55" s="214"/>
      <c r="G55" s="214"/>
      <c r="H55" s="214"/>
      <c r="I55" s="214"/>
      <c r="J55" s="214"/>
      <c r="K55" s="214"/>
      <c r="L55" s="214"/>
      <c r="M55" s="214"/>
      <c r="N55" s="214"/>
      <c r="O55" s="214"/>
      <c r="P55" s="214"/>
      <c r="Q55" s="214"/>
      <c r="R55" s="214"/>
      <c r="S55" s="214"/>
      <c r="T55" s="214"/>
      <c r="U55" s="214"/>
      <c r="V55" s="214"/>
      <c r="W55" s="214"/>
      <c r="X55" s="214"/>
      <c r="Y55" s="214"/>
      <c r="Z55" s="214"/>
      <c r="AA55" s="214"/>
      <c r="AB55" s="214"/>
      <c r="AC55" s="214"/>
      <c r="AD55" s="214"/>
      <c r="AE55" s="214"/>
      <c r="AF55" s="214"/>
      <c r="AG55" s="214"/>
      <c r="AH55" s="214"/>
      <c r="AI55" s="214"/>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row>
    <row r="56" spans="1:66" ht="12.6" customHeight="1" x14ac:dyDescent="0.3">
      <c r="A56" s="214"/>
      <c r="B56" s="214"/>
      <c r="C56" s="214"/>
      <c r="D56" s="214"/>
      <c r="E56" s="214"/>
      <c r="F56" s="214"/>
      <c r="G56" s="214"/>
      <c r="H56" s="214"/>
      <c r="I56" s="214"/>
      <c r="J56" s="214"/>
      <c r="K56" s="214"/>
      <c r="L56" s="214"/>
      <c r="M56" s="214"/>
      <c r="N56" s="214"/>
      <c r="O56" s="214"/>
      <c r="P56" s="214"/>
      <c r="Q56" s="214"/>
      <c r="R56" s="214"/>
      <c r="S56" s="214"/>
      <c r="T56" s="214"/>
      <c r="U56" s="214"/>
      <c r="V56" s="214"/>
      <c r="W56" s="214"/>
      <c r="X56" s="214"/>
      <c r="Y56" s="214"/>
      <c r="Z56" s="214"/>
      <c r="AA56" s="214"/>
      <c r="AB56" s="214"/>
      <c r="AC56" s="214"/>
      <c r="AD56" s="214"/>
      <c r="AE56" s="214"/>
      <c r="AF56" s="214"/>
      <c r="AG56" s="214"/>
      <c r="AH56" s="214"/>
      <c r="AI56" s="214"/>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row>
    <row r="57" spans="1:66" ht="12.6" customHeight="1" x14ac:dyDescent="0.3">
      <c r="A57" s="214"/>
      <c r="B57" s="214"/>
      <c r="C57" s="214"/>
      <c r="D57" s="214"/>
      <c r="E57" s="214"/>
      <c r="F57" s="214"/>
      <c r="G57" s="214"/>
      <c r="H57" s="214"/>
      <c r="I57" s="214"/>
      <c r="J57" s="214"/>
      <c r="K57" s="214"/>
      <c r="L57" s="214"/>
      <c r="M57" s="214"/>
      <c r="N57" s="214"/>
      <c r="O57" s="214"/>
      <c r="P57" s="214"/>
      <c r="Q57" s="214"/>
      <c r="R57" s="214"/>
      <c r="S57" s="214"/>
      <c r="T57" s="214"/>
      <c r="U57" s="214"/>
      <c r="V57" s="214"/>
      <c r="W57" s="214"/>
      <c r="X57" s="214"/>
      <c r="Y57" s="214"/>
      <c r="Z57" s="214"/>
      <c r="AA57" s="214"/>
      <c r="AB57" s="214"/>
      <c r="AC57" s="214"/>
      <c r="AD57" s="214"/>
      <c r="AE57" s="214"/>
      <c r="AF57" s="214"/>
      <c r="AG57" s="214"/>
      <c r="AH57" s="214"/>
      <c r="AI57" s="214"/>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row>
    <row r="58" spans="1:66" ht="12.6" customHeight="1" x14ac:dyDescent="0.3">
      <c r="A58" s="214"/>
      <c r="B58" s="214"/>
      <c r="C58" s="214"/>
      <c r="D58" s="214"/>
      <c r="E58" s="214"/>
      <c r="F58" s="214"/>
      <c r="G58" s="214"/>
      <c r="H58" s="214"/>
      <c r="I58" s="214"/>
      <c r="J58" s="214"/>
      <c r="K58" s="214"/>
      <c r="L58" s="214"/>
      <c r="M58" s="214"/>
      <c r="N58" s="214"/>
      <c r="O58" s="214"/>
      <c r="P58" s="214"/>
      <c r="Q58" s="214"/>
      <c r="R58" s="214"/>
      <c r="S58" s="214"/>
      <c r="T58" s="214"/>
      <c r="U58" s="214"/>
      <c r="V58" s="214"/>
      <c r="W58" s="214"/>
      <c r="X58" s="214"/>
      <c r="Y58" s="214"/>
      <c r="Z58" s="214"/>
      <c r="AA58" s="214"/>
      <c r="AB58" s="214"/>
      <c r="AC58" s="214"/>
      <c r="AD58" s="214"/>
      <c r="AE58" s="214"/>
      <c r="AF58" s="214"/>
      <c r="AG58" s="214"/>
      <c r="AH58" s="214"/>
      <c r="AI58" s="214"/>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row>
    <row r="59" spans="1:66" ht="12.6"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row>
    <row r="60" spans="1:66" ht="12" customHeight="1" thickBot="1" x14ac:dyDescent="0.35">
      <c r="A60" s="98"/>
      <c r="B60" s="98"/>
      <c r="C60" s="98"/>
      <c r="D60" s="98"/>
      <c r="E60" s="98"/>
      <c r="F60" s="98"/>
      <c r="G60" s="98"/>
      <c r="H60" s="98"/>
      <c r="I60" s="98"/>
      <c r="J60" s="98"/>
      <c r="K60" s="98"/>
      <c r="L60" s="98"/>
      <c r="M60" s="98"/>
      <c r="N60" s="98"/>
      <c r="O60" s="98"/>
      <c r="P60" s="98"/>
      <c r="Q60" s="98"/>
      <c r="R60" s="98"/>
      <c r="S60" s="98"/>
      <c r="T60" s="265"/>
      <c r="U60" s="265"/>
      <c r="V60" s="265"/>
      <c r="W60" s="265"/>
      <c r="X60" s="55"/>
      <c r="Y60" s="55"/>
      <c r="Z60" s="55"/>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row>
    <row r="61" spans="1:66" ht="12" customHeight="1" thickBot="1" x14ac:dyDescent="0.35">
      <c r="A61" s="98"/>
      <c r="B61" s="266" t="s">
        <v>200</v>
      </c>
      <c r="C61" s="267"/>
      <c r="D61" s="267"/>
      <c r="E61" s="267"/>
      <c r="F61" s="267"/>
      <c r="G61" s="267"/>
      <c r="H61" s="267"/>
      <c r="I61" s="267"/>
      <c r="J61" s="267"/>
      <c r="K61" s="267"/>
      <c r="L61" s="267"/>
      <c r="M61" s="267"/>
      <c r="N61" s="267"/>
      <c r="O61" s="267"/>
      <c r="P61" s="267"/>
      <c r="Q61" s="267"/>
      <c r="R61" s="267"/>
      <c r="S61" s="267"/>
      <c r="T61" s="268"/>
      <c r="U61" s="268"/>
      <c r="V61" s="269"/>
      <c r="W61" s="265"/>
      <c r="X61" s="55"/>
      <c r="Y61" s="55"/>
      <c r="Z61" s="55"/>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row>
    <row r="62" spans="1:66" ht="21.6" customHeight="1" x14ac:dyDescent="0.3">
      <c r="A62" s="98"/>
      <c r="B62" s="270"/>
      <c r="C62" s="98"/>
      <c r="D62" s="98"/>
      <c r="E62" s="98"/>
      <c r="F62" s="98"/>
      <c r="G62" s="98"/>
      <c r="H62" s="98"/>
      <c r="I62" s="98"/>
      <c r="J62" s="98"/>
      <c r="K62" s="98"/>
      <c r="L62" s="98"/>
      <c r="M62" s="98"/>
      <c r="N62" s="98"/>
      <c r="O62" s="98"/>
      <c r="P62" s="98"/>
      <c r="Q62" s="98"/>
      <c r="R62" s="98"/>
      <c r="S62" s="98"/>
      <c r="T62" s="98"/>
      <c r="U62" s="98"/>
      <c r="V62" s="98"/>
      <c r="W62" s="98"/>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row>
    <row r="63" spans="1:66" ht="21" customHeight="1" x14ac:dyDescent="0.3">
      <c r="A63" s="98"/>
      <c r="B63" s="98"/>
      <c r="C63" s="98"/>
      <c r="D63" s="98"/>
      <c r="E63" s="98"/>
      <c r="F63" s="98"/>
      <c r="G63" s="98"/>
      <c r="H63" s="98"/>
      <c r="I63" s="98"/>
      <c r="J63" s="98"/>
      <c r="K63" s="98"/>
      <c r="L63" s="98"/>
      <c r="M63" s="98"/>
      <c r="N63" s="98"/>
      <c r="O63" s="98"/>
      <c r="P63" s="98"/>
      <c r="Q63" s="98"/>
      <c r="R63" s="98"/>
      <c r="S63" s="98"/>
      <c r="T63" s="98"/>
      <c r="U63" s="98"/>
      <c r="V63" s="98"/>
      <c r="W63" s="98"/>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row>
    <row r="64" spans="1:66" ht="42.6" customHeight="1" x14ac:dyDescent="0.3">
      <c r="A64" s="98"/>
      <c r="B64" s="356" t="s">
        <v>201</v>
      </c>
      <c r="C64" s="271" t="s">
        <v>202</v>
      </c>
      <c r="D64" s="272" t="s">
        <v>172</v>
      </c>
      <c r="E64" s="272" t="s">
        <v>173</v>
      </c>
      <c r="F64" s="273" t="s">
        <v>174</v>
      </c>
      <c r="G64" s="272" t="s">
        <v>175</v>
      </c>
      <c r="H64" s="274"/>
      <c r="I64" s="274"/>
      <c r="J64" s="274"/>
      <c r="K64" s="274"/>
      <c r="L64" s="274"/>
      <c r="M64" s="274"/>
      <c r="N64" s="274"/>
      <c r="O64" s="274"/>
      <c r="P64" s="274"/>
      <c r="Q64" s="274"/>
      <c r="R64" s="274"/>
      <c r="S64" s="274"/>
      <c r="T64" s="274"/>
      <c r="U64" s="274"/>
      <c r="V64" s="274"/>
      <c r="W64" s="98"/>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row>
    <row r="65" spans="1:66" ht="15.6" customHeight="1" x14ac:dyDescent="0.3">
      <c r="A65" s="98"/>
      <c r="B65" s="275">
        <v>2019</v>
      </c>
      <c r="C65" s="357">
        <f>C22/P22*100</f>
        <v>20.1720793709441</v>
      </c>
      <c r="D65" s="276"/>
      <c r="E65" s="276"/>
      <c r="F65" s="276"/>
      <c r="G65" s="276"/>
      <c r="H65" s="277"/>
      <c r="I65" s="277"/>
      <c r="J65" s="277"/>
      <c r="K65" s="277"/>
      <c r="L65" s="277"/>
      <c r="M65" s="277"/>
      <c r="N65" s="277"/>
      <c r="O65" s="277"/>
      <c r="P65" s="277"/>
      <c r="Q65" s="277"/>
      <c r="R65" s="277"/>
      <c r="S65" s="277"/>
      <c r="T65" s="277"/>
      <c r="U65" s="277"/>
      <c r="V65" s="277"/>
      <c r="W65" s="278"/>
      <c r="X65" s="44"/>
      <c r="Y65" s="44"/>
      <c r="Z65" s="44"/>
      <c r="AA65" s="46"/>
      <c r="AB65" s="46"/>
      <c r="AC65" s="46"/>
      <c r="AD65" s="46"/>
      <c r="AE65" s="46"/>
      <c r="AF65" s="46"/>
      <c r="AG65" s="44"/>
      <c r="AH65" s="44"/>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row>
    <row r="66" spans="1:66" s="51" customFormat="1" ht="15.6" customHeight="1" x14ac:dyDescent="0.3">
      <c r="A66" s="279"/>
      <c r="B66" s="280">
        <v>2020</v>
      </c>
      <c r="C66" s="357">
        <f>D22/Q22*100</f>
        <v>19.924211017509339</v>
      </c>
      <c r="D66" s="276"/>
      <c r="E66" s="276"/>
      <c r="F66" s="276"/>
      <c r="G66" s="276"/>
      <c r="H66" s="281"/>
      <c r="I66" s="281"/>
      <c r="J66" s="281"/>
      <c r="K66" s="281"/>
      <c r="L66" s="281"/>
      <c r="M66" s="281"/>
      <c r="N66" s="281"/>
      <c r="O66" s="281"/>
      <c r="P66" s="281"/>
      <c r="Q66" s="281"/>
      <c r="R66" s="281"/>
      <c r="S66" s="281"/>
      <c r="T66" s="281"/>
      <c r="U66" s="281"/>
      <c r="V66" s="281"/>
      <c r="W66" s="282"/>
      <c r="X66" s="48"/>
      <c r="Y66" s="48"/>
      <c r="Z66" s="48"/>
      <c r="AA66" s="48"/>
      <c r="AB66" s="48"/>
      <c r="AC66" s="48"/>
      <c r="AD66" s="48"/>
      <c r="AE66" s="48"/>
      <c r="AF66" s="48"/>
      <c r="AG66" s="48"/>
      <c r="AH66" s="48"/>
      <c r="AI66" s="47"/>
      <c r="AJ66" s="47"/>
      <c r="AK66" s="47"/>
      <c r="AL66" s="47"/>
      <c r="AM66" s="47"/>
      <c r="AN66" s="47"/>
      <c r="AO66" s="47"/>
      <c r="AP66" s="47"/>
      <c r="AQ66" s="47"/>
      <c r="AR66" s="47"/>
      <c r="AS66" s="47"/>
      <c r="AT66" s="47"/>
      <c r="AU66" s="47"/>
      <c r="AV66" s="47"/>
      <c r="AW66" s="47"/>
      <c r="AX66" s="47"/>
      <c r="AY66" s="47"/>
      <c r="AZ66" s="47"/>
      <c r="BA66" s="47"/>
      <c r="BB66" s="47"/>
      <c r="BC66" s="47"/>
      <c r="BD66" s="47"/>
      <c r="BE66" s="47"/>
      <c r="BF66" s="47"/>
      <c r="BG66" s="47"/>
      <c r="BH66" s="47"/>
      <c r="BI66" s="47"/>
      <c r="BJ66" s="47"/>
      <c r="BK66" s="47"/>
      <c r="BL66" s="47"/>
      <c r="BM66" s="47"/>
      <c r="BN66" s="47"/>
    </row>
    <row r="67" spans="1:66" ht="15.6" customHeight="1" x14ac:dyDescent="0.3">
      <c r="A67" s="98"/>
      <c r="B67" s="275">
        <v>2021</v>
      </c>
      <c r="C67" s="357">
        <f>E22/R22*100</f>
        <v>20.043243697064838</v>
      </c>
      <c r="D67" s="276"/>
      <c r="E67" s="276"/>
      <c r="F67" s="276"/>
      <c r="G67" s="276"/>
      <c r="H67" s="281"/>
      <c r="I67" s="281"/>
      <c r="J67" s="281"/>
      <c r="K67" s="281"/>
      <c r="L67" s="281"/>
      <c r="M67" s="281"/>
      <c r="N67" s="281"/>
      <c r="O67" s="281"/>
      <c r="P67" s="281"/>
      <c r="Q67" s="281"/>
      <c r="R67" s="281"/>
      <c r="S67" s="281"/>
      <c r="T67" s="281"/>
      <c r="U67" s="281"/>
      <c r="V67" s="281"/>
      <c r="W67" s="283"/>
      <c r="X67" s="52"/>
      <c r="Y67" s="52"/>
      <c r="Z67" s="52"/>
      <c r="AA67" s="43"/>
      <c r="AB67" s="43"/>
      <c r="AC67" s="43"/>
      <c r="AD67" s="43"/>
      <c r="AE67" s="43"/>
      <c r="AF67" s="43"/>
      <c r="AG67" s="43"/>
      <c r="AH67" s="43"/>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row>
    <row r="68" spans="1:66" ht="15.6" customHeight="1" x14ac:dyDescent="0.3">
      <c r="A68" s="98"/>
      <c r="B68" s="280">
        <v>2022</v>
      </c>
      <c r="C68" s="357">
        <f>F22/S22*100</f>
        <v>20.117246575834223</v>
      </c>
      <c r="D68" s="276"/>
      <c r="E68" s="276"/>
      <c r="F68" s="276"/>
      <c r="G68" s="276"/>
      <c r="H68" s="284"/>
      <c r="I68" s="284"/>
      <c r="J68" s="284"/>
      <c r="K68" s="284"/>
      <c r="L68" s="284"/>
      <c r="M68" s="284"/>
      <c r="N68" s="284"/>
      <c r="O68" s="284"/>
      <c r="P68" s="284"/>
      <c r="Q68" s="284"/>
      <c r="R68" s="284"/>
      <c r="S68" s="284"/>
      <c r="T68" s="284"/>
      <c r="U68" s="284"/>
      <c r="V68" s="284"/>
      <c r="W68" s="98"/>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row>
    <row r="69" spans="1:66" ht="15.6" customHeight="1" x14ac:dyDescent="0.3">
      <c r="A69" s="98"/>
      <c r="B69" s="275">
        <v>2023</v>
      </c>
      <c r="C69" s="357">
        <f>G22/$T22*100</f>
        <v>20.297213303553796</v>
      </c>
      <c r="D69" s="357">
        <f>H22/$T22*100</f>
        <v>21.756987376797721</v>
      </c>
      <c r="E69" s="357">
        <f>I22/$T22*100</f>
        <v>20.096954799584623</v>
      </c>
      <c r="F69" s="357">
        <f>J22/$T22*100</f>
        <v>20.216689530037456</v>
      </c>
      <c r="G69" s="357">
        <f>K22/$T22*100</f>
        <v>19.753155918212233</v>
      </c>
      <c r="H69" s="277"/>
      <c r="I69" s="277"/>
      <c r="J69" s="277"/>
      <c r="K69" s="277"/>
      <c r="L69" s="277"/>
      <c r="M69" s="277"/>
      <c r="N69" s="277"/>
      <c r="O69" s="277"/>
      <c r="P69" s="277"/>
      <c r="Q69" s="277"/>
      <c r="R69" s="277"/>
      <c r="S69" s="277"/>
      <c r="T69" s="277"/>
      <c r="U69" s="277"/>
      <c r="V69" s="277"/>
      <c r="W69" s="98"/>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row>
    <row r="70" spans="1:66" ht="15.6" customHeight="1" x14ac:dyDescent="0.3">
      <c r="A70" s="98"/>
      <c r="B70" s="280">
        <v>2024</v>
      </c>
      <c r="C70" s="276"/>
      <c r="D70" s="358"/>
      <c r="E70" s="357"/>
      <c r="F70" s="357"/>
      <c r="G70" s="357"/>
      <c r="H70" s="284"/>
      <c r="I70" s="284"/>
      <c r="J70" s="284"/>
      <c r="K70" s="284"/>
      <c r="L70" s="284"/>
      <c r="M70" s="284"/>
      <c r="N70" s="284"/>
      <c r="O70" s="284"/>
      <c r="P70" s="284"/>
      <c r="Q70" s="284"/>
      <c r="R70" s="284"/>
      <c r="S70" s="284"/>
      <c r="T70" s="284"/>
      <c r="U70" s="284"/>
      <c r="V70" s="284"/>
      <c r="W70" s="98"/>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row>
    <row r="71" spans="1:66" ht="15.6" customHeight="1" x14ac:dyDescent="0.3">
      <c r="A71" s="98"/>
      <c r="B71" s="275">
        <v>2025</v>
      </c>
      <c r="C71" s="276"/>
      <c r="D71" s="358"/>
      <c r="E71" s="357"/>
      <c r="F71" s="357"/>
      <c r="G71" s="357"/>
      <c r="H71" s="284"/>
      <c r="I71" s="284"/>
      <c r="J71" s="284"/>
      <c r="K71" s="284"/>
      <c r="L71" s="284"/>
      <c r="M71" s="284"/>
      <c r="N71" s="284"/>
      <c r="O71" s="284"/>
      <c r="P71" s="284"/>
      <c r="Q71" s="284"/>
      <c r="R71" s="284"/>
      <c r="S71" s="284"/>
      <c r="T71" s="284"/>
      <c r="U71" s="284"/>
      <c r="V71" s="284"/>
      <c r="W71" s="98"/>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row>
    <row r="72" spans="1:66" ht="15.6" customHeight="1" x14ac:dyDescent="0.3">
      <c r="A72" s="98"/>
      <c r="B72" s="280">
        <v>2026</v>
      </c>
      <c r="C72" s="276"/>
      <c r="D72" s="357"/>
      <c r="E72" s="357"/>
      <c r="F72" s="357"/>
      <c r="G72" s="357"/>
      <c r="H72" s="277"/>
      <c r="I72" s="277"/>
      <c r="J72" s="277"/>
      <c r="K72" s="277"/>
      <c r="L72" s="277"/>
      <c r="M72" s="277"/>
      <c r="N72" s="277"/>
      <c r="O72" s="277"/>
      <c r="P72" s="277"/>
      <c r="Q72" s="277"/>
      <c r="R72" s="277"/>
      <c r="S72" s="277"/>
      <c r="T72" s="277"/>
      <c r="U72" s="277"/>
      <c r="V72" s="277"/>
      <c r="W72" s="98"/>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row>
    <row r="73" spans="1:66" ht="12.6" customHeight="1" x14ac:dyDescent="0.3">
      <c r="A73" s="98"/>
      <c r="B73" s="98"/>
      <c r="C73" s="98"/>
      <c r="D73" s="98"/>
      <c r="E73" s="98"/>
      <c r="F73" s="98"/>
      <c r="G73" s="98"/>
      <c r="H73" s="98"/>
      <c r="I73" s="98"/>
      <c r="J73" s="98"/>
      <c r="K73" s="98"/>
      <c r="L73" s="98"/>
      <c r="M73" s="98"/>
      <c r="N73" s="98"/>
      <c r="O73" s="98"/>
      <c r="P73" s="98"/>
      <c r="Q73" s="98"/>
      <c r="R73" s="98"/>
      <c r="S73" s="98"/>
      <c r="T73" s="98"/>
      <c r="U73" s="98"/>
      <c r="V73" s="98"/>
      <c r="W73" s="98"/>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row>
    <row r="74" spans="1:66" ht="12.6" customHeight="1" x14ac:dyDescent="0.3">
      <c r="A74" s="98"/>
      <c r="B74" s="98"/>
      <c r="C74" s="285"/>
      <c r="D74" s="98"/>
      <c r="E74" s="98"/>
      <c r="F74" s="98"/>
      <c r="G74" s="98"/>
      <c r="H74" s="98"/>
      <c r="I74" s="98"/>
      <c r="J74" s="98"/>
      <c r="K74" s="98"/>
      <c r="L74" s="98"/>
      <c r="M74" s="98"/>
      <c r="N74" s="98"/>
      <c r="O74" s="98"/>
      <c r="P74" s="98"/>
      <c r="Q74" s="98"/>
      <c r="R74" s="98"/>
      <c r="S74" s="98"/>
      <c r="T74" s="98"/>
      <c r="U74" s="98"/>
      <c r="V74" s="98"/>
      <c r="W74" s="98"/>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row>
    <row r="75" spans="1:66" ht="12.6" customHeight="1" x14ac:dyDescent="0.3">
      <c r="A75" s="98"/>
      <c r="B75" s="98"/>
      <c r="C75" s="98"/>
      <c r="D75" s="98"/>
      <c r="E75" s="98"/>
      <c r="F75" s="98"/>
      <c r="G75" s="98"/>
      <c r="H75" s="98"/>
      <c r="I75" s="98"/>
      <c r="J75" s="98"/>
      <c r="K75" s="98"/>
      <c r="L75" s="98"/>
      <c r="M75" s="98"/>
      <c r="N75" s="98"/>
      <c r="O75" s="98"/>
      <c r="P75" s="98"/>
      <c r="Q75" s="98"/>
      <c r="R75" s="98"/>
      <c r="S75" s="98"/>
      <c r="T75" s="98"/>
      <c r="U75" s="98"/>
      <c r="V75" s="98"/>
      <c r="W75" s="98"/>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row>
    <row r="76" spans="1:66" ht="18" customHeight="1" x14ac:dyDescent="0.3">
      <c r="A76" s="98"/>
      <c r="B76" s="98"/>
      <c r="C76" s="98"/>
      <c r="D76" s="98"/>
      <c r="E76" s="98"/>
      <c r="F76" s="98"/>
      <c r="G76" s="98"/>
      <c r="H76" s="98"/>
      <c r="I76" s="98"/>
      <c r="J76" s="98"/>
      <c r="K76" s="98"/>
      <c r="L76" s="98"/>
      <c r="M76" s="98"/>
      <c r="N76" s="98"/>
      <c r="O76" s="98"/>
      <c r="P76" s="98"/>
      <c r="Q76" s="98"/>
      <c r="R76" s="98"/>
      <c r="S76" s="98"/>
      <c r="T76" s="98"/>
      <c r="U76" s="98"/>
      <c r="V76" s="98"/>
      <c r="W76" s="98"/>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row>
    <row r="77" spans="1:66" ht="42" customHeight="1" x14ac:dyDescent="0.3">
      <c r="A77" s="98"/>
      <c r="B77" s="356" t="s">
        <v>203</v>
      </c>
      <c r="C77" s="271" t="s">
        <v>202</v>
      </c>
      <c r="D77" s="272" t="s">
        <v>172</v>
      </c>
      <c r="E77" s="272" t="s">
        <v>173</v>
      </c>
      <c r="F77" s="273" t="s">
        <v>174</v>
      </c>
      <c r="G77" s="272" t="s">
        <v>175</v>
      </c>
      <c r="H77" s="98"/>
      <c r="I77" s="98"/>
      <c r="J77" s="98"/>
      <c r="K77" s="98"/>
      <c r="L77" s="98"/>
      <c r="M77" s="98"/>
      <c r="N77" s="98"/>
      <c r="O77" s="98"/>
      <c r="P77" s="98"/>
      <c r="Q77" s="98"/>
      <c r="R77" s="98"/>
      <c r="S77" s="98"/>
      <c r="T77" s="98"/>
      <c r="U77" s="98"/>
      <c r="V77" s="98"/>
      <c r="W77" s="98"/>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row>
    <row r="78" spans="1:66" ht="15.6" customHeight="1" x14ac:dyDescent="0.3">
      <c r="A78" s="98"/>
      <c r="B78" s="275">
        <v>2019</v>
      </c>
      <c r="C78" s="357">
        <f>C65</f>
        <v>20.1720793709441</v>
      </c>
      <c r="D78" s="276"/>
      <c r="E78" s="276"/>
      <c r="F78" s="276"/>
      <c r="G78" s="276"/>
      <c r="H78" s="98"/>
      <c r="I78" s="98"/>
      <c r="J78" s="98"/>
      <c r="K78" s="98"/>
      <c r="L78" s="98"/>
      <c r="M78" s="98"/>
      <c r="N78" s="98"/>
      <c r="O78" s="98"/>
      <c r="P78" s="98"/>
      <c r="Q78" s="98"/>
      <c r="R78" s="98"/>
      <c r="S78" s="98"/>
      <c r="T78" s="98"/>
      <c r="U78" s="98"/>
      <c r="V78" s="98"/>
      <c r="W78" s="98"/>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row>
    <row r="79" spans="1:66" s="1" customFormat="1" ht="15" customHeight="1" x14ac:dyDescent="0.3">
      <c r="A79" s="98"/>
      <c r="B79" s="280">
        <v>2020</v>
      </c>
      <c r="C79" s="357">
        <f>C66</f>
        <v>19.924211017509339</v>
      </c>
      <c r="D79" s="276"/>
      <c r="E79" s="276"/>
      <c r="F79" s="276"/>
      <c r="G79" s="276"/>
      <c r="H79" s="98"/>
      <c r="I79" s="98"/>
      <c r="J79" s="98"/>
      <c r="K79" s="98"/>
      <c r="L79" s="98"/>
      <c r="M79" s="98"/>
      <c r="N79" s="98"/>
      <c r="O79" s="98"/>
      <c r="P79" s="98"/>
      <c r="Q79" s="98"/>
      <c r="R79" s="98"/>
      <c r="S79" s="98"/>
      <c r="T79" s="98"/>
      <c r="U79" s="98"/>
      <c r="V79" s="98"/>
      <c r="W79" s="98"/>
    </row>
    <row r="80" spans="1:66" s="1" customFormat="1" ht="15" customHeight="1" x14ac:dyDescent="0.3">
      <c r="A80" s="98"/>
      <c r="B80" s="275">
        <v>2021</v>
      </c>
      <c r="C80" s="357">
        <f>C67</f>
        <v>20.043243697064838</v>
      </c>
      <c r="D80" s="276"/>
      <c r="E80" s="276"/>
      <c r="F80" s="276"/>
      <c r="G80" s="276"/>
      <c r="H80" s="98"/>
      <c r="I80" s="98"/>
      <c r="J80" s="98"/>
      <c r="K80" s="98"/>
      <c r="L80" s="98"/>
      <c r="M80" s="98"/>
      <c r="N80" s="98"/>
      <c r="O80" s="98"/>
      <c r="P80" s="98"/>
      <c r="Q80" s="98"/>
      <c r="R80" s="98"/>
      <c r="S80" s="98"/>
      <c r="T80" s="98"/>
      <c r="U80" s="98"/>
      <c r="V80" s="98"/>
      <c r="W80" s="98"/>
    </row>
    <row r="81" spans="1:23" s="1" customFormat="1" ht="15" customHeight="1" x14ac:dyDescent="0.3">
      <c r="A81" s="98"/>
      <c r="B81" s="280">
        <v>2022</v>
      </c>
      <c r="C81" s="357">
        <f>C68</f>
        <v>20.117246575834223</v>
      </c>
      <c r="D81" s="276"/>
      <c r="E81" s="276"/>
      <c r="F81" s="276"/>
      <c r="G81" s="276"/>
      <c r="H81" s="98"/>
      <c r="I81" s="98"/>
      <c r="J81" s="98"/>
      <c r="K81" s="98"/>
      <c r="L81" s="98"/>
      <c r="M81" s="98"/>
      <c r="N81" s="98"/>
      <c r="O81" s="98"/>
      <c r="P81" s="98"/>
      <c r="Q81" s="98"/>
      <c r="R81" s="98"/>
      <c r="S81" s="98"/>
      <c r="T81" s="98"/>
      <c r="U81" s="98"/>
      <c r="V81" s="98"/>
      <c r="W81" s="98"/>
    </row>
    <row r="82" spans="1:23" s="1" customFormat="1" ht="15" customHeight="1" x14ac:dyDescent="0.3">
      <c r="A82" s="98"/>
      <c r="B82" s="275">
        <v>2023</v>
      </c>
      <c r="C82" s="357">
        <f>C69</f>
        <v>20.297213303553796</v>
      </c>
      <c r="D82" s="357">
        <f>D69</f>
        <v>21.756987376797721</v>
      </c>
      <c r="E82" s="357">
        <f>E69</f>
        <v>20.096954799584623</v>
      </c>
      <c r="F82" s="357">
        <f>F69</f>
        <v>20.216689530037456</v>
      </c>
      <c r="G82" s="357">
        <f>G69</f>
        <v>19.753155918212233</v>
      </c>
      <c r="H82" s="98"/>
      <c r="I82" s="98"/>
      <c r="J82" s="98"/>
      <c r="K82" s="98"/>
      <c r="L82" s="98"/>
      <c r="M82" s="98"/>
      <c r="N82" s="98"/>
      <c r="O82" s="98"/>
      <c r="P82" s="98"/>
      <c r="Q82" s="98"/>
      <c r="R82" s="98"/>
      <c r="S82" s="98"/>
      <c r="T82" s="98"/>
      <c r="U82" s="98"/>
      <c r="V82" s="98"/>
      <c r="W82" s="98"/>
    </row>
    <row r="83" spans="1:23" s="1" customFormat="1" ht="15" customHeight="1" x14ac:dyDescent="0.3">
      <c r="A83" s="98"/>
      <c r="B83" s="280">
        <v>2024</v>
      </c>
      <c r="C83" s="357"/>
      <c r="D83" s="358"/>
      <c r="E83" s="358"/>
      <c r="F83" s="358"/>
      <c r="G83" s="358"/>
      <c r="H83" s="98"/>
      <c r="I83" s="98"/>
      <c r="J83" s="98"/>
      <c r="K83" s="98"/>
      <c r="L83" s="98"/>
      <c r="M83" s="98"/>
      <c r="N83" s="98"/>
      <c r="O83" s="98"/>
      <c r="P83" s="98"/>
      <c r="Q83" s="98"/>
      <c r="R83" s="98"/>
      <c r="S83" s="98"/>
      <c r="T83" s="98"/>
      <c r="U83" s="98"/>
      <c r="V83" s="98"/>
      <c r="W83" s="98"/>
    </row>
    <row r="84" spans="1:23" s="1" customFormat="1" ht="15" customHeight="1" x14ac:dyDescent="0.3">
      <c r="A84" s="98"/>
      <c r="B84" s="275">
        <v>2025</v>
      </c>
      <c r="C84" s="357"/>
      <c r="D84" s="358"/>
      <c r="E84" s="358"/>
      <c r="F84" s="358"/>
      <c r="G84" s="358"/>
      <c r="H84" s="98"/>
      <c r="I84" s="98"/>
      <c r="J84" s="98"/>
      <c r="K84" s="98"/>
      <c r="L84" s="98"/>
      <c r="M84" s="98"/>
      <c r="N84" s="98"/>
      <c r="O84" s="98"/>
      <c r="P84" s="98"/>
      <c r="Q84" s="98"/>
      <c r="R84" s="98"/>
      <c r="S84" s="98"/>
      <c r="T84" s="98"/>
      <c r="U84" s="98"/>
      <c r="V84" s="98"/>
      <c r="W84" s="98"/>
    </row>
    <row r="85" spans="1:23" s="1" customFormat="1" ht="15" customHeight="1" x14ac:dyDescent="0.3">
      <c r="A85" s="98"/>
      <c r="B85" s="280">
        <v>2026</v>
      </c>
      <c r="C85" s="357"/>
      <c r="D85" s="357"/>
      <c r="E85" s="357"/>
      <c r="F85" s="357"/>
      <c r="G85" s="357"/>
      <c r="H85" s="98"/>
      <c r="I85" s="98"/>
      <c r="J85" s="98"/>
      <c r="K85" s="98"/>
      <c r="L85" s="98"/>
      <c r="M85" s="98"/>
      <c r="N85" s="98"/>
      <c r="O85" s="98"/>
      <c r="P85" s="98"/>
      <c r="Q85" s="98"/>
      <c r="R85" s="98"/>
      <c r="S85" s="98"/>
      <c r="T85" s="98"/>
      <c r="U85" s="98"/>
      <c r="V85" s="98"/>
      <c r="W85" s="98"/>
    </row>
    <row r="86" spans="1:23" s="1" customFormat="1" ht="12.6" customHeight="1" x14ac:dyDescent="0.3">
      <c r="A86" s="98"/>
      <c r="B86" s="98"/>
      <c r="C86" s="98"/>
      <c r="D86" s="285"/>
      <c r="E86" s="98"/>
      <c r="F86" s="98"/>
      <c r="G86" s="98"/>
      <c r="H86" s="98"/>
      <c r="I86" s="98"/>
      <c r="J86" s="98"/>
      <c r="K86" s="98"/>
      <c r="L86" s="98"/>
      <c r="M86" s="98"/>
      <c r="N86" s="98"/>
      <c r="O86" s="98"/>
      <c r="P86" s="98"/>
      <c r="Q86" s="98"/>
      <c r="R86" s="98"/>
      <c r="S86" s="98"/>
      <c r="T86" s="98"/>
      <c r="U86" s="98"/>
      <c r="V86" s="98"/>
      <c r="W86" s="98"/>
    </row>
    <row r="87" spans="1:23" s="1" customFormat="1" ht="12.6" customHeight="1" x14ac:dyDescent="0.3">
      <c r="A87" s="98"/>
      <c r="B87" s="98"/>
      <c r="C87" s="98"/>
      <c r="D87" s="98"/>
      <c r="E87" s="98"/>
      <c r="F87" s="98"/>
      <c r="G87" s="98"/>
      <c r="H87" s="98"/>
      <c r="I87" s="98"/>
      <c r="J87" s="98"/>
      <c r="K87" s="98"/>
      <c r="L87" s="98"/>
      <c r="M87" s="98"/>
      <c r="N87" s="98"/>
      <c r="O87" s="98"/>
      <c r="P87" s="98"/>
      <c r="Q87" s="98"/>
      <c r="R87" s="98"/>
      <c r="S87" s="98"/>
      <c r="T87" s="98"/>
      <c r="U87" s="98"/>
      <c r="V87" s="98"/>
      <c r="W87" s="98"/>
    </row>
    <row r="88" spans="1:23" s="1" customFormat="1" ht="12.6" customHeight="1" x14ac:dyDescent="0.3">
      <c r="A88" s="98"/>
      <c r="B88" s="98"/>
      <c r="C88" s="98"/>
      <c r="D88" s="98"/>
      <c r="E88" s="98"/>
      <c r="F88" s="98"/>
      <c r="G88" s="98"/>
      <c r="H88" s="98"/>
      <c r="I88" s="98"/>
      <c r="J88" s="98"/>
      <c r="K88" s="98"/>
      <c r="L88" s="98"/>
      <c r="M88" s="98"/>
      <c r="N88" s="98"/>
      <c r="O88" s="98"/>
      <c r="P88" s="98"/>
      <c r="Q88" s="98"/>
      <c r="R88" s="98"/>
      <c r="S88" s="98"/>
      <c r="T88" s="98"/>
      <c r="U88" s="98"/>
      <c r="V88" s="98"/>
      <c r="W88" s="98"/>
    </row>
    <row r="89" spans="1:23" s="1" customFormat="1" ht="12.6" customHeight="1" x14ac:dyDescent="0.3"/>
    <row r="90" spans="1:23" s="1" customFormat="1" ht="12.6" customHeight="1" x14ac:dyDescent="0.3"/>
    <row r="91" spans="1:23" s="1" customFormat="1" x14ac:dyDescent="0.3"/>
    <row r="92" spans="1:23" s="1" customFormat="1" x14ac:dyDescent="0.3"/>
    <row r="93" spans="1:23" s="1" customFormat="1" x14ac:dyDescent="0.3"/>
    <row r="94" spans="1:23" s="1" customFormat="1" x14ac:dyDescent="0.3"/>
    <row r="95" spans="1:23" s="1" customFormat="1" x14ac:dyDescent="0.3"/>
    <row r="96" spans="1:23" s="1" customFormat="1" x14ac:dyDescent="0.3"/>
    <row r="97" s="1" customFormat="1" x14ac:dyDescent="0.3"/>
    <row r="98" s="1" customFormat="1" x14ac:dyDescent="0.3"/>
    <row r="99" s="1" customFormat="1" x14ac:dyDescent="0.3"/>
    <row r="100" s="1" customFormat="1" x14ac:dyDescent="0.3"/>
    <row r="101" s="1" customFormat="1" x14ac:dyDescent="0.3"/>
    <row r="102" s="1" customFormat="1" x14ac:dyDescent="0.3"/>
    <row r="103" s="1" customFormat="1" x14ac:dyDescent="0.3"/>
    <row r="104" s="1" customFormat="1" x14ac:dyDescent="0.3"/>
    <row r="105" s="1" customFormat="1" x14ac:dyDescent="0.3"/>
    <row r="106" s="1" customFormat="1" x14ac:dyDescent="0.3"/>
    <row r="107" s="1" customFormat="1" x14ac:dyDescent="0.3"/>
    <row r="108" s="1" customFormat="1" x14ac:dyDescent="0.3"/>
    <row r="109" s="1" customFormat="1" x14ac:dyDescent="0.3"/>
    <row r="110" s="1" customFormat="1" x14ac:dyDescent="0.3"/>
    <row r="111" s="1" customFormat="1" x14ac:dyDescent="0.3"/>
    <row r="112" s="1" customFormat="1" x14ac:dyDescent="0.3"/>
    <row r="113" s="1" customFormat="1" x14ac:dyDescent="0.3"/>
    <row r="114" s="1" customFormat="1" x14ac:dyDescent="0.3"/>
    <row r="115" s="1" customFormat="1" x14ac:dyDescent="0.3"/>
    <row r="116" s="1" customFormat="1" x14ac:dyDescent="0.3"/>
    <row r="117" s="1" customFormat="1" x14ac:dyDescent="0.3"/>
    <row r="118" s="1" customFormat="1" x14ac:dyDescent="0.3"/>
    <row r="119" s="1" customFormat="1" x14ac:dyDescent="0.3"/>
    <row r="120" s="1" customFormat="1" x14ac:dyDescent="0.3"/>
    <row r="121" s="1" customFormat="1" x14ac:dyDescent="0.3"/>
  </sheetData>
  <pageMargins left="0.7" right="0.7" top="0.75" bottom="0.75" header="0.3" footer="0.3"/>
  <pageSetup paperSize="9" orientation="portrait" r:id="rId1"/>
  <drawing r:id="rId2"/>
  <legacyDrawing r:id="rId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5598C-8B41-4323-9AF7-62EF5C9CE574}">
  <dimension ref="A1:FQ27"/>
  <sheetViews>
    <sheetView zoomScale="85" zoomScaleNormal="85" workbookViewId="0">
      <selection activeCell="AH35" sqref="AH35"/>
    </sheetView>
  </sheetViews>
  <sheetFormatPr baseColWidth="10" defaultColWidth="8.6640625" defaultRowHeight="14.4" x14ac:dyDescent="0.3"/>
  <cols>
    <col min="1" max="1" width="4.33203125" customWidth="1"/>
    <col min="3" max="3" width="15.6640625" customWidth="1"/>
    <col min="4" max="7" width="14.5546875" customWidth="1"/>
    <col min="8" max="15" width="18" customWidth="1"/>
    <col min="16" max="17" width="18.6640625" customWidth="1"/>
    <col min="18" max="18" width="15.33203125" customWidth="1"/>
    <col min="19" max="22" width="18" customWidth="1"/>
    <col min="23" max="31" width="14.6640625" customWidth="1"/>
    <col min="32" max="32" width="15.33203125" customWidth="1"/>
    <col min="33" max="33" width="14.6640625" customWidth="1"/>
    <col min="34" max="41" width="13.5546875" customWidth="1"/>
    <col min="42" max="42" width="15.5546875" customWidth="1"/>
    <col min="43" max="43" width="13" customWidth="1"/>
    <col min="44" max="44" width="11.33203125" customWidth="1"/>
    <col min="45" max="45" width="12.33203125" customWidth="1"/>
    <col min="46" max="50" width="11.33203125" customWidth="1"/>
    <col min="51" max="51" width="13.44140625" customWidth="1"/>
    <col min="56" max="56" width="9.6640625" customWidth="1"/>
    <col min="60" max="60" width="16.44140625" customWidth="1"/>
    <col min="61" max="61" width="16.33203125" customWidth="1"/>
    <col min="62" max="62" width="15.33203125" customWidth="1"/>
    <col min="63" max="63" width="18.33203125" customWidth="1"/>
    <col min="68" max="68" width="11.44140625" bestFit="1" customWidth="1"/>
    <col min="69" max="69" width="13.5546875" customWidth="1"/>
    <col min="70" max="70" width="13.6640625" customWidth="1"/>
    <col min="71" max="71" width="12.44140625" customWidth="1"/>
    <col min="72" max="77" width="12.6640625" customWidth="1"/>
    <col min="78" max="80" width="11.33203125" customWidth="1"/>
    <col min="81" max="85" width="11.6640625" hidden="1" customWidth="1"/>
    <col min="86" max="86" width="13.33203125" hidden="1" customWidth="1"/>
    <col min="87" max="88" width="11.6640625" hidden="1" customWidth="1"/>
    <col min="89" max="94" width="12.6640625" customWidth="1"/>
    <col min="95" max="96" width="11.33203125" customWidth="1"/>
    <col min="97" max="104" width="11.6640625" customWidth="1"/>
    <col min="105" max="108" width="13.44140625" customWidth="1"/>
    <col min="110" max="130" width="0.5546875" customWidth="1"/>
    <col min="131" max="132" width="15.5546875" customWidth="1"/>
    <col min="133" max="133" width="15.33203125" customWidth="1"/>
    <col min="134" max="134" width="14.5546875" customWidth="1"/>
    <col min="135" max="135" width="16.5546875" customWidth="1"/>
    <col min="136" max="138" width="18" customWidth="1"/>
    <col min="139" max="142" width="15.33203125" customWidth="1"/>
    <col min="143" max="143" width="11" customWidth="1"/>
    <col min="144" max="145" width="16" customWidth="1"/>
    <col min="146" max="146" width="9.33203125" customWidth="1"/>
    <col min="147" max="150" width="17" customWidth="1"/>
    <col min="153" max="153" width="10.6640625" customWidth="1"/>
    <col min="156" max="157" width="11.33203125" customWidth="1"/>
    <col min="158" max="161" width="9.6640625" customWidth="1"/>
    <col min="162" max="165" width="11.5546875" customWidth="1"/>
  </cols>
  <sheetData>
    <row r="1" spans="1:173" ht="15" thickBot="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ht="18" customHeight="1" thickBot="1" x14ac:dyDescent="0.35">
      <c r="A2" s="1"/>
      <c r="B2" s="2" t="s">
        <v>579</v>
      </c>
      <c r="C2" s="3"/>
      <c r="D2" s="3"/>
      <c r="E2" s="3"/>
      <c r="F2" s="3"/>
      <c r="G2" s="3"/>
      <c r="H2" s="4"/>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18" customHeight="1" x14ac:dyDescent="0.3">
      <c r="A3" s="1"/>
      <c r="B3" s="5" t="s">
        <v>0</v>
      </c>
      <c r="C3" s="6"/>
      <c r="D3" s="6"/>
      <c r="E3" s="6"/>
      <c r="F3" s="6"/>
      <c r="G3" s="6"/>
      <c r="H3" s="7"/>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18" customHeight="1" x14ac:dyDescent="0.3">
      <c r="A4" s="1"/>
      <c r="B4" s="8" t="s">
        <v>1</v>
      </c>
      <c r="C4" s="9"/>
      <c r="D4" s="9"/>
      <c r="E4" s="9"/>
      <c r="F4" s="9"/>
      <c r="G4" s="9"/>
      <c r="H4" s="10"/>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12.6" customHeight="1" x14ac:dyDescent="0.3">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row>
    <row r="6" spans="1:173" ht="12.6" customHeight="1" x14ac:dyDescent="0.3">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row>
    <row r="7" spans="1:173" ht="12.6" customHeight="1" x14ac:dyDescent="0.3">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c r="EU7" s="1"/>
      <c r="EV7" s="1"/>
      <c r="EW7" s="1"/>
      <c r="EX7" s="1"/>
      <c r="EY7" s="1"/>
      <c r="EZ7" s="1"/>
      <c r="FA7" s="1"/>
      <c r="FB7" s="1"/>
      <c r="FC7" s="1"/>
      <c r="FD7" s="1"/>
      <c r="FE7" s="1"/>
      <c r="FF7" s="1"/>
      <c r="FG7" s="1"/>
      <c r="FH7" s="1"/>
      <c r="FI7" s="1"/>
      <c r="FJ7" s="1"/>
      <c r="FK7" s="1"/>
      <c r="FL7" s="1"/>
      <c r="FM7" s="1"/>
      <c r="FN7" s="1"/>
      <c r="FO7" s="1"/>
      <c r="FP7" s="1"/>
      <c r="FQ7" s="1"/>
    </row>
    <row r="8" spans="1:173" ht="17.7" customHeight="1" x14ac:dyDescent="0.3">
      <c r="A8" s="1"/>
      <c r="B8" s="11" t="s">
        <v>2</v>
      </c>
      <c r="C8" s="12" t="s">
        <v>223</v>
      </c>
      <c r="D8" s="12" t="s">
        <v>224</v>
      </c>
      <c r="E8" s="124" t="s">
        <v>527</v>
      </c>
      <c r="F8" s="125"/>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56"/>
      <c r="CD8" s="56"/>
      <c r="CE8" s="56"/>
      <c r="CF8" s="56"/>
      <c r="CG8" s="56"/>
      <c r="CH8" s="56"/>
      <c r="CI8" s="56"/>
      <c r="CJ8" s="56"/>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row>
    <row r="9" spans="1:173" ht="10.35" customHeight="1" x14ac:dyDescent="0.3">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56"/>
      <c r="CD9" s="56"/>
      <c r="CE9" s="56"/>
      <c r="CF9" s="56"/>
      <c r="CG9" s="56"/>
      <c r="CH9" s="56"/>
      <c r="CI9" s="56"/>
      <c r="CJ9" s="56"/>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row>
    <row r="10" spans="1:173" x14ac:dyDescent="0.3">
      <c r="A10" s="1"/>
      <c r="B10" s="1"/>
      <c r="C10" s="13" t="s">
        <v>6</v>
      </c>
      <c r="D10" s="14"/>
      <c r="E10" s="14"/>
      <c r="F10" s="14"/>
      <c r="G10" s="14"/>
      <c r="H10" s="14"/>
      <c r="I10" s="14"/>
      <c r="J10" s="14"/>
      <c r="K10" s="14"/>
      <c r="L10" s="14"/>
      <c r="M10" s="14"/>
      <c r="N10" s="14"/>
      <c r="O10" s="14"/>
      <c r="P10" s="15" t="s">
        <v>580</v>
      </c>
      <c r="Q10" s="16"/>
      <c r="R10" s="16"/>
      <c r="S10" s="16"/>
      <c r="T10" s="16"/>
      <c r="U10" s="16"/>
      <c r="V10" s="16"/>
      <c r="W10" s="13" t="s">
        <v>628</v>
      </c>
      <c r="X10" s="17"/>
      <c r="Y10" s="17"/>
      <c r="Z10" s="17"/>
      <c r="AA10" s="17"/>
      <c r="AB10" s="17"/>
      <c r="AC10" s="17"/>
      <c r="AD10" s="13" t="s">
        <v>629</v>
      </c>
      <c r="AE10" s="17"/>
      <c r="AF10" s="17"/>
      <c r="AG10" s="18"/>
      <c r="AH10" s="19" t="s">
        <v>630</v>
      </c>
      <c r="AI10" s="20"/>
      <c r="AJ10" s="16"/>
      <c r="AK10" s="16"/>
      <c r="AL10" s="16"/>
      <c r="AM10" s="16"/>
      <c r="AN10" s="16"/>
      <c r="AO10" s="16"/>
      <c r="AP10" s="21"/>
      <c r="AQ10" s="19" t="s">
        <v>9</v>
      </c>
      <c r="AR10" s="16"/>
      <c r="AS10" s="16"/>
      <c r="AT10" s="16"/>
      <c r="AU10" s="16"/>
      <c r="AV10" s="16"/>
      <c r="AW10" s="16"/>
      <c r="AX10" s="16"/>
      <c r="AY10" s="21"/>
      <c r="AZ10" s="22" t="s">
        <v>10</v>
      </c>
      <c r="BA10" s="23"/>
      <c r="BB10" s="23"/>
      <c r="BC10" s="23"/>
      <c r="BD10" s="23"/>
      <c r="BE10" s="23"/>
      <c r="BF10" s="23"/>
      <c r="BG10" s="23"/>
      <c r="BH10" s="23"/>
      <c r="BI10" s="23"/>
      <c r="BJ10" s="23"/>
      <c r="BK10" s="23"/>
      <c r="BL10" s="23"/>
      <c r="BM10" s="23"/>
      <c r="BN10" s="23"/>
      <c r="BO10" s="23"/>
      <c r="BP10" s="23"/>
      <c r="BQ10" s="23"/>
      <c r="BR10" s="24"/>
      <c r="BS10" s="11"/>
      <c r="BT10" s="19"/>
      <c r="BU10" s="16"/>
      <c r="BV10" s="16"/>
      <c r="BW10" s="16"/>
      <c r="BX10" s="16"/>
      <c r="BY10" s="16"/>
      <c r="BZ10" s="16"/>
      <c r="CA10" s="16"/>
      <c r="CB10" s="16"/>
      <c r="CC10" s="58" t="s">
        <v>12</v>
      </c>
      <c r="CD10" s="59"/>
      <c r="CE10" s="59"/>
      <c r="CF10" s="59"/>
      <c r="CG10" s="59"/>
      <c r="CH10" s="59"/>
      <c r="CI10" s="59"/>
      <c r="CJ10" s="59"/>
      <c r="CK10" s="19" t="s">
        <v>581</v>
      </c>
      <c r="CL10" s="16"/>
      <c r="CM10" s="16"/>
      <c r="CN10" s="16"/>
      <c r="CO10" s="16"/>
      <c r="CP10" s="16"/>
      <c r="CQ10" s="16"/>
      <c r="CR10" s="16"/>
      <c r="CS10" s="19" t="s">
        <v>582</v>
      </c>
      <c r="CT10" s="127"/>
      <c r="CU10" s="59"/>
      <c r="CV10" s="59"/>
      <c r="CW10" s="59"/>
      <c r="CX10" s="59"/>
      <c r="CY10" s="59"/>
      <c r="CZ10" s="59"/>
      <c r="DA10" s="15" t="s">
        <v>15</v>
      </c>
      <c r="DB10" s="60"/>
      <c r="DC10" s="60"/>
      <c r="DD10" s="8" t="s">
        <v>16</v>
      </c>
      <c r="DE10" s="10"/>
      <c r="DF10" s="1"/>
      <c r="DG10" s="1"/>
      <c r="DH10" s="1"/>
      <c r="DI10" s="1"/>
      <c r="DJ10" s="1"/>
      <c r="DK10" s="1"/>
      <c r="DL10" s="1"/>
      <c r="DM10" s="1"/>
      <c r="DN10" s="1"/>
      <c r="DO10" s="1"/>
      <c r="DP10" s="1"/>
      <c r="DQ10" s="1"/>
      <c r="DR10" s="1"/>
      <c r="DS10" s="1"/>
      <c r="DT10" s="1"/>
      <c r="DU10" s="1"/>
      <c r="DV10" s="1"/>
      <c r="DW10" s="1"/>
      <c r="DX10" s="1"/>
      <c r="DY10" s="1"/>
      <c r="DZ10" s="1"/>
      <c r="EA10" s="13" t="s">
        <v>17</v>
      </c>
      <c r="EB10" s="14"/>
      <c r="EC10" s="14"/>
      <c r="ED10" s="14"/>
      <c r="EE10" s="14"/>
      <c r="EF10" s="14"/>
      <c r="EG10" s="14"/>
      <c r="EH10" s="14"/>
      <c r="EI10" s="14"/>
      <c r="EJ10" s="14"/>
      <c r="EK10" s="14"/>
      <c r="EL10" s="14"/>
      <c r="EM10" s="14"/>
      <c r="EN10" s="15" t="s">
        <v>583</v>
      </c>
      <c r="EO10" s="16"/>
      <c r="EP10" s="16"/>
      <c r="EQ10" s="16"/>
      <c r="ER10" s="16"/>
      <c r="ES10" s="16"/>
      <c r="ET10" s="16"/>
      <c r="EU10" s="16"/>
      <c r="EV10" s="13" t="s">
        <v>631</v>
      </c>
      <c r="EW10" s="14"/>
      <c r="EX10" s="14"/>
      <c r="EY10" s="61"/>
      <c r="EZ10" s="62" t="s">
        <v>19</v>
      </c>
      <c r="FA10" s="10"/>
      <c r="FB10" s="14" t="s">
        <v>632</v>
      </c>
      <c r="FC10" s="17"/>
      <c r="FD10" s="17"/>
      <c r="FE10" s="17"/>
      <c r="FF10" s="17"/>
      <c r="FG10" s="17"/>
      <c r="FH10" s="17"/>
      <c r="FI10" s="18"/>
      <c r="FJ10" s="1"/>
      <c r="FK10" s="1"/>
      <c r="FL10" s="1"/>
      <c r="FM10" s="1"/>
      <c r="FN10" s="1"/>
      <c r="FO10" s="1"/>
      <c r="FP10" s="1"/>
      <c r="FQ10" s="1"/>
    </row>
    <row r="11" spans="1:173" ht="78.75" customHeight="1" x14ac:dyDescent="0.3">
      <c r="A11" s="1"/>
      <c r="B11" s="25" t="s">
        <v>20</v>
      </c>
      <c r="C11" s="26" t="s">
        <v>21</v>
      </c>
      <c r="D11" s="27" t="s">
        <v>22</v>
      </c>
      <c r="E11" s="27" t="s">
        <v>23</v>
      </c>
      <c r="F11" s="27" t="s">
        <v>24</v>
      </c>
      <c r="G11" s="27" t="s">
        <v>25</v>
      </c>
      <c r="H11" s="27" t="s">
        <v>26</v>
      </c>
      <c r="I11" s="27" t="s">
        <v>27</v>
      </c>
      <c r="J11" s="121"/>
      <c r="K11" s="27" t="s">
        <v>29</v>
      </c>
      <c r="L11" s="27" t="s">
        <v>30</v>
      </c>
      <c r="M11" s="27" t="s">
        <v>31</v>
      </c>
      <c r="N11" s="27" t="s">
        <v>32</v>
      </c>
      <c r="O11" s="27" t="s">
        <v>33</v>
      </c>
      <c r="P11" s="26" t="s">
        <v>21</v>
      </c>
      <c r="Q11" s="27" t="s">
        <v>22</v>
      </c>
      <c r="R11" s="27" t="s">
        <v>34</v>
      </c>
      <c r="S11" s="27" t="s">
        <v>29</v>
      </c>
      <c r="T11" s="27" t="s">
        <v>30</v>
      </c>
      <c r="U11" s="27" t="s">
        <v>31</v>
      </c>
      <c r="V11" s="27" t="s">
        <v>32</v>
      </c>
      <c r="W11" s="27" t="s">
        <v>22</v>
      </c>
      <c r="X11" s="27" t="s">
        <v>23</v>
      </c>
      <c r="Y11" s="27" t="s">
        <v>35</v>
      </c>
      <c r="Z11" s="27" t="s">
        <v>36</v>
      </c>
      <c r="AA11" s="27" t="s">
        <v>26</v>
      </c>
      <c r="AB11" s="27" t="s">
        <v>27</v>
      </c>
      <c r="AC11" s="27" t="s">
        <v>28</v>
      </c>
      <c r="AD11" s="27" t="s">
        <v>29</v>
      </c>
      <c r="AE11" s="27" t="s">
        <v>30</v>
      </c>
      <c r="AF11" s="27" t="s">
        <v>31</v>
      </c>
      <c r="AG11" s="27" t="s">
        <v>32</v>
      </c>
      <c r="AH11" s="27" t="s">
        <v>37</v>
      </c>
      <c r="AI11" s="27" t="s">
        <v>38</v>
      </c>
      <c r="AJ11" s="27" t="s">
        <v>39</v>
      </c>
      <c r="AK11" s="27" t="s">
        <v>40</v>
      </c>
      <c r="AL11" s="27" t="s">
        <v>41</v>
      </c>
      <c r="AM11" s="27" t="s">
        <v>42</v>
      </c>
      <c r="AN11" s="121" t="s">
        <v>43</v>
      </c>
      <c r="AO11" s="27" t="s">
        <v>44</v>
      </c>
      <c r="AP11" s="27" t="s">
        <v>45</v>
      </c>
      <c r="AQ11" s="27" t="s">
        <v>37</v>
      </c>
      <c r="AR11" s="27" t="s">
        <v>38</v>
      </c>
      <c r="AS11" s="27" t="s">
        <v>39</v>
      </c>
      <c r="AT11" s="27" t="s">
        <v>40</v>
      </c>
      <c r="AU11" s="27" t="s">
        <v>41</v>
      </c>
      <c r="AV11" s="27" t="s">
        <v>42</v>
      </c>
      <c r="AW11" s="121"/>
      <c r="AX11" s="27" t="s">
        <v>44</v>
      </c>
      <c r="AY11" s="27" t="s">
        <v>45</v>
      </c>
      <c r="AZ11" s="27" t="s">
        <v>633</v>
      </c>
      <c r="BA11" s="27" t="s">
        <v>634</v>
      </c>
      <c r="BB11" s="27" t="s">
        <v>635</v>
      </c>
      <c r="BC11" s="27" t="s">
        <v>636</v>
      </c>
      <c r="BD11" s="27" t="s">
        <v>46</v>
      </c>
      <c r="BE11" s="27" t="s">
        <v>47</v>
      </c>
      <c r="BF11" s="27" t="s">
        <v>48</v>
      </c>
      <c r="BG11" s="27" t="s">
        <v>49</v>
      </c>
      <c r="BH11" s="27" t="s">
        <v>50</v>
      </c>
      <c r="BI11" s="27" t="s">
        <v>51</v>
      </c>
      <c r="BJ11" s="27" t="s">
        <v>52</v>
      </c>
      <c r="BK11" s="27" t="s">
        <v>53</v>
      </c>
      <c r="BL11" s="27" t="s">
        <v>54</v>
      </c>
      <c r="BM11" s="27" t="s">
        <v>55</v>
      </c>
      <c r="BN11" s="27" t="s">
        <v>56</v>
      </c>
      <c r="BO11" s="27" t="s">
        <v>57</v>
      </c>
      <c r="BP11" s="27" t="s">
        <v>637</v>
      </c>
      <c r="BQ11" s="27" t="s">
        <v>638</v>
      </c>
      <c r="BR11" s="27" t="s">
        <v>273</v>
      </c>
      <c r="BS11" s="27" t="s">
        <v>584</v>
      </c>
      <c r="BT11" s="27"/>
      <c r="BU11" s="27"/>
      <c r="BV11" s="27"/>
      <c r="BW11" s="27"/>
      <c r="BX11" s="27"/>
      <c r="BY11" s="27"/>
      <c r="BZ11" s="27"/>
      <c r="CA11" s="27"/>
      <c r="CB11" s="27"/>
      <c r="CC11" s="63" t="s">
        <v>68</v>
      </c>
      <c r="CD11" s="63" t="s">
        <v>69</v>
      </c>
      <c r="CE11" s="63" t="s">
        <v>70</v>
      </c>
      <c r="CF11" s="63" t="s">
        <v>71</v>
      </c>
      <c r="CG11" s="63" t="s">
        <v>72</v>
      </c>
      <c r="CH11" s="63" t="s">
        <v>73</v>
      </c>
      <c r="CI11" s="63" t="s">
        <v>74</v>
      </c>
      <c r="CJ11" s="63" t="s">
        <v>75</v>
      </c>
      <c r="CK11" s="27" t="s">
        <v>585</v>
      </c>
      <c r="CL11" s="27" t="s">
        <v>586</v>
      </c>
      <c r="CM11" s="27" t="s">
        <v>587</v>
      </c>
      <c r="CN11" s="27" t="s">
        <v>588</v>
      </c>
      <c r="CO11" s="27" t="s">
        <v>80</v>
      </c>
      <c r="CP11" s="27" t="s">
        <v>81</v>
      </c>
      <c r="CQ11" s="27" t="s">
        <v>82</v>
      </c>
      <c r="CR11" s="27" t="s">
        <v>589</v>
      </c>
      <c r="CS11" s="128" t="s">
        <v>590</v>
      </c>
      <c r="CT11" s="128" t="s">
        <v>591</v>
      </c>
      <c r="CU11" s="128" t="s">
        <v>592</v>
      </c>
      <c r="CV11" s="128" t="s">
        <v>593</v>
      </c>
      <c r="CW11" s="128" t="s">
        <v>88</v>
      </c>
      <c r="CX11" s="128" t="s">
        <v>89</v>
      </c>
      <c r="CY11" s="128" t="s">
        <v>90</v>
      </c>
      <c r="CZ11" s="128" t="s">
        <v>91</v>
      </c>
      <c r="DA11" s="64" t="s">
        <v>92</v>
      </c>
      <c r="DB11" s="64" t="s">
        <v>93</v>
      </c>
      <c r="DC11" s="64" t="s">
        <v>94</v>
      </c>
      <c r="DD11" s="64" t="s">
        <v>95</v>
      </c>
      <c r="DE11" s="64" t="s">
        <v>96</v>
      </c>
      <c r="DF11" s="1"/>
      <c r="DG11" s="1"/>
      <c r="DH11" s="1"/>
      <c r="DI11" s="1"/>
      <c r="DJ11" s="1"/>
      <c r="DK11" s="1"/>
      <c r="DL11" s="1"/>
      <c r="DM11" s="1"/>
      <c r="DN11" s="1"/>
      <c r="DO11" s="1"/>
      <c r="DP11" s="1"/>
      <c r="DQ11" s="1"/>
      <c r="DR11" s="1"/>
      <c r="DS11" s="1"/>
      <c r="DT11" s="1"/>
      <c r="DU11" s="1"/>
      <c r="DV11" s="1"/>
      <c r="DW11" s="1"/>
      <c r="DX11" s="1"/>
      <c r="DY11" s="1"/>
      <c r="DZ11" s="1"/>
      <c r="EA11" s="26" t="s">
        <v>97</v>
      </c>
      <c r="EB11" s="27" t="s">
        <v>98</v>
      </c>
      <c r="EC11" s="27" t="s">
        <v>99</v>
      </c>
      <c r="ED11" s="27" t="s">
        <v>100</v>
      </c>
      <c r="EE11" s="27" t="s">
        <v>101</v>
      </c>
      <c r="EF11" s="27" t="s">
        <v>102</v>
      </c>
      <c r="EG11" s="27" t="s">
        <v>103</v>
      </c>
      <c r="EH11" s="121"/>
      <c r="EI11" s="27" t="s">
        <v>104</v>
      </c>
      <c r="EJ11" s="27" t="s">
        <v>105</v>
      </c>
      <c r="EK11" s="27" t="s">
        <v>106</v>
      </c>
      <c r="EL11" s="27" t="s">
        <v>107</v>
      </c>
      <c r="EM11" s="27" t="s">
        <v>33</v>
      </c>
      <c r="EN11" s="27" t="s">
        <v>97</v>
      </c>
      <c r="EO11" s="27" t="s">
        <v>98</v>
      </c>
      <c r="EP11" s="27" t="s">
        <v>108</v>
      </c>
      <c r="EQ11" s="27" t="s">
        <v>104</v>
      </c>
      <c r="ER11" s="27" t="s">
        <v>105</v>
      </c>
      <c r="ES11" s="27" t="s">
        <v>106</v>
      </c>
      <c r="ET11" s="27" t="s">
        <v>107</v>
      </c>
      <c r="EU11" s="27" t="s">
        <v>594</v>
      </c>
      <c r="EV11" s="64" t="s">
        <v>639</v>
      </c>
      <c r="EW11" s="27" t="s">
        <v>99</v>
      </c>
      <c r="EX11" s="64" t="s">
        <v>110</v>
      </c>
      <c r="EY11" s="64" t="s">
        <v>640</v>
      </c>
      <c r="EZ11" s="64" t="s">
        <v>111</v>
      </c>
      <c r="FA11" s="64" t="s">
        <v>112</v>
      </c>
      <c r="FB11" s="27" t="s">
        <v>641</v>
      </c>
      <c r="FC11" s="27" t="s">
        <v>642</v>
      </c>
      <c r="FD11" s="27" t="s">
        <v>643</v>
      </c>
      <c r="FE11" s="27" t="s">
        <v>644</v>
      </c>
      <c r="FF11" s="27" t="s">
        <v>645</v>
      </c>
      <c r="FG11" s="27" t="s">
        <v>646</v>
      </c>
      <c r="FH11" s="27" t="s">
        <v>647</v>
      </c>
      <c r="FI11" s="27" t="s">
        <v>648</v>
      </c>
      <c r="FJ11" s="1"/>
      <c r="FK11" s="1"/>
      <c r="FL11" s="1"/>
      <c r="FM11" s="1"/>
      <c r="FN11" s="1"/>
      <c r="FO11" s="1"/>
      <c r="FP11" s="1"/>
      <c r="FQ11" s="1"/>
    </row>
    <row r="12" spans="1:173" x14ac:dyDescent="0.3">
      <c r="A12" s="1"/>
      <c r="B12" s="28">
        <v>1</v>
      </c>
      <c r="C12" s="129">
        <f>'[58]2. Distributional by deciles o'!B100</f>
        <v>995052913.55880141</v>
      </c>
      <c r="D12" s="129">
        <f>'[58]2. Distributional by deciles o'!C100</f>
        <v>1004031611.7048016</v>
      </c>
      <c r="E12" s="129">
        <f>'[58]2. Distributional by deciles o'!D100</f>
        <v>1003991570.2296016</v>
      </c>
      <c r="F12" s="129">
        <f>'[58]2. Distributional by deciles o'!E100</f>
        <v>1004007786.6672016</v>
      </c>
      <c r="G12" s="129">
        <f>'[58]2. Distributional by deciles o'!F100</f>
        <v>1003992305.8824016</v>
      </c>
      <c r="H12" s="129">
        <f>'[58]2. Distributional by deciles o'!G100</f>
        <v>1003991570.2296016</v>
      </c>
      <c r="I12" s="129">
        <f>'[58]2. Distributional by deciles o'!H100</f>
        <v>1003991570.2296016</v>
      </c>
      <c r="J12" s="122"/>
      <c r="K12" s="130" t="s">
        <v>113</v>
      </c>
      <c r="L12" s="130" t="s">
        <v>113</v>
      </c>
      <c r="M12" s="130" t="s">
        <v>113</v>
      </c>
      <c r="N12" s="130" t="s">
        <v>113</v>
      </c>
      <c r="O12" s="131">
        <f>C12/C$22*100</f>
        <v>0.49498478999882328</v>
      </c>
      <c r="P12" s="129">
        <f>'[58]2. Distributional by deciles o'!B118</f>
        <v>14143537526.668808</v>
      </c>
      <c r="Q12" s="129">
        <f>'[58]2. Distributional by deciles o'!C118</f>
        <v>14284902001.791601</v>
      </c>
      <c r="R12" s="131">
        <f t="shared" ref="R12:R21" si="0">(Q12/P12-1)*100</f>
        <v>0.99949870996727253</v>
      </c>
      <c r="S12" s="130" t="s">
        <v>113</v>
      </c>
      <c r="T12" s="130" t="s">
        <v>113</v>
      </c>
      <c r="U12" s="130" t="s">
        <v>113</v>
      </c>
      <c r="V12" s="130" t="s">
        <v>113</v>
      </c>
      <c r="W12" s="132">
        <f>IF(D12&lt;&gt;0,((D12-$C12)/ABS($C12)) / ($Q12/$P12-1),0)</f>
        <v>0.90278629537027755</v>
      </c>
      <c r="X12" s="132">
        <f>IF(E12&lt;&gt;0,((E12-$C12)/ABS($C12)) / ($Q12/$P12-1),0)</f>
        <v>0.89876022227269636</v>
      </c>
      <c r="Y12" s="132">
        <f t="shared" ref="Y12:AA22" si="1">IF(F12&lt;&gt;0,MAX(((F12-$C12)/ABS($C12)) / ($Q12/$P12-1),0),0)</f>
        <v>0.900390745694574</v>
      </c>
      <c r="Z12" s="132">
        <f t="shared" si="1"/>
        <v>0.89883419037532764</v>
      </c>
      <c r="AA12" s="132">
        <f t="shared" si="1"/>
        <v>0.89876022227269636</v>
      </c>
      <c r="AB12" s="132">
        <f>IF(I12&lt;&gt;0,MAX(((I12-$C12)/ABS($C12)) / ($Q12/$P12-1),0),AA12)</f>
        <v>0.89876022227269636</v>
      </c>
      <c r="AC12" s="132">
        <f>IF(J12&lt;&gt;0,MAX(((J12-$C12)/ABS($C12)) / ($Q12/$P12-1),0),AB12)</f>
        <v>0.89876022227269636</v>
      </c>
      <c r="AD12" s="130" t="s">
        <v>113</v>
      </c>
      <c r="AE12" s="130" t="s">
        <v>113</v>
      </c>
      <c r="AF12" s="130" t="s">
        <v>113</v>
      </c>
      <c r="AG12" s="130" t="s">
        <v>113</v>
      </c>
      <c r="AH12" s="133">
        <f t="shared" ref="AH12:AH22" si="2">MIN(W12,1)</f>
        <v>0.90278629537027755</v>
      </c>
      <c r="AI12" s="134">
        <f>IF(W12&gt;1,MAX(W12-SUM(AH12,AJ12:AO12),0),0)</f>
        <v>0</v>
      </c>
      <c r="AJ12" s="134">
        <f t="shared" ref="AJ12:AJ22" si="3">IF(W12&gt;1,MIN($W12-Y12,W12-AH12),0)</f>
        <v>0</v>
      </c>
      <c r="AK12" s="134">
        <f t="shared" ref="AK12:AK20" si="4">IF(W12&gt;1,MAX(MIN(Y12-Z12,W12-AH12-AJ12),0),0)</f>
        <v>0</v>
      </c>
      <c r="AL12" s="134">
        <f>IF(W12&gt;1,MAX(MIN(Z12-AA12,W12-AH12-AJ12-AK12),0),0)</f>
        <v>0</v>
      </c>
      <c r="AM12" s="134">
        <f>IF(I12&lt;&gt;0,IF(W12&gt;1,MAX(MIN(AA12-AB12,W12-AH12-AJ12-AK12-AL12),0),0),0)</f>
        <v>0</v>
      </c>
      <c r="AN12" s="135">
        <f t="shared" ref="AN12:AN13" si="5">IF(J12&lt;&gt;0,IF(W12&gt;1,MAX(MIN(AB12-AC12,W12-AH12-AJ12-AK12-AL12-AM12),0),0),0)</f>
        <v>0</v>
      </c>
      <c r="AO12" s="134">
        <f>IF(W12&gt;1,MAX(0,MIN(W12-AH12-AJ12-AK12-AL12-AM12,W12-AH12-AJ12-AK12-AL12-AM12-X12+1)),0)</f>
        <v>0</v>
      </c>
      <c r="AP12" s="134">
        <f t="shared" ref="AP12:AP22" si="6">AI12+AO12</f>
        <v>0</v>
      </c>
      <c r="AQ12" s="136" t="s">
        <v>113</v>
      </c>
      <c r="AR12" s="137">
        <f t="shared" ref="AR12:AY22" si="7">AI12/($W12-1)*100</f>
        <v>0</v>
      </c>
      <c r="AS12" s="137">
        <f t="shared" si="7"/>
        <v>0</v>
      </c>
      <c r="AT12" s="137">
        <f t="shared" si="7"/>
        <v>0</v>
      </c>
      <c r="AU12" s="137">
        <f t="shared" si="7"/>
        <v>0</v>
      </c>
      <c r="AV12" s="137">
        <f t="shared" si="7"/>
        <v>0</v>
      </c>
      <c r="AW12" s="138">
        <f t="shared" si="7"/>
        <v>0</v>
      </c>
      <c r="AX12" s="137">
        <f t="shared" si="7"/>
        <v>0</v>
      </c>
      <c r="AY12" s="137">
        <f t="shared" si="7"/>
        <v>0</v>
      </c>
      <c r="AZ12" s="139" t="s">
        <v>113</v>
      </c>
      <c r="BA12" s="139" t="s">
        <v>113</v>
      </c>
      <c r="BB12" s="139" t="s">
        <v>113</v>
      </c>
      <c r="BC12" s="139" t="s">
        <v>113</v>
      </c>
      <c r="BD12" s="139" t="s">
        <v>113</v>
      </c>
      <c r="BE12" s="139" t="s">
        <v>113</v>
      </c>
      <c r="BF12" s="139" t="s">
        <v>113</v>
      </c>
      <c r="BG12" s="139" t="s">
        <v>113</v>
      </c>
      <c r="BH12" s="140">
        <f>'[58]2. Distributional by deciles o'!B136</f>
        <v>6324769225.4220028</v>
      </c>
      <c r="BI12" s="140">
        <f>'[58]2. Distributional by deciles o'!B154</f>
        <v>5884483603.6907997</v>
      </c>
      <c r="BJ12" s="140">
        <f>'[58]2. Distributional by deciles o'!B172</f>
        <v>842865133.71239996</v>
      </c>
      <c r="BK12" s="140">
        <f>'[58]2. Distributional by deciles o'!B190</f>
        <v>1091417987.8776016</v>
      </c>
      <c r="BL12" s="141">
        <f>BH12/SUM($BH12:$BK12)</f>
        <v>0.44718444153335785</v>
      </c>
      <c r="BM12" s="141">
        <f t="shared" ref="BM12:BO12" si="8">BI12/SUM($BH12:$BK12)</f>
        <v>0.41605462906879342</v>
      </c>
      <c r="BN12" s="141">
        <f t="shared" si="8"/>
        <v>5.9593664317763285E-2</v>
      </c>
      <c r="BO12" s="141">
        <f t="shared" si="8"/>
        <v>7.7167265080085451E-2</v>
      </c>
      <c r="BP12" s="139" t="s">
        <v>113</v>
      </c>
      <c r="BQ12" s="139" t="s">
        <v>113</v>
      </c>
      <c r="BR12" s="139" t="s">
        <v>113</v>
      </c>
      <c r="BS12" s="131">
        <f>P12/P$22*100</f>
        <v>1.0779693985764327</v>
      </c>
      <c r="BT12" s="139"/>
      <c r="BU12" s="139"/>
      <c r="BV12" s="139"/>
      <c r="BW12" s="139"/>
      <c r="BX12" s="139"/>
      <c r="BY12" s="139"/>
      <c r="BZ12" s="139"/>
      <c r="CA12" s="139"/>
      <c r="CB12" s="139"/>
      <c r="CC12" s="142" t="s">
        <v>113</v>
      </c>
      <c r="CD12" s="142" t="s">
        <v>113</v>
      </c>
      <c r="CE12" s="142" t="s">
        <v>113</v>
      </c>
      <c r="CF12" s="142" t="s">
        <v>113</v>
      </c>
      <c r="CG12" s="142" t="s">
        <v>113</v>
      </c>
      <c r="CH12" s="142" t="s">
        <v>113</v>
      </c>
      <c r="CI12" s="142" t="s">
        <v>113</v>
      </c>
      <c r="CJ12" s="142"/>
      <c r="CK12" s="139" t="s">
        <v>113</v>
      </c>
      <c r="CL12" s="139" t="s">
        <v>113</v>
      </c>
      <c r="CM12" s="139" t="s">
        <v>113</v>
      </c>
      <c r="CN12" s="139" t="s">
        <v>113</v>
      </c>
      <c r="CO12" s="139" t="s">
        <v>113</v>
      </c>
      <c r="CP12" s="139" t="s">
        <v>113</v>
      </c>
      <c r="CQ12" s="139" t="s">
        <v>113</v>
      </c>
      <c r="CR12" s="139"/>
      <c r="CS12" s="143" t="s">
        <v>113</v>
      </c>
      <c r="CT12" s="143" t="s">
        <v>113</v>
      </c>
      <c r="CU12" s="143" t="s">
        <v>113</v>
      </c>
      <c r="CV12" s="143" t="s">
        <v>113</v>
      </c>
      <c r="CW12" s="143" t="s">
        <v>113</v>
      </c>
      <c r="CX12" s="143" t="s">
        <v>113</v>
      </c>
      <c r="CY12" s="143" t="s">
        <v>113</v>
      </c>
      <c r="CZ12" s="143"/>
      <c r="DA12" s="139" t="s">
        <v>113</v>
      </c>
      <c r="DB12" s="139" t="s">
        <v>113</v>
      </c>
      <c r="DC12" s="139" t="s">
        <v>113</v>
      </c>
      <c r="DD12" s="144">
        <f>(1-DE12)*100</f>
        <v>1.8172206719078265</v>
      </c>
      <c r="DE12" s="145">
        <f>'[58]2. Distributional by deciles o'!K46</f>
        <v>0.98182779328092173</v>
      </c>
      <c r="DF12" s="1"/>
      <c r="DG12" s="1"/>
      <c r="DH12" s="1"/>
      <c r="DI12" s="1"/>
      <c r="DJ12" s="1"/>
      <c r="DK12" s="1"/>
      <c r="DL12" s="1"/>
      <c r="DM12" s="1"/>
      <c r="DN12" s="1"/>
      <c r="DO12" s="1"/>
      <c r="DP12" s="1"/>
      <c r="DQ12" s="1"/>
      <c r="DR12" s="1"/>
      <c r="DS12" s="1"/>
      <c r="DT12" s="1"/>
      <c r="DU12" s="1"/>
      <c r="DV12" s="1"/>
      <c r="DW12" s="1"/>
      <c r="DX12" s="1"/>
      <c r="DY12" s="1"/>
      <c r="DZ12" s="1"/>
      <c r="EA12" s="146">
        <f>'[59]2. Distributional by deciles o'!B100</f>
        <v>1026824684.3136003</v>
      </c>
      <c r="EB12" s="146">
        <f>'[59]2. Distributional by deciles o'!C100</f>
        <v>1036028502.1175997</v>
      </c>
      <c r="EC12" s="146">
        <f>'[59]2. Distributional by deciles o'!D100</f>
        <v>1036003579.1519997</v>
      </c>
      <c r="ED12" s="147">
        <f>'[59]2. Distributional by deciles o'!E100</f>
        <v>9203817.80400002</v>
      </c>
      <c r="EE12" s="147">
        <f>'[59]2. Distributional by deciles o'!F100</f>
        <v>9178894.8384000063</v>
      </c>
      <c r="EF12" s="147">
        <f>'[59]2. Distributional by deciles o'!G100</f>
        <v>8.9633780182762964E-3</v>
      </c>
      <c r="EG12" s="129">
        <f>'[59]2. Distributional by deciles o'!H100</f>
        <v>8.9391061381971088E-3</v>
      </c>
      <c r="EH12" s="122"/>
      <c r="EI12" s="130" t="s">
        <v>113</v>
      </c>
      <c r="EJ12" s="130" t="s">
        <v>113</v>
      </c>
      <c r="EK12" s="130" t="s">
        <v>113</v>
      </c>
      <c r="EL12" s="130" t="s">
        <v>113</v>
      </c>
      <c r="EM12" s="131">
        <f t="shared" ref="EM12:EM21" si="9">EA12/EA$22*100</f>
        <v>0.47540978423624225</v>
      </c>
      <c r="EN12" s="146">
        <f>'[60]2. Distributional by deciles o'!B118</f>
        <v>15288573677.162422</v>
      </c>
      <c r="EO12" s="146">
        <f>'[60]2. Distributional by deciles o'!C118</f>
        <v>15441373184.618401</v>
      </c>
      <c r="EP12" s="131">
        <f t="shared" ref="EP12:EP21" si="10">(EO12/EN12-1)*100</f>
        <v>0.99943598848744042</v>
      </c>
      <c r="EQ12" s="130" t="s">
        <v>113</v>
      </c>
      <c r="ER12" s="130" t="s">
        <v>113</v>
      </c>
      <c r="ES12" s="130" t="s">
        <v>113</v>
      </c>
      <c r="ET12" s="130" t="s">
        <v>113</v>
      </c>
      <c r="EU12" s="131">
        <f>EN12/EN$22*100</f>
        <v>1.0738056035776105</v>
      </c>
      <c r="EV12" s="132">
        <f>((EB12-$EA12)/ABS($EA12)) / ($EO12/$EN12-1)</f>
        <v>0.89684363196096306</v>
      </c>
      <c r="EW12" s="132">
        <f>IF(EC12&lt;&gt;0,((EC12-$EA12)/ABS($EA12)) / ($EO12/$EN12-1),0)</f>
        <v>0.89441507421851829</v>
      </c>
      <c r="EX12" s="132"/>
      <c r="EY12" s="148">
        <f t="shared" ref="EY12:EY22" si="11">EV12-W12</f>
        <v>-5.9426634093144859E-3</v>
      </c>
      <c r="EZ12" s="144">
        <f>(1-FA12)*100</f>
        <v>1.7833009278099832</v>
      </c>
      <c r="FA12" s="145">
        <f>'[59]2. Distributional by deciles o'!F46</f>
        <v>0.98216699072190017</v>
      </c>
      <c r="FB12" s="130" t="s">
        <v>113</v>
      </c>
      <c r="FC12" s="130" t="s">
        <v>113</v>
      </c>
      <c r="FD12" s="130" t="s">
        <v>113</v>
      </c>
      <c r="FE12" s="130" t="s">
        <v>113</v>
      </c>
      <c r="FF12" s="130" t="s">
        <v>113</v>
      </c>
      <c r="FG12" s="130" t="s">
        <v>113</v>
      </c>
      <c r="FH12" s="130" t="s">
        <v>113</v>
      </c>
      <c r="FI12" s="130" t="s">
        <v>113</v>
      </c>
      <c r="FJ12" s="1"/>
      <c r="FK12" s="1"/>
      <c r="FL12" s="1"/>
      <c r="FM12" s="1"/>
      <c r="FN12" s="1"/>
      <c r="FO12" s="1"/>
      <c r="FP12" s="1"/>
      <c r="FQ12" s="1"/>
    </row>
    <row r="13" spans="1:173" x14ac:dyDescent="0.3">
      <c r="A13" s="1"/>
      <c r="B13" s="28">
        <v>2</v>
      </c>
      <c r="C13" s="129">
        <f>'[58]2. Distributional by deciles o'!B101</f>
        <v>3167481368.9747996</v>
      </c>
      <c r="D13" s="129">
        <f>'[58]2. Distributional by deciles o'!C101</f>
        <v>3204668282.6771979</v>
      </c>
      <c r="E13" s="129">
        <f>'[58]2. Distributional by deciles o'!D101</f>
        <v>3196659328.6595984</v>
      </c>
      <c r="F13" s="129">
        <f>'[58]2. Distributional by deciles o'!E101</f>
        <v>3204283598.5823979</v>
      </c>
      <c r="G13" s="129">
        <f>'[58]2. Distributional by deciles o'!F101</f>
        <v>3204038953.4555984</v>
      </c>
      <c r="H13" s="129">
        <f>'[58]2. Distributional by deciles o'!G101</f>
        <v>3196660479.3083982</v>
      </c>
      <c r="I13" s="129">
        <f>'[58]2. Distributional by deciles o'!H101</f>
        <v>3196659328.6595984</v>
      </c>
      <c r="J13" s="122"/>
      <c r="K13" s="130" t="s">
        <v>113</v>
      </c>
      <c r="L13" s="130" t="s">
        <v>113</v>
      </c>
      <c r="M13" s="130" t="s">
        <v>113</v>
      </c>
      <c r="N13" s="130" t="s">
        <v>113</v>
      </c>
      <c r="O13" s="131">
        <f t="shared" ref="O13:O21" si="12">C13/C$22*100</f>
        <v>1.5756499768838936</v>
      </c>
      <c r="P13" s="129">
        <f>'[58]2. Distributional by deciles o'!B119</f>
        <v>47300676932.192444</v>
      </c>
      <c r="Q13" s="129">
        <f>'[58]2. Distributional by deciles o'!C119</f>
        <v>47771228898.101974</v>
      </c>
      <c r="R13" s="131">
        <f t="shared" si="0"/>
        <v>0.99481021505058997</v>
      </c>
      <c r="S13" s="130" t="s">
        <v>113</v>
      </c>
      <c r="T13" s="130" t="s">
        <v>113</v>
      </c>
      <c r="U13" s="130" t="s">
        <v>113</v>
      </c>
      <c r="V13" s="130" t="s">
        <v>113</v>
      </c>
      <c r="W13" s="132">
        <f t="shared" ref="W13:X22" si="13">IF(D13&lt;&gt;0,((D13-$C13)/ABS($C13)) / ($Q13/$P13-1),0)</f>
        <v>1.1801462501452338</v>
      </c>
      <c r="X13" s="132">
        <f t="shared" si="13"/>
        <v>0.92597788524416436</v>
      </c>
      <c r="Y13" s="132">
        <f t="shared" si="1"/>
        <v>1.1679380982237839</v>
      </c>
      <c r="Z13" s="132">
        <f t="shared" si="1"/>
        <v>1.1601741565501242</v>
      </c>
      <c r="AA13" s="132">
        <f t="shared" si="1"/>
        <v>0.92601440168855931</v>
      </c>
      <c r="AB13" s="132">
        <f t="shared" ref="AB13:AC22" si="14">IF(I13&lt;&gt;0,MAX(((I13-$C13)/ABS($C13)) / ($Q13/$P13-1),0),AA13)</f>
        <v>0.92597788524416436</v>
      </c>
      <c r="AC13" s="132">
        <f t="shared" si="14"/>
        <v>0.92597788524416436</v>
      </c>
      <c r="AD13" s="130" t="s">
        <v>113</v>
      </c>
      <c r="AE13" s="130" t="s">
        <v>113</v>
      </c>
      <c r="AF13" s="130" t="s">
        <v>113</v>
      </c>
      <c r="AG13" s="130" t="s">
        <v>113</v>
      </c>
      <c r="AH13" s="133">
        <f t="shared" si="2"/>
        <v>1</v>
      </c>
      <c r="AI13" s="134">
        <f t="shared" ref="AI13:AI22" si="15">IF(W13&gt;1,MAX(W13-SUM(AH13,AJ13:AO13),0),0)</f>
        <v>0</v>
      </c>
      <c r="AJ13" s="134">
        <f t="shared" si="3"/>
        <v>1.2208151921449861E-2</v>
      </c>
      <c r="AK13" s="134">
        <f t="shared" si="4"/>
        <v>7.76394167365968E-3</v>
      </c>
      <c r="AL13" s="134">
        <f t="shared" ref="AL13:AL22" si="16">IF(W13&gt;1,MAX(MIN(Z13-AA13,W13-AH13-AJ13-AK13),0),0)</f>
        <v>0.16017415655012424</v>
      </c>
      <c r="AM13" s="134">
        <f t="shared" ref="AM13:AM22" si="17">IF(I13&lt;&gt;0,IF(W13&gt;1,MAX(MIN(AA13-AB13,W13-AH13-AJ13-AK13-AL13),0),0),0)</f>
        <v>0</v>
      </c>
      <c r="AN13" s="135">
        <f t="shared" si="5"/>
        <v>0</v>
      </c>
      <c r="AO13" s="134">
        <f t="shared" ref="AO13:AO22" si="18">IF(W13&gt;1,MAX(0,MIN(W13-AH13-AJ13-AK13-AL13-AM13,W13-AH13-AJ13-AK13-AL13-AM13-X13+1)),0)</f>
        <v>0</v>
      </c>
      <c r="AP13" s="134">
        <f t="shared" si="6"/>
        <v>0</v>
      </c>
      <c r="AQ13" s="136" t="s">
        <v>113</v>
      </c>
      <c r="AR13" s="137">
        <f t="shared" si="7"/>
        <v>0</v>
      </c>
      <c r="AS13" s="137">
        <f t="shared" si="7"/>
        <v>6.7768004671802258</v>
      </c>
      <c r="AT13" s="137">
        <f t="shared" si="7"/>
        <v>4.3097992144717949</v>
      </c>
      <c r="AU13" s="137">
        <f t="shared" si="7"/>
        <v>88.913400318347982</v>
      </c>
      <c r="AV13" s="137">
        <f t="shared" si="7"/>
        <v>0</v>
      </c>
      <c r="AW13" s="138">
        <f t="shared" si="7"/>
        <v>0</v>
      </c>
      <c r="AX13" s="137">
        <f t="shared" si="7"/>
        <v>0</v>
      </c>
      <c r="AY13" s="137">
        <f t="shared" si="7"/>
        <v>0</v>
      </c>
      <c r="AZ13" s="139" t="s">
        <v>113</v>
      </c>
      <c r="BA13" s="139" t="s">
        <v>113</v>
      </c>
      <c r="BB13" s="139" t="s">
        <v>113</v>
      </c>
      <c r="BC13" s="139" t="s">
        <v>113</v>
      </c>
      <c r="BD13" s="139" t="s">
        <v>113</v>
      </c>
      <c r="BE13" s="139" t="s">
        <v>113</v>
      </c>
      <c r="BF13" s="139" t="s">
        <v>113</v>
      </c>
      <c r="BG13" s="139" t="s">
        <v>113</v>
      </c>
      <c r="BH13" s="140">
        <f>'[58]2. Distributional by deciles o'!B137</f>
        <v>24715731181.129185</v>
      </c>
      <c r="BI13" s="140">
        <f>'[58]2. Distributional by deciles o'!B155</f>
        <v>19261825664.926819</v>
      </c>
      <c r="BJ13" s="140">
        <f>'[58]2. Distributional by deciles o'!B173</f>
        <v>1800791517.8580003</v>
      </c>
      <c r="BK13" s="140">
        <f>'[58]2. Distributional by deciles o'!B191</f>
        <v>1522329779.2140012</v>
      </c>
      <c r="BL13" s="141">
        <f t="shared" ref="BL13:BL22" si="19">BH13/SUM($BH13:$BK13)</f>
        <v>0.52252382315410772</v>
      </c>
      <c r="BM13" s="141">
        <f t="shared" ref="BM13:BM22" si="20">BI13/SUM($BH13:$BK13)</f>
        <v>0.40722091989129838</v>
      </c>
      <c r="BN13" s="141">
        <f t="shared" ref="BN13:BO22" si="21">BJ13/SUM($BH13:$BK13)</f>
        <v>3.8071156451688737E-2</v>
      </c>
      <c r="BO13" s="141">
        <f t="shared" si="21"/>
        <v>3.2184100502905162E-2</v>
      </c>
      <c r="BP13" s="139" t="s">
        <v>113</v>
      </c>
      <c r="BQ13" s="139" t="s">
        <v>113</v>
      </c>
      <c r="BR13" s="139" t="s">
        <v>113</v>
      </c>
      <c r="BS13" s="131">
        <f t="shared" ref="BS13:BS21" si="22">P13/P$22*100</f>
        <v>3.6050869288330629</v>
      </c>
      <c r="BT13" s="139"/>
      <c r="BU13" s="139"/>
      <c r="BV13" s="139"/>
      <c r="BW13" s="139"/>
      <c r="BX13" s="139"/>
      <c r="BY13" s="139"/>
      <c r="BZ13" s="139"/>
      <c r="CA13" s="139"/>
      <c r="CB13" s="139"/>
      <c r="CC13" s="142" t="s">
        <v>113</v>
      </c>
      <c r="CD13" s="142" t="s">
        <v>113</v>
      </c>
      <c r="CE13" s="142" t="s">
        <v>113</v>
      </c>
      <c r="CF13" s="142" t="s">
        <v>113</v>
      </c>
      <c r="CG13" s="142" t="s">
        <v>113</v>
      </c>
      <c r="CH13" s="142" t="s">
        <v>113</v>
      </c>
      <c r="CI13" s="142" t="s">
        <v>113</v>
      </c>
      <c r="CJ13" s="142"/>
      <c r="CK13" s="139" t="s">
        <v>113</v>
      </c>
      <c r="CL13" s="139" t="s">
        <v>113</v>
      </c>
      <c r="CM13" s="139" t="s">
        <v>113</v>
      </c>
      <c r="CN13" s="139" t="s">
        <v>113</v>
      </c>
      <c r="CO13" s="139" t="s">
        <v>113</v>
      </c>
      <c r="CP13" s="139" t="s">
        <v>113</v>
      </c>
      <c r="CQ13" s="139" t="s">
        <v>113</v>
      </c>
      <c r="CR13" s="139"/>
      <c r="CS13" s="143" t="s">
        <v>113</v>
      </c>
      <c r="CT13" s="143" t="s">
        <v>113</v>
      </c>
      <c r="CU13" s="143" t="s">
        <v>113</v>
      </c>
      <c r="CV13" s="143" t="s">
        <v>113</v>
      </c>
      <c r="CW13" s="143" t="s">
        <v>113</v>
      </c>
      <c r="CX13" s="143" t="s">
        <v>113</v>
      </c>
      <c r="CY13" s="143" t="s">
        <v>113</v>
      </c>
      <c r="CZ13" s="143"/>
      <c r="DA13" s="139" t="s">
        <v>113</v>
      </c>
      <c r="DB13" s="139" t="s">
        <v>113</v>
      </c>
      <c r="DC13" s="139" t="s">
        <v>113</v>
      </c>
      <c r="DD13" s="144">
        <f t="shared" ref="DD13:DD22" si="23">(1-DE13)*100</f>
        <v>0</v>
      </c>
      <c r="DE13" s="145">
        <f>'[58]2. Distributional by deciles o'!K47</f>
        <v>1</v>
      </c>
      <c r="DF13" s="1"/>
      <c r="DG13" s="1"/>
      <c r="DH13" s="1"/>
      <c r="DI13" s="1"/>
      <c r="DJ13" s="1"/>
      <c r="DK13" s="1"/>
      <c r="DL13" s="1"/>
      <c r="DM13" s="1"/>
      <c r="DN13" s="1"/>
      <c r="DO13" s="1"/>
      <c r="DP13" s="1"/>
      <c r="DQ13" s="1"/>
      <c r="DR13" s="1"/>
      <c r="DS13" s="1"/>
      <c r="DT13" s="1"/>
      <c r="DU13" s="1"/>
      <c r="DV13" s="1"/>
      <c r="DW13" s="1"/>
      <c r="DX13" s="1"/>
      <c r="DY13" s="1"/>
      <c r="DZ13" s="1"/>
      <c r="EA13" s="146">
        <f>'[59]2. Distributional by deciles o'!B101</f>
        <v>3343995145.9392014</v>
      </c>
      <c r="EB13" s="146">
        <f>'[59]2. Distributional by deciles o'!C101</f>
        <v>3379889285.3616009</v>
      </c>
      <c r="EC13" s="146">
        <f>'[59]2. Distributional by deciles o'!D101</f>
        <v>3373712051.3087997</v>
      </c>
      <c r="ED13" s="147">
        <f>'[59]2. Distributional by deciles o'!E101</f>
        <v>35894139.422399998</v>
      </c>
      <c r="EE13" s="147">
        <f>'[59]2. Distributional by deciles o'!F101</f>
        <v>29716905.369600296</v>
      </c>
      <c r="EF13" s="147">
        <f>'[59]2. Distributional by deciles o'!G101</f>
        <v>1.0733908948997206E-2</v>
      </c>
      <c r="EG13" s="129">
        <f>'[59]2. Distributional by deciles o'!H101</f>
        <v>8.8866472804804159E-3</v>
      </c>
      <c r="EH13" s="122"/>
      <c r="EI13" s="130" t="s">
        <v>113</v>
      </c>
      <c r="EJ13" s="130" t="s">
        <v>113</v>
      </c>
      <c r="EK13" s="130" t="s">
        <v>113</v>
      </c>
      <c r="EL13" s="130" t="s">
        <v>113</v>
      </c>
      <c r="EM13" s="131">
        <f t="shared" si="9"/>
        <v>1.5482370409518413</v>
      </c>
      <c r="EN13" s="146">
        <f>'[60]2. Distributional by deciles o'!B119</f>
        <v>51466168419.715302</v>
      </c>
      <c r="EO13" s="146">
        <f>'[60]2. Distributional by deciles o'!C119</f>
        <v>51978251286.943153</v>
      </c>
      <c r="EP13" s="131">
        <f t="shared" si="10"/>
        <v>0.99498929675845282</v>
      </c>
      <c r="EQ13" s="130" t="s">
        <v>113</v>
      </c>
      <c r="ER13" s="130" t="s">
        <v>113</v>
      </c>
      <c r="ES13" s="130" t="s">
        <v>113</v>
      </c>
      <c r="ET13" s="130" t="s">
        <v>113</v>
      </c>
      <c r="EU13" s="131">
        <f t="shared" ref="EU13:EU21" si="24">EN13/EN$22*100</f>
        <v>3.614768860113609</v>
      </c>
      <c r="EV13" s="132">
        <f t="shared" ref="EV13:EV22" si="25">((EB13-$EA13)/ABS($EA13)) / ($EO13/$EN13-1)</f>
        <v>1.0787964236365915</v>
      </c>
      <c r="EW13" s="132">
        <f t="shared" ref="EW13:EW22" si="26">IF(EC13&lt;&gt;0,((EC13-$EA13)/ABS($EA13)) / ($EO13/$EN13-1),0)</f>
        <v>0.8931399874783974</v>
      </c>
      <c r="EX13" s="132"/>
      <c r="EY13" s="148">
        <f t="shared" si="11"/>
        <v>-0.10134982650864233</v>
      </c>
      <c r="EZ13" s="144">
        <f t="shared" ref="EZ13:EZ22" si="27">(1-FA13)*100</f>
        <v>0</v>
      </c>
      <c r="FA13" s="145">
        <f>'[59]2. Distributional by deciles o'!F47</f>
        <v>1</v>
      </c>
      <c r="FB13" s="130" t="s">
        <v>113</v>
      </c>
      <c r="FC13" s="130" t="s">
        <v>113</v>
      </c>
      <c r="FD13" s="130" t="s">
        <v>113</v>
      </c>
      <c r="FE13" s="130" t="s">
        <v>113</v>
      </c>
      <c r="FF13" s="130" t="s">
        <v>113</v>
      </c>
      <c r="FG13" s="130" t="s">
        <v>113</v>
      </c>
      <c r="FH13" s="130" t="s">
        <v>113</v>
      </c>
      <c r="FI13" s="130" t="s">
        <v>113</v>
      </c>
      <c r="FJ13" s="1"/>
      <c r="FK13" s="1"/>
      <c r="FL13" s="1"/>
      <c r="FM13" s="1"/>
      <c r="FN13" s="1"/>
      <c r="FO13" s="1"/>
      <c r="FP13" s="1"/>
      <c r="FQ13" s="1"/>
    </row>
    <row r="14" spans="1:173" x14ac:dyDescent="0.3">
      <c r="A14" s="1"/>
      <c r="B14" s="28">
        <v>3</v>
      </c>
      <c r="C14" s="129">
        <f>'[58]2. Distributional by deciles o'!B102</f>
        <v>5154027962.5787926</v>
      </c>
      <c r="D14" s="129">
        <f>'[58]2. Distributional by deciles o'!C102</f>
        <v>5243107539.9671993</v>
      </c>
      <c r="E14" s="129">
        <f>'[58]2. Distributional by deciles o'!D102</f>
        <v>5197452344.0712004</v>
      </c>
      <c r="F14" s="129">
        <f>'[58]2. Distributional by deciles o'!E102</f>
        <v>5241277575.3467999</v>
      </c>
      <c r="G14" s="129">
        <f>'[58]2. Distributional by deciles o'!F102</f>
        <v>5240247076.3764</v>
      </c>
      <c r="H14" s="129">
        <f>'[58]2. Distributional by deciles o'!G102</f>
        <v>5197453853.2152004</v>
      </c>
      <c r="I14" s="129">
        <f>'[58]2. Distributional by deciles o'!H102</f>
        <v>5197452344.0712004</v>
      </c>
      <c r="J14" s="122"/>
      <c r="K14" s="130" t="s">
        <v>113</v>
      </c>
      <c r="L14" s="130" t="s">
        <v>113</v>
      </c>
      <c r="M14" s="130" t="s">
        <v>113</v>
      </c>
      <c r="N14" s="130" t="s">
        <v>113</v>
      </c>
      <c r="O14" s="131">
        <f t="shared" si="12"/>
        <v>2.5638490314860714</v>
      </c>
      <c r="P14" s="129">
        <f>'[58]2. Distributional by deciles o'!B120</f>
        <v>72017394376.222778</v>
      </c>
      <c r="Q14" s="129">
        <f>'[58]2. Distributional by deciles o'!C120</f>
        <v>72735606051.609543</v>
      </c>
      <c r="R14" s="131">
        <f t="shared" si="0"/>
        <v>0.99727528551614153</v>
      </c>
      <c r="S14" s="130" t="s">
        <v>113</v>
      </c>
      <c r="T14" s="130" t="s">
        <v>113</v>
      </c>
      <c r="U14" s="130" t="s">
        <v>113</v>
      </c>
      <c r="V14" s="130" t="s">
        <v>113</v>
      </c>
      <c r="W14" s="132">
        <f t="shared" si="13"/>
        <v>1.7330708640206507</v>
      </c>
      <c r="X14" s="132">
        <f t="shared" si="13"/>
        <v>0.84483483823087735</v>
      </c>
      <c r="Y14" s="132">
        <f t="shared" si="1"/>
        <v>1.697468333577846</v>
      </c>
      <c r="Z14" s="132">
        <f t="shared" si="1"/>
        <v>1.6774196558296766</v>
      </c>
      <c r="AA14" s="132">
        <f t="shared" si="1"/>
        <v>0.84486419909644028</v>
      </c>
      <c r="AB14" s="132">
        <f t="shared" si="14"/>
        <v>0.84483483823087735</v>
      </c>
      <c r="AC14" s="132">
        <f t="shared" si="14"/>
        <v>0.84483483823087735</v>
      </c>
      <c r="AD14" s="130" t="s">
        <v>113</v>
      </c>
      <c r="AE14" s="130" t="s">
        <v>113</v>
      </c>
      <c r="AF14" s="130" t="s">
        <v>113</v>
      </c>
      <c r="AG14" s="130" t="s">
        <v>113</v>
      </c>
      <c r="AH14" s="133">
        <f t="shared" si="2"/>
        <v>1</v>
      </c>
      <c r="AI14" s="134">
        <f t="shared" si="15"/>
        <v>0</v>
      </c>
      <c r="AJ14" s="134">
        <f t="shared" si="3"/>
        <v>3.5602530442804703E-2</v>
      </c>
      <c r="AK14" s="134">
        <f t="shared" si="4"/>
        <v>2.004867774816943E-2</v>
      </c>
      <c r="AL14" s="134">
        <f t="shared" si="16"/>
        <v>0.67741965582967656</v>
      </c>
      <c r="AM14" s="134">
        <f t="shared" si="17"/>
        <v>0</v>
      </c>
      <c r="AN14" s="135">
        <f>IF(J14&lt;&gt;0,IF(W14&gt;1,MAX(MIN(AB14-AC14,W14-AH14-AJ14-AK14-AL14-AM14),0),0),0)</f>
        <v>0</v>
      </c>
      <c r="AO14" s="134">
        <f t="shared" si="18"/>
        <v>0</v>
      </c>
      <c r="AP14" s="134">
        <f t="shared" si="6"/>
        <v>0</v>
      </c>
      <c r="AQ14" s="136" t="s">
        <v>113</v>
      </c>
      <c r="AR14" s="137">
        <f t="shared" si="7"/>
        <v>0</v>
      </c>
      <c r="AS14" s="137">
        <f t="shared" si="7"/>
        <v>4.8566287640374393</v>
      </c>
      <c r="AT14" s="137">
        <f t="shared" si="7"/>
        <v>2.7348894536892487</v>
      </c>
      <c r="AU14" s="137">
        <f t="shared" si="7"/>
        <v>92.408481782273313</v>
      </c>
      <c r="AV14" s="137">
        <f t="shared" si="7"/>
        <v>0</v>
      </c>
      <c r="AW14" s="138">
        <f t="shared" si="7"/>
        <v>0</v>
      </c>
      <c r="AX14" s="137">
        <f t="shared" si="7"/>
        <v>0</v>
      </c>
      <c r="AY14" s="137">
        <f t="shared" si="7"/>
        <v>0</v>
      </c>
      <c r="AZ14" s="139" t="s">
        <v>113</v>
      </c>
      <c r="BA14" s="139" t="s">
        <v>113</v>
      </c>
      <c r="BB14" s="139" t="s">
        <v>113</v>
      </c>
      <c r="BC14" s="139" t="s">
        <v>113</v>
      </c>
      <c r="BD14" s="139" t="s">
        <v>113</v>
      </c>
      <c r="BE14" s="139" t="s">
        <v>113</v>
      </c>
      <c r="BF14" s="139" t="s">
        <v>113</v>
      </c>
      <c r="BG14" s="139" t="s">
        <v>113</v>
      </c>
      <c r="BH14" s="140">
        <f>'[58]2. Distributional by deciles o'!B138</f>
        <v>33268190886.158356</v>
      </c>
      <c r="BI14" s="140">
        <f>'[58]2. Distributional by deciles o'!B156</f>
        <v>34818634784.897949</v>
      </c>
      <c r="BJ14" s="140">
        <f>'[58]2. Distributional by deciles o'!B174</f>
        <v>1869663549.7907996</v>
      </c>
      <c r="BK14" s="140">
        <f>'[58]2. Distributional by deciles o'!B192</f>
        <v>2060910437.7180014</v>
      </c>
      <c r="BL14" s="141">
        <f t="shared" si="19"/>
        <v>0.46194657185462168</v>
      </c>
      <c r="BM14" s="141">
        <f t="shared" si="20"/>
        <v>0.4834753122158435</v>
      </c>
      <c r="BN14" s="141">
        <f t="shared" si="21"/>
        <v>2.5961275450861666E-2</v>
      </c>
      <c r="BO14" s="141">
        <f t="shared" si="21"/>
        <v>2.8616840478673061E-2</v>
      </c>
      <c r="BP14" s="139" t="s">
        <v>113</v>
      </c>
      <c r="BQ14" s="139" t="s">
        <v>113</v>
      </c>
      <c r="BR14" s="139" t="s">
        <v>113</v>
      </c>
      <c r="BS14" s="131">
        <f t="shared" si="22"/>
        <v>5.4889059513149405</v>
      </c>
      <c r="BT14" s="139"/>
      <c r="BU14" s="139"/>
      <c r="BV14" s="139"/>
      <c r="BW14" s="139"/>
      <c r="BX14" s="139"/>
      <c r="BY14" s="139"/>
      <c r="BZ14" s="139"/>
      <c r="CA14" s="139"/>
      <c r="CB14" s="139"/>
      <c r="CC14" s="142" t="s">
        <v>113</v>
      </c>
      <c r="CD14" s="142" t="s">
        <v>113</v>
      </c>
      <c r="CE14" s="142" t="s">
        <v>113</v>
      </c>
      <c r="CF14" s="142" t="s">
        <v>113</v>
      </c>
      <c r="CG14" s="142" t="s">
        <v>113</v>
      </c>
      <c r="CH14" s="142" t="s">
        <v>113</v>
      </c>
      <c r="CI14" s="142" t="s">
        <v>113</v>
      </c>
      <c r="CJ14" s="142"/>
      <c r="CK14" s="139" t="s">
        <v>113</v>
      </c>
      <c r="CL14" s="139" t="s">
        <v>113</v>
      </c>
      <c r="CM14" s="139" t="s">
        <v>113</v>
      </c>
      <c r="CN14" s="139" t="s">
        <v>113</v>
      </c>
      <c r="CO14" s="139" t="s">
        <v>113</v>
      </c>
      <c r="CP14" s="139" t="s">
        <v>113</v>
      </c>
      <c r="CQ14" s="139" t="s">
        <v>113</v>
      </c>
      <c r="CR14" s="139"/>
      <c r="CS14" s="143" t="s">
        <v>113</v>
      </c>
      <c r="CT14" s="143" t="s">
        <v>113</v>
      </c>
      <c r="CU14" s="143" t="s">
        <v>113</v>
      </c>
      <c r="CV14" s="143" t="s">
        <v>113</v>
      </c>
      <c r="CW14" s="143" t="s">
        <v>113</v>
      </c>
      <c r="CX14" s="143" t="s">
        <v>113</v>
      </c>
      <c r="CY14" s="143" t="s">
        <v>113</v>
      </c>
      <c r="CZ14" s="143"/>
      <c r="DA14" s="139" t="s">
        <v>113</v>
      </c>
      <c r="DB14" s="139" t="s">
        <v>113</v>
      </c>
      <c r="DC14" s="139" t="s">
        <v>113</v>
      </c>
      <c r="DD14" s="144">
        <f t="shared" si="23"/>
        <v>0</v>
      </c>
      <c r="DE14" s="145">
        <f>'[58]2. Distributional by deciles o'!K48</f>
        <v>1</v>
      </c>
      <c r="DF14" s="1"/>
      <c r="DG14" s="1"/>
      <c r="DH14" s="1"/>
      <c r="DI14" s="1"/>
      <c r="DJ14" s="1"/>
      <c r="DK14" s="1"/>
      <c r="DL14" s="1"/>
      <c r="DM14" s="1"/>
      <c r="DN14" s="1"/>
      <c r="DO14" s="1"/>
      <c r="DP14" s="1"/>
      <c r="DQ14" s="1"/>
      <c r="DR14" s="1"/>
      <c r="DS14" s="1"/>
      <c r="DT14" s="1"/>
      <c r="DU14" s="1"/>
      <c r="DV14" s="1"/>
      <c r="DW14" s="1"/>
      <c r="DX14" s="1"/>
      <c r="DY14" s="1"/>
      <c r="DZ14" s="1"/>
      <c r="EA14" s="146">
        <f>'[59]2. Distributional by deciles o'!B102</f>
        <v>5722952848.3440084</v>
      </c>
      <c r="EB14" s="146">
        <f>'[59]2. Distributional by deciles o'!C102</f>
        <v>5845250056.7412052</v>
      </c>
      <c r="EC14" s="146">
        <f>'[59]2. Distributional by deciles o'!D102</f>
        <v>5779616058.3096104</v>
      </c>
      <c r="ED14" s="147">
        <f>'[59]2. Distributional by deciles o'!E102</f>
        <v>122297208.39719963</v>
      </c>
      <c r="EE14" s="147">
        <f>'[59]2. Distributional by deciles o'!F102</f>
        <v>56663209.965600014</v>
      </c>
      <c r="EF14" s="147">
        <f>'[59]2. Distributional by deciles o'!G102</f>
        <v>2.1369599162884566E-2</v>
      </c>
      <c r="EG14" s="129">
        <f>'[59]2. Distributional by deciles o'!H102</f>
        <v>9.901044350207432E-3</v>
      </c>
      <c r="EH14" s="122"/>
      <c r="EI14" s="130" t="s">
        <v>113</v>
      </c>
      <c r="EJ14" s="130" t="s">
        <v>113</v>
      </c>
      <c r="EK14" s="130" t="s">
        <v>113</v>
      </c>
      <c r="EL14" s="130" t="s">
        <v>113</v>
      </c>
      <c r="EM14" s="131">
        <f t="shared" si="9"/>
        <v>2.6496711857332751</v>
      </c>
      <c r="EN14" s="146">
        <f>'[60]2. Distributional by deciles o'!B120</f>
        <v>77299067580.564026</v>
      </c>
      <c r="EO14" s="146">
        <f>'[60]2. Distributional by deciles o'!C120</f>
        <v>78070171472.780396</v>
      </c>
      <c r="EP14" s="131">
        <f t="shared" si="10"/>
        <v>0.99755911209755688</v>
      </c>
      <c r="EQ14" s="130" t="s">
        <v>113</v>
      </c>
      <c r="ER14" s="130" t="s">
        <v>113</v>
      </c>
      <c r="ES14" s="130" t="s">
        <v>113</v>
      </c>
      <c r="ET14" s="130" t="s">
        <v>113</v>
      </c>
      <c r="EU14" s="131">
        <f t="shared" si="24"/>
        <v>5.4291638757200094</v>
      </c>
      <c r="EV14" s="132">
        <f t="shared" si="25"/>
        <v>2.1421887589147857</v>
      </c>
      <c r="EW14" s="132">
        <f t="shared" si="26"/>
        <v>0.9925270823689788</v>
      </c>
      <c r="EX14" s="132"/>
      <c r="EY14" s="148">
        <f t="shared" si="11"/>
        <v>0.40911789489413497</v>
      </c>
      <c r="EZ14" s="144">
        <f t="shared" si="27"/>
        <v>0</v>
      </c>
      <c r="FA14" s="145">
        <f>'[59]2. Distributional by deciles o'!F48</f>
        <v>1</v>
      </c>
      <c r="FB14" s="130" t="s">
        <v>113</v>
      </c>
      <c r="FC14" s="130" t="s">
        <v>113</v>
      </c>
      <c r="FD14" s="130" t="s">
        <v>113</v>
      </c>
      <c r="FE14" s="130" t="s">
        <v>113</v>
      </c>
      <c r="FF14" s="130" t="s">
        <v>113</v>
      </c>
      <c r="FG14" s="130" t="s">
        <v>113</v>
      </c>
      <c r="FH14" s="130" t="s">
        <v>113</v>
      </c>
      <c r="FI14" s="130" t="s">
        <v>113</v>
      </c>
      <c r="FJ14" s="1"/>
      <c r="FK14" s="1"/>
      <c r="FL14" s="1"/>
      <c r="FM14" s="1"/>
      <c r="FN14" s="1"/>
      <c r="FO14" s="1"/>
      <c r="FP14" s="1"/>
      <c r="FQ14" s="1"/>
    </row>
    <row r="15" spans="1:173" x14ac:dyDescent="0.3">
      <c r="A15" s="1"/>
      <c r="B15" s="28">
        <v>4</v>
      </c>
      <c r="C15" s="129">
        <f>'[58]2. Distributional by deciles o'!B103</f>
        <v>7932178359.0516224</v>
      </c>
      <c r="D15" s="129">
        <f>'[58]2. Distributional by deciles o'!C103</f>
        <v>8062077409.1136017</v>
      </c>
      <c r="E15" s="129">
        <f>'[58]2. Distributional by deciles o'!D103</f>
        <v>8024462005.0499992</v>
      </c>
      <c r="F15" s="129">
        <f>'[58]2. Distributional by deciles o'!E103</f>
        <v>8054426909.4720011</v>
      </c>
      <c r="G15" s="129">
        <f>'[58]2. Distributional by deciles o'!F103</f>
        <v>8051123002.3127956</v>
      </c>
      <c r="H15" s="129">
        <f>'[58]2. Distributional by deciles o'!G103</f>
        <v>8025959365.330801</v>
      </c>
      <c r="I15" s="129">
        <f>'[58]2. Distributional by deciles o'!H103</f>
        <v>8024644886.855999</v>
      </c>
      <c r="J15" s="122"/>
      <c r="K15" s="130" t="s">
        <v>113</v>
      </c>
      <c r="L15" s="130" t="s">
        <v>113</v>
      </c>
      <c r="M15" s="130" t="s">
        <v>113</v>
      </c>
      <c r="N15" s="130" t="s">
        <v>113</v>
      </c>
      <c r="O15" s="131">
        <f t="shared" si="12"/>
        <v>3.945827991444153</v>
      </c>
      <c r="P15" s="129">
        <f>'[58]2. Distributional by deciles o'!B121</f>
        <v>87556740615.014618</v>
      </c>
      <c r="Q15" s="129">
        <f>'[58]2. Distributional by deciles o'!C121</f>
        <v>88430979861.615387</v>
      </c>
      <c r="R15" s="131">
        <f t="shared" si="0"/>
        <v>0.99848308703585076</v>
      </c>
      <c r="S15" s="130" t="s">
        <v>113</v>
      </c>
      <c r="T15" s="130" t="s">
        <v>113</v>
      </c>
      <c r="U15" s="130" t="s">
        <v>113</v>
      </c>
      <c r="V15" s="130" t="s">
        <v>113</v>
      </c>
      <c r="W15" s="132">
        <f t="shared" si="13"/>
        <v>1.6401093001349627</v>
      </c>
      <c r="X15" s="132">
        <f t="shared" si="13"/>
        <v>1.1651760808110889</v>
      </c>
      <c r="Y15" s="132">
        <f t="shared" si="1"/>
        <v>1.5435138623170459</v>
      </c>
      <c r="Z15" s="132">
        <f t="shared" si="1"/>
        <v>1.5017986314819487</v>
      </c>
      <c r="AA15" s="132">
        <f t="shared" si="1"/>
        <v>1.1840817966036519</v>
      </c>
      <c r="AB15" s="132">
        <f t="shared" si="14"/>
        <v>1.1674851519759863</v>
      </c>
      <c r="AC15" s="132">
        <f t="shared" si="14"/>
        <v>1.1674851519759863</v>
      </c>
      <c r="AD15" s="130" t="s">
        <v>113</v>
      </c>
      <c r="AE15" s="130" t="s">
        <v>113</v>
      </c>
      <c r="AF15" s="130" t="s">
        <v>113</v>
      </c>
      <c r="AG15" s="130" t="s">
        <v>113</v>
      </c>
      <c r="AH15" s="133">
        <f t="shared" si="2"/>
        <v>1</v>
      </c>
      <c r="AI15" s="134">
        <f t="shared" si="15"/>
        <v>0.16517608081108892</v>
      </c>
      <c r="AJ15" s="134">
        <f t="shared" si="3"/>
        <v>9.6595437817916796E-2</v>
      </c>
      <c r="AK15" s="134">
        <f t="shared" si="4"/>
        <v>4.1715230835097206E-2</v>
      </c>
      <c r="AL15" s="134">
        <f t="shared" si="16"/>
        <v>0.31771683487829683</v>
      </c>
      <c r="AM15" s="134">
        <f t="shared" si="17"/>
        <v>1.6596644627665524E-2</v>
      </c>
      <c r="AN15" s="135">
        <f t="shared" ref="AN15:AN22" si="28">IF(J15&lt;&gt;0,IF(W15&gt;1,MAX(MIN(AB15-AC15,W15-AH15-AJ15-AK15-AL15-AM15),0),0),0)</f>
        <v>0</v>
      </c>
      <c r="AO15" s="134">
        <f t="shared" si="18"/>
        <v>2.3090711648974249E-3</v>
      </c>
      <c r="AP15" s="134">
        <f t="shared" si="6"/>
        <v>0.16748515197598635</v>
      </c>
      <c r="AQ15" s="136" t="s">
        <v>113</v>
      </c>
      <c r="AR15" s="137">
        <f t="shared" si="7"/>
        <v>25.804355721165535</v>
      </c>
      <c r="AS15" s="137">
        <f t="shared" si="7"/>
        <v>15.090459988247368</v>
      </c>
      <c r="AT15" s="137">
        <f t="shared" si="7"/>
        <v>6.5168918536727762</v>
      </c>
      <c r="AU15" s="137">
        <f t="shared" si="7"/>
        <v>49.634778749708587</v>
      </c>
      <c r="AV15" s="137">
        <f t="shared" si="7"/>
        <v>2.5927829238172659</v>
      </c>
      <c r="AW15" s="138">
        <f t="shared" si="7"/>
        <v>0</v>
      </c>
      <c r="AX15" s="137">
        <f t="shared" si="7"/>
        <v>0.3607307633884671</v>
      </c>
      <c r="AY15" s="137">
        <f t="shared" si="7"/>
        <v>26.165086484554003</v>
      </c>
      <c r="AZ15" s="139" t="s">
        <v>113</v>
      </c>
      <c r="BA15" s="139" t="s">
        <v>113</v>
      </c>
      <c r="BB15" s="139" t="s">
        <v>113</v>
      </c>
      <c r="BC15" s="139" t="s">
        <v>113</v>
      </c>
      <c r="BD15" s="139" t="s">
        <v>113</v>
      </c>
      <c r="BE15" s="139" t="s">
        <v>113</v>
      </c>
      <c r="BF15" s="139" t="s">
        <v>113</v>
      </c>
      <c r="BG15" s="139" t="s">
        <v>113</v>
      </c>
      <c r="BH15" s="140">
        <f>'[58]2. Distributional by deciles o'!B139</f>
        <v>47415415716.810036</v>
      </c>
      <c r="BI15" s="140">
        <f>'[58]2. Distributional by deciles o'!B157</f>
        <v>35042651426.268044</v>
      </c>
      <c r="BJ15" s="140">
        <f>'[58]2. Distributional by deciles o'!B175</f>
        <v>1740167216.2380004</v>
      </c>
      <c r="BK15" s="140">
        <f>'[58]2. Distributional by deciles o'!B193</f>
        <v>3358513279.186801</v>
      </c>
      <c r="BL15" s="141">
        <f t="shared" si="19"/>
        <v>0.54153925306333806</v>
      </c>
      <c r="BM15" s="141">
        <f t="shared" si="20"/>
        <v>0.40022787930576487</v>
      </c>
      <c r="BN15" s="141">
        <f t="shared" si="21"/>
        <v>1.9874735679112476E-2</v>
      </c>
      <c r="BO15" s="141">
        <f t="shared" si="21"/>
        <v>3.8358131951784627E-2</v>
      </c>
      <c r="BP15" s="139" t="s">
        <v>113</v>
      </c>
      <c r="BQ15" s="139" t="s">
        <v>113</v>
      </c>
      <c r="BR15" s="139" t="s">
        <v>113</v>
      </c>
      <c r="BS15" s="131">
        <f t="shared" si="22"/>
        <v>6.6732588536716611</v>
      </c>
      <c r="BT15" s="139"/>
      <c r="BU15" s="139"/>
      <c r="BV15" s="139"/>
      <c r="BW15" s="139"/>
      <c r="BX15" s="139"/>
      <c r="BY15" s="139"/>
      <c r="BZ15" s="139"/>
      <c r="CA15" s="139"/>
      <c r="CB15" s="139"/>
      <c r="CC15" s="142" t="s">
        <v>113</v>
      </c>
      <c r="CD15" s="142" t="s">
        <v>113</v>
      </c>
      <c r="CE15" s="142" t="s">
        <v>113</v>
      </c>
      <c r="CF15" s="142" t="s">
        <v>113</v>
      </c>
      <c r="CG15" s="142" t="s">
        <v>113</v>
      </c>
      <c r="CH15" s="142" t="s">
        <v>113</v>
      </c>
      <c r="CI15" s="142" t="s">
        <v>113</v>
      </c>
      <c r="CJ15" s="142"/>
      <c r="CK15" s="139" t="s">
        <v>113</v>
      </c>
      <c r="CL15" s="139" t="s">
        <v>113</v>
      </c>
      <c r="CM15" s="139" t="s">
        <v>113</v>
      </c>
      <c r="CN15" s="139" t="s">
        <v>113</v>
      </c>
      <c r="CO15" s="139" t="s">
        <v>113</v>
      </c>
      <c r="CP15" s="139" t="s">
        <v>113</v>
      </c>
      <c r="CQ15" s="139" t="s">
        <v>113</v>
      </c>
      <c r="CR15" s="139"/>
      <c r="CS15" s="143" t="s">
        <v>113</v>
      </c>
      <c r="CT15" s="143" t="s">
        <v>113</v>
      </c>
      <c r="CU15" s="143" t="s">
        <v>113</v>
      </c>
      <c r="CV15" s="143" t="s">
        <v>113</v>
      </c>
      <c r="CW15" s="143" t="s">
        <v>113</v>
      </c>
      <c r="CX15" s="143" t="s">
        <v>113</v>
      </c>
      <c r="CY15" s="143" t="s">
        <v>113</v>
      </c>
      <c r="CZ15" s="143"/>
      <c r="DA15" s="139" t="s">
        <v>113</v>
      </c>
      <c r="DB15" s="139" t="s">
        <v>113</v>
      </c>
      <c r="DC15" s="139" t="s">
        <v>113</v>
      </c>
      <c r="DD15" s="144">
        <f t="shared" si="23"/>
        <v>0</v>
      </c>
      <c r="DE15" s="145">
        <f>'[58]2. Distributional by deciles o'!K49</f>
        <v>1</v>
      </c>
      <c r="DF15" s="1"/>
      <c r="DG15" s="1"/>
      <c r="DH15" s="1"/>
      <c r="DI15" s="1"/>
      <c r="DJ15" s="1"/>
      <c r="DK15" s="1"/>
      <c r="DL15" s="1"/>
      <c r="DM15" s="1"/>
      <c r="DN15" s="1"/>
      <c r="DO15" s="1"/>
      <c r="DP15" s="1"/>
      <c r="DQ15" s="1"/>
      <c r="DR15" s="1"/>
      <c r="DS15" s="1"/>
      <c r="DT15" s="1"/>
      <c r="DU15" s="1"/>
      <c r="DV15" s="1"/>
      <c r="DW15" s="1"/>
      <c r="DX15" s="1"/>
      <c r="DY15" s="1"/>
      <c r="DZ15" s="1"/>
      <c r="EA15" s="146">
        <f>'[59]2. Distributional by deciles o'!B103</f>
        <v>8701915264.8923855</v>
      </c>
      <c r="EB15" s="146">
        <f>'[59]2. Distributional by deciles o'!C103</f>
        <v>8813006940.4344025</v>
      </c>
      <c r="EC15" s="146">
        <f>'[59]2. Distributional by deciles o'!D103</f>
        <v>8791930217.6891975</v>
      </c>
      <c r="ED15" s="147">
        <f>'[59]2. Distributional by deciles o'!E103</f>
        <v>111091675.54201126</v>
      </c>
      <c r="EE15" s="147">
        <f>'[59]2. Distributional by deciles o'!F103</f>
        <v>90014952.79681015</v>
      </c>
      <c r="EF15" s="147">
        <f>'[59]2. Distributional by deciles o'!G103</f>
        <v>1.2766347655694484E-2</v>
      </c>
      <c r="EG15" s="129">
        <f>'[59]2. Distributional by deciles o'!H103</f>
        <v>1.0344269055339203E-2</v>
      </c>
      <c r="EH15" s="122"/>
      <c r="EI15" s="130" t="s">
        <v>113</v>
      </c>
      <c r="EJ15" s="130" t="s">
        <v>113</v>
      </c>
      <c r="EK15" s="130" t="s">
        <v>113</v>
      </c>
      <c r="EL15" s="130" t="s">
        <v>113</v>
      </c>
      <c r="EM15" s="131">
        <f t="shared" si="9"/>
        <v>4.0289016437990952</v>
      </c>
      <c r="EN15" s="146">
        <f>'[60]2. Distributional by deciles o'!B121</f>
        <v>95386418107.901978</v>
      </c>
      <c r="EO15" s="146">
        <f>'[60]2. Distributional by deciles o'!C121</f>
        <v>96338482301.016022</v>
      </c>
      <c r="EP15" s="131">
        <f t="shared" si="10"/>
        <v>0.99811295150746826</v>
      </c>
      <c r="EQ15" s="130" t="s">
        <v>113</v>
      </c>
      <c r="ER15" s="130" t="s">
        <v>113</v>
      </c>
      <c r="ES15" s="130" t="s">
        <v>113</v>
      </c>
      <c r="ET15" s="130" t="s">
        <v>113</v>
      </c>
      <c r="EU15" s="131">
        <f t="shared" si="24"/>
        <v>6.6995438837086114</v>
      </c>
      <c r="EV15" s="132">
        <f t="shared" si="25"/>
        <v>1.2790483919093454</v>
      </c>
      <c r="EW15" s="132">
        <f t="shared" si="26"/>
        <v>1.036382609775405</v>
      </c>
      <c r="EX15" s="132"/>
      <c r="EY15" s="148">
        <f t="shared" si="11"/>
        <v>-0.36106090822561732</v>
      </c>
      <c r="EZ15" s="144">
        <f t="shared" si="27"/>
        <v>0</v>
      </c>
      <c r="FA15" s="145">
        <f>'[59]2. Distributional by deciles o'!F49</f>
        <v>1</v>
      </c>
      <c r="FB15" s="130" t="s">
        <v>113</v>
      </c>
      <c r="FC15" s="130" t="s">
        <v>113</v>
      </c>
      <c r="FD15" s="130" t="s">
        <v>113</v>
      </c>
      <c r="FE15" s="130" t="s">
        <v>113</v>
      </c>
      <c r="FF15" s="130" t="s">
        <v>113</v>
      </c>
      <c r="FG15" s="130" t="s">
        <v>113</v>
      </c>
      <c r="FH15" s="130" t="s">
        <v>113</v>
      </c>
      <c r="FI15" s="130" t="s">
        <v>113</v>
      </c>
      <c r="FJ15" s="1"/>
      <c r="FK15" s="1"/>
      <c r="FL15" s="1"/>
      <c r="FM15" s="1"/>
      <c r="FN15" s="1"/>
      <c r="FO15" s="1"/>
      <c r="FP15" s="1"/>
      <c r="FQ15" s="1"/>
    </row>
    <row r="16" spans="1:173" x14ac:dyDescent="0.3">
      <c r="A16" s="1"/>
      <c r="B16" s="28">
        <v>5</v>
      </c>
      <c r="C16" s="129">
        <f>'[58]2. Distributional by deciles o'!B104</f>
        <v>10251444720.508814</v>
      </c>
      <c r="D16" s="129">
        <f>'[58]2. Distributional by deciles o'!C104</f>
        <v>10417554217.359615</v>
      </c>
      <c r="E16" s="129">
        <f>'[58]2. Distributional by deciles o'!D104</f>
        <v>10352908250.894413</v>
      </c>
      <c r="F16" s="129">
        <f>'[58]2. Distributional by deciles o'!E104</f>
        <v>10380407455.694403</v>
      </c>
      <c r="G16" s="129">
        <f>'[58]2. Distributional by deciles o'!F104</f>
        <v>10359377796.790806</v>
      </c>
      <c r="H16" s="129">
        <f>'[58]2. Distributional by deciles o'!G104</f>
        <v>10359250482.978004</v>
      </c>
      <c r="I16" s="129">
        <f>'[58]2. Distributional by deciles o'!H104</f>
        <v>10353023452.12561</v>
      </c>
      <c r="J16" s="122"/>
      <c r="K16" s="130" t="s">
        <v>113</v>
      </c>
      <c r="L16" s="130" t="s">
        <v>113</v>
      </c>
      <c r="M16" s="130" t="s">
        <v>113</v>
      </c>
      <c r="N16" s="130" t="s">
        <v>113</v>
      </c>
      <c r="O16" s="131">
        <f t="shared" si="12"/>
        <v>5.0995370628254948</v>
      </c>
      <c r="P16" s="129">
        <f>'[58]2. Distributional by deciles o'!B122</f>
        <v>104616534707.35791</v>
      </c>
      <c r="Q16" s="129">
        <f>'[58]2. Distributional by deciles o'!C122</f>
        <v>105662436046.4986</v>
      </c>
      <c r="R16" s="131">
        <f t="shared" si="0"/>
        <v>0.99974764225021495</v>
      </c>
      <c r="S16" s="130" t="s">
        <v>113</v>
      </c>
      <c r="T16" s="130" t="s">
        <v>113</v>
      </c>
      <c r="U16" s="130" t="s">
        <v>113</v>
      </c>
      <c r="V16" s="130" t="s">
        <v>113</v>
      </c>
      <c r="W16" s="132">
        <f t="shared" si="13"/>
        <v>1.6207610827623675</v>
      </c>
      <c r="X16" s="132">
        <f t="shared" si="13"/>
        <v>0.98999843167523605</v>
      </c>
      <c r="Y16" s="132">
        <f t="shared" si="1"/>
        <v>1.2583132588928971</v>
      </c>
      <c r="Z16" s="132">
        <f t="shared" si="1"/>
        <v>1.053122987530321</v>
      </c>
      <c r="AA16" s="132">
        <f t="shared" si="1"/>
        <v>1.0518807631120994</v>
      </c>
      <c r="AB16" s="132">
        <f t="shared" si="14"/>
        <v>0.99112247139452248</v>
      </c>
      <c r="AC16" s="132">
        <f t="shared" si="14"/>
        <v>0.99112247139452248</v>
      </c>
      <c r="AD16" s="130" t="s">
        <v>113</v>
      </c>
      <c r="AE16" s="130" t="s">
        <v>113</v>
      </c>
      <c r="AF16" s="130" t="s">
        <v>113</v>
      </c>
      <c r="AG16" s="130" t="s">
        <v>113</v>
      </c>
      <c r="AH16" s="133">
        <f t="shared" si="2"/>
        <v>1</v>
      </c>
      <c r="AI16" s="134">
        <f t="shared" si="15"/>
        <v>0</v>
      </c>
      <c r="AJ16" s="134">
        <f t="shared" si="3"/>
        <v>0.36244782386947039</v>
      </c>
      <c r="AK16" s="134">
        <f t="shared" si="4"/>
        <v>0.20519027136257617</v>
      </c>
      <c r="AL16" s="134">
        <f t="shared" si="16"/>
        <v>1.242224418221527E-3</v>
      </c>
      <c r="AM16" s="134">
        <f t="shared" si="17"/>
        <v>5.1880763112099437E-2</v>
      </c>
      <c r="AN16" s="135">
        <f t="shared" si="28"/>
        <v>0</v>
      </c>
      <c r="AO16" s="134">
        <f t="shared" si="18"/>
        <v>0</v>
      </c>
      <c r="AP16" s="134">
        <f t="shared" si="6"/>
        <v>0</v>
      </c>
      <c r="AQ16" s="136" t="s">
        <v>113</v>
      </c>
      <c r="AR16" s="137">
        <f t="shared" si="7"/>
        <v>0</v>
      </c>
      <c r="AS16" s="137">
        <f t="shared" si="7"/>
        <v>58.387652501762645</v>
      </c>
      <c r="AT16" s="137">
        <f t="shared" si="7"/>
        <v>33.054628754993118</v>
      </c>
      <c r="AU16" s="137">
        <f t="shared" si="7"/>
        <v>0.20011312769377662</v>
      </c>
      <c r="AV16" s="137">
        <f t="shared" si="7"/>
        <v>8.3576056155504546</v>
      </c>
      <c r="AW16" s="138">
        <f t="shared" si="7"/>
        <v>0</v>
      </c>
      <c r="AX16" s="137">
        <f t="shared" si="7"/>
        <v>0</v>
      </c>
      <c r="AY16" s="137">
        <f t="shared" si="7"/>
        <v>0</v>
      </c>
      <c r="AZ16" s="139" t="s">
        <v>113</v>
      </c>
      <c r="BA16" s="139" t="s">
        <v>113</v>
      </c>
      <c r="BB16" s="139" t="s">
        <v>113</v>
      </c>
      <c r="BC16" s="139" t="s">
        <v>113</v>
      </c>
      <c r="BD16" s="139" t="s">
        <v>113</v>
      </c>
      <c r="BE16" s="139" t="s">
        <v>113</v>
      </c>
      <c r="BF16" s="139" t="s">
        <v>113</v>
      </c>
      <c r="BG16" s="139" t="s">
        <v>113</v>
      </c>
      <c r="BH16" s="140">
        <f>'[58]2. Distributional by deciles o'!B140</f>
        <v>57159408230.343674</v>
      </c>
      <c r="BI16" s="140">
        <f>'[58]2. Distributional by deciles o'!B158</f>
        <v>39289485993.879562</v>
      </c>
      <c r="BJ16" s="140">
        <f>'[58]2. Distributional by deciles o'!B176</f>
        <v>4050441152.3939996</v>
      </c>
      <c r="BK16" s="140">
        <f>'[58]2. Distributional by deciles o'!B194</f>
        <v>4117202963.0339947</v>
      </c>
      <c r="BL16" s="141">
        <f t="shared" si="19"/>
        <v>0.54637067080893276</v>
      </c>
      <c r="BM16" s="141">
        <f t="shared" si="20"/>
        <v>0.37555712144021747</v>
      </c>
      <c r="BN16" s="141">
        <f t="shared" si="21"/>
        <v>3.871702521109726E-2</v>
      </c>
      <c r="BO16" s="141">
        <f t="shared" si="21"/>
        <v>3.9355182539752544E-2</v>
      </c>
      <c r="BP16" s="139" t="s">
        <v>113</v>
      </c>
      <c r="BQ16" s="139" t="s">
        <v>113</v>
      </c>
      <c r="BR16" s="139" t="s">
        <v>113</v>
      </c>
      <c r="BS16" s="131">
        <f t="shared" si="22"/>
        <v>7.9734948054542567</v>
      </c>
      <c r="BT16" s="139"/>
      <c r="BU16" s="139"/>
      <c r="BV16" s="139"/>
      <c r="BW16" s="139"/>
      <c r="BX16" s="139"/>
      <c r="BY16" s="139"/>
      <c r="BZ16" s="139"/>
      <c r="CA16" s="139"/>
      <c r="CB16" s="139"/>
      <c r="CC16" s="142" t="s">
        <v>113</v>
      </c>
      <c r="CD16" s="142" t="s">
        <v>113</v>
      </c>
      <c r="CE16" s="142" t="s">
        <v>113</v>
      </c>
      <c r="CF16" s="142" t="s">
        <v>113</v>
      </c>
      <c r="CG16" s="142" t="s">
        <v>113</v>
      </c>
      <c r="CH16" s="142" t="s">
        <v>113</v>
      </c>
      <c r="CI16" s="142" t="s">
        <v>113</v>
      </c>
      <c r="CJ16" s="142"/>
      <c r="CK16" s="139" t="s">
        <v>113</v>
      </c>
      <c r="CL16" s="139" t="s">
        <v>113</v>
      </c>
      <c r="CM16" s="139" t="s">
        <v>113</v>
      </c>
      <c r="CN16" s="139" t="s">
        <v>113</v>
      </c>
      <c r="CO16" s="139" t="s">
        <v>113</v>
      </c>
      <c r="CP16" s="139" t="s">
        <v>113</v>
      </c>
      <c r="CQ16" s="139" t="s">
        <v>113</v>
      </c>
      <c r="CR16" s="139"/>
      <c r="CS16" s="143" t="s">
        <v>113</v>
      </c>
      <c r="CT16" s="143" t="s">
        <v>113</v>
      </c>
      <c r="CU16" s="143" t="s">
        <v>113</v>
      </c>
      <c r="CV16" s="143" t="s">
        <v>113</v>
      </c>
      <c r="CW16" s="143" t="s">
        <v>113</v>
      </c>
      <c r="CX16" s="143" t="s">
        <v>113</v>
      </c>
      <c r="CY16" s="143" t="s">
        <v>113</v>
      </c>
      <c r="CZ16" s="143"/>
      <c r="DA16" s="139" t="s">
        <v>113</v>
      </c>
      <c r="DB16" s="139" t="s">
        <v>113</v>
      </c>
      <c r="DC16" s="139" t="s">
        <v>113</v>
      </c>
      <c r="DD16" s="144">
        <f t="shared" si="23"/>
        <v>0</v>
      </c>
      <c r="DE16" s="145">
        <f>'[58]2. Distributional by deciles o'!K50</f>
        <v>1</v>
      </c>
      <c r="DF16" s="1"/>
      <c r="DG16" s="1"/>
      <c r="DH16" s="1"/>
      <c r="DI16" s="1"/>
      <c r="DJ16" s="1"/>
      <c r="DK16" s="1"/>
      <c r="DL16" s="1"/>
      <c r="DM16" s="1"/>
      <c r="DN16" s="1"/>
      <c r="DO16" s="1"/>
      <c r="DP16" s="1"/>
      <c r="DQ16" s="1"/>
      <c r="DR16" s="1"/>
      <c r="DS16" s="1"/>
      <c r="DT16" s="1"/>
      <c r="DU16" s="1"/>
      <c r="DV16" s="1"/>
      <c r="DW16" s="1"/>
      <c r="DX16" s="1"/>
      <c r="DY16" s="1"/>
      <c r="DZ16" s="1"/>
      <c r="EA16" s="146">
        <f>'[59]2. Distributional by deciles o'!B104</f>
        <v>11132345869.7136</v>
      </c>
      <c r="EB16" s="146">
        <f>'[59]2. Distributional by deciles o'!C104</f>
        <v>11297710001.895592</v>
      </c>
      <c r="EC16" s="146">
        <f>'[59]2. Distributional by deciles o'!D104</f>
        <v>11240833239.549601</v>
      </c>
      <c r="ED16" s="147">
        <f>'[59]2. Distributional by deciles o'!E104</f>
        <v>165364132.18199921</v>
      </c>
      <c r="EE16" s="147">
        <f>'[59]2. Distributional by deciles o'!F104</f>
        <v>108487369.83600044</v>
      </c>
      <c r="EF16" s="147">
        <f>'[59]2. Distributional by deciles o'!G104</f>
        <v>1.4854383264526913E-2</v>
      </c>
      <c r="EG16" s="129">
        <f>'[59]2. Distributional by deciles o'!H104</f>
        <v>9.7452388836703503E-3</v>
      </c>
      <c r="EH16" s="122"/>
      <c r="EI16" s="130" t="s">
        <v>113</v>
      </c>
      <c r="EJ16" s="130" t="s">
        <v>113</v>
      </c>
      <c r="EK16" s="130" t="s">
        <v>113</v>
      </c>
      <c r="EL16" s="130" t="s">
        <v>113</v>
      </c>
      <c r="EM16" s="131">
        <f t="shared" si="9"/>
        <v>5.1541672388812731</v>
      </c>
      <c r="EN16" s="146">
        <f>'[60]2. Distributional by deciles o'!B122</f>
        <v>114163200735.44655</v>
      </c>
      <c r="EO16" s="146">
        <f>'[60]2. Distributional by deciles o'!C122</f>
        <v>115304349652.24802</v>
      </c>
      <c r="EP16" s="131">
        <f t="shared" si="10"/>
        <v>0.99957684214362352</v>
      </c>
      <c r="EQ16" s="130" t="s">
        <v>113</v>
      </c>
      <c r="ER16" s="130" t="s">
        <v>113</v>
      </c>
      <c r="ES16" s="130" t="s">
        <v>113</v>
      </c>
      <c r="ET16" s="130" t="s">
        <v>113</v>
      </c>
      <c r="EU16" s="131">
        <f t="shared" si="24"/>
        <v>8.018346724861436</v>
      </c>
      <c r="EV16" s="132">
        <f t="shared" si="25"/>
        <v>1.486067167449634</v>
      </c>
      <c r="EW16" s="132">
        <f t="shared" si="26"/>
        <v>0.97493644038125404</v>
      </c>
      <c r="EX16" s="132"/>
      <c r="EY16" s="148">
        <f t="shared" si="11"/>
        <v>-0.13469391531273356</v>
      </c>
      <c r="EZ16" s="144">
        <f t="shared" si="27"/>
        <v>0</v>
      </c>
      <c r="FA16" s="145">
        <f>'[59]2. Distributional by deciles o'!F50</f>
        <v>1</v>
      </c>
      <c r="FB16" s="130" t="s">
        <v>113</v>
      </c>
      <c r="FC16" s="130" t="s">
        <v>113</v>
      </c>
      <c r="FD16" s="130" t="s">
        <v>113</v>
      </c>
      <c r="FE16" s="130" t="s">
        <v>113</v>
      </c>
      <c r="FF16" s="130" t="s">
        <v>113</v>
      </c>
      <c r="FG16" s="130" t="s">
        <v>113</v>
      </c>
      <c r="FH16" s="130" t="s">
        <v>113</v>
      </c>
      <c r="FI16" s="130" t="s">
        <v>113</v>
      </c>
      <c r="FJ16" s="1"/>
      <c r="FK16" s="1"/>
      <c r="FL16" s="1"/>
      <c r="FM16" s="1"/>
      <c r="FN16" s="1"/>
      <c r="FO16" s="1"/>
      <c r="FP16" s="1"/>
      <c r="FQ16" s="1"/>
    </row>
    <row r="17" spans="1:173" x14ac:dyDescent="0.3">
      <c r="A17" s="1"/>
      <c r="B17" s="28">
        <v>6</v>
      </c>
      <c r="C17" s="129">
        <f>'[58]2. Distributional by deciles o'!B105</f>
        <v>12978169694.11681</v>
      </c>
      <c r="D17" s="129">
        <f>'[58]2. Distributional by deciles o'!C105</f>
        <v>13252171955.287228</v>
      </c>
      <c r="E17" s="129">
        <f>'[58]2. Distributional by deciles o'!D105</f>
        <v>13104838349.589615</v>
      </c>
      <c r="F17" s="129">
        <f>'[58]2. Distributional by deciles o'!E105</f>
        <v>13172642890.734003</v>
      </c>
      <c r="G17" s="129">
        <f>'[58]2. Distributional by deciles o'!F105</f>
        <v>13132298940.178802</v>
      </c>
      <c r="H17" s="129">
        <f>'[58]2. Distributional by deciles o'!G105</f>
        <v>13118803171.364399</v>
      </c>
      <c r="I17" s="129">
        <f>'[58]2. Distributional by deciles o'!H105</f>
        <v>13105399332.602425</v>
      </c>
      <c r="J17" s="122"/>
      <c r="K17" s="130" t="s">
        <v>113</v>
      </c>
      <c r="L17" s="130" t="s">
        <v>113</v>
      </c>
      <c r="M17" s="130" t="s">
        <v>113</v>
      </c>
      <c r="N17" s="130" t="s">
        <v>113</v>
      </c>
      <c r="O17" s="131">
        <f t="shared" si="12"/>
        <v>6.4559346674702072</v>
      </c>
      <c r="P17" s="129">
        <f>'[58]2. Distributional by deciles o'!B123</f>
        <v>118058375540.24043</v>
      </c>
      <c r="Q17" s="129">
        <f>'[58]2. Distributional by deciles o'!C123</f>
        <v>119236838763.52081</v>
      </c>
      <c r="R17" s="131">
        <f t="shared" si="0"/>
        <v>0.99820382746049763</v>
      </c>
      <c r="S17" s="130" t="s">
        <v>113</v>
      </c>
      <c r="T17" s="130" t="s">
        <v>113</v>
      </c>
      <c r="U17" s="130" t="s">
        <v>113</v>
      </c>
      <c r="V17" s="130" t="s">
        <v>113</v>
      </c>
      <c r="W17" s="132">
        <f t="shared" si="13"/>
        <v>2.1150540373862929</v>
      </c>
      <c r="X17" s="132">
        <f t="shared" si="13"/>
        <v>0.97776949001680069</v>
      </c>
      <c r="Y17" s="132">
        <f t="shared" si="1"/>
        <v>1.5011603112749077</v>
      </c>
      <c r="Z17" s="132">
        <f t="shared" si="1"/>
        <v>1.1897408538536474</v>
      </c>
      <c r="AA17" s="132">
        <f t="shared" si="1"/>
        <v>1.0855655080130417</v>
      </c>
      <c r="AB17" s="132">
        <f t="shared" si="14"/>
        <v>0.98209978050812774</v>
      </c>
      <c r="AC17" s="132">
        <f t="shared" si="14"/>
        <v>0.98209978050812774</v>
      </c>
      <c r="AD17" s="130" t="s">
        <v>113</v>
      </c>
      <c r="AE17" s="130" t="s">
        <v>113</v>
      </c>
      <c r="AF17" s="130" t="s">
        <v>113</v>
      </c>
      <c r="AG17" s="130" t="s">
        <v>113</v>
      </c>
      <c r="AH17" s="133">
        <f t="shared" si="2"/>
        <v>1</v>
      </c>
      <c r="AI17" s="134">
        <f t="shared" si="15"/>
        <v>0</v>
      </c>
      <c r="AJ17" s="134">
        <f t="shared" si="3"/>
        <v>0.61389372611138526</v>
      </c>
      <c r="AK17" s="134">
        <f t="shared" si="4"/>
        <v>0.31141945742126032</v>
      </c>
      <c r="AL17" s="134">
        <f t="shared" si="16"/>
        <v>0.10417534584060562</v>
      </c>
      <c r="AM17" s="134">
        <f t="shared" si="17"/>
        <v>8.5565508013041747E-2</v>
      </c>
      <c r="AN17" s="135">
        <f t="shared" si="28"/>
        <v>0</v>
      </c>
      <c r="AO17" s="134">
        <f t="shared" si="18"/>
        <v>0</v>
      </c>
      <c r="AP17" s="134">
        <f t="shared" si="6"/>
        <v>0</v>
      </c>
      <c r="AQ17" s="136" t="s">
        <v>113</v>
      </c>
      <c r="AR17" s="137">
        <f t="shared" si="7"/>
        <v>0</v>
      </c>
      <c r="AS17" s="137">
        <f t="shared" si="7"/>
        <v>55.05506509355935</v>
      </c>
      <c r="AT17" s="137">
        <f t="shared" si="7"/>
        <v>27.928642646883123</v>
      </c>
      <c r="AU17" s="137">
        <f t="shared" si="7"/>
        <v>9.3426275631264062</v>
      </c>
      <c r="AV17" s="137">
        <f t="shared" si="7"/>
        <v>7.6736646964311133</v>
      </c>
      <c r="AW17" s="138">
        <f t="shared" si="7"/>
        <v>0</v>
      </c>
      <c r="AX17" s="137">
        <f t="shared" si="7"/>
        <v>0</v>
      </c>
      <c r="AY17" s="137">
        <f t="shared" si="7"/>
        <v>0</v>
      </c>
      <c r="AZ17" s="139" t="s">
        <v>113</v>
      </c>
      <c r="BA17" s="139" t="s">
        <v>113</v>
      </c>
      <c r="BB17" s="139" t="s">
        <v>113</v>
      </c>
      <c r="BC17" s="139" t="s">
        <v>113</v>
      </c>
      <c r="BD17" s="139" t="s">
        <v>113</v>
      </c>
      <c r="BE17" s="139" t="s">
        <v>113</v>
      </c>
      <c r="BF17" s="139" t="s">
        <v>113</v>
      </c>
      <c r="BG17" s="139" t="s">
        <v>113</v>
      </c>
      <c r="BH17" s="140">
        <f>'[58]2. Distributional by deciles o'!B141</f>
        <v>67701685232.677277</v>
      </c>
      <c r="BI17" s="140">
        <f>'[58]2. Distributional by deciles o'!B159</f>
        <v>42494396901.550789</v>
      </c>
      <c r="BJ17" s="140">
        <f>'[58]2. Distributional by deciles o'!B177</f>
        <v>2481918574.7232003</v>
      </c>
      <c r="BK17" s="140">
        <f>'[58]2. Distributional by deciles o'!B195</f>
        <v>5380378057.2251978</v>
      </c>
      <c r="BL17" s="141">
        <f t="shared" si="19"/>
        <v>0.57345938458773493</v>
      </c>
      <c r="BM17" s="141">
        <f t="shared" si="20"/>
        <v>0.35994393066936953</v>
      </c>
      <c r="BN17" s="141">
        <f t="shared" si="21"/>
        <v>2.1022807535234982E-2</v>
      </c>
      <c r="BO17" s="141">
        <f t="shared" si="21"/>
        <v>4.5573877207660478E-2</v>
      </c>
      <c r="BP17" s="139" t="s">
        <v>113</v>
      </c>
      <c r="BQ17" s="139" t="s">
        <v>113</v>
      </c>
      <c r="BR17" s="139" t="s">
        <v>113</v>
      </c>
      <c r="BS17" s="131">
        <f t="shared" si="22"/>
        <v>8.9979834138424071</v>
      </c>
      <c r="BT17" s="139"/>
      <c r="BU17" s="139"/>
      <c r="BV17" s="139"/>
      <c r="BW17" s="139"/>
      <c r="BX17" s="139"/>
      <c r="BY17" s="139"/>
      <c r="BZ17" s="139"/>
      <c r="CA17" s="139"/>
      <c r="CB17" s="139"/>
      <c r="CC17" s="142" t="s">
        <v>113</v>
      </c>
      <c r="CD17" s="142" t="s">
        <v>113</v>
      </c>
      <c r="CE17" s="142" t="s">
        <v>113</v>
      </c>
      <c r="CF17" s="142" t="s">
        <v>113</v>
      </c>
      <c r="CG17" s="142" t="s">
        <v>113</v>
      </c>
      <c r="CH17" s="142" t="s">
        <v>113</v>
      </c>
      <c r="CI17" s="142" t="s">
        <v>113</v>
      </c>
      <c r="CJ17" s="142"/>
      <c r="CK17" s="139" t="s">
        <v>113</v>
      </c>
      <c r="CL17" s="139" t="s">
        <v>113</v>
      </c>
      <c r="CM17" s="139" t="s">
        <v>113</v>
      </c>
      <c r="CN17" s="139" t="s">
        <v>113</v>
      </c>
      <c r="CO17" s="139" t="s">
        <v>113</v>
      </c>
      <c r="CP17" s="139" t="s">
        <v>113</v>
      </c>
      <c r="CQ17" s="139" t="s">
        <v>113</v>
      </c>
      <c r="CR17" s="139"/>
      <c r="CS17" s="143" t="s">
        <v>113</v>
      </c>
      <c r="CT17" s="143" t="s">
        <v>113</v>
      </c>
      <c r="CU17" s="143" t="s">
        <v>113</v>
      </c>
      <c r="CV17" s="143" t="s">
        <v>113</v>
      </c>
      <c r="CW17" s="143" t="s">
        <v>113</v>
      </c>
      <c r="CX17" s="143" t="s">
        <v>113</v>
      </c>
      <c r="CY17" s="143" t="s">
        <v>113</v>
      </c>
      <c r="CZ17" s="143"/>
      <c r="DA17" s="139" t="s">
        <v>113</v>
      </c>
      <c r="DB17" s="139" t="s">
        <v>113</v>
      </c>
      <c r="DC17" s="139" t="s">
        <v>113</v>
      </c>
      <c r="DD17" s="144">
        <f t="shared" si="23"/>
        <v>0</v>
      </c>
      <c r="DE17" s="145">
        <f>'[58]2. Distributional by deciles o'!K51</f>
        <v>1</v>
      </c>
      <c r="DF17" s="1"/>
      <c r="DG17" s="1"/>
      <c r="DH17" s="1"/>
      <c r="DI17" s="1"/>
      <c r="DJ17" s="1"/>
      <c r="DK17" s="1"/>
      <c r="DL17" s="1"/>
      <c r="DM17" s="1"/>
      <c r="DN17" s="1"/>
      <c r="DO17" s="1"/>
      <c r="DP17" s="1"/>
      <c r="DQ17" s="1"/>
      <c r="DR17" s="1"/>
      <c r="DS17" s="1"/>
      <c r="DT17" s="1"/>
      <c r="DU17" s="1"/>
      <c r="DV17" s="1"/>
      <c r="DW17" s="1"/>
      <c r="DX17" s="1"/>
      <c r="DY17" s="1"/>
      <c r="DZ17" s="1"/>
      <c r="EA17" s="146">
        <f>'[59]2. Distributional by deciles o'!B105</f>
        <v>14159214200.197214</v>
      </c>
      <c r="EB17" s="146">
        <f>'[59]2. Distributional by deciles o'!C105</f>
        <v>14437158961.610395</v>
      </c>
      <c r="EC17" s="146">
        <f>'[59]2. Distributional by deciles o'!D105</f>
        <v>14297414733.774002</v>
      </c>
      <c r="ED17" s="147">
        <f>'[59]2. Distributional by deciles o'!E105</f>
        <v>277944761.41319847</v>
      </c>
      <c r="EE17" s="147">
        <f>'[59]2. Distributional by deciles o'!F105</f>
        <v>138200533.57679939</v>
      </c>
      <c r="EF17" s="147">
        <f>'[59]2. Distributional by deciles o'!G105</f>
        <v>1.9629956682859346E-2</v>
      </c>
      <c r="EG17" s="129">
        <f>'[59]2. Distributional by deciles o'!H105</f>
        <v>9.7604663382290131E-3</v>
      </c>
      <c r="EH17" s="122"/>
      <c r="EI17" s="130" t="s">
        <v>113</v>
      </c>
      <c r="EJ17" s="130" t="s">
        <v>113</v>
      </c>
      <c r="EK17" s="130" t="s">
        <v>113</v>
      </c>
      <c r="EL17" s="130" t="s">
        <v>113</v>
      </c>
      <c r="EM17" s="131">
        <f t="shared" si="9"/>
        <v>6.5555776664740399</v>
      </c>
      <c r="EN17" s="146">
        <f>'[60]2. Distributional by deciles o'!B123</f>
        <v>127674127122.60007</v>
      </c>
      <c r="EO17" s="146">
        <f>'[60]2. Distributional by deciles o'!C123</f>
        <v>128949229417.13998</v>
      </c>
      <c r="EP17" s="131">
        <f t="shared" si="10"/>
        <v>0.99871628126777523</v>
      </c>
      <c r="EQ17" s="130" t="s">
        <v>113</v>
      </c>
      <c r="ER17" s="130" t="s">
        <v>113</v>
      </c>
      <c r="ES17" s="130" t="s">
        <v>113</v>
      </c>
      <c r="ET17" s="130" t="s">
        <v>113</v>
      </c>
      <c r="EU17" s="131">
        <f t="shared" si="24"/>
        <v>8.9672978023397611</v>
      </c>
      <c r="EV17" s="132">
        <f t="shared" si="25"/>
        <v>1.9655188416413707</v>
      </c>
      <c r="EW17" s="132">
        <f t="shared" si="26"/>
        <v>0.97730121369787215</v>
      </c>
      <c r="EX17" s="132"/>
      <c r="EY17" s="148">
        <f t="shared" si="11"/>
        <v>-0.14953519574492224</v>
      </c>
      <c r="EZ17" s="144">
        <f t="shared" si="27"/>
        <v>0</v>
      </c>
      <c r="FA17" s="145">
        <f>'[59]2. Distributional by deciles o'!F51</f>
        <v>1</v>
      </c>
      <c r="FB17" s="130" t="s">
        <v>113</v>
      </c>
      <c r="FC17" s="130" t="s">
        <v>113</v>
      </c>
      <c r="FD17" s="130" t="s">
        <v>113</v>
      </c>
      <c r="FE17" s="130" t="s">
        <v>113</v>
      </c>
      <c r="FF17" s="130" t="s">
        <v>113</v>
      </c>
      <c r="FG17" s="130" t="s">
        <v>113</v>
      </c>
      <c r="FH17" s="130" t="s">
        <v>113</v>
      </c>
      <c r="FI17" s="130" t="s">
        <v>113</v>
      </c>
      <c r="FJ17" s="1"/>
      <c r="FK17" s="1"/>
      <c r="FL17" s="1"/>
      <c r="FM17" s="1"/>
      <c r="FN17" s="1"/>
      <c r="FO17" s="1"/>
      <c r="FP17" s="1"/>
      <c r="FQ17" s="1"/>
    </row>
    <row r="18" spans="1:173" x14ac:dyDescent="0.3">
      <c r="A18" s="1"/>
      <c r="B18" s="28">
        <v>7</v>
      </c>
      <c r="C18" s="129">
        <f>'[58]2. Distributional by deciles o'!B106</f>
        <v>17312778286.196404</v>
      </c>
      <c r="D18" s="129">
        <f>'[58]2. Distributional by deciles o'!C106</f>
        <v>17638461140.860798</v>
      </c>
      <c r="E18" s="129">
        <f>'[58]2. Distributional by deciles o'!D106</f>
        <v>17491381912.493973</v>
      </c>
      <c r="F18" s="129">
        <f>'[58]2. Distributional by deciles o'!E106</f>
        <v>17548485543.6912</v>
      </c>
      <c r="G18" s="129">
        <f>'[58]2. Distributional by deciles o'!F106</f>
        <v>17513521796.560783</v>
      </c>
      <c r="H18" s="129">
        <f>'[58]2. Distributional by deciles o'!G106</f>
        <v>17499800656.789181</v>
      </c>
      <c r="I18" s="129">
        <f>'[58]2. Distributional by deciles o'!H106</f>
        <v>17493228547.07877</v>
      </c>
      <c r="J18" s="122"/>
      <c r="K18" s="130" t="s">
        <v>113</v>
      </c>
      <c r="L18" s="130" t="s">
        <v>113</v>
      </c>
      <c r="M18" s="130" t="s">
        <v>113</v>
      </c>
      <c r="N18" s="130" t="s">
        <v>113</v>
      </c>
      <c r="O18" s="131">
        <f t="shared" si="12"/>
        <v>8.6121670591769046</v>
      </c>
      <c r="P18" s="129">
        <f>'[58]2. Distributional by deciles o'!B124</f>
        <v>135924696429.7897</v>
      </c>
      <c r="Q18" s="129">
        <f>'[58]2. Distributional by deciles o'!C124</f>
        <v>137283751284.98749</v>
      </c>
      <c r="R18" s="131">
        <f t="shared" si="0"/>
        <v>0.99985866505118981</v>
      </c>
      <c r="S18" s="130" t="s">
        <v>113</v>
      </c>
      <c r="T18" s="130" t="s">
        <v>113</v>
      </c>
      <c r="U18" s="130" t="s">
        <v>113</v>
      </c>
      <c r="V18" s="130" t="s">
        <v>113</v>
      </c>
      <c r="W18" s="132">
        <f t="shared" si="13"/>
        <v>1.8814362787763077</v>
      </c>
      <c r="X18" s="132">
        <f t="shared" si="13"/>
        <v>1.0317747379840503</v>
      </c>
      <c r="Y18" s="132">
        <f t="shared" si="1"/>
        <v>1.3616565289522502</v>
      </c>
      <c r="Z18" s="132">
        <f t="shared" si="1"/>
        <v>1.159674565975066</v>
      </c>
      <c r="AA18" s="132">
        <f t="shared" si="1"/>
        <v>1.080408955941478</v>
      </c>
      <c r="AB18" s="132">
        <f t="shared" si="14"/>
        <v>1.042442555622348</v>
      </c>
      <c r="AC18" s="132">
        <f t="shared" si="14"/>
        <v>1.042442555622348</v>
      </c>
      <c r="AD18" s="130" t="s">
        <v>113</v>
      </c>
      <c r="AE18" s="130" t="s">
        <v>113</v>
      </c>
      <c r="AF18" s="130" t="s">
        <v>113</v>
      </c>
      <c r="AG18" s="130" t="s">
        <v>113</v>
      </c>
      <c r="AH18" s="133">
        <f t="shared" si="2"/>
        <v>1</v>
      </c>
      <c r="AI18" s="134">
        <f t="shared" si="15"/>
        <v>3.1774737984050283E-2</v>
      </c>
      <c r="AJ18" s="134">
        <f t="shared" si="3"/>
        <v>0.5197797498240575</v>
      </c>
      <c r="AK18" s="134">
        <f t="shared" si="4"/>
        <v>0.20198196297718418</v>
      </c>
      <c r="AL18" s="134">
        <f t="shared" si="16"/>
        <v>7.9265610033588008E-2</v>
      </c>
      <c r="AM18" s="134">
        <f t="shared" si="17"/>
        <v>3.7966400319130011E-2</v>
      </c>
      <c r="AN18" s="135">
        <f t="shared" si="28"/>
        <v>0</v>
      </c>
      <c r="AO18" s="134">
        <f t="shared" si="18"/>
        <v>1.0667817638297716E-2</v>
      </c>
      <c r="AP18" s="134">
        <f t="shared" si="6"/>
        <v>4.2442555622347999E-2</v>
      </c>
      <c r="AQ18" s="136" t="s">
        <v>113</v>
      </c>
      <c r="AR18" s="137">
        <f t="shared" si="7"/>
        <v>3.6048820259772998</v>
      </c>
      <c r="AS18" s="137">
        <f t="shared" si="7"/>
        <v>58.969634259400394</v>
      </c>
      <c r="AT18" s="137">
        <f t="shared" si="7"/>
        <v>22.915095264469308</v>
      </c>
      <c r="AU18" s="137">
        <f t="shared" si="7"/>
        <v>8.9927782577354254</v>
      </c>
      <c r="AV18" s="137">
        <f t="shared" si="7"/>
        <v>4.307333522944905</v>
      </c>
      <c r="AW18" s="138">
        <f t="shared" si="7"/>
        <v>0</v>
      </c>
      <c r="AX18" s="137">
        <f t="shared" si="7"/>
        <v>1.2102766694726679</v>
      </c>
      <c r="AY18" s="137">
        <f t="shared" si="7"/>
        <v>4.8151586954499681</v>
      </c>
      <c r="AZ18" s="139" t="s">
        <v>113</v>
      </c>
      <c r="BA18" s="139" t="s">
        <v>113</v>
      </c>
      <c r="BB18" s="139" t="s">
        <v>113</v>
      </c>
      <c r="BC18" s="139" t="s">
        <v>113</v>
      </c>
      <c r="BD18" s="139" t="s">
        <v>113</v>
      </c>
      <c r="BE18" s="139" t="s">
        <v>113</v>
      </c>
      <c r="BF18" s="139" t="s">
        <v>113</v>
      </c>
      <c r="BG18" s="139" t="s">
        <v>113</v>
      </c>
      <c r="BH18" s="140">
        <f>'[58]2. Distributional by deciles o'!B142</f>
        <v>81202794685.214401</v>
      </c>
      <c r="BI18" s="140">
        <f>'[58]2. Distributional by deciles o'!B160</f>
        <v>42286414754.937614</v>
      </c>
      <c r="BJ18" s="140">
        <f>'[58]2. Distributional by deciles o'!B178</f>
        <v>4607435042.0051985</v>
      </c>
      <c r="BK18" s="140">
        <f>'[58]2. Distributional by deciles o'!B196</f>
        <v>7828057343.3771973</v>
      </c>
      <c r="BL18" s="141">
        <f t="shared" si="19"/>
        <v>0.59741013660226316</v>
      </c>
      <c r="BM18" s="141">
        <f t="shared" si="20"/>
        <v>0.31110176580864723</v>
      </c>
      <c r="BN18" s="141">
        <f t="shared" si="21"/>
        <v>3.3896966335957485E-2</v>
      </c>
      <c r="BO18" s="141">
        <f t="shared" si="21"/>
        <v>5.7591131253132102E-2</v>
      </c>
      <c r="BP18" s="139" t="s">
        <v>113</v>
      </c>
      <c r="BQ18" s="139" t="s">
        <v>113</v>
      </c>
      <c r="BR18" s="139" t="s">
        <v>113</v>
      </c>
      <c r="BS18" s="131">
        <f t="shared" si="22"/>
        <v>10.35968992805541</v>
      </c>
      <c r="BT18" s="139"/>
      <c r="BU18" s="139"/>
      <c r="BV18" s="139"/>
      <c r="BW18" s="139"/>
      <c r="BX18" s="139"/>
      <c r="BY18" s="139"/>
      <c r="BZ18" s="139"/>
      <c r="CA18" s="139"/>
      <c r="CB18" s="139"/>
      <c r="CC18" s="142" t="s">
        <v>113</v>
      </c>
      <c r="CD18" s="142" t="s">
        <v>113</v>
      </c>
      <c r="CE18" s="142" t="s">
        <v>113</v>
      </c>
      <c r="CF18" s="142" t="s">
        <v>113</v>
      </c>
      <c r="CG18" s="142" t="s">
        <v>113</v>
      </c>
      <c r="CH18" s="142" t="s">
        <v>113</v>
      </c>
      <c r="CI18" s="142" t="s">
        <v>113</v>
      </c>
      <c r="CJ18" s="142"/>
      <c r="CK18" s="139" t="s">
        <v>113</v>
      </c>
      <c r="CL18" s="139" t="s">
        <v>113</v>
      </c>
      <c r="CM18" s="139" t="s">
        <v>113</v>
      </c>
      <c r="CN18" s="139" t="s">
        <v>113</v>
      </c>
      <c r="CO18" s="139" t="s">
        <v>113</v>
      </c>
      <c r="CP18" s="139" t="s">
        <v>113</v>
      </c>
      <c r="CQ18" s="139" t="s">
        <v>113</v>
      </c>
      <c r="CR18" s="139"/>
      <c r="CS18" s="143" t="s">
        <v>113</v>
      </c>
      <c r="CT18" s="143" t="s">
        <v>113</v>
      </c>
      <c r="CU18" s="143" t="s">
        <v>113</v>
      </c>
      <c r="CV18" s="143" t="s">
        <v>113</v>
      </c>
      <c r="CW18" s="143" t="s">
        <v>113</v>
      </c>
      <c r="CX18" s="143" t="s">
        <v>113</v>
      </c>
      <c r="CY18" s="143" t="s">
        <v>113</v>
      </c>
      <c r="CZ18" s="143"/>
      <c r="DA18" s="139" t="s">
        <v>113</v>
      </c>
      <c r="DB18" s="139" t="s">
        <v>113</v>
      </c>
      <c r="DC18" s="139" t="s">
        <v>113</v>
      </c>
      <c r="DD18" s="144">
        <f t="shared" si="23"/>
        <v>0</v>
      </c>
      <c r="DE18" s="145">
        <f>'[58]2. Distributional by deciles o'!K52</f>
        <v>1</v>
      </c>
      <c r="DF18" s="1"/>
      <c r="DG18" s="1"/>
      <c r="DH18" s="1"/>
      <c r="DI18" s="1"/>
      <c r="DJ18" s="1"/>
      <c r="DK18" s="1"/>
      <c r="DL18" s="1"/>
      <c r="DM18" s="1"/>
      <c r="DN18" s="1"/>
      <c r="DO18" s="1"/>
      <c r="DP18" s="1"/>
      <c r="DQ18" s="1"/>
      <c r="DR18" s="1"/>
      <c r="DS18" s="1"/>
      <c r="DT18" s="1"/>
      <c r="DU18" s="1"/>
      <c r="DV18" s="1"/>
      <c r="DW18" s="1"/>
      <c r="DX18" s="1"/>
      <c r="DY18" s="1"/>
      <c r="DZ18" s="1"/>
      <c r="EA18" s="146">
        <f>'[59]2. Distributional by deciles o'!B106</f>
        <v>18117975177.831635</v>
      </c>
      <c r="EB18" s="146">
        <f>'[59]2. Distributional by deciles o'!C106</f>
        <v>18428560072.462799</v>
      </c>
      <c r="EC18" s="146">
        <f>'[59]2. Distributional by deciles o'!D106</f>
        <v>18293575171.919968</v>
      </c>
      <c r="ED18" s="147">
        <f>'[59]2. Distributional by deciles o'!E106</f>
        <v>310584894.63119888</v>
      </c>
      <c r="EE18" s="147">
        <f>'[59]2. Distributional by deciles o'!F106</f>
        <v>175599994.08839798</v>
      </c>
      <c r="EF18" s="147">
        <f>'[59]2. Distributional by deciles o'!G106</f>
        <v>1.7142362299470294E-2</v>
      </c>
      <c r="EG18" s="129">
        <f>'[59]2. Distributional by deciles o'!H106</f>
        <v>9.6920319387154719E-3</v>
      </c>
      <c r="EH18" s="122"/>
      <c r="EI18" s="130" t="s">
        <v>113</v>
      </c>
      <c r="EJ18" s="130" t="s">
        <v>113</v>
      </c>
      <c r="EK18" s="130" t="s">
        <v>113</v>
      </c>
      <c r="EL18" s="130" t="s">
        <v>113</v>
      </c>
      <c r="EM18" s="131">
        <f t="shared" si="9"/>
        <v>8.388445273740528</v>
      </c>
      <c r="EN18" s="146">
        <f>'[60]2. Distributional by deciles o'!B124</f>
        <v>147213964561.79871</v>
      </c>
      <c r="EO18" s="146">
        <f>'[60]2. Distributional by deciles o'!C124</f>
        <v>148685265685.50101</v>
      </c>
      <c r="EP18" s="131">
        <f t="shared" si="10"/>
        <v>0.99943040599566046</v>
      </c>
      <c r="EQ18" s="130" t="s">
        <v>113</v>
      </c>
      <c r="ER18" s="130" t="s">
        <v>113</v>
      </c>
      <c r="ES18" s="130" t="s">
        <v>113</v>
      </c>
      <c r="ET18" s="130" t="s">
        <v>113</v>
      </c>
      <c r="EU18" s="131">
        <f t="shared" si="24"/>
        <v>10.339694428622126</v>
      </c>
      <c r="EV18" s="132">
        <f t="shared" si="25"/>
        <v>1.7152132051046274</v>
      </c>
      <c r="EW18" s="132">
        <f t="shared" si="26"/>
        <v>0.96975556082430769</v>
      </c>
      <c r="EX18" s="132"/>
      <c r="EY18" s="148">
        <f t="shared" si="11"/>
        <v>-0.16622307367168032</v>
      </c>
      <c r="EZ18" s="144">
        <f t="shared" si="27"/>
        <v>0</v>
      </c>
      <c r="FA18" s="145">
        <f>'[59]2. Distributional by deciles o'!F52</f>
        <v>1</v>
      </c>
      <c r="FB18" s="130" t="s">
        <v>113</v>
      </c>
      <c r="FC18" s="130" t="s">
        <v>113</v>
      </c>
      <c r="FD18" s="130" t="s">
        <v>113</v>
      </c>
      <c r="FE18" s="130" t="s">
        <v>113</v>
      </c>
      <c r="FF18" s="130" t="s">
        <v>113</v>
      </c>
      <c r="FG18" s="130" t="s">
        <v>113</v>
      </c>
      <c r="FH18" s="130" t="s">
        <v>113</v>
      </c>
      <c r="FI18" s="130" t="s">
        <v>113</v>
      </c>
      <c r="FJ18" s="1"/>
      <c r="FK18" s="1"/>
      <c r="FL18" s="1"/>
      <c r="FM18" s="1"/>
      <c r="FN18" s="1"/>
      <c r="FO18" s="1"/>
      <c r="FP18" s="1"/>
      <c r="FQ18" s="1"/>
    </row>
    <row r="19" spans="1:173" x14ac:dyDescent="0.3">
      <c r="A19" s="1"/>
      <c r="B19" s="28">
        <v>8</v>
      </c>
      <c r="C19" s="129">
        <f>'[58]2. Distributional by deciles o'!B107</f>
        <v>23115133441.003181</v>
      </c>
      <c r="D19" s="129">
        <f>'[58]2. Distributional by deciles o'!C107</f>
        <v>23498550898.941593</v>
      </c>
      <c r="E19" s="129">
        <f>'[58]2. Distributional by deciles o'!D107</f>
        <v>23342076559.754417</v>
      </c>
      <c r="F19" s="129">
        <f>'[58]2. Distributional by deciles o'!E107</f>
        <v>23396567114.827225</v>
      </c>
      <c r="G19" s="129">
        <f>'[58]2. Distributional by deciles o'!F107</f>
        <v>23375748264.664829</v>
      </c>
      <c r="H19" s="129">
        <f>'[58]2. Distributional by deciles o'!G107</f>
        <v>23371496172.972031</v>
      </c>
      <c r="I19" s="129">
        <f>'[58]2. Distributional by deciles o'!H107</f>
        <v>23346710473.777218</v>
      </c>
      <c r="J19" s="122"/>
      <c r="K19" s="130" t="s">
        <v>113</v>
      </c>
      <c r="L19" s="130" t="s">
        <v>113</v>
      </c>
      <c r="M19" s="130" t="s">
        <v>113</v>
      </c>
      <c r="N19" s="130" t="s">
        <v>113</v>
      </c>
      <c r="O19" s="131">
        <f t="shared" si="12"/>
        <v>11.49852366259476</v>
      </c>
      <c r="P19" s="129">
        <f>'[58]2. Distributional by deciles o'!B125</f>
        <v>160813627305.50742</v>
      </c>
      <c r="Q19" s="129">
        <f>'[58]2. Distributional by deciles o'!C125</f>
        <v>162421107571.25323</v>
      </c>
      <c r="R19" s="131">
        <f t="shared" si="0"/>
        <v>0.99959206982627169</v>
      </c>
      <c r="S19" s="130" t="s">
        <v>113</v>
      </c>
      <c r="T19" s="130" t="s">
        <v>113</v>
      </c>
      <c r="U19" s="130" t="s">
        <v>113</v>
      </c>
      <c r="V19" s="130" t="s">
        <v>113</v>
      </c>
      <c r="W19" s="132">
        <f t="shared" si="13"/>
        <v>1.6594060782605164</v>
      </c>
      <c r="X19" s="132">
        <f t="shared" si="13"/>
        <v>0.98219521015052702</v>
      </c>
      <c r="Y19" s="132">
        <f t="shared" si="1"/>
        <v>1.2180268250743584</v>
      </c>
      <c r="Z19" s="132">
        <f t="shared" si="1"/>
        <v>1.1279241816328509</v>
      </c>
      <c r="AA19" s="132">
        <f t="shared" si="1"/>
        <v>1.1095214024837479</v>
      </c>
      <c r="AB19" s="132">
        <f t="shared" si="14"/>
        <v>1.0022504917668558</v>
      </c>
      <c r="AC19" s="132">
        <f t="shared" si="14"/>
        <v>1.0022504917668558</v>
      </c>
      <c r="AD19" s="130" t="s">
        <v>113</v>
      </c>
      <c r="AE19" s="130" t="s">
        <v>113</v>
      </c>
      <c r="AF19" s="130" t="s">
        <v>113</v>
      </c>
      <c r="AG19" s="130" t="s">
        <v>113</v>
      </c>
      <c r="AH19" s="133">
        <f t="shared" si="2"/>
        <v>1</v>
      </c>
      <c r="AI19" s="134">
        <f t="shared" si="15"/>
        <v>0</v>
      </c>
      <c r="AJ19" s="134">
        <f t="shared" si="3"/>
        <v>0.441379253186158</v>
      </c>
      <c r="AK19" s="134">
        <f t="shared" si="4"/>
        <v>9.0102643441507535E-2</v>
      </c>
      <c r="AL19" s="134">
        <f t="shared" si="16"/>
        <v>1.8402779149103043E-2</v>
      </c>
      <c r="AM19" s="134">
        <f t="shared" si="17"/>
        <v>0.1072709107168921</v>
      </c>
      <c r="AN19" s="135">
        <f t="shared" si="28"/>
        <v>0</v>
      </c>
      <c r="AO19" s="134">
        <f t="shared" si="18"/>
        <v>2.2504917668557667E-3</v>
      </c>
      <c r="AP19" s="134">
        <f t="shared" si="6"/>
        <v>2.2504917668557667E-3</v>
      </c>
      <c r="AQ19" s="136" t="s">
        <v>113</v>
      </c>
      <c r="AR19" s="137">
        <f t="shared" si="7"/>
        <v>0</v>
      </c>
      <c r="AS19" s="137">
        <f t="shared" si="7"/>
        <v>66.935878776018654</v>
      </c>
      <c r="AT19" s="137">
        <f t="shared" si="7"/>
        <v>13.664211843359746</v>
      </c>
      <c r="AU19" s="137">
        <f t="shared" si="7"/>
        <v>2.7908112702947396</v>
      </c>
      <c r="AV19" s="137">
        <f t="shared" si="7"/>
        <v>16.267807388107176</v>
      </c>
      <c r="AW19" s="138">
        <f t="shared" si="7"/>
        <v>0</v>
      </c>
      <c r="AX19" s="137">
        <f t="shared" si="7"/>
        <v>0.34129072221967727</v>
      </c>
      <c r="AY19" s="137">
        <f t="shared" si="7"/>
        <v>0.34129072221967727</v>
      </c>
      <c r="AZ19" s="139" t="s">
        <v>113</v>
      </c>
      <c r="BA19" s="139" t="s">
        <v>113</v>
      </c>
      <c r="BB19" s="139" t="s">
        <v>113</v>
      </c>
      <c r="BC19" s="139" t="s">
        <v>113</v>
      </c>
      <c r="BD19" s="139" t="s">
        <v>113</v>
      </c>
      <c r="BE19" s="139" t="s">
        <v>113</v>
      </c>
      <c r="BF19" s="139" t="s">
        <v>113</v>
      </c>
      <c r="BG19" s="139" t="s">
        <v>113</v>
      </c>
      <c r="BH19" s="140">
        <f>'[58]2. Distributional by deciles o'!B143</f>
        <v>98714354007.724762</v>
      </c>
      <c r="BI19" s="140">
        <f>'[58]2. Distributional by deciles o'!B161</f>
        <v>45786466371.435532</v>
      </c>
      <c r="BJ19" s="140">
        <f>'[58]2. Distributional by deciles o'!B179</f>
        <v>6376854181.046402</v>
      </c>
      <c r="BK19" s="140">
        <f>'[58]2. Distributional by deciles o'!B197</f>
        <v>9935946929.8223839</v>
      </c>
      <c r="BL19" s="141">
        <f t="shared" si="19"/>
        <v>0.61384323723998313</v>
      </c>
      <c r="BM19" s="141">
        <f t="shared" si="20"/>
        <v>0.28471758764710386</v>
      </c>
      <c r="BN19" s="141">
        <f t="shared" si="21"/>
        <v>3.9653694270182123E-2</v>
      </c>
      <c r="BO19" s="141">
        <f t="shared" si="21"/>
        <v>6.1785480842731E-2</v>
      </c>
      <c r="BP19" s="139" t="s">
        <v>113</v>
      </c>
      <c r="BQ19" s="139" t="s">
        <v>113</v>
      </c>
      <c r="BR19" s="139" t="s">
        <v>113</v>
      </c>
      <c r="BS19" s="131">
        <f t="shared" si="22"/>
        <v>12.256634436932243</v>
      </c>
      <c r="BT19" s="139"/>
      <c r="BU19" s="139"/>
      <c r="BV19" s="139"/>
      <c r="BW19" s="139"/>
      <c r="BX19" s="139"/>
      <c r="BY19" s="139"/>
      <c r="BZ19" s="139"/>
      <c r="CA19" s="139"/>
      <c r="CB19" s="139"/>
      <c r="CC19" s="142" t="s">
        <v>113</v>
      </c>
      <c r="CD19" s="142" t="s">
        <v>113</v>
      </c>
      <c r="CE19" s="142" t="s">
        <v>113</v>
      </c>
      <c r="CF19" s="142" t="s">
        <v>113</v>
      </c>
      <c r="CG19" s="142" t="s">
        <v>113</v>
      </c>
      <c r="CH19" s="142" t="s">
        <v>113</v>
      </c>
      <c r="CI19" s="142" t="s">
        <v>113</v>
      </c>
      <c r="CJ19" s="142"/>
      <c r="CK19" s="139" t="s">
        <v>113</v>
      </c>
      <c r="CL19" s="139" t="s">
        <v>113</v>
      </c>
      <c r="CM19" s="139" t="s">
        <v>113</v>
      </c>
      <c r="CN19" s="139" t="s">
        <v>113</v>
      </c>
      <c r="CO19" s="139" t="s">
        <v>113</v>
      </c>
      <c r="CP19" s="139" t="s">
        <v>113</v>
      </c>
      <c r="CQ19" s="139" t="s">
        <v>113</v>
      </c>
      <c r="CR19" s="139"/>
      <c r="CS19" s="143" t="s">
        <v>113</v>
      </c>
      <c r="CT19" s="143" t="s">
        <v>113</v>
      </c>
      <c r="CU19" s="143" t="s">
        <v>113</v>
      </c>
      <c r="CV19" s="143" t="s">
        <v>113</v>
      </c>
      <c r="CW19" s="143" t="s">
        <v>113</v>
      </c>
      <c r="CX19" s="143" t="s">
        <v>113</v>
      </c>
      <c r="CY19" s="143" t="s">
        <v>113</v>
      </c>
      <c r="CZ19" s="143"/>
      <c r="DA19" s="139" t="s">
        <v>113</v>
      </c>
      <c r="DB19" s="139" t="s">
        <v>113</v>
      </c>
      <c r="DC19" s="139" t="s">
        <v>113</v>
      </c>
      <c r="DD19" s="144">
        <f t="shared" si="23"/>
        <v>0</v>
      </c>
      <c r="DE19" s="145">
        <f>'[58]2. Distributional by deciles o'!K53</f>
        <v>1</v>
      </c>
      <c r="DF19" s="1"/>
      <c r="DG19" s="1"/>
      <c r="DH19" s="1"/>
      <c r="DI19" s="1"/>
      <c r="DJ19" s="1"/>
      <c r="DK19" s="1"/>
      <c r="DL19" s="1"/>
      <c r="DM19" s="1"/>
      <c r="DN19" s="1"/>
      <c r="DO19" s="1"/>
      <c r="DP19" s="1"/>
      <c r="DQ19" s="1"/>
      <c r="DR19" s="1"/>
      <c r="DS19" s="1"/>
      <c r="DT19" s="1"/>
      <c r="DU19" s="1"/>
      <c r="DV19" s="1"/>
      <c r="DW19" s="1"/>
      <c r="DX19" s="1"/>
      <c r="DY19" s="1"/>
      <c r="DZ19" s="1"/>
      <c r="EA19" s="146">
        <f>'[59]2. Distributional by deciles o'!B107</f>
        <v>23823256688.646015</v>
      </c>
      <c r="EB19" s="146">
        <f>'[59]2. Distributional by deciles o'!C107</f>
        <v>24211733059.05125</v>
      </c>
      <c r="EC19" s="146">
        <f>'[59]2. Distributional by deciles o'!D107</f>
        <v>24054455564.731262</v>
      </c>
      <c r="ED19" s="147">
        <f>'[59]2. Distributional by deciles o'!E107</f>
        <v>388476370.40530014</v>
      </c>
      <c r="EE19" s="147">
        <f>'[59]2. Distributional by deciles o'!F107</f>
        <v>231198876.08530045</v>
      </c>
      <c r="EF19" s="147">
        <f>'[59]2. Distributional by deciles o'!G107</f>
        <v>1.6306602219941038E-2</v>
      </c>
      <c r="EG19" s="129">
        <f>'[59]2. Distributional by deciles o'!H107</f>
        <v>9.704755277874658E-3</v>
      </c>
      <c r="EH19" s="122"/>
      <c r="EI19" s="130" t="s">
        <v>113</v>
      </c>
      <c r="EJ19" s="130" t="s">
        <v>113</v>
      </c>
      <c r="EK19" s="130" t="s">
        <v>113</v>
      </c>
      <c r="EL19" s="130" t="s">
        <v>113</v>
      </c>
      <c r="EM19" s="131">
        <f t="shared" si="9"/>
        <v>11.029934803062083</v>
      </c>
      <c r="EN19" s="146">
        <f>'[60]2. Distributional by deciles o'!B125</f>
        <v>173845776722.06741</v>
      </c>
      <c r="EO19" s="146">
        <f>'[60]2. Distributional by deciles o'!C125</f>
        <v>175583411437.31384</v>
      </c>
      <c r="EP19" s="131">
        <f t="shared" si="10"/>
        <v>0.99952656199664425</v>
      </c>
      <c r="EQ19" s="130" t="s">
        <v>113</v>
      </c>
      <c r="ER19" s="130" t="s">
        <v>113</v>
      </c>
      <c r="ES19" s="130" t="s">
        <v>113</v>
      </c>
      <c r="ET19" s="130" t="s">
        <v>113</v>
      </c>
      <c r="EU19" s="131">
        <f t="shared" si="24"/>
        <v>12.210201758801706</v>
      </c>
      <c r="EV19" s="132">
        <f t="shared" si="25"/>
        <v>1.6314326041885676</v>
      </c>
      <c r="EW19" s="132">
        <f t="shared" si="26"/>
        <v>0.97093520541228107</v>
      </c>
      <c r="EX19" s="132"/>
      <c r="EY19" s="148">
        <f t="shared" si="11"/>
        <v>-2.7973474071948834E-2</v>
      </c>
      <c r="EZ19" s="144">
        <f t="shared" si="27"/>
        <v>0</v>
      </c>
      <c r="FA19" s="145">
        <f>'[59]2. Distributional by deciles o'!F53</f>
        <v>1</v>
      </c>
      <c r="FB19" s="130" t="s">
        <v>113</v>
      </c>
      <c r="FC19" s="130" t="s">
        <v>113</v>
      </c>
      <c r="FD19" s="130" t="s">
        <v>113</v>
      </c>
      <c r="FE19" s="130" t="s">
        <v>113</v>
      </c>
      <c r="FF19" s="130" t="s">
        <v>113</v>
      </c>
      <c r="FG19" s="130" t="s">
        <v>113</v>
      </c>
      <c r="FH19" s="130" t="s">
        <v>113</v>
      </c>
      <c r="FI19" s="130" t="s">
        <v>113</v>
      </c>
      <c r="FJ19" s="1"/>
      <c r="FK19" s="1"/>
      <c r="FL19" s="1"/>
      <c r="FM19" s="1"/>
      <c r="FN19" s="1"/>
      <c r="FO19" s="1"/>
      <c r="FP19" s="1"/>
      <c r="FQ19" s="1"/>
    </row>
    <row r="20" spans="1:173" x14ac:dyDescent="0.3">
      <c r="A20" s="1"/>
      <c r="B20" s="28">
        <v>9</v>
      </c>
      <c r="C20" s="129">
        <f>'[58]2. Distributional by deciles o'!B108</f>
        <v>31761463955.278763</v>
      </c>
      <c r="D20" s="129">
        <f>'[58]2. Distributional by deciles o'!C108</f>
        <v>32251761673.565987</v>
      </c>
      <c r="E20" s="129">
        <f>'[58]2. Distributional by deciles o'!D108</f>
        <v>32070945702.794411</v>
      </c>
      <c r="F20" s="129">
        <f>'[58]2. Distributional by deciles o'!E108</f>
        <v>32105559578.535606</v>
      </c>
      <c r="G20" s="129">
        <f>'[58]2. Distributional by deciles o'!F108</f>
        <v>32095707639.897591</v>
      </c>
      <c r="H20" s="129">
        <f>'[58]2. Distributional by deciles o'!G108</f>
        <v>32091482559.215988</v>
      </c>
      <c r="I20" s="129">
        <f>'[58]2. Distributional by deciles o'!H108</f>
        <v>32086801334.456398</v>
      </c>
      <c r="J20" s="122"/>
      <c r="K20" s="130" t="s">
        <v>113</v>
      </c>
      <c r="L20" s="130" t="s">
        <v>113</v>
      </c>
      <c r="M20" s="130" t="s">
        <v>113</v>
      </c>
      <c r="N20" s="130" t="s">
        <v>113</v>
      </c>
      <c r="O20" s="131">
        <f t="shared" si="12"/>
        <v>15.799603570559078</v>
      </c>
      <c r="P20" s="129">
        <f>'[58]2. Distributional by deciles o'!B126</f>
        <v>196022596576.20724</v>
      </c>
      <c r="Q20" s="129">
        <f>'[58]2. Distributional by deciles o'!C126</f>
        <v>197982064022.89902</v>
      </c>
      <c r="R20" s="131">
        <f t="shared" si="0"/>
        <v>0.99961304508584536</v>
      </c>
      <c r="S20" s="130" t="s">
        <v>113</v>
      </c>
      <c r="T20" s="130" t="s">
        <v>113</v>
      </c>
      <c r="U20" s="130" t="s">
        <v>113</v>
      </c>
      <c r="V20" s="130" t="s">
        <v>113</v>
      </c>
      <c r="W20" s="132">
        <f t="shared" si="13"/>
        <v>1.5442849722923557</v>
      </c>
      <c r="X20" s="132">
        <f t="shared" si="13"/>
        <v>0.97477103005242771</v>
      </c>
      <c r="Y20" s="132">
        <f t="shared" si="1"/>
        <v>1.0837939484674985</v>
      </c>
      <c r="Z20" s="132">
        <f t="shared" si="1"/>
        <v>1.0527634128986556</v>
      </c>
      <c r="AA20" s="132">
        <f t="shared" si="1"/>
        <v>1.0394557258343256</v>
      </c>
      <c r="AB20" s="132">
        <f t="shared" si="14"/>
        <v>1.0247113271179462</v>
      </c>
      <c r="AC20" s="132">
        <f t="shared" si="14"/>
        <v>1.0247113271179462</v>
      </c>
      <c r="AD20" s="130" t="s">
        <v>113</v>
      </c>
      <c r="AE20" s="130" t="s">
        <v>113</v>
      </c>
      <c r="AF20" s="130" t="s">
        <v>113</v>
      </c>
      <c r="AG20" s="130" t="s">
        <v>113</v>
      </c>
      <c r="AH20" s="133">
        <f t="shared" si="2"/>
        <v>1</v>
      </c>
      <c r="AI20" s="134">
        <f t="shared" si="15"/>
        <v>0</v>
      </c>
      <c r="AJ20" s="134">
        <f t="shared" si="3"/>
        <v>0.46049102382485718</v>
      </c>
      <c r="AK20" s="134">
        <f t="shared" si="4"/>
        <v>3.1030535568842943E-2</v>
      </c>
      <c r="AL20" s="134">
        <f t="shared" si="16"/>
        <v>1.3307687064330054E-2</v>
      </c>
      <c r="AM20" s="134">
        <f t="shared" si="17"/>
        <v>1.4744398716379337E-2</v>
      </c>
      <c r="AN20" s="135">
        <f t="shared" si="28"/>
        <v>0</v>
      </c>
      <c r="AO20" s="134">
        <f t="shared" si="18"/>
        <v>2.4711327117946214E-2</v>
      </c>
      <c r="AP20" s="134">
        <f t="shared" si="6"/>
        <v>2.4711327117946214E-2</v>
      </c>
      <c r="AQ20" s="136" t="s">
        <v>113</v>
      </c>
      <c r="AR20" s="137">
        <f t="shared" si="7"/>
        <v>0</v>
      </c>
      <c r="AS20" s="137">
        <f t="shared" si="7"/>
        <v>84.604765383364338</v>
      </c>
      <c r="AT20" s="137">
        <f t="shared" si="7"/>
        <v>5.7011560392990761</v>
      </c>
      <c r="AU20" s="137">
        <f t="shared" si="7"/>
        <v>2.444985208443712</v>
      </c>
      <c r="AV20" s="137">
        <f t="shared" si="7"/>
        <v>2.7089483390071574</v>
      </c>
      <c r="AW20" s="138">
        <f t="shared" si="7"/>
        <v>0</v>
      </c>
      <c r="AX20" s="137">
        <f t="shared" si="7"/>
        <v>4.5401450298857124</v>
      </c>
      <c r="AY20" s="137">
        <f t="shared" si="7"/>
        <v>4.5401450298857124</v>
      </c>
      <c r="AZ20" s="139" t="s">
        <v>113</v>
      </c>
      <c r="BA20" s="139" t="s">
        <v>113</v>
      </c>
      <c r="BB20" s="139" t="s">
        <v>113</v>
      </c>
      <c r="BC20" s="139" t="s">
        <v>113</v>
      </c>
      <c r="BD20" s="139" t="s">
        <v>113</v>
      </c>
      <c r="BE20" s="139" t="s">
        <v>113</v>
      </c>
      <c r="BF20" s="139" t="s">
        <v>113</v>
      </c>
      <c r="BG20" s="139" t="s">
        <v>113</v>
      </c>
      <c r="BH20" s="140">
        <f>'[58]2. Distributional by deciles o'!B144</f>
        <v>127458009398.5766</v>
      </c>
      <c r="BI20" s="140">
        <f>'[58]2. Distributional by deciles o'!B162</f>
        <v>44677608674.001625</v>
      </c>
      <c r="BJ20" s="140">
        <f>'[58]2. Distributional by deciles o'!B180</f>
        <v>10401293912.367598</v>
      </c>
      <c r="BK20" s="140">
        <f>'[58]2. Distributional by deciles o'!B198</f>
        <v>13485692357.451622</v>
      </c>
      <c r="BL20" s="141">
        <f t="shared" si="19"/>
        <v>0.6502209774539196</v>
      </c>
      <c r="BM20" s="141">
        <f t="shared" si="20"/>
        <v>0.22792069732918233</v>
      </c>
      <c r="BN20" s="141">
        <f t="shared" si="21"/>
        <v>5.3061706568286411E-2</v>
      </c>
      <c r="BO20" s="141">
        <f t="shared" si="21"/>
        <v>6.8796618648611751E-2</v>
      </c>
      <c r="BP20" s="139" t="s">
        <v>113</v>
      </c>
      <c r="BQ20" s="139" t="s">
        <v>113</v>
      </c>
      <c r="BR20" s="139" t="s">
        <v>113</v>
      </c>
      <c r="BS20" s="131">
        <f t="shared" si="22"/>
        <v>14.940135036246001</v>
      </c>
      <c r="BT20" s="139"/>
      <c r="BU20" s="139"/>
      <c r="BV20" s="139"/>
      <c r="BW20" s="139"/>
      <c r="BX20" s="139"/>
      <c r="BY20" s="139"/>
      <c r="BZ20" s="139"/>
      <c r="CA20" s="139"/>
      <c r="CB20" s="139"/>
      <c r="CC20" s="142" t="s">
        <v>113</v>
      </c>
      <c r="CD20" s="142" t="s">
        <v>113</v>
      </c>
      <c r="CE20" s="142" t="s">
        <v>113</v>
      </c>
      <c r="CF20" s="142" t="s">
        <v>113</v>
      </c>
      <c r="CG20" s="142" t="s">
        <v>113</v>
      </c>
      <c r="CH20" s="142" t="s">
        <v>113</v>
      </c>
      <c r="CI20" s="142" t="s">
        <v>113</v>
      </c>
      <c r="CJ20" s="142"/>
      <c r="CK20" s="139" t="s">
        <v>113</v>
      </c>
      <c r="CL20" s="139" t="s">
        <v>113</v>
      </c>
      <c r="CM20" s="139" t="s">
        <v>113</v>
      </c>
      <c r="CN20" s="139" t="s">
        <v>113</v>
      </c>
      <c r="CO20" s="139" t="s">
        <v>113</v>
      </c>
      <c r="CP20" s="139" t="s">
        <v>113</v>
      </c>
      <c r="CQ20" s="139" t="s">
        <v>113</v>
      </c>
      <c r="CR20" s="139"/>
      <c r="CS20" s="143" t="s">
        <v>113</v>
      </c>
      <c r="CT20" s="143" t="s">
        <v>113</v>
      </c>
      <c r="CU20" s="143" t="s">
        <v>113</v>
      </c>
      <c r="CV20" s="143" t="s">
        <v>113</v>
      </c>
      <c r="CW20" s="143" t="s">
        <v>113</v>
      </c>
      <c r="CX20" s="143" t="s">
        <v>113</v>
      </c>
      <c r="CY20" s="143" t="s">
        <v>113</v>
      </c>
      <c r="CZ20" s="143"/>
      <c r="DA20" s="139" t="s">
        <v>113</v>
      </c>
      <c r="DB20" s="139" t="s">
        <v>113</v>
      </c>
      <c r="DC20" s="139" t="s">
        <v>113</v>
      </c>
      <c r="DD20" s="144">
        <f t="shared" si="23"/>
        <v>0</v>
      </c>
      <c r="DE20" s="145">
        <f>'[58]2. Distributional by deciles o'!K54</f>
        <v>1</v>
      </c>
      <c r="DF20" s="1"/>
      <c r="DG20" s="1"/>
      <c r="DH20" s="1"/>
      <c r="DI20" s="1"/>
      <c r="DJ20" s="1"/>
      <c r="DK20" s="1"/>
      <c r="DL20" s="1"/>
      <c r="DM20" s="1"/>
      <c r="DN20" s="1"/>
      <c r="DO20" s="1"/>
      <c r="DP20" s="1"/>
      <c r="DQ20" s="1"/>
      <c r="DR20" s="1"/>
      <c r="DS20" s="1"/>
      <c r="DT20" s="1"/>
      <c r="DU20" s="1"/>
      <c r="DV20" s="1"/>
      <c r="DW20" s="1"/>
      <c r="DX20" s="1"/>
      <c r="DY20" s="1"/>
      <c r="DZ20" s="1"/>
      <c r="EA20" s="146">
        <f>'[59]2. Distributional by deciles o'!B108</f>
        <v>33378923588.976006</v>
      </c>
      <c r="EB20" s="146">
        <f>'[59]2. Distributional by deciles o'!C108</f>
        <v>33937054691.252392</v>
      </c>
      <c r="EC20" s="146">
        <f>'[59]2. Distributional by deciles o'!D108</f>
        <v>33706277354.952026</v>
      </c>
      <c r="ED20" s="147">
        <f>'[59]2. Distributional by deciles o'!E108</f>
        <v>558131102.27639771</v>
      </c>
      <c r="EE20" s="147">
        <f>'[59]2. Distributional by deciles o'!F108</f>
        <v>327353765.97599792</v>
      </c>
      <c r="EF20" s="147">
        <f>'[59]2. Distributional by deciles o'!G108</f>
        <v>1.672106354144778E-2</v>
      </c>
      <c r="EG20" s="129">
        <f>'[59]2. Distributional by deciles o'!H108</f>
        <v>9.8071995971767204E-3</v>
      </c>
      <c r="EH20" s="122"/>
      <c r="EI20" s="130" t="s">
        <v>113</v>
      </c>
      <c r="EJ20" s="130" t="s">
        <v>113</v>
      </c>
      <c r="EK20" s="130" t="s">
        <v>113</v>
      </c>
      <c r="EL20" s="130" t="s">
        <v>113</v>
      </c>
      <c r="EM20" s="131">
        <f t="shared" si="9"/>
        <v>15.454115102502428</v>
      </c>
      <c r="EN20" s="146">
        <f>'[60]2. Distributional by deciles o'!B126</f>
        <v>213110930339.36554</v>
      </c>
      <c r="EO20" s="146">
        <f>'[60]2. Distributional by deciles o'!C126</f>
        <v>215241144442.4256</v>
      </c>
      <c r="EP20" s="131">
        <f t="shared" si="10"/>
        <v>0.99957993692196823</v>
      </c>
      <c r="EQ20" s="130" t="s">
        <v>113</v>
      </c>
      <c r="ER20" s="130" t="s">
        <v>113</v>
      </c>
      <c r="ES20" s="130" t="s">
        <v>113</v>
      </c>
      <c r="ET20" s="130" t="s">
        <v>113</v>
      </c>
      <c r="EU20" s="131">
        <f t="shared" si="24"/>
        <v>14.968022263834973</v>
      </c>
      <c r="EV20" s="132">
        <f t="shared" si="25"/>
        <v>1.6728090394588175</v>
      </c>
      <c r="EW20" s="132">
        <f t="shared" si="26"/>
        <v>0.98113209708639826</v>
      </c>
      <c r="EX20" s="132"/>
      <c r="EY20" s="148">
        <f t="shared" si="11"/>
        <v>0.12852406716646181</v>
      </c>
      <c r="EZ20" s="144">
        <f t="shared" si="27"/>
        <v>0</v>
      </c>
      <c r="FA20" s="145">
        <f>'[59]2. Distributional by deciles o'!F54</f>
        <v>1</v>
      </c>
      <c r="FB20" s="130" t="s">
        <v>113</v>
      </c>
      <c r="FC20" s="130" t="s">
        <v>113</v>
      </c>
      <c r="FD20" s="130" t="s">
        <v>113</v>
      </c>
      <c r="FE20" s="130" t="s">
        <v>113</v>
      </c>
      <c r="FF20" s="130" t="s">
        <v>113</v>
      </c>
      <c r="FG20" s="130" t="s">
        <v>113</v>
      </c>
      <c r="FH20" s="130" t="s">
        <v>113</v>
      </c>
      <c r="FI20" s="130" t="s">
        <v>113</v>
      </c>
      <c r="FJ20" s="1"/>
      <c r="FK20" s="1"/>
      <c r="FL20" s="1"/>
      <c r="FM20" s="1"/>
      <c r="FN20" s="1"/>
      <c r="FO20" s="1"/>
      <c r="FP20" s="1"/>
      <c r="FQ20" s="1"/>
    </row>
    <row r="21" spans="1:173" x14ac:dyDescent="0.3">
      <c r="A21" s="1"/>
      <c r="B21" s="33">
        <v>10</v>
      </c>
      <c r="C21" s="129">
        <f>'[58]2. Distributional by deciles o'!B109</f>
        <v>88359236927.608841</v>
      </c>
      <c r="D21" s="129">
        <f>'[58]2. Distributional by deciles o'!C109</f>
        <v>89551217098.69696</v>
      </c>
      <c r="E21" s="129">
        <f>'[58]2. Distributional by deciles o'!D109</f>
        <v>89245154622.221985</v>
      </c>
      <c r="F21" s="129">
        <f>'[58]2. Distributional by deciles o'!E109</f>
        <v>89278923115.392151</v>
      </c>
      <c r="G21" s="129">
        <f>'[58]2. Distributional by deciles o'!F109</f>
        <v>89284064277.874985</v>
      </c>
      <c r="H21" s="129">
        <f>'[58]2. Distributional by deciles o'!G109</f>
        <v>89284064277.874985</v>
      </c>
      <c r="I21" s="149">
        <f>'[58]2. Distributional by deciles o'!H109</f>
        <v>89281840472.844162</v>
      </c>
      <c r="J21" s="122"/>
      <c r="K21" s="130" t="s">
        <v>113</v>
      </c>
      <c r="L21" s="130" t="s">
        <v>113</v>
      </c>
      <c r="M21" s="130" t="s">
        <v>113</v>
      </c>
      <c r="N21" s="130" t="s">
        <v>113</v>
      </c>
      <c r="O21" s="131">
        <f t="shared" si="12"/>
        <v>43.953922187560309</v>
      </c>
      <c r="P21" s="129">
        <f>'[58]2. Distributional by deciles o'!B127</f>
        <v>375599533699.81201</v>
      </c>
      <c r="Q21" s="129">
        <f>'[58]2. Distributional by deciles o'!C127</f>
        <v>379355439082.82977</v>
      </c>
      <c r="R21" s="131">
        <f t="shared" si="0"/>
        <v>0.9999760505612354</v>
      </c>
      <c r="S21" s="130" t="s">
        <v>113</v>
      </c>
      <c r="T21" s="130" t="s">
        <v>113</v>
      </c>
      <c r="U21" s="130" t="s">
        <v>113</v>
      </c>
      <c r="V21" s="130" t="s">
        <v>113</v>
      </c>
      <c r="W21" s="132">
        <f t="shared" si="13"/>
        <v>1.3490482268475614</v>
      </c>
      <c r="X21" s="132">
        <f t="shared" si="13"/>
        <v>1.002655685085543</v>
      </c>
      <c r="Y21" s="132">
        <f t="shared" si="1"/>
        <v>1.0408738760751972</v>
      </c>
      <c r="Z21" s="132">
        <f t="shared" si="1"/>
        <v>1.0466924931123169</v>
      </c>
      <c r="AA21" s="132">
        <f t="shared" si="1"/>
        <v>1.0466924931123169</v>
      </c>
      <c r="AB21" s="132">
        <f t="shared" si="14"/>
        <v>1.0441756557466857</v>
      </c>
      <c r="AC21" s="132">
        <f t="shared" si="14"/>
        <v>1.0441756557466857</v>
      </c>
      <c r="AD21" s="130" t="s">
        <v>113</v>
      </c>
      <c r="AE21" s="130" t="s">
        <v>113</v>
      </c>
      <c r="AF21" s="130" t="s">
        <v>113</v>
      </c>
      <c r="AG21" s="130" t="s">
        <v>113</v>
      </c>
      <c r="AH21" s="133">
        <f t="shared" si="2"/>
        <v>1</v>
      </c>
      <c r="AI21" s="134">
        <f t="shared" si="15"/>
        <v>2.6556850855430358E-3</v>
      </c>
      <c r="AJ21" s="134">
        <f t="shared" si="3"/>
        <v>0.30817435077236421</v>
      </c>
      <c r="AK21" s="134">
        <f>IF(W21&gt;1,MAX(MIN(Y21-Z21,W21-AH21-AJ21),0),0)</f>
        <v>0</v>
      </c>
      <c r="AL21" s="134">
        <f t="shared" si="16"/>
        <v>0</v>
      </c>
      <c r="AM21" s="134">
        <f t="shared" si="17"/>
        <v>2.5168373656312415E-3</v>
      </c>
      <c r="AN21" s="135">
        <f t="shared" si="28"/>
        <v>0</v>
      </c>
      <c r="AO21" s="134">
        <f t="shared" si="18"/>
        <v>3.5701353624022936E-2</v>
      </c>
      <c r="AP21" s="134">
        <f t="shared" si="6"/>
        <v>3.8357038709565972E-2</v>
      </c>
      <c r="AQ21" s="136" t="s">
        <v>113</v>
      </c>
      <c r="AR21" s="137">
        <f t="shared" si="7"/>
        <v>0.76083614849670722</v>
      </c>
      <c r="AS21" s="137">
        <f t="shared" si="7"/>
        <v>88.28990582638086</v>
      </c>
      <c r="AT21" s="137">
        <f t="shared" si="7"/>
        <v>0</v>
      </c>
      <c r="AU21" s="137">
        <f t="shared" si="7"/>
        <v>0</v>
      </c>
      <c r="AV21" s="137">
        <f t="shared" si="7"/>
        <v>0.721057198417</v>
      </c>
      <c r="AW21" s="138">
        <f t="shared" si="7"/>
        <v>0</v>
      </c>
      <c r="AX21" s="137">
        <f t="shared" si="7"/>
        <v>10.228200826705432</v>
      </c>
      <c r="AY21" s="137">
        <f t="shared" si="7"/>
        <v>10.98903697520214</v>
      </c>
      <c r="AZ21" s="139" t="s">
        <v>113</v>
      </c>
      <c r="BA21" s="139" t="s">
        <v>113</v>
      </c>
      <c r="BB21" s="139" t="s">
        <v>113</v>
      </c>
      <c r="BC21" s="139" t="s">
        <v>113</v>
      </c>
      <c r="BD21" s="139" t="s">
        <v>113</v>
      </c>
      <c r="BE21" s="139" t="s">
        <v>113</v>
      </c>
      <c r="BF21" s="139" t="s">
        <v>113</v>
      </c>
      <c r="BG21" s="139" t="s">
        <v>113</v>
      </c>
      <c r="BH21" s="140">
        <f>'[58]2. Distributional by deciles o'!B145</f>
        <v>233402443489.89825</v>
      </c>
      <c r="BI21" s="140">
        <f>'[58]2. Distributional by deciles o'!B163</f>
        <v>44242823230.903206</v>
      </c>
      <c r="BJ21" s="140">
        <f>'[58]2. Distributional by deciles o'!B181</f>
        <v>41760168762.084015</v>
      </c>
      <c r="BK21" s="140">
        <f>'[58]2. Distributional by deciles o'!B199</f>
        <v>56194105934.372337</v>
      </c>
      <c r="BL21" s="141">
        <f t="shared" si="19"/>
        <v>0.62141301506704671</v>
      </c>
      <c r="BM21" s="141">
        <f t="shared" si="20"/>
        <v>0.11779253793537876</v>
      </c>
      <c r="BN21" s="141">
        <f t="shared" si="21"/>
        <v>0.11118269368623154</v>
      </c>
      <c r="BO21" s="141">
        <f t="shared" si="21"/>
        <v>0.14961175331134302</v>
      </c>
      <c r="BP21" s="139" t="s">
        <v>113</v>
      </c>
      <c r="BQ21" s="139" t="s">
        <v>113</v>
      </c>
      <c r="BR21" s="139" t="s">
        <v>113</v>
      </c>
      <c r="BS21" s="131">
        <f t="shared" si="22"/>
        <v>28.626841247073521</v>
      </c>
      <c r="BT21" s="139"/>
      <c r="BU21" s="139"/>
      <c r="BV21" s="139"/>
      <c r="BW21" s="139"/>
      <c r="BX21" s="139"/>
      <c r="BY21" s="139"/>
      <c r="BZ21" s="139"/>
      <c r="CA21" s="139"/>
      <c r="CB21" s="139"/>
      <c r="CC21" s="142" t="s">
        <v>113</v>
      </c>
      <c r="CD21" s="142" t="s">
        <v>113</v>
      </c>
      <c r="CE21" s="142" t="s">
        <v>113</v>
      </c>
      <c r="CF21" s="142" t="s">
        <v>113</v>
      </c>
      <c r="CG21" s="142" t="s">
        <v>113</v>
      </c>
      <c r="CH21" s="142" t="s">
        <v>113</v>
      </c>
      <c r="CI21" s="142" t="s">
        <v>113</v>
      </c>
      <c r="CJ21" s="142"/>
      <c r="CK21" s="139" t="s">
        <v>113</v>
      </c>
      <c r="CL21" s="139" t="s">
        <v>113</v>
      </c>
      <c r="CM21" s="139" t="s">
        <v>113</v>
      </c>
      <c r="CN21" s="139" t="s">
        <v>113</v>
      </c>
      <c r="CO21" s="139" t="s">
        <v>113</v>
      </c>
      <c r="CP21" s="139" t="s">
        <v>113</v>
      </c>
      <c r="CQ21" s="139" t="s">
        <v>113</v>
      </c>
      <c r="CR21" s="139"/>
      <c r="CS21" s="143" t="s">
        <v>113</v>
      </c>
      <c r="CT21" s="143" t="s">
        <v>113</v>
      </c>
      <c r="CU21" s="143" t="s">
        <v>113</v>
      </c>
      <c r="CV21" s="143" t="s">
        <v>113</v>
      </c>
      <c r="CW21" s="143" t="s">
        <v>113</v>
      </c>
      <c r="CX21" s="143" t="s">
        <v>113</v>
      </c>
      <c r="CY21" s="143" t="s">
        <v>113</v>
      </c>
      <c r="CZ21" s="143"/>
      <c r="DA21" s="139" t="s">
        <v>113</v>
      </c>
      <c r="DB21" s="139" t="s">
        <v>113</v>
      </c>
      <c r="DC21" s="139" t="s">
        <v>113</v>
      </c>
      <c r="DD21" s="144">
        <f t="shared" si="23"/>
        <v>0</v>
      </c>
      <c r="DE21" s="145">
        <f>'[58]2. Distributional by deciles o'!K55</f>
        <v>1</v>
      </c>
      <c r="DF21" s="1"/>
      <c r="DG21" s="1"/>
      <c r="DH21" s="1"/>
      <c r="DI21" s="1"/>
      <c r="DJ21" s="1"/>
      <c r="DK21" s="1"/>
      <c r="DL21" s="1"/>
      <c r="DM21" s="1"/>
      <c r="DN21" s="1"/>
      <c r="DO21" s="1"/>
      <c r="DP21" s="1"/>
      <c r="DQ21" s="1"/>
      <c r="DR21" s="1"/>
      <c r="DS21" s="1"/>
      <c r="DT21" s="1"/>
      <c r="DU21" s="1"/>
      <c r="DV21" s="1"/>
      <c r="DW21" s="1"/>
      <c r="DX21" s="1"/>
      <c r="DY21" s="1"/>
      <c r="DZ21" s="1"/>
      <c r="EA21" s="146">
        <f>'[59]2. Distributional by deciles o'!B109</f>
        <v>96579881261.35318</v>
      </c>
      <c r="EB21" s="146">
        <f>'[59]2. Distributional by deciles o'!C109</f>
        <v>97902461868.634659</v>
      </c>
      <c r="EC21" s="146">
        <f>'[59]2. Distributional by deciles o'!D109</f>
        <v>97549739635.648911</v>
      </c>
      <c r="ED21" s="147">
        <f>'[59]2. Distributional by deciles o'!E109</f>
        <v>1322580607.2815094</v>
      </c>
      <c r="EE21" s="147">
        <f>'[59]2. Distributional by deciles o'!F109</f>
        <v>969858374.29570007</v>
      </c>
      <c r="EF21" s="147">
        <f>'[59]2. Distributional by deciles o'!G109</f>
        <v>1.3694162697327168E-2</v>
      </c>
      <c r="EG21" s="129">
        <f>'[59]2. Distributional by deciles o'!H109</f>
        <v>1.0042033202248226E-2</v>
      </c>
      <c r="EH21" s="122"/>
      <c r="EI21" s="130" t="s">
        <v>113</v>
      </c>
      <c r="EJ21" s="130" t="s">
        <v>113</v>
      </c>
      <c r="EK21" s="130" t="s">
        <v>113</v>
      </c>
      <c r="EL21" s="130" t="s">
        <v>113</v>
      </c>
      <c r="EM21" s="131">
        <f t="shared" si="9"/>
        <v>44.715540260618631</v>
      </c>
      <c r="EN21" s="146">
        <f>'[60]2. Distributional by deciles o'!B127</f>
        <v>408326581341.6925</v>
      </c>
      <c r="EO21" s="146">
        <f>'[60]2. Distributional by deciles o'!C127</f>
        <v>412409730827.8775</v>
      </c>
      <c r="EP21" s="131">
        <f t="shared" si="10"/>
        <v>0.99997151122723782</v>
      </c>
      <c r="EQ21" s="130" t="s">
        <v>113</v>
      </c>
      <c r="ER21" s="130" t="s">
        <v>113</v>
      </c>
      <c r="ES21" s="130" t="s">
        <v>113</v>
      </c>
      <c r="ET21" s="130" t="s">
        <v>113</v>
      </c>
      <c r="EU21" s="131">
        <f t="shared" si="24"/>
        <v>28.67915479842052</v>
      </c>
      <c r="EV21" s="132">
        <f t="shared" si="25"/>
        <v>1.3694552838330738</v>
      </c>
      <c r="EW21" s="132">
        <f t="shared" si="26"/>
        <v>1.0042319295600961</v>
      </c>
      <c r="EX21" s="132"/>
      <c r="EY21" s="148">
        <f t="shared" si="11"/>
        <v>2.0407056985512373E-2</v>
      </c>
      <c r="EZ21" s="144">
        <f t="shared" si="27"/>
        <v>0</v>
      </c>
      <c r="FA21" s="145">
        <f>'[59]2. Distributional by deciles o'!F55</f>
        <v>1</v>
      </c>
      <c r="FB21" s="130" t="s">
        <v>113</v>
      </c>
      <c r="FC21" s="130" t="s">
        <v>113</v>
      </c>
      <c r="FD21" s="130" t="s">
        <v>113</v>
      </c>
      <c r="FE21" s="130" t="s">
        <v>113</v>
      </c>
      <c r="FF21" s="130" t="s">
        <v>113</v>
      </c>
      <c r="FG21" s="130" t="s">
        <v>113</v>
      </c>
      <c r="FH21" s="130" t="s">
        <v>113</v>
      </c>
      <c r="FI21" s="130" t="s">
        <v>113</v>
      </c>
      <c r="FJ21" s="1"/>
      <c r="FK21" s="1"/>
      <c r="FL21" s="1"/>
      <c r="FM21" s="1"/>
      <c r="FN21" s="1"/>
      <c r="FO21" s="1"/>
      <c r="FP21" s="1"/>
      <c r="FQ21" s="1"/>
    </row>
    <row r="22" spans="1:173" ht="13.2" customHeight="1" thickBot="1" x14ac:dyDescent="0.35">
      <c r="A22" s="1"/>
      <c r="B22" s="34" t="s">
        <v>114</v>
      </c>
      <c r="C22" s="150">
        <f>'[58]2. Distributional by deciles o'!B110</f>
        <v>201026967628.87744</v>
      </c>
      <c r="D22" s="150">
        <f>'[58]2. Distributional by deciles o'!C110</f>
        <v>204123601828.1745</v>
      </c>
      <c r="E22" s="150">
        <f>'[58]2. Distributional by deciles o'!D110</f>
        <v>203029870645.75845</v>
      </c>
      <c r="F22" s="150">
        <f>'[58]2. Distributional by deciles o'!E110</f>
        <v>203386581568.94214</v>
      </c>
      <c r="G22" s="150">
        <f>'[58]2. Distributional by deciles o'!F110</f>
        <v>203260120053.9939</v>
      </c>
      <c r="H22" s="150">
        <f>'[58]2. Distributional by deciles o'!G110</f>
        <v>203148962589.27747</v>
      </c>
      <c r="I22" s="150">
        <f>'[58]2. Distributional by deciles o'!H110</f>
        <v>203089751742.69949</v>
      </c>
      <c r="J22" s="122"/>
      <c r="K22" s="151">
        <f>'[61]1. Fiscal'!$D$154</f>
        <v>202851494649.32361</v>
      </c>
      <c r="L22" s="151">
        <f>'[61]1. Fiscal'!$E$154</f>
        <v>201854630065.73627</v>
      </c>
      <c r="M22" s="151">
        <f>'[61]1. Fiscal'!$F$154</f>
        <v>201201327960.20734</v>
      </c>
      <c r="N22" s="151">
        <f>'[61]1. Fiscal'!$G$154</f>
        <v>201291237537.39563</v>
      </c>
      <c r="O22" s="152" t="s">
        <v>113</v>
      </c>
      <c r="P22" s="150">
        <f>'[58]2. Distributional by deciles o'!B128</f>
        <v>1312053713709.0142</v>
      </c>
      <c r="Q22" s="150">
        <f>'[58]2. Distributional by deciles o'!C128</f>
        <v>1325164353585.105</v>
      </c>
      <c r="R22" s="153">
        <f>(Q22/P22-1)*100</f>
        <v>0.99924566647722202</v>
      </c>
      <c r="S22" s="151">
        <f>'[61]1. Fiscal'!$D$155</f>
        <v>1319820137791.2979</v>
      </c>
      <c r="T22" s="151">
        <f>'[61]1. Fiscal'!$E$155</f>
        <v>1315589361363.083</v>
      </c>
      <c r="U22" s="151">
        <f>'[61]1. Fiscal'!$F$155</f>
        <v>1312812659393.7534</v>
      </c>
      <c r="V22" s="151">
        <f>'[61]1. Fiscal'!$G$155</f>
        <v>1313103446730.9666</v>
      </c>
      <c r="W22" s="154">
        <f t="shared" si="13"/>
        <v>1.5415702152840249</v>
      </c>
      <c r="X22" s="154">
        <f t="shared" si="13"/>
        <v>0.99708762359699421</v>
      </c>
      <c r="Y22" s="154">
        <f t="shared" si="1"/>
        <v>1.1746658905977476</v>
      </c>
      <c r="Z22" s="154">
        <f t="shared" si="1"/>
        <v>1.1117106649310675</v>
      </c>
      <c r="AA22" s="154">
        <f t="shared" si="1"/>
        <v>1.0563741202231929</v>
      </c>
      <c r="AB22" s="154">
        <f t="shared" si="14"/>
        <v>1.0268977043368497</v>
      </c>
      <c r="AC22" s="154">
        <f t="shared" si="14"/>
        <v>1.0268977043368497</v>
      </c>
      <c r="AD22" s="155">
        <f>(K22/$C22-1) / (S22/$P22-1)</f>
        <v>1.5332977251311959</v>
      </c>
      <c r="AE22" s="155">
        <f>(L22/$C22-1) / (T22/$P22-1)</f>
        <v>1.527852959594066</v>
      </c>
      <c r="AF22" s="155">
        <f>(M22/$C22-1) / (U22/$P22-1)</f>
        <v>1.4994579213571648</v>
      </c>
      <c r="AG22" s="155">
        <f>(N22/$C22-1) / (V22/$P22-1)</f>
        <v>1.6431081444694662</v>
      </c>
      <c r="AH22" s="156">
        <f t="shared" si="2"/>
        <v>1</v>
      </c>
      <c r="AI22" s="155">
        <f t="shared" si="15"/>
        <v>0</v>
      </c>
      <c r="AJ22" s="155">
        <f t="shared" si="3"/>
        <v>0.36690432468627732</v>
      </c>
      <c r="AK22" s="155">
        <f>IF(W22&gt;1,MAX(MIN(Y22-Z22,W22-AH22-AJ22),0),0)</f>
        <v>6.2955225666680104E-2</v>
      </c>
      <c r="AL22" s="155">
        <f t="shared" si="16"/>
        <v>5.5336544707874635E-2</v>
      </c>
      <c r="AM22" s="155">
        <f t="shared" si="17"/>
        <v>2.9476415886343199E-2</v>
      </c>
      <c r="AN22" s="157">
        <f t="shared" si="28"/>
        <v>0</v>
      </c>
      <c r="AO22" s="155">
        <f t="shared" si="18"/>
        <v>2.6897704336849682E-2</v>
      </c>
      <c r="AP22" s="155">
        <f t="shared" si="6"/>
        <v>2.6897704336849682E-2</v>
      </c>
      <c r="AQ22" s="136" t="s">
        <v>113</v>
      </c>
      <c r="AR22" s="137">
        <f>AI22/($W22-1)*100</f>
        <v>0</v>
      </c>
      <c r="AS22" s="137">
        <f t="shared" si="7"/>
        <v>67.74824654894573</v>
      </c>
      <c r="AT22" s="137">
        <f t="shared" si="7"/>
        <v>11.624573119048547</v>
      </c>
      <c r="AU22" s="137">
        <f t="shared" si="7"/>
        <v>10.21779690724933</v>
      </c>
      <c r="AV22" s="137">
        <f t="shared" si="7"/>
        <v>5.4427690176581036</v>
      </c>
      <c r="AW22" s="138">
        <f t="shared" si="7"/>
        <v>0</v>
      </c>
      <c r="AX22" s="137">
        <f t="shared" si="7"/>
        <v>4.9666144070983034</v>
      </c>
      <c r="AY22" s="137">
        <f t="shared" si="7"/>
        <v>4.9666144070983034</v>
      </c>
      <c r="AZ22" s="158">
        <v>1.68</v>
      </c>
      <c r="BA22" s="158">
        <v>1.73</v>
      </c>
      <c r="BB22" s="158">
        <v>1.69</v>
      </c>
      <c r="BC22" s="158">
        <v>1.38</v>
      </c>
      <c r="BD22" s="159">
        <f>W22-AZ22</f>
        <v>-0.138429784715975</v>
      </c>
      <c r="BE22" s="159">
        <f>AD22-BA22</f>
        <v>-0.19670227486880409</v>
      </c>
      <c r="BF22" s="159">
        <f>AF22-BB22</f>
        <v>-0.19054207864283512</v>
      </c>
      <c r="BG22" s="159">
        <f>AG22-BC22</f>
        <v>0.26310814446946629</v>
      </c>
      <c r="BH22" s="160">
        <f>'[58]2. Distributional by deciles o'!B146</f>
        <v>777362802053.95557</v>
      </c>
      <c r="BI22" s="140">
        <f>'[58]2. Distributional by deciles o'!B164</f>
        <v>353784791406.4903</v>
      </c>
      <c r="BJ22" s="140">
        <f>'[58]2. Distributional by deciles o'!B182</f>
        <v>75931599042.21965</v>
      </c>
      <c r="BK22" s="140">
        <f>'[58]2. Distributional by deciles o'!B200</f>
        <v>104974555069.27908</v>
      </c>
      <c r="BL22" s="141">
        <f t="shared" si="19"/>
        <v>0.59247786418241222</v>
      </c>
      <c r="BM22" s="141">
        <f t="shared" si="20"/>
        <v>0.26964199603956468</v>
      </c>
      <c r="BN22" s="141">
        <f t="shared" si="21"/>
        <v>5.7872323586390315E-2</v>
      </c>
      <c r="BO22" s="141">
        <f t="shared" si="21"/>
        <v>8.0007816191632775E-2</v>
      </c>
      <c r="BP22" s="159">
        <f>(AD22*BL22+AF22*BN22+AG22*BO22)/(BL22+BN22+BO22)</f>
        <v>1.5426456116953331</v>
      </c>
      <c r="BQ22" s="159">
        <f>W22-BP22</f>
        <v>-1.0753964113081604E-3</v>
      </c>
      <c r="BR22" s="159">
        <f>BP22-AZ22</f>
        <v>-0.13735438830466684</v>
      </c>
      <c r="BS22" s="152" t="s">
        <v>113</v>
      </c>
      <c r="BT22" s="161"/>
      <c r="BU22" s="161"/>
      <c r="BV22" s="161"/>
      <c r="BW22" s="161"/>
      <c r="BX22" s="162"/>
      <c r="BY22" s="162"/>
      <c r="BZ22" s="163"/>
      <c r="CA22" s="164"/>
      <c r="CB22" s="165"/>
      <c r="CC22" s="166"/>
      <c r="CD22" s="166"/>
      <c r="CE22" s="166"/>
      <c r="CF22" s="166"/>
      <c r="CG22" s="167"/>
      <c r="CH22" s="167"/>
      <c r="CI22" s="168"/>
      <c r="CJ22" s="169"/>
      <c r="CK22" s="161">
        <f>'[58]3. Inequality and Poverty'!$B$7</f>
        <v>0.38210868808640602</v>
      </c>
      <c r="CL22" s="161">
        <f>'[58]3. Inequality and Poverty'!$B$8</f>
        <v>0.34973461938544798</v>
      </c>
      <c r="CM22" s="161">
        <f>'[58]3. Inequality and Poverty'!$C$7</f>
        <v>0.38211257819603001</v>
      </c>
      <c r="CN22" s="161">
        <f>'[58]3. Inequality and Poverty'!$C$8</f>
        <v>0.34960947194110897</v>
      </c>
      <c r="CO22" s="162">
        <f t="shared" ref="CO22" si="29">(CK22-CL22)/CK22</f>
        <v>8.4724764734052105E-2</v>
      </c>
      <c r="CP22" s="162">
        <f>(CM22-CN22)/CM22</f>
        <v>8.5061597313466103E-2</v>
      </c>
      <c r="CQ22" s="163">
        <f>(CP22-CO22)*100</f>
        <v>3.3683257941399813E-2</v>
      </c>
      <c r="CR22" s="165">
        <f>CN22-CL22</f>
        <v>-1.2514744433900216E-4</v>
      </c>
      <c r="CS22" s="170">
        <f>(SUM(P20:P21))/(SUM(P12:P13))</f>
        <v>9.3031074660208652</v>
      </c>
      <c r="CT22" s="170">
        <f>(SUM(P20:P21)-SUM(C20:C21))/(SUM(P12:P13)-SUM(C12:C13))</f>
        <v>7.8821261527820923</v>
      </c>
      <c r="CU22" s="170">
        <f>(SUM(Q20:Q21))/(SUM(Q12:Q13))</f>
        <v>9.303472432676573</v>
      </c>
      <c r="CV22" s="170">
        <f>(SUM(Q20:Q21)-SUM(D20:D21))/(SUM(Q12:Q13)-SUM(D12:D13))</f>
        <v>7.8747580733544318</v>
      </c>
      <c r="CW22" s="162">
        <f>(CS22-CT22)/CS22</f>
        <v>0.15274265275649412</v>
      </c>
      <c r="CX22" s="162">
        <f>(CU22-CV22)/CU22</f>
        <v>0.15356786078110682</v>
      </c>
      <c r="CY22" s="163">
        <f>(CX22-CW22)*100</f>
        <v>8.2520802461269471E-2</v>
      </c>
      <c r="CZ22" s="165">
        <f>CV22-CT22</f>
        <v>-7.36807942766049E-3</v>
      </c>
      <c r="DA22" s="171">
        <f>'[58]3. Inequality and Poverty'!$B$34</f>
        <v>0.18198792337035299</v>
      </c>
      <c r="DB22" s="171">
        <f>'[58]3. Inequality and Poverty'!$C$34</f>
        <v>0.18160286716066801</v>
      </c>
      <c r="DC22" s="172">
        <f>DB22-DA22</f>
        <v>-3.8505620968498633E-4</v>
      </c>
      <c r="DD22" s="144">
        <f t="shared" si="23"/>
        <v>0.17765199183533698</v>
      </c>
      <c r="DE22" s="145">
        <f>'[58]2. Distributional by deciles o'!K56</f>
        <v>0.99822348008164663</v>
      </c>
      <c r="DF22" s="1"/>
      <c r="DG22" s="1"/>
      <c r="DH22" s="1"/>
      <c r="DI22" s="1"/>
      <c r="DJ22" s="1"/>
      <c r="DK22" s="1"/>
      <c r="DL22" s="1"/>
      <c r="DM22" s="1"/>
      <c r="DN22" s="1"/>
      <c r="DO22" s="1"/>
      <c r="DP22" s="1"/>
      <c r="DQ22" s="1"/>
      <c r="DR22" s="1"/>
      <c r="DS22" s="1"/>
      <c r="DT22" s="1"/>
      <c r="DU22" s="1"/>
      <c r="DV22" s="1"/>
      <c r="DW22" s="1"/>
      <c r="DX22" s="1"/>
      <c r="DY22" s="1"/>
      <c r="DZ22" s="1"/>
      <c r="EA22" s="151">
        <f>'[59]2. Distributional by deciles o'!B110</f>
        <v>215987284730.20807</v>
      </c>
      <c r="EB22" s="151">
        <f>'[59]2. Distributional by deciles o'!C110</f>
        <v>219288853439.56137</v>
      </c>
      <c r="EC22" s="151">
        <f>'[59]2. Distributional by deciles o'!D110</f>
        <v>218123557607.03552</v>
      </c>
      <c r="ED22" s="173">
        <f>'[59]2. Distributional by deciles o'!E110</f>
        <v>3301568709.3529968</v>
      </c>
      <c r="EE22" s="173">
        <f>'[59]2. Distributional by deciles o'!F110</f>
        <v>2136272876.8280029</v>
      </c>
      <c r="EF22" s="173">
        <f>'[59]2. Distributional by deciles o'!G110</f>
        <v>1.528594015836175E-2</v>
      </c>
      <c r="EG22" s="150">
        <f>'[59]2. Distributional by deciles o'!H110</f>
        <v>9.8907344453005239E-3</v>
      </c>
      <c r="EH22" s="123"/>
      <c r="EI22" s="302">
        <f>'[60]2. Distributional by deciles o'!$D$110</f>
        <v>218003907985.83078</v>
      </c>
      <c r="EJ22" s="302">
        <f>'[60]2. Distributional by deciles o'!$E$110</f>
        <v>216797616074.56622</v>
      </c>
      <c r="EK22" s="302">
        <f>'[60]2. Distributional by deciles o'!$F$110</f>
        <v>216186072929.36389</v>
      </c>
      <c r="EL22" s="302">
        <f>'[60]2. Distributional by deciles o'!$G$110</f>
        <v>216257704834.07629</v>
      </c>
      <c r="EM22" s="152" t="s">
        <v>113</v>
      </c>
      <c r="EN22" s="151">
        <f>'[60]2. Distributional by deciles o'!B128</f>
        <v>1423774808608.3093</v>
      </c>
      <c r="EO22" s="151">
        <f>'[60]2. Distributional by deciles o'!C128</f>
        <v>1438001409707.8591</v>
      </c>
      <c r="EP22" s="153">
        <f>(EO22/EN22-1)*100</f>
        <v>0.99921708219123939</v>
      </c>
      <c r="EQ22" s="151">
        <f>'[60]2. Distributional by deciles o'!$D$128</f>
        <v>1432429710777.875</v>
      </c>
      <c r="ER22" s="151">
        <f>'[60]2. Distributional by deciles o'!$E$128</f>
        <v>1427406570847.6853</v>
      </c>
      <c r="ES22" s="151">
        <f>'[62]2. Distributional by deciles o'!F128</f>
        <v>1424630688857.0713</v>
      </c>
      <c r="ET22" s="301">
        <f>'[60]2. Distributional by deciles o'!$G$128</f>
        <v>1424859015075.7683</v>
      </c>
      <c r="EU22" s="152" t="s">
        <v>113</v>
      </c>
      <c r="EV22" s="154">
        <f t="shared" si="25"/>
        <v>1.52979171701526</v>
      </c>
      <c r="EW22" s="154">
        <f t="shared" si="26"/>
        <v>0.9898484144814701</v>
      </c>
      <c r="EX22" s="174">
        <f>EW22-X22</f>
        <v>-7.2392091155241145E-3</v>
      </c>
      <c r="EY22" s="175">
        <f t="shared" si="11"/>
        <v>-1.1778498268764981E-2</v>
      </c>
      <c r="EZ22" s="144">
        <f t="shared" si="27"/>
        <v>0.17765199183533698</v>
      </c>
      <c r="FA22" s="176">
        <f>'[59]2. Distributional by deciles o'!F56</f>
        <v>0.99822348008164663</v>
      </c>
      <c r="FB22" s="155">
        <f>(EI22/$EA22-1) / (EQ22/$EN22-1)</f>
        <v>1.535945223440208</v>
      </c>
      <c r="FC22" s="155">
        <f>(EJ22/$EA22-1) / (ER22/$EN22-1)</f>
        <v>1.4708160116810363</v>
      </c>
      <c r="FD22" s="155">
        <f>(EK22/$EA22-1) / (ES22/$EN22-1)</f>
        <v>1.5310547278516744</v>
      </c>
      <c r="FE22" s="155">
        <f>(EL22/$EA22-1) / (ET22/$EN22-1)</f>
        <v>1.6441449445203096</v>
      </c>
      <c r="FF22" s="75">
        <f t="shared" ref="FF22:FH22" si="30">FB22-AD22</f>
        <v>2.6474983090121196E-3</v>
      </c>
      <c r="FG22" s="75">
        <f t="shared" si="30"/>
        <v>-5.7036947913029712E-2</v>
      </c>
      <c r="FH22" s="75">
        <f t="shared" si="30"/>
        <v>3.1596806494509577E-2</v>
      </c>
      <c r="FI22" s="75">
        <f>FE22-AG22</f>
        <v>1.0368000508433894E-3</v>
      </c>
      <c r="FJ22" s="1"/>
      <c r="FK22" s="1"/>
      <c r="FL22" s="1"/>
      <c r="FM22" s="1"/>
      <c r="FN22" s="1"/>
      <c r="FO22" s="1"/>
      <c r="FP22" s="1"/>
      <c r="FQ22" s="1"/>
    </row>
    <row r="23" spans="1:173" x14ac:dyDescent="0.3">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c r="ET23" s="1"/>
      <c r="EU23" s="1"/>
      <c r="EV23" s="1"/>
      <c r="EW23" s="1"/>
      <c r="EX23" s="1"/>
      <c r="EY23" s="1"/>
      <c r="EZ23" s="1"/>
      <c r="FA23" s="1"/>
      <c r="FB23" s="1"/>
      <c r="FC23" s="1"/>
      <c r="FD23" s="1"/>
      <c r="FE23" s="1"/>
      <c r="FF23" s="1"/>
      <c r="FG23" s="1"/>
      <c r="FH23" s="1"/>
      <c r="FI23" s="1"/>
      <c r="FJ23" s="1"/>
      <c r="FK23" s="1"/>
      <c r="FL23" s="1"/>
      <c r="FM23" s="1"/>
      <c r="FN23" s="1"/>
      <c r="FO23" s="1"/>
      <c r="FP23" s="1"/>
      <c r="FQ23" s="1"/>
    </row>
    <row r="24" spans="1:173" x14ac:dyDescent="0.3">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c r="EJ24" s="1"/>
      <c r="EK24" s="1"/>
      <c r="EL24" s="1"/>
      <c r="EM24" s="1"/>
      <c r="EN24" s="1"/>
      <c r="EO24" s="1"/>
      <c r="EP24" s="1"/>
      <c r="EQ24" s="1"/>
      <c r="ER24" s="1"/>
      <c r="ES24" s="1"/>
      <c r="ET24" s="1"/>
      <c r="EU24" s="1"/>
      <c r="EV24" s="1"/>
      <c r="EW24" s="1"/>
      <c r="EX24" s="1"/>
      <c r="EY24" s="1"/>
      <c r="EZ24" s="1"/>
      <c r="FA24" s="1"/>
      <c r="FB24" s="1"/>
      <c r="FC24" s="1"/>
      <c r="FD24" s="1"/>
      <c r="FE24" s="1"/>
      <c r="FF24" s="1"/>
      <c r="FG24" s="1"/>
      <c r="FH24" s="1"/>
      <c r="FI24" s="1"/>
      <c r="FJ24" s="1"/>
      <c r="FK24" s="1"/>
      <c r="FL24" s="1"/>
      <c r="FM24" s="1"/>
      <c r="FN24" s="1"/>
      <c r="FO24" s="1"/>
      <c r="FP24" s="1"/>
      <c r="FQ24" s="1"/>
    </row>
    <row r="25" spans="1:173" x14ac:dyDescent="0.3">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Q25" s="1"/>
    </row>
    <row r="26" spans="1:173" x14ac:dyDescent="0.3">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c r="ER26" s="1"/>
      <c r="ES26" s="1"/>
      <c r="ET26" s="1"/>
      <c r="EU26" s="1"/>
      <c r="EV26" s="1"/>
      <c r="EW26" s="1"/>
      <c r="EX26" s="1"/>
      <c r="EY26" s="1"/>
      <c r="EZ26" s="1"/>
      <c r="FA26" s="1"/>
      <c r="FB26" s="1"/>
      <c r="FC26" s="1"/>
      <c r="FD26" s="1"/>
      <c r="FE26" s="1"/>
      <c r="FF26" s="1"/>
      <c r="FG26" s="1"/>
      <c r="FH26" s="1"/>
      <c r="FI26" s="1"/>
      <c r="FJ26" s="1"/>
      <c r="FK26" s="1"/>
      <c r="FL26" s="1"/>
      <c r="FM26" s="1"/>
      <c r="FN26" s="1"/>
      <c r="FO26" s="1"/>
      <c r="FP26" s="1"/>
      <c r="FQ26" s="1"/>
    </row>
    <row r="27" spans="1:173" x14ac:dyDescent="0.3">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c r="CW27" s="1"/>
      <c r="CX27" s="1"/>
      <c r="CY27" s="1"/>
      <c r="CZ27" s="1"/>
      <c r="DA27" s="1"/>
      <c r="DB27" s="1"/>
      <c r="DC27" s="1"/>
      <c r="DD27" s="1"/>
      <c r="DE27" s="1"/>
      <c r="DF27" s="1"/>
      <c r="DG27" s="1"/>
      <c r="DH27" s="1"/>
      <c r="DI27" s="1"/>
      <c r="DJ27" s="1"/>
      <c r="DK27" s="1"/>
      <c r="DL27" s="1"/>
      <c r="DM27" s="1"/>
      <c r="DN27" s="1"/>
      <c r="DO27" s="1"/>
      <c r="DP27" s="1"/>
      <c r="DQ27" s="1"/>
      <c r="DR27" s="1"/>
      <c r="DS27" s="1"/>
      <c r="DT27" s="1"/>
      <c r="DU27" s="1"/>
      <c r="DV27" s="1"/>
      <c r="DW27" s="1"/>
      <c r="DX27" s="1"/>
      <c r="DY27" s="1"/>
      <c r="DZ27" s="1"/>
      <c r="EA27" s="1"/>
      <c r="EB27" s="1"/>
      <c r="EC27" s="1"/>
      <c r="ED27" s="1"/>
      <c r="EE27" s="1"/>
      <c r="EF27" s="1"/>
      <c r="EG27" s="1"/>
      <c r="EH27" s="1"/>
      <c r="EI27" s="1"/>
      <c r="EJ27" s="1"/>
      <c r="EK27" s="1"/>
      <c r="EL27" s="1"/>
      <c r="EM27" s="1"/>
      <c r="EN27" s="1"/>
      <c r="EO27" s="1"/>
      <c r="EP27" s="1"/>
      <c r="EQ27" s="1"/>
      <c r="ER27" s="1"/>
      <c r="ES27" s="1"/>
      <c r="ET27" s="1"/>
      <c r="EU27" s="1"/>
      <c r="EV27" s="1"/>
      <c r="EW27" s="1"/>
      <c r="EX27" s="1"/>
      <c r="EY27" s="1"/>
      <c r="EZ27" s="1"/>
      <c r="FA27" s="1"/>
      <c r="FB27" s="1"/>
      <c r="FC27" s="1"/>
      <c r="FD27" s="1"/>
      <c r="FE27" s="1"/>
      <c r="FF27" s="1"/>
      <c r="FG27" s="1"/>
      <c r="FH27" s="1"/>
      <c r="FI27" s="1"/>
      <c r="FJ27" s="1"/>
      <c r="FK27" s="1"/>
      <c r="FL27" s="1"/>
      <c r="FM27" s="1"/>
      <c r="FN27" s="1"/>
      <c r="FO27" s="1"/>
      <c r="FP27" s="1"/>
      <c r="FQ27" s="1"/>
    </row>
  </sheetData>
  <pageMargins left="0.7" right="0.7" top="0.75" bottom="0.75" header="0.3" footer="0.3"/>
  <pageSetup paperSize="9" orientation="portrait" r:id="rId1"/>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DB2C3B-8A8E-4DC6-BDF1-1CFF4495EF78}">
  <dimension ref="A1:BN121"/>
  <sheetViews>
    <sheetView zoomScale="55" zoomScaleNormal="55" workbookViewId="0">
      <selection activeCell="O4" sqref="O4"/>
    </sheetView>
  </sheetViews>
  <sheetFormatPr baseColWidth="10" defaultColWidth="8.88671875" defaultRowHeight="14.4" x14ac:dyDescent="0.3"/>
  <cols>
    <col min="1" max="1" width="4.109375" customWidth="1"/>
    <col min="3" max="3" width="17.33203125" customWidth="1"/>
    <col min="4" max="4" width="15.6640625" customWidth="1"/>
    <col min="5" max="5" width="16.109375" customWidth="1"/>
    <col min="6" max="6" width="15.6640625" customWidth="1"/>
    <col min="7" max="7" width="16" customWidth="1"/>
    <col min="8" max="8" width="19" customWidth="1"/>
    <col min="9" max="12" width="17" customWidth="1"/>
    <col min="13" max="13" width="17.33203125" customWidth="1"/>
    <col min="14" max="17" width="16.33203125" customWidth="1"/>
    <col min="18" max="18" width="16.109375" customWidth="1"/>
    <col min="19" max="19" width="17" customWidth="1"/>
    <col min="20" max="26" width="16.33203125" customWidth="1"/>
    <col min="27" max="33" width="16.109375" customWidth="1"/>
    <col min="34" max="34" width="14.88671875" customWidth="1"/>
    <col min="35" max="36" width="12.6640625" customWidth="1"/>
    <col min="37" max="37" width="17.33203125" customWidth="1"/>
    <col min="38" max="38" width="12.109375" customWidth="1"/>
    <col min="39" max="39" width="9.6640625" customWidth="1"/>
    <col min="40" max="42" width="19" customWidth="1"/>
    <col min="43" max="50" width="9.6640625" customWidth="1"/>
    <col min="51" max="59" width="0.5546875" customWidth="1"/>
  </cols>
  <sheetData>
    <row r="1" spans="1:66" ht="15" thickBot="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row>
    <row r="2" spans="1:66" ht="18" customHeight="1" thickBot="1" x14ac:dyDescent="0.35">
      <c r="A2" s="1"/>
      <c r="B2" s="2" t="s">
        <v>654</v>
      </c>
      <c r="C2" s="3"/>
      <c r="D2" s="3"/>
      <c r="E2" s="3"/>
      <c r="F2" s="3"/>
      <c r="G2" s="3"/>
      <c r="H2" s="3"/>
      <c r="I2" s="3"/>
      <c r="J2" s="3"/>
      <c r="K2" s="3"/>
      <c r="L2" s="3"/>
      <c r="M2" s="4"/>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row>
    <row r="3" spans="1:66" ht="18" customHeight="1" x14ac:dyDescent="0.3">
      <c r="A3" s="1"/>
      <c r="B3" s="5" t="s">
        <v>115</v>
      </c>
      <c r="C3" s="6"/>
      <c r="D3" s="6"/>
      <c r="E3" s="6"/>
      <c r="F3" s="6"/>
      <c r="G3" s="6"/>
      <c r="H3" s="6"/>
      <c r="I3" s="6"/>
      <c r="J3" s="6"/>
      <c r="K3" s="6"/>
      <c r="L3" s="6"/>
      <c r="M3" s="7"/>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row>
    <row r="4" spans="1:66" ht="18" customHeight="1" x14ac:dyDescent="0.3">
      <c r="A4" s="1"/>
      <c r="B4" s="99" t="s">
        <v>1</v>
      </c>
      <c r="C4" s="296"/>
      <c r="D4" s="296"/>
      <c r="E4" s="296"/>
      <c r="F4" s="296"/>
      <c r="G4" s="296"/>
      <c r="H4" s="296"/>
      <c r="I4" s="296"/>
      <c r="J4" s="296"/>
      <c r="K4" s="296"/>
      <c r="L4" s="296"/>
      <c r="M4" s="100"/>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row>
    <row r="5" spans="1:66" ht="14.25" customHeight="1" x14ac:dyDescent="0.3">
      <c r="A5" s="1"/>
      <c r="B5" s="293" t="s">
        <v>116</v>
      </c>
      <c r="C5" s="294"/>
      <c r="D5" s="294"/>
      <c r="E5" s="294"/>
      <c r="F5" s="294"/>
      <c r="G5" s="294"/>
      <c r="H5" s="294"/>
      <c r="I5" s="294"/>
      <c r="J5" s="294"/>
      <c r="K5" s="294"/>
      <c r="L5" s="294"/>
      <c r="M5" s="295"/>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row>
    <row r="6" spans="1:66" ht="12.6" customHeight="1" x14ac:dyDescent="0.3">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row>
    <row r="7" spans="1:66" ht="12.6" customHeight="1" x14ac:dyDescent="0.3">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row>
    <row r="8" spans="1:66" ht="17.399999999999999" customHeight="1" x14ac:dyDescent="0.3">
      <c r="A8" s="1"/>
      <c r="B8" s="11" t="s">
        <v>2</v>
      </c>
      <c r="C8" s="12" t="s">
        <v>223</v>
      </c>
      <c r="D8" s="12" t="s">
        <v>224</v>
      </c>
      <c r="E8" s="385">
        <v>45730</v>
      </c>
      <c r="F8" s="125"/>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row>
    <row r="9" spans="1:66" ht="10.35" customHeight="1" x14ac:dyDescent="0.3">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row>
    <row r="10" spans="1:66" x14ac:dyDescent="0.3">
      <c r="A10" s="1"/>
      <c r="B10" s="1"/>
      <c r="C10" s="13" t="s">
        <v>6</v>
      </c>
      <c r="D10" s="14"/>
      <c r="E10" s="14"/>
      <c r="F10" s="14"/>
      <c r="G10" s="14"/>
      <c r="H10" s="14"/>
      <c r="I10" s="14"/>
      <c r="J10" s="14"/>
      <c r="K10" s="14"/>
      <c r="L10" s="14"/>
      <c r="M10" s="14"/>
      <c r="N10" s="14"/>
      <c r="O10" s="14"/>
      <c r="P10" s="15" t="s">
        <v>596</v>
      </c>
      <c r="Q10" s="16"/>
      <c r="R10" s="16"/>
      <c r="S10" s="16"/>
      <c r="T10" s="16"/>
      <c r="U10" s="16"/>
      <c r="V10" s="16"/>
      <c r="W10" s="16"/>
      <c r="X10" s="13"/>
      <c r="Y10" s="17"/>
      <c r="Z10" s="17"/>
      <c r="AA10" s="17"/>
      <c r="AB10" s="17"/>
      <c r="AC10" s="17"/>
      <c r="AD10" s="17"/>
      <c r="AE10" s="19"/>
      <c r="AF10" s="16"/>
      <c r="AG10" s="16"/>
      <c r="AH10" s="16"/>
      <c r="AI10" s="16"/>
      <c r="AJ10" s="16"/>
      <c r="AK10" s="1"/>
      <c r="AL10" s="1"/>
      <c r="AM10" s="99" t="s">
        <v>562</v>
      </c>
      <c r="AN10" s="9"/>
      <c r="AO10" s="9"/>
      <c r="AP10" s="9"/>
      <c r="AQ10" s="9"/>
      <c r="AR10" s="9"/>
      <c r="AS10" s="10"/>
      <c r="AT10" s="1"/>
      <c r="AU10" s="1"/>
      <c r="AV10" s="1"/>
      <c r="AW10" s="1"/>
      <c r="AX10" s="1"/>
      <c r="AY10" s="1"/>
      <c r="AZ10" s="1"/>
      <c r="BA10" s="1"/>
      <c r="BB10" s="1"/>
      <c r="BC10" s="1"/>
      <c r="BD10" s="1"/>
      <c r="BE10" s="1"/>
      <c r="BF10" s="1"/>
      <c r="BG10" s="1"/>
      <c r="BH10" s="1"/>
      <c r="BI10" s="1"/>
      <c r="BJ10" s="1"/>
      <c r="BK10" s="1"/>
      <c r="BL10" s="1"/>
      <c r="BM10" s="1"/>
      <c r="BN10" s="1"/>
    </row>
    <row r="11" spans="1:66" ht="78.75" customHeight="1" x14ac:dyDescent="0.3">
      <c r="A11" s="1"/>
      <c r="B11" s="25" t="s">
        <v>20</v>
      </c>
      <c r="C11" s="26" t="s">
        <v>119</v>
      </c>
      <c r="D11" s="27" t="s">
        <v>120</v>
      </c>
      <c r="E11" s="26" t="s">
        <v>121</v>
      </c>
      <c r="F11" s="27" t="s">
        <v>122</v>
      </c>
      <c r="G11" s="27" t="s">
        <v>123</v>
      </c>
      <c r="H11" s="27" t="s">
        <v>124</v>
      </c>
      <c r="I11" s="27" t="s">
        <v>125</v>
      </c>
      <c r="J11" s="27" t="s">
        <v>126</v>
      </c>
      <c r="K11" s="27" t="s">
        <v>127</v>
      </c>
      <c r="L11" s="27"/>
      <c r="M11" s="27"/>
      <c r="N11" s="27"/>
      <c r="O11" s="27"/>
      <c r="P11" s="26" t="s">
        <v>119</v>
      </c>
      <c r="Q11" s="27" t="s">
        <v>120</v>
      </c>
      <c r="R11" s="27" t="s">
        <v>121</v>
      </c>
      <c r="S11" s="27" t="s">
        <v>122</v>
      </c>
      <c r="T11" s="27" t="s">
        <v>123</v>
      </c>
      <c r="U11" s="27" t="s">
        <v>130</v>
      </c>
      <c r="V11" s="27"/>
      <c r="W11" s="27"/>
      <c r="X11" s="27"/>
      <c r="Y11" s="27"/>
      <c r="Z11" s="27"/>
      <c r="AA11" s="27"/>
      <c r="AB11" s="27"/>
      <c r="AC11" s="27"/>
      <c r="AD11" s="27"/>
      <c r="AE11" s="27"/>
      <c r="AF11" s="27"/>
      <c r="AG11" s="27"/>
      <c r="AH11" s="27"/>
      <c r="AI11" s="27"/>
      <c r="AJ11" s="27"/>
      <c r="AK11" s="27" t="s">
        <v>150</v>
      </c>
      <c r="AL11" s="1"/>
      <c r="AM11" s="522" t="s">
        <v>563</v>
      </c>
      <c r="AN11" s="523" t="s">
        <v>568</v>
      </c>
      <c r="AO11" s="523" t="s">
        <v>569</v>
      </c>
      <c r="AP11" s="523" t="s">
        <v>570</v>
      </c>
      <c r="AQ11" s="523" t="s">
        <v>564</v>
      </c>
      <c r="AR11" s="523" t="s">
        <v>565</v>
      </c>
      <c r="AS11" s="523" t="s">
        <v>566</v>
      </c>
      <c r="AT11" s="1"/>
      <c r="AU11" s="1"/>
      <c r="AV11" s="1"/>
      <c r="AW11" s="1"/>
      <c r="AX11" s="1"/>
      <c r="AY11" s="1"/>
      <c r="AZ11" s="1"/>
      <c r="BA11" s="1"/>
      <c r="BB11" s="1"/>
      <c r="BC11" s="1"/>
      <c r="BD11" s="1"/>
      <c r="BE11" s="1"/>
      <c r="BF11" s="1"/>
      <c r="BG11" s="1"/>
      <c r="BH11" s="1"/>
      <c r="BI11" s="1"/>
      <c r="BJ11" s="1"/>
      <c r="BK11" s="1"/>
      <c r="BL11" s="1"/>
      <c r="BM11" s="1"/>
      <c r="BN11" s="1"/>
    </row>
    <row r="12" spans="1:66" x14ac:dyDescent="0.3">
      <c r="A12" s="1"/>
      <c r="B12" s="28">
        <v>1</v>
      </c>
      <c r="C12" s="129">
        <f>'[63]2. Distributional by deciles o'!B100</f>
        <v>995052913.55880141</v>
      </c>
      <c r="D12" s="129">
        <f>'[63]2. Distributional by deciles o'!C100</f>
        <v>966386450.15639973</v>
      </c>
      <c r="E12" s="129">
        <f>'[63]2. Distributional by deciles o'!D100</f>
        <v>1007483836.1868002</v>
      </c>
      <c r="F12" s="129">
        <f>'[63]2. Distributional by deciles o'!E100</f>
        <v>1052418978.8952012</v>
      </c>
      <c r="G12" s="129">
        <f>'[63]2. Distributional by deciles o'!F100</f>
        <v>1096445938.5216005</v>
      </c>
      <c r="H12" s="129">
        <f>'[63]2. Distributional by deciles o'!H100</f>
        <v>1091923230.7968013</v>
      </c>
      <c r="I12" s="129">
        <f>'[63]2. Distributional by deciles o'!I100</f>
        <v>1091758640.6640012</v>
      </c>
      <c r="J12" s="129">
        <f>'[63]2. Distributional by deciles o'!J100</f>
        <v>1091758640.6640012</v>
      </c>
      <c r="K12" s="129">
        <f>'[63]2. Distributional by deciles o'!K100</f>
        <v>1091055860.2440012</v>
      </c>
      <c r="L12" s="139"/>
      <c r="M12" s="139"/>
      <c r="N12" s="139"/>
      <c r="O12" s="139"/>
      <c r="P12" s="129">
        <f>'[63]2. Distributional by deciles o'!B118</f>
        <v>14143537526.668808</v>
      </c>
      <c r="Q12" s="129">
        <f>'[63]2. Distributional by deciles o'!C118</f>
        <v>13939107077.037605</v>
      </c>
      <c r="R12" s="129">
        <f>'[63]2. Distributional by deciles o'!D118</f>
        <v>14313305279.348408</v>
      </c>
      <c r="S12" s="129">
        <f>'[63]2. Distributional by deciles o'!E118</f>
        <v>14872900370.217613</v>
      </c>
      <c r="T12" s="129">
        <f>'[63]2. Distributional by deciles o'!F118</f>
        <v>15171295093.150814</v>
      </c>
      <c r="U12" s="209">
        <f t="shared" ref="U12:U22" si="0">T12/P12-1</f>
        <v>7.266623109982806E-2</v>
      </c>
      <c r="V12" s="139"/>
      <c r="W12" s="209"/>
      <c r="X12" s="132"/>
      <c r="Y12" s="132"/>
      <c r="Z12" s="132"/>
      <c r="AA12" s="132"/>
      <c r="AB12" s="132"/>
      <c r="AC12" s="132"/>
      <c r="AD12" s="132"/>
      <c r="AE12" s="139"/>
      <c r="AF12" s="139"/>
      <c r="AG12" s="139"/>
      <c r="AH12" s="139"/>
      <c r="AI12" s="139"/>
      <c r="AJ12" s="139"/>
      <c r="AK12" s="408">
        <f>'[63]2. Distributional by deciles o'!L100</f>
        <v>1096558695.7272005</v>
      </c>
      <c r="AL12" s="1"/>
      <c r="AM12" s="32" cm="1">
        <f t="array" aca="1" ref="AM12" ca="1">INDIRECT("'1"&amp;$C$8&amp;"'!W12")</f>
        <v>0.90278629537027755</v>
      </c>
      <c r="AN12" s="524">
        <f t="shared" ref="AN12:AN21" ca="1" si="1">C12+C12*U12*AM12</f>
        <v>1060330451.9834591</v>
      </c>
      <c r="AO12" s="524">
        <f t="shared" ref="AO12:AO21" ca="1" si="2">C12+C12*U$22*AM12</f>
        <v>1071544682.0278292</v>
      </c>
      <c r="AP12" s="524">
        <f t="shared" ref="AP12:AP21" ca="1" si="3">C12+C12*AR12*AM12</f>
        <v>1060330451.9834591</v>
      </c>
      <c r="AQ12" s="525">
        <f t="shared" ref="AQ12:AQ21" si="4">U12</f>
        <v>7.266623109982806E-2</v>
      </c>
      <c r="AR12" s="344">
        <f>AQ12</f>
        <v>7.266623109982806E-2</v>
      </c>
      <c r="AS12" s="41">
        <f>P12/P$22</f>
        <v>1.0779693985764326E-2</v>
      </c>
      <c r="AT12" s="1"/>
      <c r="AU12" s="1"/>
      <c r="AV12" s="1"/>
      <c r="AW12" s="1"/>
      <c r="AX12" s="1"/>
      <c r="AY12" s="1"/>
      <c r="AZ12" s="1"/>
      <c r="BA12" s="1"/>
      <c r="BB12" s="1"/>
      <c r="BC12" s="1"/>
      <c r="BD12" s="1"/>
      <c r="BE12" s="1"/>
      <c r="BF12" s="1"/>
      <c r="BG12" s="1"/>
      <c r="BH12" s="1"/>
      <c r="BI12" s="1"/>
      <c r="BJ12" s="1"/>
      <c r="BK12" s="1"/>
      <c r="BL12" s="1"/>
      <c r="BM12" s="1"/>
      <c r="BN12" s="1"/>
    </row>
    <row r="13" spans="1:66" x14ac:dyDescent="0.3">
      <c r="A13" s="1"/>
      <c r="B13" s="28">
        <v>2</v>
      </c>
      <c r="C13" s="129">
        <f>'[63]2. Distributional by deciles o'!B101</f>
        <v>3167481368.9747996</v>
      </c>
      <c r="D13" s="129">
        <f>'[63]2. Distributional by deciles o'!C101</f>
        <v>3081810375.4752002</v>
      </c>
      <c r="E13" s="129">
        <f>'[63]2. Distributional by deciles o'!D101</f>
        <v>3206658419.7503996</v>
      </c>
      <c r="F13" s="129">
        <f>'[63]2. Distributional by deciles o'!E101</f>
        <v>3381993462.4055996</v>
      </c>
      <c r="G13" s="129">
        <f>'[63]2. Distributional by deciles o'!F101</f>
        <v>3507683702.0148025</v>
      </c>
      <c r="H13" s="129">
        <f>'[63]2. Distributional by deciles o'!H101</f>
        <v>3531674331.1380014</v>
      </c>
      <c r="I13" s="129">
        <f>'[63]2. Distributional by deciles o'!I101</f>
        <v>3487289349.0744009</v>
      </c>
      <c r="J13" s="129">
        <f>'[63]2. Distributional by deciles o'!J101</f>
        <v>3482360343.0576</v>
      </c>
      <c r="K13" s="129">
        <f>'[63]2. Distributional by deciles o'!K101</f>
        <v>3475229716.8504009</v>
      </c>
      <c r="L13" s="139"/>
      <c r="M13" s="139"/>
      <c r="N13" s="139"/>
      <c r="O13" s="139"/>
      <c r="P13" s="129">
        <f>'[63]2. Distributional by deciles o'!B119</f>
        <v>47300676932.192444</v>
      </c>
      <c r="Q13" s="129">
        <f>'[63]2. Distributional by deciles o'!C119</f>
        <v>46655612152.315193</v>
      </c>
      <c r="R13" s="129">
        <f>'[63]2. Distributional by deciles o'!D119</f>
        <v>47920265143.651215</v>
      </c>
      <c r="S13" s="129">
        <f>'[63]2. Distributional by deciles o'!E119</f>
        <v>49713616496.188797</v>
      </c>
      <c r="T13" s="129">
        <f>'[63]2. Distributional by deciles o'!F119</f>
        <v>50732612078.811676</v>
      </c>
      <c r="U13" s="209">
        <f t="shared" si="0"/>
        <v>7.2555730048833311E-2</v>
      </c>
      <c r="V13" s="139"/>
      <c r="W13" s="209"/>
      <c r="X13" s="132"/>
      <c r="Y13" s="132"/>
      <c r="Z13" s="132"/>
      <c r="AA13" s="132"/>
      <c r="AB13" s="132"/>
      <c r="AC13" s="132"/>
      <c r="AD13" s="132"/>
      <c r="AE13" s="139"/>
      <c r="AF13" s="139"/>
      <c r="AG13" s="139"/>
      <c r="AH13" s="139"/>
      <c r="AI13" s="139"/>
      <c r="AJ13" s="139"/>
      <c r="AK13" s="408">
        <f>'[63]2. Distributional by deciles o'!L101</f>
        <v>3528111130.8696032</v>
      </c>
      <c r="AL13" s="1"/>
      <c r="AM13" s="32" cm="1">
        <f t="array" aca="1" ref="AM13" ca="1">INDIRECT("'1"&amp;$C$8&amp;"'!W13")</f>
        <v>1.1801462501452338</v>
      </c>
      <c r="AN13" s="524">
        <f t="shared" ca="1" si="1"/>
        <v>3438701309.3332992</v>
      </c>
      <c r="AO13" s="524">
        <f t="shared" ca="1" si="2"/>
        <v>3485779045.386363</v>
      </c>
      <c r="AP13" s="524">
        <f t="shared" ca="1" si="3"/>
        <v>3438701309.3332992</v>
      </c>
      <c r="AQ13" s="525">
        <f t="shared" si="4"/>
        <v>7.2555730048833311E-2</v>
      </c>
      <c r="AR13" s="344">
        <f t="shared" ref="AR13:AR18" si="5">AQ13</f>
        <v>7.2555730048833311E-2</v>
      </c>
      <c r="AS13" s="41">
        <f t="shared" ref="AS13:AS21" si="6">P13/P$22</f>
        <v>3.6050869288330629E-2</v>
      </c>
      <c r="AT13" s="1"/>
      <c r="AU13" s="1"/>
      <c r="AV13" s="1"/>
      <c r="AW13" s="1"/>
      <c r="AX13" s="1"/>
      <c r="AY13" s="1"/>
      <c r="AZ13" s="1"/>
      <c r="BA13" s="1"/>
      <c r="BB13" s="1"/>
      <c r="BC13" s="1"/>
      <c r="BD13" s="1"/>
      <c r="BE13" s="1"/>
      <c r="BF13" s="1"/>
      <c r="BG13" s="1"/>
      <c r="BH13" s="1"/>
      <c r="BI13" s="1"/>
      <c r="BJ13" s="1"/>
      <c r="BK13" s="1"/>
      <c r="BL13" s="1"/>
      <c r="BM13" s="1"/>
      <c r="BN13" s="1"/>
    </row>
    <row r="14" spans="1:66" x14ac:dyDescent="0.3">
      <c r="A14" s="1"/>
      <c r="B14" s="28">
        <v>3</v>
      </c>
      <c r="C14" s="129">
        <f>'[63]2. Distributional by deciles o'!B102</f>
        <v>5154027962.5787926</v>
      </c>
      <c r="D14" s="129">
        <f>'[63]2. Distributional by deciles o'!C102</f>
        <v>4980930219.2999964</v>
      </c>
      <c r="E14" s="129">
        <f>'[63]2. Distributional by deciles o'!D102</f>
        <v>5140261546.4412088</v>
      </c>
      <c r="F14" s="129">
        <f>'[63]2. Distributional by deciles o'!E102</f>
        <v>5488519269.4380045</v>
      </c>
      <c r="G14" s="129">
        <f>'[63]2. Distributional by deciles o'!F102</f>
        <v>5623295805.4752026</v>
      </c>
      <c r="H14" s="129">
        <f>'[63]2. Distributional by deciles o'!H102</f>
        <v>5926347082.6919966</v>
      </c>
      <c r="I14" s="129">
        <f>'[63]2. Distributional by deciles o'!I102</f>
        <v>5482844672.7671986</v>
      </c>
      <c r="J14" s="129">
        <f>'[63]2. Distributional by deciles o'!J102</f>
        <v>5458905996.3323984</v>
      </c>
      <c r="K14" s="129">
        <f>'[63]2. Distributional by deciles o'!K102</f>
        <v>5330976132.9455986</v>
      </c>
      <c r="L14" s="139"/>
      <c r="M14" s="139"/>
      <c r="N14" s="139"/>
      <c r="O14" s="139"/>
      <c r="P14" s="129">
        <f>'[63]2. Distributional by deciles o'!B120</f>
        <v>72017394376.222778</v>
      </c>
      <c r="Q14" s="129">
        <f>'[63]2. Distributional by deciles o'!C120</f>
        <v>71141594662.808319</v>
      </c>
      <c r="R14" s="129">
        <f>'[63]2. Distributional by deciles o'!D120</f>
        <v>72933093120.355347</v>
      </c>
      <c r="S14" s="129">
        <f>'[63]2. Distributional by deciles o'!E120</f>
        <v>75458338460.337555</v>
      </c>
      <c r="T14" s="129">
        <f>'[63]2. Distributional by deciles o'!F120</f>
        <v>77287794218.014832</v>
      </c>
      <c r="U14" s="209">
        <f t="shared" si="0"/>
        <v>7.3182317791993468E-2</v>
      </c>
      <c r="V14" s="139"/>
      <c r="W14" s="209"/>
      <c r="X14" s="132"/>
      <c r="Y14" s="132"/>
      <c r="Z14" s="132"/>
      <c r="AA14" s="132"/>
      <c r="AB14" s="132"/>
      <c r="AC14" s="132"/>
      <c r="AD14" s="132"/>
      <c r="AE14" s="139"/>
      <c r="AF14" s="139"/>
      <c r="AG14" s="139"/>
      <c r="AH14" s="139"/>
      <c r="AI14" s="139"/>
      <c r="AJ14" s="139"/>
      <c r="AK14" s="408">
        <f>'[63]2. Distributional by deciles o'!L102</f>
        <v>5924076453.8088007</v>
      </c>
      <c r="AL14" s="1"/>
      <c r="AM14" s="32" cm="1">
        <f t="array" aca="1" ref="AM14" ca="1">INDIRECT("'1"&amp;$C$8&amp;"'!W14")</f>
        <v>1.7330708640206507</v>
      </c>
      <c r="AN14" s="524">
        <f t="shared" ca="1" si="1"/>
        <v>5807714064.6905994</v>
      </c>
      <c r="AO14" s="524">
        <f t="shared" ca="1" si="2"/>
        <v>5914611042.7559471</v>
      </c>
      <c r="AP14" s="524">
        <f t="shared" ca="1" si="3"/>
        <v>5807714064.6905994</v>
      </c>
      <c r="AQ14" s="525">
        <f t="shared" si="4"/>
        <v>7.3182317791993468E-2</v>
      </c>
      <c r="AR14" s="344">
        <f t="shared" si="5"/>
        <v>7.3182317791993468E-2</v>
      </c>
      <c r="AS14" s="41">
        <f t="shared" si="6"/>
        <v>5.4889059513149409E-2</v>
      </c>
      <c r="AT14" s="1"/>
      <c r="AU14" s="1"/>
      <c r="AV14" s="1"/>
      <c r="AW14" s="1"/>
      <c r="AX14" s="1"/>
      <c r="AY14" s="1"/>
      <c r="AZ14" s="1"/>
      <c r="BA14" s="1"/>
      <c r="BB14" s="1"/>
      <c r="BC14" s="1"/>
      <c r="BD14" s="1"/>
      <c r="BE14" s="1"/>
      <c r="BF14" s="1"/>
      <c r="BG14" s="1"/>
      <c r="BH14" s="1"/>
      <c r="BI14" s="1"/>
      <c r="BJ14" s="1"/>
      <c r="BK14" s="1"/>
      <c r="BL14" s="1"/>
      <c r="BM14" s="1"/>
      <c r="BN14" s="1"/>
    </row>
    <row r="15" spans="1:66" x14ac:dyDescent="0.3">
      <c r="A15" s="1"/>
      <c r="B15" s="28">
        <v>4</v>
      </c>
      <c r="C15" s="129">
        <f>'[63]2. Distributional by deciles o'!B103</f>
        <v>7932178359.0516224</v>
      </c>
      <c r="D15" s="129">
        <f>'[63]2. Distributional by deciles o'!C103</f>
        <v>7674378095.3315983</v>
      </c>
      <c r="E15" s="129">
        <f>'[63]2. Distributional by deciles o'!D103</f>
        <v>7969925404.7268181</v>
      </c>
      <c r="F15" s="129">
        <f>'[63]2. Distributional by deciles o'!E103</f>
        <v>8410516933.5011902</v>
      </c>
      <c r="G15" s="129">
        <f>'[63]2. Distributional by deciles o'!F103</f>
        <v>8645857490.4335842</v>
      </c>
      <c r="H15" s="129">
        <f>'[63]2. Distributional by deciles o'!H103</f>
        <v>8986154947.1088028</v>
      </c>
      <c r="I15" s="129">
        <f>'[63]2. Distributional by deciles o'!I103</f>
        <v>8662220547.2532215</v>
      </c>
      <c r="J15" s="129">
        <f>'[63]2. Distributional by deciles o'!J103</f>
        <v>8593317234.6108246</v>
      </c>
      <c r="K15" s="129">
        <f>'[63]2. Distributional by deciles o'!K103</f>
        <v>8337477180.712822</v>
      </c>
      <c r="L15" s="139"/>
      <c r="M15" s="139"/>
      <c r="N15" s="139"/>
      <c r="O15" s="139"/>
      <c r="P15" s="129">
        <f>'[63]2. Distributional by deciles o'!B121</f>
        <v>87556740615.014618</v>
      </c>
      <c r="Q15" s="129">
        <f>'[63]2. Distributional by deciles o'!C121</f>
        <v>86233749092.780441</v>
      </c>
      <c r="R15" s="129">
        <f>'[63]2. Distributional by deciles o'!D121</f>
        <v>88747592144.664001</v>
      </c>
      <c r="S15" s="129">
        <f>'[63]2. Distributional by deciles o'!E121</f>
        <v>91839148578.638397</v>
      </c>
      <c r="T15" s="129">
        <f>'[63]2. Distributional by deciles o'!F121</f>
        <v>94535365061.636322</v>
      </c>
      <c r="U15" s="209">
        <f t="shared" si="0"/>
        <v>7.970402275830013E-2</v>
      </c>
      <c r="V15" s="139"/>
      <c r="W15" s="209"/>
      <c r="X15" s="132"/>
      <c r="Y15" s="132"/>
      <c r="Z15" s="132"/>
      <c r="AA15" s="132"/>
      <c r="AB15" s="132"/>
      <c r="AC15" s="132"/>
      <c r="AD15" s="132"/>
      <c r="AE15" s="139"/>
      <c r="AF15" s="139"/>
      <c r="AG15" s="139"/>
      <c r="AH15" s="139"/>
      <c r="AI15" s="139"/>
      <c r="AJ15" s="139"/>
      <c r="AK15" s="408">
        <f>'[63]2. Distributional by deciles o'!L103</f>
        <v>8812348751.4755936</v>
      </c>
      <c r="AL15" s="1"/>
      <c r="AM15" s="32" cm="1">
        <f t="array" aca="1" ref="AM15" ca="1">INDIRECT("'1"&amp;$C$8&amp;"'!W15")</f>
        <v>1.6401093001349627</v>
      </c>
      <c r="AN15" s="524">
        <f t="shared" ca="1" si="1"/>
        <v>8969098961.5985756</v>
      </c>
      <c r="AO15" s="524">
        <f t="shared" ca="1" si="2"/>
        <v>9039946397.5584679</v>
      </c>
      <c r="AP15" s="524">
        <f t="shared" ca="1" si="3"/>
        <v>8969098961.5985756</v>
      </c>
      <c r="AQ15" s="525">
        <f t="shared" si="4"/>
        <v>7.970402275830013E-2</v>
      </c>
      <c r="AR15" s="344">
        <f t="shared" si="5"/>
        <v>7.970402275830013E-2</v>
      </c>
      <c r="AS15" s="41">
        <f t="shared" si="6"/>
        <v>6.6732588536716611E-2</v>
      </c>
      <c r="AT15" s="1"/>
      <c r="AU15" s="1"/>
      <c r="AV15" s="1"/>
      <c r="AW15" s="1"/>
      <c r="AX15" s="1"/>
      <c r="AY15" s="1"/>
      <c r="AZ15" s="1"/>
      <c r="BA15" s="1"/>
      <c r="BB15" s="1"/>
      <c r="BC15" s="1"/>
      <c r="BD15" s="1"/>
      <c r="BE15" s="1"/>
      <c r="BF15" s="1"/>
      <c r="BG15" s="1"/>
      <c r="BH15" s="1"/>
      <c r="BI15" s="1"/>
      <c r="BJ15" s="1"/>
      <c r="BK15" s="1"/>
      <c r="BL15" s="1"/>
      <c r="BM15" s="1"/>
      <c r="BN15" s="1"/>
    </row>
    <row r="16" spans="1:66" x14ac:dyDescent="0.3">
      <c r="A16" s="1"/>
      <c r="B16" s="28">
        <v>5</v>
      </c>
      <c r="C16" s="129">
        <f>'[63]2. Distributional by deciles o'!B104</f>
        <v>10251444720.508814</v>
      </c>
      <c r="D16" s="129">
        <f>'[63]2. Distributional by deciles o'!C104</f>
        <v>9912073394.0760193</v>
      </c>
      <c r="E16" s="129">
        <f>'[63]2. Distributional by deciles o'!D104</f>
        <v>10320592350.335999</v>
      </c>
      <c r="F16" s="129">
        <f>'[63]2. Distributional by deciles o'!E104</f>
        <v>10867819033.230007</v>
      </c>
      <c r="G16" s="129">
        <f>'[63]2. Distributional by deciles o'!F104</f>
        <v>11090557669.167599</v>
      </c>
      <c r="H16" s="129">
        <f>'[63]2. Distributional by deciles o'!H104</f>
        <v>11888816393.889618</v>
      </c>
      <c r="I16" s="129">
        <f>'[63]2. Distributional by deciles o'!I104</f>
        <v>11083067802.094799</v>
      </c>
      <c r="J16" s="129">
        <f>'[63]2. Distributional by deciles o'!J104</f>
        <v>11002648585.832396</v>
      </c>
      <c r="K16" s="129">
        <f>'[63]2. Distributional by deciles o'!K104</f>
        <v>10775710360.253994</v>
      </c>
      <c r="L16" s="139"/>
      <c r="M16" s="139"/>
      <c r="N16" s="139"/>
      <c r="O16" s="139"/>
      <c r="P16" s="129">
        <f>'[63]2. Distributional by deciles o'!B122</f>
        <v>104616534707.35791</v>
      </c>
      <c r="Q16" s="129">
        <f>'[63]2. Distributional by deciles o'!C122</f>
        <v>102944943781.33557</v>
      </c>
      <c r="R16" s="129">
        <f>'[63]2. Distributional by deciles o'!D122</f>
        <v>106063282088.69894</v>
      </c>
      <c r="S16" s="129">
        <f>'[63]2. Distributional by deciles o'!E122</f>
        <v>109922993592.44638</v>
      </c>
      <c r="T16" s="129">
        <f>'[63]2. Distributional by deciles o'!F122</f>
        <v>113412826370.61984</v>
      </c>
      <c r="U16" s="209">
        <f t="shared" si="0"/>
        <v>8.4081275372651643E-2</v>
      </c>
      <c r="V16" s="139"/>
      <c r="W16" s="209"/>
      <c r="X16" s="132"/>
      <c r="Y16" s="132"/>
      <c r="Z16" s="132"/>
      <c r="AA16" s="132"/>
      <c r="AB16" s="132"/>
      <c r="AC16" s="132"/>
      <c r="AD16" s="132"/>
      <c r="AE16" s="139"/>
      <c r="AF16" s="139"/>
      <c r="AG16" s="139"/>
      <c r="AH16" s="139"/>
      <c r="AI16" s="139"/>
      <c r="AJ16" s="139"/>
      <c r="AK16" s="408">
        <f>'[63]2. Distributional by deciles o'!L104</f>
        <v>11351527616.224804</v>
      </c>
      <c r="AL16" s="1"/>
      <c r="AM16" s="32" cm="1">
        <f t="array" aca="1" ref="AM16" ca="1">INDIRECT("'1"&amp;$C$8&amp;"'!W16")</f>
        <v>1.6207610827623675</v>
      </c>
      <c r="AN16" s="524">
        <f t="shared" ca="1" si="1"/>
        <v>11648467104.606548</v>
      </c>
      <c r="AO16" s="524">
        <f t="shared" ca="1" si="2"/>
        <v>11666220585.873388</v>
      </c>
      <c r="AP16" s="524">
        <f t="shared" ca="1" si="3"/>
        <v>11648467104.606548</v>
      </c>
      <c r="AQ16" s="525">
        <f t="shared" si="4"/>
        <v>8.4081275372651643E-2</v>
      </c>
      <c r="AR16" s="344">
        <f t="shared" si="5"/>
        <v>8.4081275372651643E-2</v>
      </c>
      <c r="AS16" s="41">
        <f t="shared" si="6"/>
        <v>7.9734948054542565E-2</v>
      </c>
      <c r="AT16" s="1"/>
      <c r="AU16" s="1"/>
      <c r="AV16" s="1"/>
      <c r="AW16" s="1"/>
      <c r="AX16" s="1"/>
      <c r="AY16" s="1"/>
      <c r="AZ16" s="1"/>
      <c r="BA16" s="1"/>
      <c r="BB16" s="1"/>
      <c r="BC16" s="1"/>
      <c r="BD16" s="1"/>
      <c r="BE16" s="1"/>
      <c r="BF16" s="1"/>
      <c r="BG16" s="1"/>
      <c r="BH16" s="1"/>
      <c r="BI16" s="1"/>
      <c r="BJ16" s="1"/>
      <c r="BK16" s="1"/>
      <c r="BL16" s="1"/>
      <c r="BM16" s="1"/>
      <c r="BN16" s="1"/>
    </row>
    <row r="17" spans="1:66" x14ac:dyDescent="0.3">
      <c r="A17" s="1"/>
      <c r="B17" s="28">
        <v>6</v>
      </c>
      <c r="C17" s="129">
        <f>'[63]2. Distributional by deciles o'!B105</f>
        <v>12978169694.11681</v>
      </c>
      <c r="D17" s="129">
        <f>'[63]2. Distributional by deciles o'!C105</f>
        <v>12198741098.830818</v>
      </c>
      <c r="E17" s="129">
        <f>'[63]2. Distributional by deciles o'!D105</f>
        <v>12794441161.203608</v>
      </c>
      <c r="F17" s="129">
        <f>'[63]2. Distributional by deciles o'!E105</f>
        <v>13522138469.664019</v>
      </c>
      <c r="G17" s="129">
        <f>'[63]2. Distributional by deciles o'!F105</f>
        <v>13723099142.019602</v>
      </c>
      <c r="H17" s="129">
        <f>'[63]2. Distributional by deciles o'!H105</f>
        <v>15508484122.900795</v>
      </c>
      <c r="I17" s="129">
        <f>'[63]2. Distributional by deciles o'!I105</f>
        <v>14015215463.392822</v>
      </c>
      <c r="J17" s="129">
        <f>'[63]2. Distributional by deciles o'!J105</f>
        <v>13809835469.617203</v>
      </c>
      <c r="K17" s="129">
        <f>'[63]2. Distributional by deciles o'!K105</f>
        <v>13346111634.331209</v>
      </c>
      <c r="L17" s="139"/>
      <c r="M17" s="139"/>
      <c r="N17" s="139"/>
      <c r="O17" s="139"/>
      <c r="P17" s="129">
        <f>'[63]2. Distributional by deciles o'!B123</f>
        <v>118058375540.24043</v>
      </c>
      <c r="Q17" s="129">
        <f>'[63]2. Distributional by deciles o'!C123</f>
        <v>116069791839.6075</v>
      </c>
      <c r="R17" s="129">
        <f>'[63]2. Distributional by deciles o'!D123</f>
        <v>119728002808.6152</v>
      </c>
      <c r="S17" s="129">
        <f>'[63]2. Distributional by deciles o'!E123</f>
        <v>123764786176.71341</v>
      </c>
      <c r="T17" s="129">
        <f>'[63]2. Distributional by deciles o'!F123</f>
        <v>127916840316.41286</v>
      </c>
      <c r="U17" s="209">
        <f t="shared" si="0"/>
        <v>8.3505001073067797E-2</v>
      </c>
      <c r="V17" s="139"/>
      <c r="W17" s="209"/>
      <c r="X17" s="132"/>
      <c r="Y17" s="132"/>
      <c r="Z17" s="132"/>
      <c r="AA17" s="132"/>
      <c r="AB17" s="132"/>
      <c r="AC17" s="132"/>
      <c r="AD17" s="132"/>
      <c r="AE17" s="139"/>
      <c r="AF17" s="139"/>
      <c r="AG17" s="139"/>
      <c r="AH17" s="139"/>
      <c r="AI17" s="139"/>
      <c r="AJ17" s="139"/>
      <c r="AK17" s="408">
        <f>'[63]2. Distributional by deciles o'!L105</f>
        <v>14283043078.729225</v>
      </c>
      <c r="AL17" s="1"/>
      <c r="AM17" s="32" cm="1">
        <f t="array" aca="1" ref="AM17" ca="1">INDIRECT("'1"&amp;$C$8&amp;"'!W17")</f>
        <v>2.1150540373862929</v>
      </c>
      <c r="AN17" s="524">
        <f t="shared" ca="1" si="1"/>
        <v>15270342743.710152</v>
      </c>
      <c r="AO17" s="524">
        <f t="shared" ca="1" si="2"/>
        <v>15315491358.181322</v>
      </c>
      <c r="AP17" s="524">
        <f t="shared" ca="1" si="3"/>
        <v>15270342743.710152</v>
      </c>
      <c r="AQ17" s="525">
        <f t="shared" si="4"/>
        <v>8.3505001073067797E-2</v>
      </c>
      <c r="AR17" s="344">
        <f t="shared" si="5"/>
        <v>8.3505001073067797E-2</v>
      </c>
      <c r="AS17" s="41">
        <f t="shared" si="6"/>
        <v>8.9979834138424072E-2</v>
      </c>
      <c r="AT17" s="1"/>
      <c r="AU17" s="1"/>
      <c r="AV17" s="1"/>
      <c r="AW17" s="1"/>
      <c r="AX17" s="1"/>
      <c r="AY17" s="1"/>
      <c r="AZ17" s="1"/>
      <c r="BA17" s="1"/>
      <c r="BB17" s="1"/>
      <c r="BC17" s="1"/>
      <c r="BD17" s="1"/>
      <c r="BE17" s="1"/>
      <c r="BF17" s="1"/>
      <c r="BG17" s="1"/>
      <c r="BH17" s="1"/>
      <c r="BI17" s="1"/>
      <c r="BJ17" s="1"/>
      <c r="BK17" s="1"/>
      <c r="BL17" s="1"/>
      <c r="BM17" s="1"/>
      <c r="BN17" s="1"/>
    </row>
    <row r="18" spans="1:66" x14ac:dyDescent="0.3">
      <c r="A18" s="1"/>
      <c r="B18" s="28">
        <v>7</v>
      </c>
      <c r="C18" s="129">
        <f>'[63]2. Distributional by deciles o'!B106</f>
        <v>17312778286.196404</v>
      </c>
      <c r="D18" s="129">
        <f>'[63]2. Distributional by deciles o'!C106</f>
        <v>15924446103.742809</v>
      </c>
      <c r="E18" s="129">
        <f>'[63]2. Distributional by deciles o'!D106</f>
        <v>16758145223.661615</v>
      </c>
      <c r="F18" s="129">
        <f>'[63]2. Distributional by deciles o'!E106</f>
        <v>17714100452.800812</v>
      </c>
      <c r="G18" s="129">
        <f>'[63]2. Distributional by deciles o'!F106</f>
        <v>18043878890.924435</v>
      </c>
      <c r="H18" s="129">
        <f>'[63]2. Distributional by deciles o'!H106</f>
        <v>20300755659.391193</v>
      </c>
      <c r="I18" s="129">
        <f>'[63]2. Distributional by deciles o'!I106</f>
        <v>18781291449.063622</v>
      </c>
      <c r="J18" s="129">
        <f>'[63]2. Distributional by deciles o'!J106</f>
        <v>18528086300.953178</v>
      </c>
      <c r="K18" s="129">
        <f>'[63]2. Distributional by deciles o'!K106</f>
        <v>17740566928.525173</v>
      </c>
      <c r="L18" s="139"/>
      <c r="M18" s="139"/>
      <c r="N18" s="139"/>
      <c r="O18" s="139"/>
      <c r="P18" s="129">
        <f>'[63]2. Distributional by deciles o'!B124</f>
        <v>135924696429.7897</v>
      </c>
      <c r="Q18" s="129">
        <f>'[63]2. Distributional by deciles o'!C124</f>
        <v>133407344658.74995</v>
      </c>
      <c r="R18" s="129">
        <f>'[63]2. Distributional by deciles o'!D124</f>
        <v>137875263542.44199</v>
      </c>
      <c r="S18" s="129">
        <f>'[63]2. Distributional by deciles o'!E124</f>
        <v>142739697333.6564</v>
      </c>
      <c r="T18" s="129">
        <f>'[63]2. Distributional by deciles o'!F124</f>
        <v>147700535046.00351</v>
      </c>
      <c r="U18" s="209">
        <f t="shared" si="0"/>
        <v>8.6635018694314114E-2</v>
      </c>
      <c r="V18" s="139"/>
      <c r="W18" s="209"/>
      <c r="X18" s="132"/>
      <c r="Y18" s="132"/>
      <c r="Z18" s="132"/>
      <c r="AA18" s="132"/>
      <c r="AB18" s="132"/>
      <c r="AC18" s="132"/>
      <c r="AD18" s="132"/>
      <c r="AE18" s="139"/>
      <c r="AF18" s="139"/>
      <c r="AG18" s="139"/>
      <c r="AH18" s="139"/>
      <c r="AI18" s="139"/>
      <c r="AJ18" s="139"/>
      <c r="AK18" s="408">
        <f>'[63]2. Distributional by deciles o'!L106</f>
        <v>18646700580.949211</v>
      </c>
      <c r="AL18" s="1"/>
      <c r="AM18" s="32" cm="1">
        <f t="array" aca="1" ref="AM18" ca="1">INDIRECT("'1"&amp;$C$8&amp;"'!W18")</f>
        <v>1.8814362787763077</v>
      </c>
      <c r="AN18" s="524">
        <f t="shared" ca="1" si="1"/>
        <v>20134731146.986267</v>
      </c>
      <c r="AO18" s="524">
        <f t="shared" ca="1" si="2"/>
        <v>20086352875.637413</v>
      </c>
      <c r="AP18" s="524">
        <f t="shared" ca="1" si="3"/>
        <v>20134731146.986267</v>
      </c>
      <c r="AQ18" s="525">
        <f t="shared" si="4"/>
        <v>8.6635018694314114E-2</v>
      </c>
      <c r="AR18" s="344">
        <f t="shared" si="5"/>
        <v>8.6635018694314114E-2</v>
      </c>
      <c r="AS18" s="41">
        <f t="shared" si="6"/>
        <v>0.1035968992805541</v>
      </c>
      <c r="AT18" s="1"/>
      <c r="AU18" s="1"/>
      <c r="AV18" s="1"/>
      <c r="AW18" s="1"/>
      <c r="AX18" s="1"/>
      <c r="AY18" s="1"/>
      <c r="AZ18" s="1"/>
      <c r="BA18" s="1"/>
      <c r="BB18" s="1"/>
      <c r="BC18" s="1"/>
      <c r="BD18" s="1"/>
      <c r="BE18" s="1"/>
      <c r="BF18" s="1"/>
      <c r="BG18" s="1"/>
      <c r="BH18" s="1"/>
      <c r="BI18" s="1"/>
      <c r="BJ18" s="1"/>
      <c r="BK18" s="1"/>
      <c r="BL18" s="1"/>
      <c r="BM18" s="1"/>
      <c r="BN18" s="1"/>
    </row>
    <row r="19" spans="1:66" x14ac:dyDescent="0.3">
      <c r="A19" s="1"/>
      <c r="B19" s="28">
        <v>8</v>
      </c>
      <c r="C19" s="129">
        <f>'[63]2. Distributional by deciles o'!B107</f>
        <v>23115133441.003181</v>
      </c>
      <c r="D19" s="129">
        <f>'[63]2. Distributional by deciles o'!C107</f>
        <v>21130699664.167198</v>
      </c>
      <c r="E19" s="129">
        <f>'[63]2. Distributional by deciles o'!D107</f>
        <v>22288293031.536022</v>
      </c>
      <c r="F19" s="129">
        <f>'[63]2. Distributional by deciles o'!E107</f>
        <v>23413258746.157211</v>
      </c>
      <c r="G19" s="129">
        <f>'[63]2. Distributional by deciles o'!F107</f>
        <v>23981767479.186005</v>
      </c>
      <c r="H19" s="129">
        <f>'[63]2. Distributional by deciles o'!H107</f>
        <v>26866127172.274796</v>
      </c>
      <c r="I19" s="129">
        <f>'[63]2. Distributional by deciles o'!I107</f>
        <v>25157917960.718399</v>
      </c>
      <c r="J19" s="129">
        <f>'[63]2. Distributional by deciles o'!J107</f>
        <v>24892266012.218388</v>
      </c>
      <c r="K19" s="129">
        <f>'[63]2. Distributional by deciles o'!K107</f>
        <v>24163491804.231625</v>
      </c>
      <c r="L19" s="139"/>
      <c r="M19" s="139"/>
      <c r="N19" s="139"/>
      <c r="O19" s="139"/>
      <c r="P19" s="129">
        <f>'[63]2. Distributional by deciles o'!B125</f>
        <v>160813627305.50742</v>
      </c>
      <c r="Q19" s="129">
        <f>'[63]2. Distributional by deciles o'!C125</f>
        <v>157650569777.87854</v>
      </c>
      <c r="R19" s="129">
        <f>'[63]2. Distributional by deciles o'!D125</f>
        <v>163169128573.12308</v>
      </c>
      <c r="S19" s="129">
        <f>'[63]2. Distributional by deciles o'!E125</f>
        <v>168636203979.42145</v>
      </c>
      <c r="T19" s="129">
        <f>'[63]2. Distributional by deciles o'!F125</f>
        <v>174886982774.05914</v>
      </c>
      <c r="U19" s="209">
        <f t="shared" si="0"/>
        <v>8.7513450845901897E-2</v>
      </c>
      <c r="V19" s="139"/>
      <c r="W19" s="209"/>
      <c r="X19" s="132"/>
      <c r="Y19" s="132"/>
      <c r="Z19" s="132"/>
      <c r="AA19" s="132"/>
      <c r="AB19" s="132"/>
      <c r="AC19" s="132"/>
      <c r="AD19" s="132"/>
      <c r="AE19" s="139"/>
      <c r="AF19" s="139"/>
      <c r="AG19" s="139"/>
      <c r="AH19" s="139"/>
      <c r="AI19" s="139"/>
      <c r="AJ19" s="139"/>
      <c r="AK19" s="408">
        <f>'[63]2. Distributional by deciles o'!L107</f>
        <v>24607633792.946384</v>
      </c>
      <c r="AL19" s="1"/>
      <c r="AM19" s="32" cm="1">
        <f t="array" aca="1" ref="AM19" ca="1">INDIRECT("'1"&amp;$C$8&amp;"'!W19")</f>
        <v>1.6594060782605164</v>
      </c>
      <c r="AN19" s="524">
        <f t="shared" ca="1" si="1"/>
        <v>26471921261.917522</v>
      </c>
      <c r="AO19" s="524">
        <f t="shared" ca="1" si="2"/>
        <v>26381257297.860756</v>
      </c>
      <c r="AP19" s="524">
        <f t="shared" ca="1" si="3"/>
        <v>24453205400.842052</v>
      </c>
      <c r="AQ19" s="525">
        <f t="shared" si="4"/>
        <v>8.7513450845901897E-2</v>
      </c>
      <c r="AR19" s="526">
        <f>U19-AP31*AS21/SUM(AS19:AS20)</f>
        <v>3.488433017900499E-2</v>
      </c>
      <c r="AS19" s="41">
        <f t="shared" si="6"/>
        <v>0.12256634436932243</v>
      </c>
      <c r="AT19" s="1"/>
      <c r="AU19" s="1"/>
      <c r="AV19" s="1"/>
      <c r="AW19" s="1"/>
      <c r="AX19" s="1"/>
      <c r="AY19" s="1"/>
      <c r="AZ19" s="1"/>
      <c r="BA19" s="1"/>
      <c r="BB19" s="1"/>
      <c r="BC19" s="1"/>
      <c r="BD19" s="1"/>
      <c r="BE19" s="1"/>
      <c r="BF19" s="1"/>
      <c r="BG19" s="1"/>
      <c r="BH19" s="1"/>
      <c r="BI19" s="1"/>
      <c r="BJ19" s="1"/>
      <c r="BK19" s="1"/>
      <c r="BL19" s="1"/>
      <c r="BM19" s="1"/>
      <c r="BN19" s="1"/>
    </row>
    <row r="20" spans="1:66" x14ac:dyDescent="0.3">
      <c r="A20" s="1"/>
      <c r="B20" s="28">
        <v>9</v>
      </c>
      <c r="C20" s="129">
        <f>'[63]2. Distributional by deciles o'!B108</f>
        <v>31761463955.278763</v>
      </c>
      <c r="D20" s="129">
        <f>'[63]2. Distributional by deciles o'!C108</f>
        <v>29422889714.7048</v>
      </c>
      <c r="E20" s="129">
        <f>'[63]2. Distributional by deciles o'!D108</f>
        <v>31225429825.256409</v>
      </c>
      <c r="F20" s="129">
        <f>'[63]2. Distributional by deciles o'!E108</f>
        <v>32569735709.749203</v>
      </c>
      <c r="G20" s="129">
        <f>'[63]2. Distributional by deciles o'!F108</f>
        <v>33560349641.649597</v>
      </c>
      <c r="H20" s="129">
        <f>'[63]2. Distributional by deciles o'!H108</f>
        <v>37136900031.231506</v>
      </c>
      <c r="I20" s="129">
        <f>'[63]2. Distributional by deciles o'!I108</f>
        <v>34646554299.388763</v>
      </c>
      <c r="J20" s="129">
        <f>'[63]2. Distributional by deciles o'!J108</f>
        <v>34374326555.413239</v>
      </c>
      <c r="K20" s="129">
        <f>'[63]2. Distributional by deciles o'!K108</f>
        <v>33591706044.252007</v>
      </c>
      <c r="L20" s="139"/>
      <c r="M20" s="139"/>
      <c r="N20" s="139"/>
      <c r="O20" s="139"/>
      <c r="P20" s="129">
        <f>'[63]2. Distributional by deciles o'!B126</f>
        <v>196022596576.20724</v>
      </c>
      <c r="Q20" s="129">
        <f>'[63]2. Distributional by deciles o'!C126</f>
        <v>191778289520.30295</v>
      </c>
      <c r="R20" s="129">
        <f>'[63]2. Distributional by deciles o'!D126</f>
        <v>199049661152.66992</v>
      </c>
      <c r="S20" s="129">
        <f>'[63]2. Distributional by deciles o'!E126</f>
        <v>204975591150.7644</v>
      </c>
      <c r="T20" s="129">
        <f>'[63]2. Distributional by deciles o'!F126</f>
        <v>213160108150.99811</v>
      </c>
      <c r="U20" s="209">
        <f t="shared" si="0"/>
        <v>8.7426204295423471E-2</v>
      </c>
      <c r="V20" s="139"/>
      <c r="W20" s="209"/>
      <c r="X20" s="132"/>
      <c r="Y20" s="132"/>
      <c r="Z20" s="132"/>
      <c r="AA20" s="132"/>
      <c r="AB20" s="132"/>
      <c r="AC20" s="132"/>
      <c r="AD20" s="132"/>
      <c r="AE20" s="139"/>
      <c r="AF20" s="139"/>
      <c r="AG20" s="139"/>
      <c r="AH20" s="139"/>
      <c r="AI20" s="139"/>
      <c r="AJ20" s="139"/>
      <c r="AK20" s="408">
        <f>'[63]2. Distributional by deciles o'!L108</f>
        <v>34119977192.145531</v>
      </c>
      <c r="AL20" s="1"/>
      <c r="AM20" s="32" cm="1">
        <f t="array" aca="1" ref="AM20" ca="1">INDIRECT("'1"&amp;$C$8&amp;"'!W20")</f>
        <v>1.5442849722923557</v>
      </c>
      <c r="AN20" s="524">
        <f t="shared" ca="1" si="1"/>
        <v>36049610122.966843</v>
      </c>
      <c r="AO20" s="524">
        <f t="shared" ca="1" si="2"/>
        <v>35937954720.859657</v>
      </c>
      <c r="AP20" s="524">
        <f t="shared" ca="1" si="3"/>
        <v>33468217462.547279</v>
      </c>
      <c r="AQ20" s="525">
        <f t="shared" si="4"/>
        <v>8.7426204295423471E-2</v>
      </c>
      <c r="AR20" s="526">
        <f>U20-AP31*AS21/SUM(AS19:AS20)</f>
        <v>3.4797083628526564E-2</v>
      </c>
      <c r="AS20" s="41">
        <f t="shared" si="6"/>
        <v>0.14940135036246002</v>
      </c>
      <c r="AT20" s="1"/>
      <c r="AU20" s="1"/>
      <c r="AV20" s="1"/>
      <c r="AW20" s="1"/>
      <c r="AX20" s="1"/>
      <c r="AY20" s="1"/>
      <c r="AZ20" s="1"/>
      <c r="BA20" s="1"/>
      <c r="BB20" s="1"/>
      <c r="BC20" s="1"/>
      <c r="BD20" s="1"/>
      <c r="BE20" s="1"/>
      <c r="BF20" s="1"/>
      <c r="BG20" s="1"/>
      <c r="BH20" s="1"/>
      <c r="BI20" s="1"/>
      <c r="BJ20" s="1"/>
      <c r="BK20" s="1"/>
      <c r="BL20" s="1"/>
      <c r="BM20" s="1"/>
      <c r="BN20" s="1"/>
    </row>
    <row r="21" spans="1:66" x14ac:dyDescent="0.3">
      <c r="A21" s="1"/>
      <c r="B21" s="33">
        <v>10</v>
      </c>
      <c r="C21" s="129">
        <f>'[63]2. Distributional by deciles o'!B109</f>
        <v>88359236927.608841</v>
      </c>
      <c r="D21" s="129">
        <f>'[63]2. Distributional by deciles o'!C109</f>
        <v>84351270428.301636</v>
      </c>
      <c r="E21" s="129">
        <f>'[63]2. Distributional by deciles o'!D109</f>
        <v>89357496740.362808</v>
      </c>
      <c r="F21" s="129">
        <f>'[63]2. Distributional by deciles o'!E109</f>
        <v>93350890473.692322</v>
      </c>
      <c r="G21" s="129">
        <f>'[63]2. Distributional by deciles o'!F109</f>
        <v>96714348970.814423</v>
      </c>
      <c r="H21" s="129">
        <f>'[63]2. Distributional by deciles o'!H109</f>
        <v>101373333042.91081</v>
      </c>
      <c r="I21" s="129">
        <f>'[63]2. Distributional by deciles o'!I109</f>
        <v>96985451267.504486</v>
      </c>
      <c r="J21" s="129">
        <f>'[63]2. Distributional by deciles o'!J109</f>
        <v>96485950261.609344</v>
      </c>
      <c r="K21" s="129">
        <f>'[63]2. Distributional by deciles o'!K109</f>
        <v>95055347884.958405</v>
      </c>
      <c r="L21" s="139"/>
      <c r="M21" s="139"/>
      <c r="N21" s="139"/>
      <c r="O21" s="139"/>
      <c r="P21" s="129">
        <f>'[63]2. Distributional by deciles o'!B127</f>
        <v>375599533699.81201</v>
      </c>
      <c r="Q21" s="129">
        <f>'[63]2. Distributional by deciles o'!C127</f>
        <v>365381491349.55609</v>
      </c>
      <c r="R21" s="129">
        <f>'[63]2. Distributional by deciles o'!D127</f>
        <v>380909026296.09204</v>
      </c>
      <c r="S21" s="129">
        <f>'[63]2. Distributional by deciles o'!E127</f>
        <v>393603797442.40771</v>
      </c>
      <c r="T21" s="129">
        <f>'[63]2. Distributional by deciles o'!F127</f>
        <v>408970449498.60718</v>
      </c>
      <c r="U21" s="209">
        <f t="shared" si="0"/>
        <v>8.8847063972837592E-2</v>
      </c>
      <c r="V21" s="139"/>
      <c r="W21" s="209"/>
      <c r="X21" s="132"/>
      <c r="Y21" s="132"/>
      <c r="Z21" s="132"/>
      <c r="AA21" s="132"/>
      <c r="AB21" s="132"/>
      <c r="AC21" s="132"/>
      <c r="AD21" s="132"/>
      <c r="AE21" s="139"/>
      <c r="AF21" s="139"/>
      <c r="AG21" s="139"/>
      <c r="AH21" s="139"/>
      <c r="AI21" s="139"/>
      <c r="AJ21" s="139"/>
      <c r="AK21" s="408">
        <f>'[63]2. Distributional by deciles o'!L109</f>
        <v>97566127183.390808</v>
      </c>
      <c r="AL21" s="1"/>
      <c r="AM21" s="32" cm="1">
        <f t="array" aca="1" ref="AM21" ca="1">INDIRECT("'1"&amp;$C$8&amp;"'!W21")</f>
        <v>1.3490482268475614</v>
      </c>
      <c r="AN21" s="524">
        <f t="shared" ca="1" si="1"/>
        <v>98949884419.174423</v>
      </c>
      <c r="AO21" s="524">
        <f t="shared" ca="1" si="2"/>
        <v>98509165838.891434</v>
      </c>
      <c r="AP21" s="524">
        <f t="shared" ca="1" si="3"/>
        <v>104909928014.31413</v>
      </c>
      <c r="AQ21" s="525">
        <f t="shared" si="4"/>
        <v>8.8847063972837592E-2</v>
      </c>
      <c r="AR21" s="527">
        <f>U21+AP31</f>
        <v>0.13884706397283758</v>
      </c>
      <c r="AS21" s="41">
        <f t="shared" si="6"/>
        <v>0.2862684124707352</v>
      </c>
      <c r="AT21" s="1"/>
      <c r="AU21" s="1"/>
      <c r="AV21" s="1"/>
      <c r="AW21" s="1"/>
      <c r="AX21" s="1"/>
      <c r="AY21" s="1"/>
      <c r="AZ21" s="1"/>
      <c r="BA21" s="1"/>
      <c r="BB21" s="1"/>
      <c r="BC21" s="1"/>
      <c r="BD21" s="1"/>
      <c r="BE21" s="1"/>
      <c r="BF21" s="1"/>
      <c r="BG21" s="1"/>
      <c r="BH21" s="1"/>
      <c r="BI21" s="1"/>
      <c r="BJ21" s="1"/>
      <c r="BK21" s="1"/>
      <c r="BL21" s="1"/>
      <c r="BM21" s="1"/>
      <c r="BN21" s="1"/>
    </row>
    <row r="22" spans="1:66" ht="13.2" customHeight="1" x14ac:dyDescent="0.3">
      <c r="A22" s="1"/>
      <c r="B22" s="34" t="s">
        <v>114</v>
      </c>
      <c r="C22" s="150">
        <f>'[63]2. Distributional by deciles o'!B110</f>
        <v>201026967628.87744</v>
      </c>
      <c r="D22" s="150">
        <f>'[63]2. Distributional by deciles o'!C110</f>
        <v>189643625544.08627</v>
      </c>
      <c r="E22" s="150">
        <f>'[63]2. Distributional by deciles o'!D110</f>
        <v>200068727539.46033</v>
      </c>
      <c r="F22" s="150">
        <f>'[63]2. Distributional by deciles o'!E110</f>
        <v>209771391529.53387</v>
      </c>
      <c r="G22" s="150">
        <f>'[63]2. Distributional by deciles o'!F110</f>
        <v>215987284730.20807</v>
      </c>
      <c r="H22" s="150">
        <f>'[63]2. Distributional by deciles o'!H110</f>
        <v>232610516014.33337</v>
      </c>
      <c r="I22" s="150">
        <f>'[63]2. Distributional by deciles o'!I110</f>
        <v>219393611451.92102</v>
      </c>
      <c r="J22" s="150">
        <f>'[63]2. Distributional by deciles o'!J110</f>
        <v>217719455400.30652</v>
      </c>
      <c r="K22" s="150">
        <f>'[63]2. Distributional by deciles o'!K110</f>
        <v>212907673547.30518</v>
      </c>
      <c r="L22" s="139"/>
      <c r="M22" s="139"/>
      <c r="N22" s="139"/>
      <c r="O22" s="139"/>
      <c r="P22" s="150">
        <f>'[63]2. Distributional by deciles o'!B128</f>
        <v>1312053713709.0142</v>
      </c>
      <c r="Q22" s="150">
        <f>'[63]2. Distributional by deciles o'!C128</f>
        <v>1285202493912.3667</v>
      </c>
      <c r="R22" s="150">
        <f>'[63]2. Distributional by deciles o'!D128</f>
        <v>1330708620149.6575</v>
      </c>
      <c r="S22" s="150">
        <f>'[63]2. Distributional by deciles o'!E128</f>
        <v>1375527073580.7969</v>
      </c>
      <c r="T22" s="150">
        <f>'[63]2. Distributional by deciles o'!F128</f>
        <v>1423774808608.3093</v>
      </c>
      <c r="U22" s="210">
        <f t="shared" si="0"/>
        <v>8.5149787491148876E-2</v>
      </c>
      <c r="V22" s="139"/>
      <c r="W22" s="210"/>
      <c r="X22" s="154"/>
      <c r="Y22" s="154"/>
      <c r="Z22" s="154"/>
      <c r="AA22" s="154"/>
      <c r="AB22" s="154"/>
      <c r="AC22" s="154"/>
      <c r="AD22" s="154"/>
      <c r="AE22" s="161"/>
      <c r="AF22" s="161"/>
      <c r="AG22" s="161"/>
      <c r="AH22" s="161"/>
      <c r="AI22" s="162"/>
      <c r="AJ22" s="162"/>
      <c r="AK22" s="409">
        <f>'[63]2. Distributional by deciles o'!L110</f>
        <v>219936104476.26831</v>
      </c>
      <c r="AL22" s="1"/>
      <c r="AM22" s="534" cm="1">
        <f t="array" aca="1" ref="AM22" ca="1">INDIRECT("'1"&amp;$C$8&amp;"'!W22")</f>
        <v>1.5415702152840249</v>
      </c>
      <c r="AN22" s="528">
        <f ca="1">SUM(AN12:AN21)</f>
        <v>227800801586.96771</v>
      </c>
      <c r="AO22" s="528">
        <f ca="1">SUM(AO12:AO21)</f>
        <v>227408323845.03259</v>
      </c>
      <c r="AP22" s="528">
        <f ca="1">SUM(AP12:AP21)</f>
        <v>229160736660.61237</v>
      </c>
      <c r="AQ22" s="529">
        <f>SUMPRODUCT(AQ12:AQ21,AS12:AS21)</f>
        <v>8.5149787491153178E-2</v>
      </c>
      <c r="AR22" s="529">
        <f>SUMPRODUCT(AR12:AR21,AS12:AS21)</f>
        <v>8.5149787491153178E-2</v>
      </c>
      <c r="AS22" s="530"/>
      <c r="AT22" s="1"/>
      <c r="AU22" s="1"/>
      <c r="AV22" s="1"/>
      <c r="AW22" s="1"/>
      <c r="AX22" s="1"/>
      <c r="AY22" s="1"/>
      <c r="AZ22" s="1"/>
      <c r="BA22" s="1"/>
      <c r="BB22" s="1"/>
      <c r="BC22" s="1"/>
      <c r="BD22" s="1"/>
      <c r="BE22" s="1"/>
      <c r="BF22" s="1"/>
      <c r="BG22" s="1"/>
      <c r="BH22" s="1"/>
      <c r="BI22" s="1"/>
      <c r="BJ22" s="1"/>
      <c r="BK22" s="1"/>
      <c r="BL22" s="1"/>
      <c r="BM22" s="1"/>
      <c r="BN22" s="1"/>
    </row>
    <row r="23" spans="1:66" ht="12.6" customHeight="1" x14ac:dyDescent="0.3">
      <c r="A23" s="1"/>
      <c r="B23" s="1"/>
      <c r="C23" s="1"/>
      <c r="D23" s="1"/>
      <c r="E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531"/>
      <c r="AO23" s="531"/>
      <c r="AP23" s="1"/>
      <c r="AQ23" s="1"/>
      <c r="AR23" s="525">
        <f>U22</f>
        <v>8.5149787491148876E-2</v>
      </c>
      <c r="AS23" s="1"/>
      <c r="AT23" s="1"/>
      <c r="AU23" s="1"/>
      <c r="AV23" s="1"/>
      <c r="AW23" s="1"/>
      <c r="AX23" s="1"/>
      <c r="AY23" s="1"/>
      <c r="AZ23" s="1"/>
      <c r="BA23" s="1"/>
      <c r="BB23" s="1"/>
      <c r="BC23" s="1"/>
      <c r="BD23" s="1"/>
      <c r="BE23" s="1"/>
      <c r="BF23" s="1"/>
      <c r="BG23" s="1"/>
      <c r="BH23" s="1"/>
      <c r="BI23" s="1"/>
      <c r="BJ23" s="1"/>
      <c r="BK23" s="1"/>
      <c r="BL23" s="1"/>
      <c r="BM23" s="1"/>
      <c r="BN23" s="1"/>
    </row>
    <row r="24" spans="1:66" ht="13.95" customHeight="1" x14ac:dyDescent="0.3">
      <c r="A24" s="1"/>
      <c r="B24" s="1"/>
      <c r="C24" s="1"/>
      <c r="D24" s="1"/>
      <c r="E24" s="1"/>
      <c r="F24" s="1"/>
      <c r="G24" s="11" t="s">
        <v>151</v>
      </c>
      <c r="H24" s="212">
        <f>U22</f>
        <v>8.5149787491148876E-2</v>
      </c>
      <c r="I24" s="1"/>
      <c r="J24" s="1"/>
      <c r="K24" s="11" t="s">
        <v>151</v>
      </c>
      <c r="L24" s="212"/>
      <c r="M24" s="1"/>
      <c r="O24" s="1"/>
      <c r="P24" s="1"/>
      <c r="Q24" s="1"/>
      <c r="R24" s="1"/>
      <c r="S24" s="1"/>
      <c r="T24" s="1"/>
      <c r="U24" s="1"/>
      <c r="V24" s="1"/>
      <c r="W24" s="1"/>
      <c r="X24" s="1"/>
      <c r="Y24" s="55"/>
      <c r="Z24" s="55"/>
      <c r="AA24" s="55"/>
      <c r="AB24" s="55"/>
      <c r="AC24" s="55"/>
      <c r="AD24" s="55"/>
      <c r="AE24" s="55"/>
      <c r="AF24" s="55"/>
      <c r="AG24" s="55"/>
      <c r="AH24" s="1"/>
      <c r="AI24" s="1"/>
      <c r="AJ24" s="1"/>
      <c r="AK24" s="1"/>
      <c r="AL24" s="1"/>
      <c r="AM24" s="1"/>
      <c r="AN24" s="531">
        <f ca="1">AN22/G22-1</f>
        <v>5.4695427425350607E-2</v>
      </c>
      <c r="AO24" s="531"/>
      <c r="AP24" s="1"/>
      <c r="AQ24" s="1"/>
      <c r="AR24" s="532" t="str">
        <f>IF(AR23-AR22&lt;0.0000000001,"ok","wrong")</f>
        <v>ok</v>
      </c>
      <c r="AS24" s="1"/>
      <c r="AT24" s="1"/>
      <c r="AU24" s="1"/>
      <c r="AV24" s="1"/>
      <c r="AW24" s="1"/>
      <c r="AX24" s="1"/>
      <c r="AY24" s="1"/>
      <c r="AZ24" s="1"/>
      <c r="BA24" s="1"/>
      <c r="BB24" s="1"/>
      <c r="BC24" s="1"/>
      <c r="BD24" s="1"/>
      <c r="BE24" s="1"/>
      <c r="BF24" s="1"/>
      <c r="BG24" s="1"/>
      <c r="BH24" s="1"/>
      <c r="BI24" s="1"/>
      <c r="BJ24" s="1"/>
      <c r="BK24" s="1"/>
      <c r="BL24" s="1"/>
      <c r="BM24" s="1"/>
      <c r="BN24" s="1"/>
    </row>
    <row r="25" spans="1:66" ht="13.95" customHeight="1" x14ac:dyDescent="0.3">
      <c r="A25" s="1"/>
      <c r="B25" s="1"/>
      <c r="C25" s="1"/>
      <c r="D25" s="1"/>
      <c r="E25" s="1"/>
      <c r="F25" s="1"/>
      <c r="G25" s="11" t="s">
        <v>152</v>
      </c>
      <c r="H25" s="213">
        <v>0.1008</v>
      </c>
      <c r="I25" s="1"/>
      <c r="J25" s="1"/>
      <c r="K25" s="11" t="s">
        <v>152</v>
      </c>
      <c r="L25" s="139"/>
      <c r="M25" s="1"/>
      <c r="N25" s="1"/>
      <c r="O25" s="1"/>
      <c r="P25" s="1"/>
      <c r="Q25" s="1"/>
      <c r="R25" s="1"/>
      <c r="S25" s="1"/>
      <c r="T25" s="1"/>
      <c r="U25" s="1"/>
      <c r="V25" s="1"/>
      <c r="W25" s="1"/>
      <c r="X25" s="1"/>
      <c r="Y25" s="55"/>
      <c r="Z25" s="55"/>
      <c r="AA25" s="55"/>
      <c r="AB25" s="55"/>
      <c r="AC25" s="55"/>
      <c r="AD25" s="55"/>
      <c r="AE25" s="55"/>
      <c r="AF25" s="55"/>
      <c r="AG25" s="55"/>
      <c r="AH25" s="1"/>
      <c r="AI25" s="1"/>
      <c r="AJ25" s="1"/>
      <c r="AK25" s="1"/>
      <c r="AL25" s="1"/>
      <c r="AM25" s="1"/>
      <c r="AN25" s="1"/>
      <c r="AO25" s="531"/>
      <c r="AP25" s="1"/>
      <c r="AQ25" s="1"/>
      <c r="AR25" s="532" t="str">
        <f>IF(AQ22-AR22&lt;0.0000000001,"ok","wrong")</f>
        <v>ok</v>
      </c>
      <c r="AS25" s="1"/>
      <c r="AT25" s="1"/>
      <c r="AU25" s="1"/>
      <c r="AV25" s="1"/>
      <c r="AW25" s="1"/>
      <c r="AX25" s="1"/>
      <c r="AY25" s="1"/>
      <c r="AZ25" s="1"/>
      <c r="BA25" s="1"/>
      <c r="BB25" s="1"/>
      <c r="BC25" s="1"/>
      <c r="BD25" s="1"/>
      <c r="BE25" s="1"/>
      <c r="BF25" s="1"/>
      <c r="BG25" s="1"/>
      <c r="BH25" s="1"/>
      <c r="BI25" s="1"/>
      <c r="BJ25" s="1"/>
      <c r="BK25" s="1"/>
      <c r="BL25" s="1"/>
      <c r="BM25" s="1"/>
      <c r="BN25" s="1"/>
    </row>
    <row r="26" spans="1:66" ht="13.95" customHeight="1" x14ac:dyDescent="0.3">
      <c r="A26" s="1"/>
      <c r="B26" s="1"/>
      <c r="C26" s="1"/>
      <c r="D26" s="1"/>
      <c r="E26" s="1"/>
      <c r="F26" s="1"/>
      <c r="G26" s="11" t="s">
        <v>153</v>
      </c>
      <c r="H26" s="213">
        <v>0.1482</v>
      </c>
      <c r="I26" s="1"/>
      <c r="J26" s="1"/>
      <c r="K26" s="11" t="s">
        <v>153</v>
      </c>
      <c r="L26" s="139"/>
      <c r="M26" s="1"/>
      <c r="N26" s="1"/>
      <c r="O26" s="1"/>
      <c r="P26" s="1"/>
      <c r="Q26" s="1"/>
      <c r="R26" s="1"/>
      <c r="S26" s="1"/>
      <c r="T26" s="1"/>
      <c r="U26" s="1"/>
      <c r="V26" s="1"/>
      <c r="W26" s="1"/>
      <c r="X26" s="1"/>
      <c r="Y26" s="55"/>
      <c r="Z26" s="55"/>
      <c r="AA26" s="55"/>
      <c r="AB26" s="55"/>
      <c r="AC26" s="55"/>
      <c r="AD26" s="55"/>
      <c r="AE26" s="55"/>
      <c r="AF26" s="55"/>
      <c r="AG26" s="55"/>
      <c r="AH26" s="1"/>
      <c r="AI26" s="1"/>
      <c r="AJ26" s="1"/>
      <c r="AK26" s="1"/>
      <c r="AL26" s="1"/>
      <c r="AM26" s="8" t="s">
        <v>571</v>
      </c>
      <c r="AN26" s="533"/>
      <c r="AO26" s="535">
        <f ca="1">AO22/$AN22-1</f>
        <v>-1.7228988625190844E-3</v>
      </c>
      <c r="AP26" s="536">
        <f ca="1">AP22/$AN22-1</f>
        <v>5.969843232204175E-3</v>
      </c>
      <c r="AQ26" s="1"/>
      <c r="AR26" s="1"/>
      <c r="AS26" s="1"/>
      <c r="AT26" s="1"/>
      <c r="AU26" s="1"/>
      <c r="AV26" s="1"/>
      <c r="AW26" s="1"/>
      <c r="AX26" s="1"/>
      <c r="AY26" s="1"/>
      <c r="AZ26" s="1"/>
      <c r="BA26" s="1"/>
      <c r="BB26" s="1"/>
      <c r="BC26" s="1"/>
      <c r="BD26" s="1"/>
      <c r="BE26" s="1"/>
      <c r="BF26" s="1"/>
      <c r="BG26" s="1"/>
      <c r="BH26" s="1"/>
      <c r="BI26" s="1"/>
      <c r="BJ26" s="1"/>
      <c r="BK26" s="1"/>
      <c r="BL26" s="1"/>
      <c r="BM26" s="1"/>
      <c r="BN26" s="1"/>
    </row>
    <row r="27" spans="1:66" ht="9" customHeight="1" x14ac:dyDescent="0.3">
      <c r="A27" s="1"/>
      <c r="B27" s="1"/>
      <c r="C27" s="1"/>
      <c r="D27" s="1"/>
      <c r="E27" s="1"/>
      <c r="F27" s="1"/>
      <c r="G27" s="1"/>
      <c r="H27" s="1"/>
      <c r="I27" s="1"/>
      <c r="J27" s="1"/>
      <c r="K27" s="1"/>
      <c r="L27" s="1"/>
      <c r="M27" s="1"/>
      <c r="N27" s="1"/>
      <c r="O27" s="1"/>
      <c r="P27" s="1"/>
      <c r="Q27" s="1"/>
      <c r="R27" s="1"/>
      <c r="S27" s="1"/>
      <c r="T27" s="55"/>
      <c r="U27" s="55"/>
      <c r="V27" s="55"/>
      <c r="W27" s="55"/>
      <c r="X27" s="55"/>
      <c r="Y27" s="55"/>
      <c r="Z27" s="55"/>
      <c r="AA27" s="55"/>
      <c r="AB27" s="55"/>
      <c r="AC27" s="55"/>
      <c r="AD27" s="55"/>
      <c r="AE27" s="55"/>
      <c r="AF27" s="55"/>
      <c r="AG27" s="55"/>
      <c r="AH27" s="1"/>
      <c r="AI27" s="1"/>
      <c r="AJ27" s="1"/>
      <c r="AK27" s="1"/>
      <c r="AL27" s="1"/>
      <c r="AM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row>
    <row r="28" spans="1:66" ht="12" customHeight="1" thickBot="1" x14ac:dyDescent="0.35">
      <c r="A28" s="214"/>
      <c r="B28" s="214"/>
      <c r="C28" s="214"/>
      <c r="D28" s="214"/>
      <c r="E28" s="214"/>
      <c r="F28" s="214"/>
      <c r="G28" s="214"/>
      <c r="H28" s="214"/>
      <c r="I28" s="214"/>
      <c r="J28" s="214"/>
      <c r="K28" s="214"/>
      <c r="L28" s="214"/>
      <c r="M28" s="214"/>
      <c r="N28" s="214"/>
      <c r="O28" s="214"/>
      <c r="P28" s="214"/>
      <c r="Q28" s="214"/>
      <c r="R28" s="214"/>
      <c r="S28" s="214"/>
      <c r="T28" s="215"/>
      <c r="U28" s="215"/>
      <c r="V28" s="215"/>
      <c r="W28" s="215"/>
      <c r="X28" s="215"/>
      <c r="Y28" s="215"/>
      <c r="Z28" s="215"/>
      <c r="AA28" s="214"/>
      <c r="AB28" s="214"/>
      <c r="AC28" s="214"/>
      <c r="AD28" s="214"/>
      <c r="AE28" s="214"/>
      <c r="AF28" s="214"/>
      <c r="AG28" s="214"/>
      <c r="AH28" s="214"/>
      <c r="AI28" s="214"/>
      <c r="AJ28" s="1"/>
      <c r="AK28" s="1"/>
      <c r="AL28" s="1"/>
      <c r="AM28" s="8" t="s">
        <v>572</v>
      </c>
      <c r="AN28" s="8"/>
      <c r="AO28" s="535">
        <f ca="1">(AO22-$AN22)/($W$37*1000000)</f>
        <v>-2.0249363849261206E-2</v>
      </c>
      <c r="AP28" s="536">
        <f ca="1">(AP22-$AN22)/($W$37*1000000)</f>
        <v>7.0164030148121587E-2</v>
      </c>
      <c r="AQ28" s="1"/>
      <c r="AR28" s="1"/>
      <c r="AS28" s="1"/>
      <c r="AT28" s="1"/>
      <c r="AU28" s="1"/>
      <c r="AV28" s="1"/>
      <c r="AW28" s="1"/>
      <c r="AX28" s="1"/>
      <c r="AY28" s="1"/>
      <c r="AZ28" s="1"/>
      <c r="BA28" s="1"/>
      <c r="BB28" s="1"/>
      <c r="BC28" s="1"/>
      <c r="BD28" s="1"/>
      <c r="BE28" s="1"/>
      <c r="BF28" s="1"/>
      <c r="BG28" s="1"/>
      <c r="BH28" s="1"/>
      <c r="BI28" s="1"/>
      <c r="BJ28" s="1"/>
      <c r="BK28" s="1"/>
      <c r="BL28" s="1"/>
      <c r="BM28" s="1"/>
      <c r="BN28" s="1"/>
    </row>
    <row r="29" spans="1:66" ht="12" customHeight="1" thickBot="1" x14ac:dyDescent="0.35">
      <c r="A29" s="214"/>
      <c r="B29" s="216" t="s">
        <v>154</v>
      </c>
      <c r="C29" s="217"/>
      <c r="D29" s="217"/>
      <c r="E29" s="217"/>
      <c r="F29" s="217"/>
      <c r="G29" s="217"/>
      <c r="H29" s="217"/>
      <c r="I29" s="217"/>
      <c r="J29" s="217"/>
      <c r="K29" s="217"/>
      <c r="L29" s="217"/>
      <c r="M29" s="217"/>
      <c r="N29" s="217"/>
      <c r="O29" s="217"/>
      <c r="P29" s="217"/>
      <c r="Q29" s="217"/>
      <c r="R29" s="217"/>
      <c r="S29" s="217"/>
      <c r="T29" s="218"/>
      <c r="U29" s="218"/>
      <c r="V29" s="219"/>
      <c r="W29" s="215"/>
      <c r="X29" s="215"/>
      <c r="Y29" s="215"/>
      <c r="Z29" s="215"/>
      <c r="AA29" s="214"/>
      <c r="AB29" s="214"/>
      <c r="AC29" s="214"/>
      <c r="AD29" s="214"/>
      <c r="AE29" s="214"/>
      <c r="AF29" s="214"/>
      <c r="AG29" s="214"/>
      <c r="AH29" s="214"/>
      <c r="AI29" s="214"/>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row>
    <row r="30" spans="1:66" ht="21.6" customHeight="1" thickBot="1" x14ac:dyDescent="0.35">
      <c r="A30" s="214"/>
      <c r="B30" s="220"/>
      <c r="C30" s="214"/>
      <c r="D30" s="214"/>
      <c r="E30" s="214"/>
      <c r="F30" s="214"/>
      <c r="G30" s="214"/>
      <c r="H30" s="214"/>
      <c r="I30" s="214"/>
      <c r="J30" s="214"/>
      <c r="K30" s="214"/>
      <c r="L30" s="214"/>
      <c r="M30" s="214"/>
      <c r="N30" s="214"/>
      <c r="O30" s="214"/>
      <c r="P30" s="214"/>
      <c r="Q30" s="214"/>
      <c r="R30" s="214"/>
      <c r="S30" s="214"/>
      <c r="T30" s="214"/>
      <c r="U30" s="214"/>
      <c r="V30" s="214"/>
      <c r="W30" s="214"/>
      <c r="X30" s="214"/>
      <c r="Y30" s="214"/>
      <c r="Z30" s="214"/>
      <c r="AA30" s="214"/>
      <c r="AB30" s="214"/>
      <c r="AC30" s="216" t="s">
        <v>158</v>
      </c>
      <c r="AD30" s="221"/>
      <c r="AE30" s="214"/>
      <c r="AF30" s="214"/>
      <c r="AG30" s="214"/>
      <c r="AH30" s="214"/>
      <c r="AI30" s="214"/>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row>
    <row r="31" spans="1:66" ht="21" customHeight="1" thickBot="1" x14ac:dyDescent="0.35">
      <c r="A31" s="214"/>
      <c r="B31" s="216" t="s">
        <v>159</v>
      </c>
      <c r="C31" s="221"/>
      <c r="D31" s="223"/>
      <c r="E31" s="222" t="s">
        <v>160</v>
      </c>
      <c r="F31" s="222" t="s">
        <v>160</v>
      </c>
      <c r="G31" s="223"/>
      <c r="H31" s="224" t="s">
        <v>161</v>
      </c>
      <c r="I31" s="222"/>
      <c r="J31" s="222"/>
      <c r="K31" s="222"/>
      <c r="L31" s="222"/>
      <c r="M31" s="223"/>
      <c r="N31" s="216" t="s">
        <v>162</v>
      </c>
      <c r="O31" s="221"/>
      <c r="P31" s="222" t="s">
        <v>163</v>
      </c>
      <c r="Q31" s="222"/>
      <c r="R31" s="222"/>
      <c r="S31" s="223"/>
      <c r="T31" s="224" t="s">
        <v>164</v>
      </c>
      <c r="U31" s="222"/>
      <c r="V31" s="222"/>
      <c r="W31" s="223"/>
      <c r="X31" s="225" t="s">
        <v>165</v>
      </c>
      <c r="Y31" s="222"/>
      <c r="Z31" s="222"/>
      <c r="AA31" s="223"/>
      <c r="AB31" s="214"/>
      <c r="AC31" s="347" t="s">
        <v>163</v>
      </c>
      <c r="AD31" s="348"/>
      <c r="AE31" s="223"/>
      <c r="AF31" s="224" t="s">
        <v>164</v>
      </c>
      <c r="AG31" s="222"/>
      <c r="AH31" s="223"/>
      <c r="AI31" s="214"/>
      <c r="AJ31" s="1"/>
      <c r="AK31" s="1"/>
      <c r="AL31" s="1"/>
      <c r="AM31" s="1"/>
      <c r="AN31" s="1"/>
      <c r="AO31" s="8" t="s">
        <v>567</v>
      </c>
      <c r="AP31" s="10">
        <v>0.05</v>
      </c>
      <c r="AQ31" s="1"/>
      <c r="AR31" s="1"/>
      <c r="AS31" s="1"/>
      <c r="AT31" s="1"/>
      <c r="AU31" s="1"/>
      <c r="AV31" s="1"/>
      <c r="AW31" s="1"/>
      <c r="AX31" s="1"/>
      <c r="AY31" s="1"/>
      <c r="AZ31" s="1"/>
      <c r="BA31" s="1"/>
      <c r="BB31" s="1"/>
      <c r="BC31" s="1"/>
      <c r="BD31" s="1"/>
      <c r="BE31" s="1"/>
      <c r="BF31" s="1"/>
      <c r="BG31" s="1"/>
      <c r="BH31" s="1"/>
      <c r="BI31" s="1"/>
      <c r="BJ31" s="1"/>
      <c r="BK31" s="1"/>
      <c r="BL31" s="1"/>
      <c r="BM31" s="1"/>
      <c r="BN31" s="1"/>
    </row>
    <row r="32" spans="1:66" ht="51" customHeight="1" x14ac:dyDescent="0.3">
      <c r="A32" s="214"/>
      <c r="B32" s="226"/>
      <c r="C32" s="227" t="s">
        <v>166</v>
      </c>
      <c r="D32" s="228" t="s">
        <v>167</v>
      </c>
      <c r="E32" s="228" t="s">
        <v>168</v>
      </c>
      <c r="F32" s="410" t="s">
        <v>169</v>
      </c>
      <c r="G32" s="228" t="s">
        <v>170</v>
      </c>
      <c r="H32" s="228" t="s">
        <v>171</v>
      </c>
      <c r="I32" s="229" t="s">
        <v>172</v>
      </c>
      <c r="J32" s="229" t="s">
        <v>173</v>
      </c>
      <c r="K32" s="230" t="s">
        <v>174</v>
      </c>
      <c r="L32" s="229" t="s">
        <v>175</v>
      </c>
      <c r="M32" s="411" t="s">
        <v>176</v>
      </c>
      <c r="N32" s="227"/>
      <c r="O32" s="227" t="s">
        <v>177</v>
      </c>
      <c r="P32" s="231" t="s">
        <v>178</v>
      </c>
      <c r="Q32" s="231" t="s">
        <v>179</v>
      </c>
      <c r="R32" s="231" t="s">
        <v>180</v>
      </c>
      <c r="S32" s="231" t="s">
        <v>181</v>
      </c>
      <c r="T32" s="231" t="s">
        <v>182</v>
      </c>
      <c r="U32" s="231" t="s">
        <v>183</v>
      </c>
      <c r="V32" s="231" t="s">
        <v>184</v>
      </c>
      <c r="W32" s="231" t="s">
        <v>185</v>
      </c>
      <c r="X32" s="231" t="s">
        <v>186</v>
      </c>
      <c r="Y32" s="231" t="s">
        <v>187</v>
      </c>
      <c r="Z32" s="231" t="s">
        <v>188</v>
      </c>
      <c r="AA32" s="231" t="s">
        <v>189</v>
      </c>
      <c r="AB32" s="214"/>
      <c r="AC32" s="231" t="s">
        <v>178</v>
      </c>
      <c r="AD32" s="231" t="s">
        <v>179</v>
      </c>
      <c r="AE32" s="231" t="s">
        <v>180</v>
      </c>
      <c r="AF32" s="231" t="s">
        <v>182</v>
      </c>
      <c r="AG32" s="231" t="s">
        <v>183</v>
      </c>
      <c r="AH32" s="231" t="s">
        <v>184</v>
      </c>
      <c r="AI32" s="214"/>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row>
    <row r="33" spans="1:66" ht="15.6" customHeight="1" x14ac:dyDescent="0.3">
      <c r="A33" s="214"/>
      <c r="B33" s="232">
        <v>2019</v>
      </c>
      <c r="C33" s="233">
        <f>C22</f>
        <v>201026967628.87744</v>
      </c>
      <c r="D33" s="386">
        <v>2432207</v>
      </c>
      <c r="E33" s="259">
        <f>(F33/1000000/D33)*100</f>
        <v>9.2222413635023663</v>
      </c>
      <c r="F33" s="350">
        <v>224304000000</v>
      </c>
      <c r="G33" s="234">
        <f>F33/C33</f>
        <v>1.1157905958870904</v>
      </c>
      <c r="H33" s="235">
        <f>C33*G33</f>
        <v>224304000000</v>
      </c>
      <c r="I33" s="235" t="s">
        <v>113</v>
      </c>
      <c r="J33" s="235" t="s">
        <v>113</v>
      </c>
      <c r="K33" s="235" t="s">
        <v>113</v>
      </c>
      <c r="L33" s="235" t="s">
        <v>113</v>
      </c>
      <c r="M33" s="214"/>
      <c r="N33" s="232">
        <v>2019</v>
      </c>
      <c r="O33" s="236">
        <f>G33</f>
        <v>1.1157905958870904</v>
      </c>
      <c r="P33" s="237"/>
      <c r="Q33" s="237"/>
      <c r="R33" s="237"/>
      <c r="S33" s="237"/>
      <c r="T33" s="237"/>
      <c r="U33" s="237"/>
      <c r="V33" s="238"/>
      <c r="W33" s="238"/>
      <c r="X33" s="238"/>
      <c r="Y33" s="238"/>
      <c r="Z33" s="238"/>
      <c r="AA33" s="238"/>
      <c r="AB33" s="214"/>
      <c r="AC33" s="237"/>
      <c r="AD33" s="237"/>
      <c r="AE33" s="237"/>
      <c r="AF33" s="237"/>
      <c r="AG33" s="237"/>
      <c r="AH33" s="238"/>
      <c r="AI33" s="214"/>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row>
    <row r="34" spans="1:66" s="51" customFormat="1" ht="15.6" customHeight="1" x14ac:dyDescent="0.3">
      <c r="A34" s="239"/>
      <c r="B34" s="240">
        <v>2020</v>
      </c>
      <c r="C34" s="241">
        <f>D22</f>
        <v>189643625544.08627</v>
      </c>
      <c r="D34" s="386">
        <v>2318276</v>
      </c>
      <c r="E34" s="259">
        <f t="shared" ref="E34:E36" si="7">(F34/1000000/D34)*100</f>
        <v>9.4227779608640212</v>
      </c>
      <c r="F34" s="350">
        <v>218446000000</v>
      </c>
      <c r="G34" s="234">
        <f>F34/C34</f>
        <v>1.1518763120736588</v>
      </c>
      <c r="H34" s="242">
        <f>C34*G34</f>
        <v>218446000000</v>
      </c>
      <c r="I34" s="243"/>
      <c r="J34" s="243"/>
      <c r="K34" s="243"/>
      <c r="L34" s="243"/>
      <c r="M34" s="214"/>
      <c r="N34" s="240">
        <v>2020</v>
      </c>
      <c r="O34" s="244"/>
      <c r="P34" s="245"/>
      <c r="Q34" s="245"/>
      <c r="R34" s="245"/>
      <c r="S34" s="245"/>
      <c r="T34" s="245"/>
      <c r="U34" s="245"/>
      <c r="V34" s="245"/>
      <c r="W34" s="245"/>
      <c r="X34" s="245"/>
      <c r="Y34" s="245"/>
      <c r="Z34" s="245"/>
      <c r="AA34" s="245"/>
      <c r="AB34" s="239"/>
      <c r="AC34" s="245"/>
      <c r="AD34" s="245"/>
      <c r="AE34" s="245"/>
      <c r="AF34" s="245"/>
      <c r="AG34" s="245"/>
      <c r="AH34" s="245"/>
      <c r="AI34" s="239"/>
      <c r="AJ34" s="47"/>
      <c r="AK34" s="47"/>
      <c r="AL34" s="47"/>
      <c r="AM34" s="47"/>
      <c r="AN34" s="47"/>
      <c r="AO34" s="47"/>
      <c r="AP34" s="47"/>
      <c r="AQ34" s="47"/>
      <c r="AR34" s="47"/>
      <c r="AS34" s="47"/>
      <c r="AT34" s="47"/>
      <c r="AU34" s="47"/>
      <c r="AV34" s="47"/>
      <c r="AW34" s="47"/>
      <c r="AX34" s="47"/>
      <c r="AY34" s="47"/>
      <c r="AZ34" s="47"/>
      <c r="BA34" s="47"/>
      <c r="BB34" s="47"/>
      <c r="BC34" s="47"/>
      <c r="BD34" s="47"/>
      <c r="BE34" s="47"/>
      <c r="BF34" s="47"/>
      <c r="BG34" s="47"/>
      <c r="BH34" s="47"/>
      <c r="BI34" s="47"/>
      <c r="BJ34" s="47"/>
      <c r="BK34" s="47"/>
      <c r="BL34" s="47"/>
      <c r="BM34" s="47"/>
      <c r="BN34" s="47"/>
    </row>
    <row r="35" spans="1:66" ht="15.6" customHeight="1" x14ac:dyDescent="0.3">
      <c r="A35" s="214"/>
      <c r="B35" s="232">
        <v>2021</v>
      </c>
      <c r="C35" s="241">
        <f>E22</f>
        <v>200068727539.46033</v>
      </c>
      <c r="D35" s="386">
        <v>2508102</v>
      </c>
      <c r="E35" s="259">
        <f t="shared" si="7"/>
        <v>9.2555645663533621</v>
      </c>
      <c r="F35" s="350">
        <v>232139000000</v>
      </c>
      <c r="G35" s="234">
        <f>F35/C35</f>
        <v>1.1602962784586828</v>
      </c>
      <c r="H35" s="242">
        <f>C35*G35</f>
        <v>232139000000</v>
      </c>
      <c r="I35" s="243"/>
      <c r="J35" s="243"/>
      <c r="K35" s="243"/>
      <c r="L35" s="243"/>
      <c r="M35" s="214"/>
      <c r="N35" s="232">
        <v>2021</v>
      </c>
      <c r="O35" s="244"/>
      <c r="P35" s="246"/>
      <c r="Q35" s="246"/>
      <c r="R35" s="246"/>
      <c r="S35" s="246"/>
      <c r="T35" s="246"/>
      <c r="U35" s="246"/>
      <c r="V35" s="247"/>
      <c r="W35" s="247"/>
      <c r="X35" s="247"/>
      <c r="Y35" s="247"/>
      <c r="Z35" s="247"/>
      <c r="AA35" s="247"/>
      <c r="AB35" s="214"/>
      <c r="AC35" s="246"/>
      <c r="AD35" s="246"/>
      <c r="AE35" s="246"/>
      <c r="AF35" s="246"/>
      <c r="AG35" s="246"/>
      <c r="AH35" s="247"/>
      <c r="AI35" s="214"/>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row>
    <row r="36" spans="1:66" ht="15.6" customHeight="1" x14ac:dyDescent="0.3">
      <c r="A36" s="214"/>
      <c r="B36" s="240">
        <v>2022</v>
      </c>
      <c r="C36" s="248">
        <f>F22</f>
        <v>209771391529.53387</v>
      </c>
      <c r="D36" s="386">
        <v>2655435</v>
      </c>
      <c r="E36" s="259">
        <f t="shared" si="7"/>
        <v>9.5838158343171642</v>
      </c>
      <c r="F36" s="350">
        <v>254492000000</v>
      </c>
      <c r="G36" s="234">
        <f>F36/C36</f>
        <v>1.213187356695252</v>
      </c>
      <c r="H36" s="242">
        <f>C36*G36</f>
        <v>254491999999.99997</v>
      </c>
      <c r="I36" s="249"/>
      <c r="J36" s="249"/>
      <c r="K36" s="249"/>
      <c r="L36" s="249"/>
      <c r="M36" s="214"/>
      <c r="N36" s="240">
        <v>2022</v>
      </c>
      <c r="O36" s="250"/>
      <c r="P36" s="225"/>
      <c r="Q36" s="225"/>
      <c r="R36" s="225"/>
      <c r="S36" s="225"/>
      <c r="T36" s="225"/>
      <c r="U36" s="225"/>
      <c r="V36" s="225"/>
      <c r="W36" s="225"/>
      <c r="X36" s="225"/>
      <c r="Y36" s="225"/>
      <c r="Z36" s="225"/>
      <c r="AA36" s="225"/>
      <c r="AB36" s="214"/>
      <c r="AC36" s="225"/>
      <c r="AD36" s="225"/>
      <c r="AE36" s="225"/>
      <c r="AF36" s="225"/>
      <c r="AG36" s="225"/>
      <c r="AH36" s="225"/>
      <c r="AI36" s="214"/>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row>
    <row r="37" spans="1:66" ht="15.6" customHeight="1" x14ac:dyDescent="0.3">
      <c r="A37" s="214"/>
      <c r="B37" s="232">
        <v>2023</v>
      </c>
      <c r="C37" s="251">
        <f>G22</f>
        <v>215987284730.20807</v>
      </c>
      <c r="D37" s="386">
        <v>2822455</v>
      </c>
      <c r="E37" s="259">
        <f>(F37/1000000/D37)*100</f>
        <v>9.3067914280298538</v>
      </c>
      <c r="F37" s="350">
        <v>262680000000</v>
      </c>
      <c r="G37" s="234">
        <f>F37/C37</f>
        <v>1.2161827041259223</v>
      </c>
      <c r="H37" s="242">
        <f>C37*G37</f>
        <v>262679999999.99997</v>
      </c>
      <c r="I37" s="235">
        <f>H22*$G37</f>
        <v>282896886374.43811</v>
      </c>
      <c r="J37" s="235">
        <f>I22*$G37</f>
        <v>266822715643.54922</v>
      </c>
      <c r="K37" s="235">
        <f>J22*$G37</f>
        <v>264786636009.56793</v>
      </c>
      <c r="L37" s="235">
        <f>K22*$G37</f>
        <v>258934630143.92072</v>
      </c>
      <c r="M37" s="412">
        <f>AK22*$G37</f>
        <v>267482486276.86935</v>
      </c>
      <c r="N37" s="232">
        <v>2023</v>
      </c>
      <c r="O37" s="252">
        <f>G37</f>
        <v>1.2161827041259223</v>
      </c>
      <c r="P37" s="253">
        <f>($H37-J37)/1000000</f>
        <v>-4142.7156435492552</v>
      </c>
      <c r="Q37" s="253">
        <f>($H37-K37)/1000000</f>
        <v>-2106.6360095679624</v>
      </c>
      <c r="R37" s="253">
        <f>($H37-L37)/1000000</f>
        <v>3745.3698560792541</v>
      </c>
      <c r="S37" s="253">
        <f>AVERAGE(P37:R37)</f>
        <v>-834.66059901265442</v>
      </c>
      <c r="T37" s="253">
        <f t="shared" ref="T37:V37" si="8">($I37-J37)/1000000</f>
        <v>16074.170730888885</v>
      </c>
      <c r="U37" s="253">
        <f t="shared" si="8"/>
        <v>18110.250364870179</v>
      </c>
      <c r="V37" s="253">
        <f t="shared" si="8"/>
        <v>23962.256230517396</v>
      </c>
      <c r="W37" s="253">
        <f>AVERAGE(T37:V37)</f>
        <v>19382.225775425486</v>
      </c>
      <c r="X37" s="254">
        <f>(T37-P37)/T37</f>
        <v>1.2577249994980095</v>
      </c>
      <c r="Y37" s="254">
        <f>(U37-Q37)/U37</f>
        <v>1.1163228540260473</v>
      </c>
      <c r="Z37" s="254">
        <f>(V37-R37)/V37</f>
        <v>0.84369711182249618</v>
      </c>
      <c r="AA37" s="254">
        <f>AVERAGE(X37:Z37)</f>
        <v>1.0725816551155176</v>
      </c>
      <c r="AB37" s="214"/>
      <c r="AC37" s="351">
        <f>P37/$D37</f>
        <v>-1.467770307604286E-3</v>
      </c>
      <c r="AD37" s="351">
        <f>Q37/$D37</f>
        <v>-7.4638426815235763E-4</v>
      </c>
      <c r="AE37" s="351">
        <f>R37/$D37</f>
        <v>1.3269901047418839E-3</v>
      </c>
      <c r="AF37" s="351">
        <f>T37/$D37</f>
        <v>5.6951025723665696E-3</v>
      </c>
      <c r="AG37" s="351">
        <f>U37/$D37</f>
        <v>6.4164886118184983E-3</v>
      </c>
      <c r="AH37" s="351">
        <f>V37/$D37</f>
        <v>8.4898629847127392E-3</v>
      </c>
      <c r="AI37" s="214"/>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row>
    <row r="38" spans="1:66" ht="15.6" customHeight="1" x14ac:dyDescent="0.3">
      <c r="A38" s="214"/>
      <c r="B38" s="240">
        <v>2024</v>
      </c>
      <c r="C38" s="255"/>
      <c r="D38" s="256"/>
      <c r="E38" s="256"/>
      <c r="F38" s="256"/>
      <c r="G38" s="257"/>
      <c r="H38" s="256"/>
      <c r="I38" s="249"/>
      <c r="J38" s="249"/>
      <c r="K38" s="249"/>
      <c r="L38" s="249"/>
      <c r="M38" s="214"/>
      <c r="N38" s="240">
        <v>2024</v>
      </c>
      <c r="O38" s="250"/>
      <c r="P38" s="225"/>
      <c r="Q38" s="225"/>
      <c r="R38" s="225"/>
      <c r="S38" s="225"/>
      <c r="T38" s="258"/>
      <c r="U38" s="258"/>
      <c r="V38" s="258"/>
      <c r="W38" s="258"/>
      <c r="X38" s="225"/>
      <c r="Y38" s="225"/>
      <c r="Z38" s="225"/>
      <c r="AA38" s="225"/>
      <c r="AB38" s="214"/>
      <c r="AC38" s="353"/>
      <c r="AD38" s="353"/>
      <c r="AE38" s="353"/>
      <c r="AF38" s="354"/>
      <c r="AG38" s="354"/>
      <c r="AH38" s="354"/>
      <c r="AI38" s="214"/>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row>
    <row r="39" spans="1:66" ht="15.6" customHeight="1" x14ac:dyDescent="0.3">
      <c r="A39" s="214"/>
      <c r="B39" s="232">
        <v>2025</v>
      </c>
      <c r="C39" s="255"/>
      <c r="D39" s="256"/>
      <c r="E39" s="256"/>
      <c r="F39" s="256"/>
      <c r="G39" s="257"/>
      <c r="H39" s="256"/>
      <c r="I39" s="249"/>
      <c r="J39" s="249"/>
      <c r="K39" s="249"/>
      <c r="L39" s="249"/>
      <c r="M39" s="214"/>
      <c r="N39" s="232">
        <v>2025</v>
      </c>
      <c r="O39" s="250"/>
      <c r="P39" s="225"/>
      <c r="Q39" s="225"/>
      <c r="R39" s="225"/>
      <c r="S39" s="225"/>
      <c r="T39" s="258"/>
      <c r="U39" s="258"/>
      <c r="V39" s="258"/>
      <c r="W39" s="258"/>
      <c r="X39" s="225"/>
      <c r="Y39" s="225"/>
      <c r="Z39" s="225"/>
      <c r="AA39" s="225"/>
      <c r="AB39" s="214"/>
      <c r="AC39" s="353"/>
      <c r="AD39" s="353"/>
      <c r="AE39" s="353"/>
      <c r="AF39" s="354"/>
      <c r="AG39" s="354"/>
      <c r="AH39" s="354"/>
      <c r="AI39" s="214"/>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row>
    <row r="40" spans="1:66" ht="15.6" customHeight="1" x14ac:dyDescent="0.3">
      <c r="A40" s="214"/>
      <c r="B40" s="240">
        <v>2026</v>
      </c>
      <c r="C40" s="251"/>
      <c r="D40" s="256"/>
      <c r="E40" s="256"/>
      <c r="F40" s="256"/>
      <c r="G40" s="259"/>
      <c r="H40" s="256"/>
      <c r="I40" s="235"/>
      <c r="J40" s="235"/>
      <c r="K40" s="235"/>
      <c r="L40" s="235"/>
      <c r="M40" s="214"/>
      <c r="N40" s="240">
        <v>2026</v>
      </c>
      <c r="O40" s="252"/>
      <c r="P40" s="225"/>
      <c r="Q40" s="225"/>
      <c r="R40" s="225"/>
      <c r="S40" s="225"/>
      <c r="T40" s="253"/>
      <c r="U40" s="253"/>
      <c r="V40" s="253"/>
      <c r="W40" s="253"/>
      <c r="X40" s="225"/>
      <c r="Y40" s="225"/>
      <c r="Z40" s="225"/>
      <c r="AA40" s="225"/>
      <c r="AB40" s="214"/>
      <c r="AC40" s="353"/>
      <c r="AD40" s="353"/>
      <c r="AE40" s="353"/>
      <c r="AF40" s="351"/>
      <c r="AG40" s="351"/>
      <c r="AH40" s="351"/>
      <c r="AI40" s="214"/>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row>
    <row r="41" spans="1:66" ht="12.6" customHeight="1" x14ac:dyDescent="0.3">
      <c r="A41" s="214"/>
      <c r="B41" s="214"/>
      <c r="C41" s="214"/>
      <c r="D41" s="214"/>
      <c r="E41" s="214"/>
      <c r="F41" s="214"/>
      <c r="G41" s="214"/>
      <c r="H41" s="214"/>
      <c r="I41" s="260"/>
      <c r="J41" s="214"/>
      <c r="K41" s="214"/>
      <c r="L41" s="214"/>
      <c r="M41" s="214"/>
      <c r="N41" s="214"/>
      <c r="O41" s="214"/>
      <c r="P41" s="214"/>
      <c r="Q41" s="214"/>
      <c r="R41" s="214"/>
      <c r="S41" s="214"/>
      <c r="T41" s="260"/>
      <c r="U41" s="214"/>
      <c r="V41" s="214"/>
      <c r="W41" s="214"/>
      <c r="X41" s="413" t="s">
        <v>190</v>
      </c>
      <c r="Y41" s="414"/>
      <c r="Z41" s="414"/>
      <c r="AA41" s="415"/>
      <c r="AB41" s="214"/>
      <c r="AC41" s="214"/>
      <c r="AD41" s="214"/>
      <c r="AE41" s="214"/>
      <c r="AF41" s="260"/>
      <c r="AG41" s="214"/>
      <c r="AH41" s="214"/>
      <c r="AI41" s="214"/>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row>
    <row r="42" spans="1:66" ht="12.6" customHeight="1" x14ac:dyDescent="0.3">
      <c r="A42" s="214"/>
      <c r="B42" s="214"/>
      <c r="C42" s="214"/>
      <c r="D42" s="214"/>
      <c r="E42" s="214"/>
      <c r="F42" s="214"/>
      <c r="G42" s="214"/>
      <c r="H42" s="214"/>
      <c r="I42" s="214"/>
      <c r="J42" s="214"/>
      <c r="K42" s="214"/>
      <c r="L42" s="214"/>
      <c r="M42" s="214"/>
      <c r="N42" s="214"/>
      <c r="O42" s="214"/>
      <c r="P42" s="214"/>
      <c r="Q42" s="214"/>
      <c r="R42" s="214"/>
      <c r="S42" s="214"/>
      <c r="T42" s="214"/>
      <c r="U42" s="214"/>
      <c r="V42" s="214"/>
      <c r="W42" s="416">
        <v>2023</v>
      </c>
      <c r="X42" s="417">
        <f>(($M37-$H37)/1000000)/T37</f>
        <v>0.2987703911618097</v>
      </c>
      <c r="Y42" s="417">
        <f t="shared" ref="Y42:Z42" si="9">(($M37-$H37)/1000000)/U37</f>
        <v>0.26518055687320208</v>
      </c>
      <c r="Z42" s="417">
        <f t="shared" si="9"/>
        <v>0.20041878488692252</v>
      </c>
      <c r="AA42" s="417">
        <f>AVERAGE(X42:Z42)</f>
        <v>0.25478991097397813</v>
      </c>
      <c r="AB42" s="214"/>
      <c r="AC42" s="214"/>
      <c r="AD42" s="214"/>
      <c r="AE42" s="214"/>
      <c r="AF42" s="214"/>
      <c r="AG42" s="214"/>
      <c r="AH42" s="214"/>
      <c r="AI42" s="214"/>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row>
    <row r="43" spans="1:66" ht="12.6" customHeight="1" thickBot="1" x14ac:dyDescent="0.35">
      <c r="A43" s="214"/>
      <c r="B43" s="214"/>
      <c r="C43" s="214"/>
      <c r="D43" s="214"/>
      <c r="E43" s="214"/>
      <c r="F43" s="214"/>
      <c r="G43" s="214"/>
      <c r="H43" s="214"/>
      <c r="I43" s="214"/>
      <c r="J43" s="214"/>
      <c r="K43" s="214"/>
      <c r="L43" s="214"/>
      <c r="M43" s="214"/>
      <c r="N43" s="214"/>
      <c r="O43" s="214"/>
      <c r="P43" s="214"/>
      <c r="Q43" s="214"/>
      <c r="R43" s="214"/>
      <c r="S43" s="214"/>
      <c r="T43" s="214"/>
      <c r="U43" s="214"/>
      <c r="V43" s="214"/>
      <c r="W43" s="214"/>
      <c r="X43" s="214"/>
      <c r="Y43" s="214"/>
      <c r="Z43" s="214"/>
      <c r="AA43" s="214"/>
      <c r="AB43" s="214"/>
      <c r="AC43" s="214"/>
      <c r="AD43" s="214"/>
      <c r="AE43" s="214"/>
      <c r="AF43" s="214"/>
      <c r="AG43" s="214"/>
      <c r="AH43" s="214"/>
      <c r="AI43" s="214"/>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row>
    <row r="44" spans="1:66" ht="18" customHeight="1" thickBot="1" x14ac:dyDescent="0.35">
      <c r="A44" s="214"/>
      <c r="B44" s="216" t="s">
        <v>191</v>
      </c>
      <c r="C44" s="221"/>
      <c r="D44" s="222" t="s">
        <v>160</v>
      </c>
      <c r="E44" s="223"/>
      <c r="F44" s="224" t="s">
        <v>161</v>
      </c>
      <c r="G44" s="222"/>
      <c r="H44" s="222"/>
      <c r="I44" s="222"/>
      <c r="J44" s="223"/>
      <c r="K44" s="214"/>
      <c r="L44" s="214"/>
      <c r="M44" s="214"/>
      <c r="N44" s="214"/>
      <c r="O44" s="214"/>
      <c r="P44" s="214"/>
      <c r="Q44" s="214"/>
      <c r="R44" s="214"/>
      <c r="S44" s="214"/>
      <c r="T44" s="214"/>
      <c r="U44" s="216" t="s">
        <v>192</v>
      </c>
      <c r="V44" s="221"/>
      <c r="W44" s="222" t="s">
        <v>160</v>
      </c>
      <c r="X44" s="223"/>
      <c r="Y44" s="224" t="s">
        <v>161</v>
      </c>
      <c r="Z44" s="222"/>
      <c r="AA44" s="222"/>
      <c r="AB44" s="222"/>
      <c r="AC44" s="223"/>
      <c r="AD44" s="214"/>
      <c r="AE44" s="214"/>
      <c r="AF44" s="214"/>
      <c r="AG44" s="214"/>
      <c r="AH44" s="214"/>
      <c r="AI44" s="214"/>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row>
    <row r="45" spans="1:66" ht="42" customHeight="1" x14ac:dyDescent="0.3">
      <c r="A45" s="214"/>
      <c r="B45" s="227"/>
      <c r="C45" s="231" t="s">
        <v>193</v>
      </c>
      <c r="D45" s="228" t="s">
        <v>194</v>
      </c>
      <c r="E45" s="228" t="s">
        <v>170</v>
      </c>
      <c r="F45" s="229" t="s">
        <v>195</v>
      </c>
      <c r="G45" s="229" t="s">
        <v>196</v>
      </c>
      <c r="H45" s="261" t="s">
        <v>197</v>
      </c>
      <c r="I45" s="261" t="s">
        <v>198</v>
      </c>
      <c r="J45" s="261" t="s">
        <v>199</v>
      </c>
      <c r="K45" s="411" t="s">
        <v>176</v>
      </c>
      <c r="L45" s="214"/>
      <c r="M45" s="214"/>
      <c r="N45" s="214"/>
      <c r="O45" s="214"/>
      <c r="P45" s="214"/>
      <c r="Q45" s="214"/>
      <c r="R45" s="214"/>
      <c r="S45" s="214"/>
      <c r="T45" s="214"/>
      <c r="U45" s="227"/>
      <c r="V45" s="231" t="s">
        <v>193</v>
      </c>
      <c r="W45" s="228" t="s">
        <v>194</v>
      </c>
      <c r="X45" s="228" t="s">
        <v>170</v>
      </c>
      <c r="Y45" s="229" t="s">
        <v>195</v>
      </c>
      <c r="Z45" s="229" t="s">
        <v>196</v>
      </c>
      <c r="AA45" s="261" t="s">
        <v>197</v>
      </c>
      <c r="AB45" s="261" t="s">
        <v>198</v>
      </c>
      <c r="AC45" s="261" t="s">
        <v>199</v>
      </c>
      <c r="AD45" s="214"/>
      <c r="AE45" s="214"/>
      <c r="AF45" s="214"/>
      <c r="AG45" s="214"/>
      <c r="AH45" s="214"/>
      <c r="AI45" s="214"/>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row>
    <row r="46" spans="1:66" ht="15" customHeight="1" x14ac:dyDescent="0.3">
      <c r="A46" s="214"/>
      <c r="B46" s="232">
        <v>2019</v>
      </c>
      <c r="C46" s="262">
        <f>C33/1000000</f>
        <v>201026.96762887744</v>
      </c>
      <c r="D46" s="263">
        <f>F33/1000000</f>
        <v>224304</v>
      </c>
      <c r="E46" s="264"/>
      <c r="F46" s="262">
        <f>H33/1000000</f>
        <v>224304</v>
      </c>
      <c r="G46" s="264"/>
      <c r="H46" s="264"/>
      <c r="I46" s="264"/>
      <c r="J46" s="264"/>
      <c r="K46" s="214"/>
      <c r="L46" s="214"/>
      <c r="M46" s="214"/>
      <c r="N46" s="214"/>
      <c r="O46" s="214"/>
      <c r="P46" s="214"/>
      <c r="Q46" s="214"/>
      <c r="R46" s="214"/>
      <c r="S46" s="214"/>
      <c r="T46" s="214"/>
      <c r="U46" s="232">
        <v>2019</v>
      </c>
      <c r="V46" s="355">
        <f>C33/1000000/D33</f>
        <v>8.2652080036311651E-2</v>
      </c>
      <c r="W46" s="355">
        <f>F33/(D33*1000000)</f>
        <v>9.2222413635023662E-2</v>
      </c>
      <c r="X46" s="264"/>
      <c r="Y46" s="355">
        <f>H33/($D33*1000000)</f>
        <v>9.2222413635023662E-2</v>
      </c>
      <c r="Z46" s="355"/>
      <c r="AA46" s="355"/>
      <c r="AB46" s="355"/>
      <c r="AC46" s="355"/>
      <c r="AD46" s="214"/>
      <c r="AE46" s="214"/>
      <c r="AF46" s="214"/>
      <c r="AG46" s="214"/>
      <c r="AH46" s="214"/>
      <c r="AI46" s="214"/>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row>
    <row r="47" spans="1:66" ht="15" customHeight="1" x14ac:dyDescent="0.3">
      <c r="A47" s="214"/>
      <c r="B47" s="240">
        <v>2020</v>
      </c>
      <c r="C47" s="262">
        <f t="shared" ref="C47:C49" si="10">C34/1000000</f>
        <v>189643.62554408627</v>
      </c>
      <c r="D47" s="263">
        <f>F34/1000000</f>
        <v>218446</v>
      </c>
      <c r="E47" s="264"/>
      <c r="F47" s="264"/>
      <c r="G47" s="264"/>
      <c r="H47" s="264"/>
      <c r="I47" s="264"/>
      <c r="J47" s="264"/>
      <c r="K47" s="214"/>
      <c r="L47" s="214"/>
      <c r="M47" s="214"/>
      <c r="N47" s="214"/>
      <c r="O47" s="214"/>
      <c r="P47" s="214"/>
      <c r="Q47" s="214"/>
      <c r="R47" s="214"/>
      <c r="S47" s="214"/>
      <c r="T47" s="214"/>
      <c r="U47" s="240">
        <v>2020</v>
      </c>
      <c r="V47" s="355">
        <f t="shared" ref="V47:V50" si="11">C34/1000000/D34</f>
        <v>8.1803730679214329E-2</v>
      </c>
      <c r="W47" s="355">
        <f t="shared" ref="W47:W50" si="12">F34/(D34*1000000)</f>
        <v>9.4227779608640219E-2</v>
      </c>
      <c r="X47" s="264"/>
      <c r="Y47" s="355"/>
      <c r="Z47" s="355"/>
      <c r="AA47" s="355"/>
      <c r="AB47" s="355"/>
      <c r="AC47" s="355"/>
      <c r="AD47" s="214"/>
      <c r="AE47" s="214"/>
      <c r="AF47" s="214"/>
      <c r="AG47" s="214"/>
      <c r="AH47" s="214"/>
      <c r="AI47" s="214"/>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row>
    <row r="48" spans="1:66" ht="15" customHeight="1" x14ac:dyDescent="0.3">
      <c r="A48" s="214"/>
      <c r="B48" s="232">
        <v>2021</v>
      </c>
      <c r="C48" s="262">
        <f t="shared" si="10"/>
        <v>200068.72753946032</v>
      </c>
      <c r="D48" s="263">
        <f>F35/1000000</f>
        <v>232139</v>
      </c>
      <c r="E48" s="264"/>
      <c r="F48" s="264"/>
      <c r="G48" s="264"/>
      <c r="H48" s="264"/>
      <c r="I48" s="264"/>
      <c r="J48" s="264"/>
      <c r="K48" s="214"/>
      <c r="L48" s="214"/>
      <c r="M48" s="214"/>
      <c r="N48" s="214"/>
      <c r="O48" s="214"/>
      <c r="P48" s="214"/>
      <c r="Q48" s="214"/>
      <c r="R48" s="214"/>
      <c r="S48" s="214"/>
      <c r="T48" s="214"/>
      <c r="U48" s="232">
        <v>2021</v>
      </c>
      <c r="V48" s="355">
        <f t="shared" si="11"/>
        <v>7.9768975719273105E-2</v>
      </c>
      <c r="W48" s="355">
        <f t="shared" si="12"/>
        <v>9.2555645663533623E-2</v>
      </c>
      <c r="X48" s="264"/>
      <c r="Y48" s="355"/>
      <c r="Z48" s="355"/>
      <c r="AA48" s="355"/>
      <c r="AB48" s="355"/>
      <c r="AC48" s="355"/>
      <c r="AD48" s="214"/>
      <c r="AE48" s="214"/>
      <c r="AF48" s="214"/>
      <c r="AG48" s="214"/>
      <c r="AH48" s="214"/>
      <c r="AI48" s="214"/>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row>
    <row r="49" spans="1:66" ht="15" customHeight="1" x14ac:dyDescent="0.3">
      <c r="A49" s="214"/>
      <c r="B49" s="240">
        <v>2022</v>
      </c>
      <c r="C49" s="262">
        <f t="shared" si="10"/>
        <v>209771.39152953387</v>
      </c>
      <c r="D49" s="263">
        <f>F36/1000000</f>
        <v>254492</v>
      </c>
      <c r="E49" s="264"/>
      <c r="F49" s="264"/>
      <c r="G49" s="264"/>
      <c r="H49" s="264"/>
      <c r="I49" s="264"/>
      <c r="J49" s="264"/>
      <c r="K49" s="214"/>
      <c r="L49" s="214"/>
      <c r="M49" s="214"/>
      <c r="N49" s="214"/>
      <c r="O49" s="214"/>
      <c r="P49" s="214"/>
      <c r="Q49" s="214"/>
      <c r="R49" s="214"/>
      <c r="S49" s="214"/>
      <c r="T49" s="214"/>
      <c r="U49" s="240">
        <v>2022</v>
      </c>
      <c r="V49" s="355">
        <f t="shared" si="11"/>
        <v>7.8996997301584812E-2</v>
      </c>
      <c r="W49" s="355">
        <f t="shared" si="12"/>
        <v>9.583815834317165E-2</v>
      </c>
      <c r="X49" s="264"/>
      <c r="Y49" s="355"/>
      <c r="Z49" s="355"/>
      <c r="AA49" s="355"/>
      <c r="AB49" s="355"/>
      <c r="AC49" s="355"/>
      <c r="AD49" s="214"/>
      <c r="AE49" s="214"/>
      <c r="AF49" s="214"/>
      <c r="AG49" s="214"/>
      <c r="AH49" s="214"/>
      <c r="AI49" s="214"/>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row>
    <row r="50" spans="1:66" ht="15" customHeight="1" x14ac:dyDescent="0.3">
      <c r="A50" s="214"/>
      <c r="B50" s="232">
        <v>2023</v>
      </c>
      <c r="C50" s="262">
        <f>C37/1000000</f>
        <v>215987.28473020808</v>
      </c>
      <c r="D50" s="263">
        <f>F37/1000000</f>
        <v>262680</v>
      </c>
      <c r="E50" s="264"/>
      <c r="F50" s="262">
        <f t="shared" ref="F50:K50" si="13">H37/1000000</f>
        <v>262679.99999999994</v>
      </c>
      <c r="G50" s="262">
        <f t="shared" si="13"/>
        <v>282896.88637443812</v>
      </c>
      <c r="H50" s="262">
        <f t="shared" si="13"/>
        <v>266822.71564354922</v>
      </c>
      <c r="I50" s="262">
        <f t="shared" si="13"/>
        <v>264786.63600956794</v>
      </c>
      <c r="J50" s="262">
        <f t="shared" si="13"/>
        <v>258934.63014392072</v>
      </c>
      <c r="K50" s="418">
        <f t="shared" si="13"/>
        <v>267482.48627686937</v>
      </c>
      <c r="L50" s="214"/>
      <c r="M50" s="214"/>
      <c r="N50" s="214"/>
      <c r="O50" s="214"/>
      <c r="P50" s="214"/>
      <c r="Q50" s="214"/>
      <c r="R50" s="214"/>
      <c r="S50" s="214"/>
      <c r="T50" s="214"/>
      <c r="U50" s="232">
        <v>2023</v>
      </c>
      <c r="V50" s="355">
        <f t="shared" si="11"/>
        <v>7.6524615885889435E-2</v>
      </c>
      <c r="W50" s="355">
        <f t="shared" si="12"/>
        <v>9.3067914280298536E-2</v>
      </c>
      <c r="X50" s="264"/>
      <c r="Y50" s="355">
        <f>H37/($D37*1000000)</f>
        <v>9.3067914280298522E-2</v>
      </c>
      <c r="Z50" s="355">
        <f t="shared" ref="Z50:AC50" si="14">I37/($D37*1000000)</f>
        <v>0.10023078716026938</v>
      </c>
      <c r="AA50" s="355">
        <f t="shared" si="14"/>
        <v>9.4535684587902805E-2</v>
      </c>
      <c r="AB50" s="355">
        <f t="shared" si="14"/>
        <v>9.3814298548450886E-2</v>
      </c>
      <c r="AC50" s="355">
        <f t="shared" si="14"/>
        <v>9.174092417555664E-2</v>
      </c>
      <c r="AD50" s="214"/>
      <c r="AE50" s="214"/>
      <c r="AF50" s="214"/>
      <c r="AG50" s="214"/>
      <c r="AH50" s="214"/>
      <c r="AI50" s="214"/>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row>
    <row r="51" spans="1:66" ht="15" customHeight="1" x14ac:dyDescent="0.3">
      <c r="A51" s="214"/>
      <c r="B51" s="240">
        <v>2024</v>
      </c>
      <c r="C51" s="264"/>
      <c r="D51" s="264"/>
      <c r="E51" s="264"/>
      <c r="F51" s="264"/>
      <c r="G51" s="264"/>
      <c r="H51" s="264"/>
      <c r="I51" s="264"/>
      <c r="J51" s="264"/>
      <c r="K51" s="214"/>
      <c r="L51" s="214"/>
      <c r="M51" s="214"/>
      <c r="N51" s="214"/>
      <c r="O51" s="214"/>
      <c r="P51" s="214"/>
      <c r="Q51" s="214"/>
      <c r="R51" s="214"/>
      <c r="S51" s="214"/>
      <c r="T51" s="214"/>
      <c r="U51" s="240">
        <v>2024</v>
      </c>
      <c r="V51" s="264"/>
      <c r="W51" s="264"/>
      <c r="X51" s="264"/>
      <c r="Y51" s="355"/>
      <c r="Z51" s="355"/>
      <c r="AA51" s="355"/>
      <c r="AB51" s="355"/>
      <c r="AC51" s="355"/>
      <c r="AD51" s="214"/>
      <c r="AE51" s="214"/>
      <c r="AF51" s="214"/>
      <c r="AG51" s="214"/>
      <c r="AH51" s="214"/>
      <c r="AI51" s="214"/>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row>
    <row r="52" spans="1:66" ht="15" customHeight="1" x14ac:dyDescent="0.3">
      <c r="A52" s="214"/>
      <c r="B52" s="232">
        <v>2025</v>
      </c>
      <c r="C52" s="264"/>
      <c r="D52" s="264"/>
      <c r="E52" s="264"/>
      <c r="F52" s="264"/>
      <c r="G52" s="264"/>
      <c r="H52" s="264"/>
      <c r="I52" s="264"/>
      <c r="J52" s="264"/>
      <c r="K52" s="214"/>
      <c r="L52" s="214"/>
      <c r="M52" s="214"/>
      <c r="N52" s="214"/>
      <c r="O52" s="214"/>
      <c r="P52" s="214"/>
      <c r="Q52" s="214"/>
      <c r="R52" s="214"/>
      <c r="S52" s="214"/>
      <c r="T52" s="214"/>
      <c r="U52" s="232">
        <v>2025</v>
      </c>
      <c r="V52" s="264"/>
      <c r="W52" s="264"/>
      <c r="X52" s="264"/>
      <c r="Y52" s="355"/>
      <c r="Z52" s="355"/>
      <c r="AA52" s="355"/>
      <c r="AB52" s="355"/>
      <c r="AC52" s="355"/>
      <c r="AD52" s="214"/>
      <c r="AE52" s="214"/>
      <c r="AF52" s="214"/>
      <c r="AG52" s="214"/>
      <c r="AH52" s="214"/>
      <c r="AI52" s="214"/>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row>
    <row r="53" spans="1:66" ht="15" customHeight="1" x14ac:dyDescent="0.3">
      <c r="A53" s="214"/>
      <c r="B53" s="240">
        <v>2026</v>
      </c>
      <c r="C53" s="262"/>
      <c r="D53" s="264"/>
      <c r="E53" s="264"/>
      <c r="F53" s="264"/>
      <c r="G53" s="262"/>
      <c r="H53" s="262"/>
      <c r="I53" s="262"/>
      <c r="J53" s="262"/>
      <c r="K53" s="214"/>
      <c r="L53" s="214"/>
      <c r="M53" s="214"/>
      <c r="N53" s="214"/>
      <c r="O53" s="214"/>
      <c r="P53" s="214"/>
      <c r="Q53" s="214"/>
      <c r="R53" s="214"/>
      <c r="S53" s="214"/>
      <c r="T53" s="214"/>
      <c r="U53" s="240">
        <v>2026</v>
      </c>
      <c r="V53" s="262"/>
      <c r="W53" s="264"/>
      <c r="X53" s="264"/>
      <c r="Y53" s="355"/>
      <c r="Z53" s="355"/>
      <c r="AA53" s="355"/>
      <c r="AB53" s="355"/>
      <c r="AC53" s="355"/>
      <c r="AD53" s="214"/>
      <c r="AE53" s="214"/>
      <c r="AF53" s="214"/>
      <c r="AG53" s="214"/>
      <c r="AH53" s="214"/>
      <c r="AI53" s="214"/>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row>
    <row r="54" spans="1:66" ht="12.6" customHeight="1" x14ac:dyDescent="0.3">
      <c r="A54" s="214"/>
      <c r="B54" s="214"/>
      <c r="C54" s="214"/>
      <c r="D54" s="214"/>
      <c r="E54" s="214"/>
      <c r="F54" s="214"/>
      <c r="G54" s="214"/>
      <c r="H54" s="214"/>
      <c r="I54" s="214"/>
      <c r="J54" s="214"/>
      <c r="K54" s="214"/>
      <c r="L54" s="214"/>
      <c r="M54" s="214"/>
      <c r="N54" s="214"/>
      <c r="O54" s="214"/>
      <c r="P54" s="214"/>
      <c r="Q54" s="214"/>
      <c r="R54" s="214"/>
      <c r="S54" s="214"/>
      <c r="T54" s="214"/>
      <c r="U54" s="214"/>
      <c r="V54" s="214"/>
      <c r="W54" s="214"/>
      <c r="X54" s="214"/>
      <c r="Y54" s="214"/>
      <c r="Z54" s="214"/>
      <c r="AA54" s="214"/>
      <c r="AB54" s="214"/>
      <c r="AC54" s="214"/>
      <c r="AD54" s="214"/>
      <c r="AE54" s="214"/>
      <c r="AF54" s="214"/>
      <c r="AG54" s="214"/>
      <c r="AH54" s="214"/>
      <c r="AI54" s="214"/>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row>
    <row r="55" spans="1:66" ht="12.6" customHeight="1" x14ac:dyDescent="0.3">
      <c r="A55" s="214"/>
      <c r="B55" s="214"/>
      <c r="C55" s="214"/>
      <c r="D55" s="214"/>
      <c r="E55" s="214"/>
      <c r="F55" s="214"/>
      <c r="G55" s="214"/>
      <c r="H55" s="214"/>
      <c r="I55" s="214"/>
      <c r="J55" s="214"/>
      <c r="K55" s="214"/>
      <c r="L55" s="214"/>
      <c r="M55" s="214"/>
      <c r="N55" s="214"/>
      <c r="O55" s="214"/>
      <c r="P55" s="214"/>
      <c r="Q55" s="214"/>
      <c r="R55" s="214"/>
      <c r="S55" s="214"/>
      <c r="T55" s="214"/>
      <c r="U55" s="214"/>
      <c r="V55" s="214"/>
      <c r="W55" s="214"/>
      <c r="X55" s="214"/>
      <c r="Y55" s="214"/>
      <c r="Z55" s="214"/>
      <c r="AA55" s="214"/>
      <c r="AB55" s="214"/>
      <c r="AC55" s="214"/>
      <c r="AD55" s="214"/>
      <c r="AE55" s="214"/>
      <c r="AF55" s="214"/>
      <c r="AG55" s="214"/>
      <c r="AH55" s="214"/>
      <c r="AI55" s="214"/>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row>
    <row r="56" spans="1:66" ht="12.6" customHeight="1" x14ac:dyDescent="0.3">
      <c r="A56" s="214"/>
      <c r="B56" s="214"/>
      <c r="C56" s="214"/>
      <c r="D56" s="214"/>
      <c r="E56" s="214"/>
      <c r="F56" s="214"/>
      <c r="G56" s="214"/>
      <c r="H56" s="214"/>
      <c r="I56" s="214"/>
      <c r="J56" s="214"/>
      <c r="K56" s="214"/>
      <c r="L56" s="214"/>
      <c r="M56" s="214"/>
      <c r="N56" s="214"/>
      <c r="O56" s="214"/>
      <c r="P56" s="214"/>
      <c r="Q56" s="214"/>
      <c r="R56" s="214"/>
      <c r="S56" s="214"/>
      <c r="T56" s="214"/>
      <c r="U56" s="214"/>
      <c r="V56" s="214"/>
      <c r="W56" s="214"/>
      <c r="X56" s="214"/>
      <c r="Y56" s="214"/>
      <c r="Z56" s="214"/>
      <c r="AA56" s="214"/>
      <c r="AB56" s="214"/>
      <c r="AC56" s="214"/>
      <c r="AD56" s="214"/>
      <c r="AE56" s="214"/>
      <c r="AF56" s="214"/>
      <c r="AG56" s="214"/>
      <c r="AH56" s="214"/>
      <c r="AI56" s="214"/>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row>
    <row r="57" spans="1:66" ht="12.6" customHeight="1" x14ac:dyDescent="0.3">
      <c r="A57" s="214"/>
      <c r="B57" s="214"/>
      <c r="C57" s="214"/>
      <c r="D57" s="214"/>
      <c r="E57" s="214"/>
      <c r="F57" s="214"/>
      <c r="G57" s="214"/>
      <c r="H57" s="214"/>
      <c r="I57" s="214"/>
      <c r="J57" s="214"/>
      <c r="K57" s="214"/>
      <c r="L57" s="214"/>
      <c r="M57" s="214"/>
      <c r="N57" s="214"/>
      <c r="O57" s="214"/>
      <c r="P57" s="214"/>
      <c r="Q57" s="214"/>
      <c r="R57" s="214"/>
      <c r="S57" s="214"/>
      <c r="T57" s="214"/>
      <c r="U57" s="214"/>
      <c r="V57" s="214"/>
      <c r="W57" s="214"/>
      <c r="X57" s="214"/>
      <c r="Y57" s="214"/>
      <c r="Z57" s="214"/>
      <c r="AA57" s="214"/>
      <c r="AB57" s="214"/>
      <c r="AC57" s="214"/>
      <c r="AD57" s="214"/>
      <c r="AE57" s="214"/>
      <c r="AF57" s="214"/>
      <c r="AG57" s="214"/>
      <c r="AH57" s="214"/>
      <c r="AI57" s="214"/>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row>
    <row r="58" spans="1:66" ht="12.6" customHeight="1" x14ac:dyDescent="0.3">
      <c r="A58" s="214"/>
      <c r="B58" s="214"/>
      <c r="C58" s="214"/>
      <c r="D58" s="214"/>
      <c r="E58" s="214"/>
      <c r="F58" s="214"/>
      <c r="G58" s="214"/>
      <c r="H58" s="214"/>
      <c r="I58" s="214"/>
      <c r="J58" s="214"/>
      <c r="K58" s="214"/>
      <c r="L58" s="214"/>
      <c r="M58" s="214"/>
      <c r="N58" s="214"/>
      <c r="O58" s="214"/>
      <c r="P58" s="214"/>
      <c r="Q58" s="214"/>
      <c r="R58" s="214"/>
      <c r="S58" s="214"/>
      <c r="T58" s="214"/>
      <c r="U58" s="214"/>
      <c r="V58" s="214"/>
      <c r="W58" s="214"/>
      <c r="X58" s="214"/>
      <c r="Y58" s="214"/>
      <c r="Z58" s="214"/>
      <c r="AA58" s="214"/>
      <c r="AB58" s="214"/>
      <c r="AC58" s="214"/>
      <c r="AD58" s="214"/>
      <c r="AE58" s="214"/>
      <c r="AF58" s="214"/>
      <c r="AG58" s="214"/>
      <c r="AH58" s="214"/>
      <c r="AI58" s="214"/>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row>
    <row r="59" spans="1:66" ht="12.6"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row>
    <row r="60" spans="1:66" ht="12" customHeight="1" thickBot="1" x14ac:dyDescent="0.35">
      <c r="A60" s="98"/>
      <c r="B60" s="98"/>
      <c r="C60" s="98"/>
      <c r="D60" s="98"/>
      <c r="E60" s="98"/>
      <c r="F60" s="98"/>
      <c r="G60" s="98"/>
      <c r="H60" s="98"/>
      <c r="I60" s="98"/>
      <c r="J60" s="98"/>
      <c r="K60" s="98"/>
      <c r="L60" s="98"/>
      <c r="M60" s="98"/>
      <c r="N60" s="98"/>
      <c r="O60" s="98"/>
      <c r="P60" s="98"/>
      <c r="Q60" s="98"/>
      <c r="R60" s="98"/>
      <c r="S60" s="98"/>
      <c r="T60" s="265"/>
      <c r="U60" s="265"/>
      <c r="V60" s="265"/>
      <c r="W60" s="265"/>
      <c r="X60" s="55"/>
      <c r="Y60" s="55"/>
      <c r="Z60" s="55"/>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row>
    <row r="61" spans="1:66" ht="12" customHeight="1" thickBot="1" x14ac:dyDescent="0.35">
      <c r="A61" s="98"/>
      <c r="B61" s="266" t="s">
        <v>200</v>
      </c>
      <c r="C61" s="267"/>
      <c r="D61" s="267"/>
      <c r="E61" s="267"/>
      <c r="F61" s="267"/>
      <c r="G61" s="267"/>
      <c r="H61" s="267"/>
      <c r="I61" s="267"/>
      <c r="J61" s="267"/>
      <c r="K61" s="267"/>
      <c r="L61" s="267"/>
      <c r="M61" s="267"/>
      <c r="N61" s="267"/>
      <c r="O61" s="267"/>
      <c r="P61" s="267"/>
      <c r="Q61" s="267"/>
      <c r="R61" s="267"/>
      <c r="S61" s="267"/>
      <c r="T61" s="268"/>
      <c r="U61" s="268"/>
      <c r="V61" s="269"/>
      <c r="W61" s="265"/>
      <c r="X61" s="55"/>
      <c r="Y61" s="55"/>
      <c r="Z61" s="55"/>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row>
    <row r="62" spans="1:66" ht="21.6" customHeight="1" x14ac:dyDescent="0.3">
      <c r="A62" s="98"/>
      <c r="B62" s="270"/>
      <c r="C62" s="98"/>
      <c r="D62" s="98"/>
      <c r="E62" s="98"/>
      <c r="F62" s="98"/>
      <c r="G62" s="98"/>
      <c r="H62" s="98"/>
      <c r="I62" s="98"/>
      <c r="J62" s="98"/>
      <c r="K62" s="98"/>
      <c r="L62" s="98"/>
      <c r="M62" s="98"/>
      <c r="N62" s="98"/>
      <c r="O62" s="98"/>
      <c r="P62" s="98"/>
      <c r="Q62" s="98"/>
      <c r="R62" s="98"/>
      <c r="S62" s="98"/>
      <c r="T62" s="98"/>
      <c r="U62" s="98"/>
      <c r="V62" s="98"/>
      <c r="W62" s="98"/>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row>
    <row r="63" spans="1:66" ht="21" customHeight="1" x14ac:dyDescent="0.3">
      <c r="A63" s="98"/>
      <c r="B63" s="98"/>
      <c r="C63" s="98"/>
      <c r="D63" s="98"/>
      <c r="E63" s="98"/>
      <c r="F63" s="98"/>
      <c r="G63" s="98"/>
      <c r="H63" s="98"/>
      <c r="I63" s="98"/>
      <c r="J63" s="98"/>
      <c r="K63" s="98"/>
      <c r="L63" s="98"/>
      <c r="M63" s="98"/>
      <c r="N63" s="98"/>
      <c r="O63" s="98"/>
      <c r="P63" s="98"/>
      <c r="Q63" s="98"/>
      <c r="R63" s="98"/>
      <c r="S63" s="98"/>
      <c r="T63" s="98"/>
      <c r="U63" s="98"/>
      <c r="V63" s="98"/>
      <c r="W63" s="98"/>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row>
    <row r="64" spans="1:66" ht="42.6" customHeight="1" x14ac:dyDescent="0.3">
      <c r="A64" s="98"/>
      <c r="B64" s="356" t="s">
        <v>201</v>
      </c>
      <c r="C64" s="271" t="s">
        <v>202</v>
      </c>
      <c r="D64" s="272" t="s">
        <v>172</v>
      </c>
      <c r="E64" s="272" t="s">
        <v>173</v>
      </c>
      <c r="F64" s="273" t="s">
        <v>174</v>
      </c>
      <c r="G64" s="272" t="s">
        <v>175</v>
      </c>
      <c r="H64" s="274"/>
      <c r="I64" s="274"/>
      <c r="J64" s="274"/>
      <c r="K64" s="274"/>
      <c r="L64" s="274"/>
      <c r="M64" s="274"/>
      <c r="N64" s="274"/>
      <c r="O64" s="274"/>
      <c r="P64" s="274"/>
      <c r="Q64" s="274"/>
      <c r="R64" s="274"/>
      <c r="S64" s="274"/>
      <c r="T64" s="274"/>
      <c r="U64" s="274"/>
      <c r="V64" s="274"/>
      <c r="W64" s="98"/>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row>
    <row r="65" spans="1:66" ht="15.6" customHeight="1" x14ac:dyDescent="0.3">
      <c r="A65" s="98"/>
      <c r="B65" s="275">
        <v>2019</v>
      </c>
      <c r="C65" s="357">
        <f>C22/P22*100</f>
        <v>15.321550141464787</v>
      </c>
      <c r="D65" s="276"/>
      <c r="E65" s="276"/>
      <c r="F65" s="276"/>
      <c r="G65" s="276"/>
      <c r="H65" s="277"/>
      <c r="I65" s="277"/>
      <c r="J65" s="277"/>
      <c r="K65" s="277"/>
      <c r="L65" s="277"/>
      <c r="M65" s="277"/>
      <c r="N65" s="277"/>
      <c r="O65" s="277"/>
      <c r="P65" s="277"/>
      <c r="Q65" s="277"/>
      <c r="R65" s="277"/>
      <c r="S65" s="277"/>
      <c r="T65" s="277"/>
      <c r="U65" s="277"/>
      <c r="V65" s="277"/>
      <c r="W65" s="278"/>
      <c r="X65" s="44"/>
      <c r="Y65" s="44"/>
      <c r="Z65" s="44"/>
      <c r="AA65" s="46"/>
      <c r="AB65" s="46"/>
      <c r="AC65" s="46"/>
      <c r="AD65" s="46"/>
      <c r="AE65" s="46"/>
      <c r="AF65" s="46"/>
      <c r="AG65" s="44"/>
      <c r="AH65" s="44"/>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row>
    <row r="66" spans="1:66" s="51" customFormat="1" ht="15.6" customHeight="1" x14ac:dyDescent="0.3">
      <c r="A66" s="279"/>
      <c r="B66" s="280">
        <v>2020</v>
      </c>
      <c r="C66" s="357">
        <f>D22/Q22*100</f>
        <v>14.755933515720161</v>
      </c>
      <c r="D66" s="276"/>
      <c r="E66" s="276"/>
      <c r="F66" s="276"/>
      <c r="G66" s="276"/>
      <c r="H66" s="281"/>
      <c r="I66" s="281"/>
      <c r="J66" s="281"/>
      <c r="K66" s="281"/>
      <c r="L66" s="281"/>
      <c r="M66" s="281"/>
      <c r="N66" s="281"/>
      <c r="O66" s="281"/>
      <c r="P66" s="281"/>
      <c r="Q66" s="281"/>
      <c r="R66" s="281"/>
      <c r="S66" s="281"/>
      <c r="T66" s="281"/>
      <c r="U66" s="281"/>
      <c r="V66" s="281"/>
      <c r="W66" s="282"/>
      <c r="X66" s="48"/>
      <c r="Y66" s="48"/>
      <c r="Z66" s="48"/>
      <c r="AA66" s="48"/>
      <c r="AB66" s="48"/>
      <c r="AC66" s="48"/>
      <c r="AD66" s="48"/>
      <c r="AE66" s="48"/>
      <c r="AF66" s="48"/>
      <c r="AG66" s="48"/>
      <c r="AH66" s="48"/>
      <c r="AI66" s="47"/>
      <c r="AJ66" s="47"/>
      <c r="AK66" s="47"/>
      <c r="AL66" s="47"/>
      <c r="AM66" s="47"/>
      <c r="AN66" s="47"/>
      <c r="AO66" s="47"/>
      <c r="AP66" s="47"/>
      <c r="AQ66" s="47"/>
      <c r="AR66" s="47"/>
      <c r="AS66" s="47"/>
      <c r="AT66" s="47"/>
      <c r="AU66" s="47"/>
      <c r="AV66" s="47"/>
      <c r="AW66" s="47"/>
      <c r="AX66" s="47"/>
      <c r="AY66" s="47"/>
      <c r="AZ66" s="47"/>
      <c r="BA66" s="47"/>
      <c r="BB66" s="47"/>
      <c r="BC66" s="47"/>
      <c r="BD66" s="47"/>
      <c r="BE66" s="47"/>
      <c r="BF66" s="47"/>
      <c r="BG66" s="47"/>
      <c r="BH66" s="47"/>
      <c r="BI66" s="47"/>
      <c r="BJ66" s="47"/>
      <c r="BK66" s="47"/>
      <c r="BL66" s="47"/>
      <c r="BM66" s="47"/>
      <c r="BN66" s="47"/>
    </row>
    <row r="67" spans="1:66" ht="15.6" customHeight="1" x14ac:dyDescent="0.3">
      <c r="A67" s="98"/>
      <c r="B67" s="275">
        <v>2021</v>
      </c>
      <c r="C67" s="357">
        <f>E22/R22*100</f>
        <v>15.034750997326499</v>
      </c>
      <c r="D67" s="276"/>
      <c r="E67" s="276"/>
      <c r="F67" s="276"/>
      <c r="G67" s="276"/>
      <c r="H67" s="281"/>
      <c r="I67" s="281"/>
      <c r="J67" s="281"/>
      <c r="K67" s="281"/>
      <c r="L67" s="281"/>
      <c r="M67" s="281"/>
      <c r="N67" s="281"/>
      <c r="O67" s="281"/>
      <c r="P67" s="281"/>
      <c r="Q67" s="281"/>
      <c r="R67" s="281"/>
      <c r="S67" s="281"/>
      <c r="T67" s="281"/>
      <c r="U67" s="281"/>
      <c r="V67" s="281"/>
      <c r="W67" s="283"/>
      <c r="X67" s="52"/>
      <c r="Y67" s="52"/>
      <c r="Z67" s="52"/>
      <c r="AA67" s="43"/>
      <c r="AB67" s="43"/>
      <c r="AC67" s="43"/>
      <c r="AD67" s="43"/>
      <c r="AE67" s="43"/>
      <c r="AF67" s="43"/>
      <c r="AG67" s="43"/>
      <c r="AH67" s="43"/>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row>
    <row r="68" spans="1:66" ht="15.6" customHeight="1" x14ac:dyDescent="0.3">
      <c r="A68" s="98"/>
      <c r="B68" s="280">
        <v>2022</v>
      </c>
      <c r="C68" s="357">
        <f>F22/S22*100</f>
        <v>15.250255379085576</v>
      </c>
      <c r="D68" s="276"/>
      <c r="E68" s="276"/>
      <c r="F68" s="276"/>
      <c r="G68" s="276"/>
      <c r="H68" s="284"/>
      <c r="I68" s="284"/>
      <c r="J68" s="284"/>
      <c r="K68" s="284"/>
      <c r="L68" s="284"/>
      <c r="M68" s="284"/>
      <c r="N68" s="284"/>
      <c r="O68" s="284"/>
      <c r="P68" s="284"/>
      <c r="Q68" s="284"/>
      <c r="R68" s="284"/>
      <c r="S68" s="284"/>
      <c r="T68" s="284"/>
      <c r="U68" s="284"/>
      <c r="V68" s="284"/>
      <c r="W68" s="98"/>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row>
    <row r="69" spans="1:66" ht="15.6" customHeight="1" x14ac:dyDescent="0.3">
      <c r="A69" s="98"/>
      <c r="B69" s="275">
        <v>2023</v>
      </c>
      <c r="C69" s="357">
        <f>G22/$T22*100</f>
        <v>15.170045390908987</v>
      </c>
      <c r="D69" s="357">
        <f>H22/$T22*100</f>
        <v>16.337591774200732</v>
      </c>
      <c r="E69" s="357">
        <f>I22/$T22*100</f>
        <v>15.40929156250283</v>
      </c>
      <c r="F69" s="357">
        <f>J22/$T22*100</f>
        <v>15.291705829036248</v>
      </c>
      <c r="G69" s="357">
        <f>K22/$T22*100</f>
        <v>14.953746355114617</v>
      </c>
      <c r="H69" s="277"/>
      <c r="I69" s="277"/>
      <c r="J69" s="277"/>
      <c r="K69" s="277"/>
      <c r="L69" s="277"/>
      <c r="M69" s="277"/>
      <c r="N69" s="277"/>
      <c r="O69" s="277"/>
      <c r="P69" s="277"/>
      <c r="Q69" s="277"/>
      <c r="R69" s="277"/>
      <c r="S69" s="277"/>
      <c r="T69" s="277"/>
      <c r="U69" s="277"/>
      <c r="V69" s="277"/>
      <c r="W69" s="98"/>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row>
    <row r="70" spans="1:66" ht="15.6" customHeight="1" x14ac:dyDescent="0.3">
      <c r="A70" s="98"/>
      <c r="B70" s="280">
        <v>2024</v>
      </c>
      <c r="C70" s="276"/>
      <c r="D70" s="358"/>
      <c r="E70" s="357"/>
      <c r="F70" s="357"/>
      <c r="G70" s="357"/>
      <c r="H70" s="284"/>
      <c r="I70" s="284"/>
      <c r="J70" s="284"/>
      <c r="K70" s="284"/>
      <c r="L70" s="284"/>
      <c r="M70" s="284"/>
      <c r="N70" s="284"/>
      <c r="O70" s="284"/>
      <c r="P70" s="284"/>
      <c r="Q70" s="284"/>
      <c r="R70" s="284"/>
      <c r="S70" s="284"/>
      <c r="T70" s="284"/>
      <c r="U70" s="284"/>
      <c r="V70" s="284"/>
      <c r="W70" s="98"/>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row>
    <row r="71" spans="1:66" ht="15.6" customHeight="1" x14ac:dyDescent="0.3">
      <c r="A71" s="98"/>
      <c r="B71" s="275">
        <v>2025</v>
      </c>
      <c r="C71" s="276"/>
      <c r="D71" s="358"/>
      <c r="E71" s="357"/>
      <c r="F71" s="357"/>
      <c r="G71" s="357"/>
      <c r="H71" s="284"/>
      <c r="I71" s="284"/>
      <c r="J71" s="284"/>
      <c r="K71" s="284"/>
      <c r="L71" s="284"/>
      <c r="M71" s="284"/>
      <c r="N71" s="284"/>
      <c r="O71" s="284"/>
      <c r="P71" s="284"/>
      <c r="Q71" s="284"/>
      <c r="R71" s="284"/>
      <c r="S71" s="284"/>
      <c r="T71" s="284"/>
      <c r="U71" s="284"/>
      <c r="V71" s="284"/>
      <c r="W71" s="98"/>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row>
    <row r="72" spans="1:66" ht="15.6" customHeight="1" x14ac:dyDescent="0.3">
      <c r="A72" s="98"/>
      <c r="B72" s="280">
        <v>2026</v>
      </c>
      <c r="C72" s="276"/>
      <c r="D72" s="357"/>
      <c r="E72" s="357"/>
      <c r="F72" s="357"/>
      <c r="G72" s="357"/>
      <c r="H72" s="277"/>
      <c r="I72" s="277"/>
      <c r="J72" s="277"/>
      <c r="K72" s="277"/>
      <c r="L72" s="277"/>
      <c r="M72" s="277"/>
      <c r="N72" s="277"/>
      <c r="O72" s="277"/>
      <c r="P72" s="277"/>
      <c r="Q72" s="277"/>
      <c r="R72" s="277"/>
      <c r="S72" s="277"/>
      <c r="T72" s="277"/>
      <c r="U72" s="277"/>
      <c r="V72" s="277"/>
      <c r="W72" s="98"/>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row>
    <row r="73" spans="1:66" ht="12.6" customHeight="1" x14ac:dyDescent="0.3">
      <c r="A73" s="98"/>
      <c r="B73" s="98"/>
      <c r="C73" s="98"/>
      <c r="D73" s="98"/>
      <c r="E73" s="98"/>
      <c r="F73" s="98"/>
      <c r="G73" s="98"/>
      <c r="H73" s="98"/>
      <c r="I73" s="98"/>
      <c r="J73" s="98"/>
      <c r="K73" s="98"/>
      <c r="L73" s="98"/>
      <c r="M73" s="98"/>
      <c r="N73" s="98"/>
      <c r="O73" s="98"/>
      <c r="P73" s="98"/>
      <c r="Q73" s="98"/>
      <c r="R73" s="98"/>
      <c r="S73" s="98"/>
      <c r="T73" s="98"/>
      <c r="U73" s="98"/>
      <c r="V73" s="98"/>
      <c r="W73" s="98"/>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row>
    <row r="74" spans="1:66" ht="12.6" customHeight="1" x14ac:dyDescent="0.3">
      <c r="A74" s="98"/>
      <c r="B74" s="98"/>
      <c r="C74" s="285"/>
      <c r="D74" s="98"/>
      <c r="E74" s="98"/>
      <c r="F74" s="98"/>
      <c r="G74" s="98"/>
      <c r="H74" s="98"/>
      <c r="I74" s="98"/>
      <c r="J74" s="98"/>
      <c r="K74" s="98"/>
      <c r="L74" s="98"/>
      <c r="M74" s="98"/>
      <c r="N74" s="98"/>
      <c r="O74" s="98"/>
      <c r="P74" s="98"/>
      <c r="Q74" s="98"/>
      <c r="R74" s="98"/>
      <c r="S74" s="98"/>
      <c r="T74" s="98"/>
      <c r="U74" s="98"/>
      <c r="V74" s="98"/>
      <c r="W74" s="98"/>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row>
    <row r="75" spans="1:66" ht="12.6" customHeight="1" x14ac:dyDescent="0.3">
      <c r="A75" s="98"/>
      <c r="B75" s="98"/>
      <c r="C75" s="98"/>
      <c r="D75" s="98"/>
      <c r="E75" s="98"/>
      <c r="F75" s="98"/>
      <c r="G75" s="98"/>
      <c r="H75" s="98"/>
      <c r="I75" s="98"/>
      <c r="J75" s="98"/>
      <c r="K75" s="98"/>
      <c r="L75" s="98"/>
      <c r="M75" s="98"/>
      <c r="N75" s="98"/>
      <c r="O75" s="98"/>
      <c r="P75" s="98"/>
      <c r="Q75" s="98"/>
      <c r="R75" s="98"/>
      <c r="S75" s="98"/>
      <c r="T75" s="98"/>
      <c r="U75" s="98"/>
      <c r="V75" s="98"/>
      <c r="W75" s="98"/>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row>
    <row r="76" spans="1:66" ht="18" customHeight="1" x14ac:dyDescent="0.3">
      <c r="A76" s="98"/>
      <c r="B76" s="98"/>
      <c r="C76" s="98"/>
      <c r="D76" s="98"/>
      <c r="E76" s="98"/>
      <c r="F76" s="98"/>
      <c r="G76" s="98"/>
      <c r="H76" s="98"/>
      <c r="I76" s="98"/>
      <c r="J76" s="98"/>
      <c r="K76" s="98"/>
      <c r="L76" s="98"/>
      <c r="M76" s="98"/>
      <c r="N76" s="98"/>
      <c r="O76" s="98"/>
      <c r="P76" s="98"/>
      <c r="Q76" s="98"/>
      <c r="R76" s="98"/>
      <c r="S76" s="98"/>
      <c r="T76" s="98"/>
      <c r="U76" s="98"/>
      <c r="V76" s="98"/>
      <c r="W76" s="98"/>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row>
    <row r="77" spans="1:66" ht="42" customHeight="1" x14ac:dyDescent="0.3">
      <c r="A77" s="98"/>
      <c r="B77" s="356" t="s">
        <v>203</v>
      </c>
      <c r="C77" s="271" t="s">
        <v>202</v>
      </c>
      <c r="D77" s="272" t="s">
        <v>172</v>
      </c>
      <c r="E77" s="272" t="s">
        <v>173</v>
      </c>
      <c r="F77" s="273" t="s">
        <v>174</v>
      </c>
      <c r="G77" s="272" t="s">
        <v>175</v>
      </c>
      <c r="H77" s="98"/>
      <c r="I77" s="98"/>
      <c r="J77" s="98"/>
      <c r="K77" s="98"/>
      <c r="L77" s="98"/>
      <c r="M77" s="98"/>
      <c r="N77" s="98"/>
      <c r="O77" s="98"/>
      <c r="P77" s="98"/>
      <c r="Q77" s="98"/>
      <c r="R77" s="98"/>
      <c r="S77" s="98"/>
      <c r="T77" s="98"/>
      <c r="U77" s="98"/>
      <c r="V77" s="98"/>
      <c r="W77" s="98"/>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row>
    <row r="78" spans="1:66" ht="15.6" customHeight="1" x14ac:dyDescent="0.3">
      <c r="A78" s="98"/>
      <c r="B78" s="275">
        <v>2019</v>
      </c>
      <c r="C78" s="357">
        <f>C65</f>
        <v>15.321550141464787</v>
      </c>
      <c r="D78" s="276"/>
      <c r="E78" s="276"/>
      <c r="F78" s="276"/>
      <c r="G78" s="276"/>
      <c r="H78" s="98"/>
      <c r="I78" s="98"/>
      <c r="J78" s="98"/>
      <c r="K78" s="98"/>
      <c r="L78" s="98"/>
      <c r="M78" s="98"/>
      <c r="N78" s="98"/>
      <c r="O78" s="98"/>
      <c r="P78" s="98"/>
      <c r="Q78" s="98"/>
      <c r="R78" s="98"/>
      <c r="S78" s="98"/>
      <c r="T78" s="98"/>
      <c r="U78" s="98"/>
      <c r="V78" s="98"/>
      <c r="W78" s="98"/>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row>
    <row r="79" spans="1:66" s="1" customFormat="1" ht="15" customHeight="1" x14ac:dyDescent="0.3">
      <c r="A79" s="98"/>
      <c r="B79" s="280">
        <v>2020</v>
      </c>
      <c r="C79" s="357">
        <f>C66</f>
        <v>14.755933515720161</v>
      </c>
      <c r="D79" s="276"/>
      <c r="E79" s="276"/>
      <c r="F79" s="276"/>
      <c r="G79" s="276"/>
      <c r="H79" s="98"/>
      <c r="I79" s="98"/>
      <c r="J79" s="98"/>
      <c r="K79" s="98"/>
      <c r="L79" s="98"/>
      <c r="M79" s="98"/>
      <c r="N79" s="98"/>
      <c r="O79" s="98"/>
      <c r="P79" s="98"/>
      <c r="Q79" s="98"/>
      <c r="R79" s="98"/>
      <c r="S79" s="98"/>
      <c r="T79" s="98"/>
      <c r="U79" s="98"/>
      <c r="V79" s="98"/>
      <c r="W79" s="98"/>
    </row>
    <row r="80" spans="1:66" s="1" customFormat="1" ht="15" customHeight="1" x14ac:dyDescent="0.3">
      <c r="A80" s="98"/>
      <c r="B80" s="275">
        <v>2021</v>
      </c>
      <c r="C80" s="357">
        <f>C67</f>
        <v>15.034750997326499</v>
      </c>
      <c r="D80" s="276"/>
      <c r="E80" s="276"/>
      <c r="F80" s="276"/>
      <c r="G80" s="276"/>
      <c r="H80" s="98"/>
      <c r="I80" s="98"/>
      <c r="J80" s="98"/>
      <c r="K80" s="98"/>
      <c r="L80" s="98"/>
      <c r="M80" s="98"/>
      <c r="N80" s="98"/>
      <c r="O80" s="98"/>
      <c r="P80" s="98"/>
      <c r="Q80" s="98"/>
      <c r="R80" s="98"/>
      <c r="S80" s="98"/>
      <c r="T80" s="98"/>
      <c r="U80" s="98"/>
      <c r="V80" s="98"/>
      <c r="W80" s="98"/>
    </row>
    <row r="81" spans="1:23" s="1" customFormat="1" ht="15" customHeight="1" x14ac:dyDescent="0.3">
      <c r="A81" s="98"/>
      <c r="B81" s="280">
        <v>2022</v>
      </c>
      <c r="C81" s="357">
        <f>C68</f>
        <v>15.250255379085576</v>
      </c>
      <c r="D81" s="276"/>
      <c r="E81" s="276"/>
      <c r="F81" s="276"/>
      <c r="G81" s="276"/>
      <c r="H81" s="98"/>
      <c r="I81" s="98"/>
      <c r="J81" s="98"/>
      <c r="K81" s="98"/>
      <c r="L81" s="98"/>
      <c r="M81" s="98"/>
      <c r="N81" s="98"/>
      <c r="O81" s="98"/>
      <c r="P81" s="98"/>
      <c r="Q81" s="98"/>
      <c r="R81" s="98"/>
      <c r="S81" s="98"/>
      <c r="T81" s="98"/>
      <c r="U81" s="98"/>
      <c r="V81" s="98"/>
      <c r="W81" s="98"/>
    </row>
    <row r="82" spans="1:23" s="1" customFormat="1" ht="15" customHeight="1" x14ac:dyDescent="0.3">
      <c r="A82" s="98"/>
      <c r="B82" s="275">
        <v>2023</v>
      </c>
      <c r="C82" s="357">
        <f>C69</f>
        <v>15.170045390908987</v>
      </c>
      <c r="D82" s="357">
        <f>D69</f>
        <v>16.337591774200732</v>
      </c>
      <c r="E82" s="357">
        <f>E69</f>
        <v>15.40929156250283</v>
      </c>
      <c r="F82" s="357">
        <f>F69</f>
        <v>15.291705829036248</v>
      </c>
      <c r="G82" s="357">
        <f>G69</f>
        <v>14.953746355114617</v>
      </c>
      <c r="H82" s="98"/>
      <c r="I82" s="98"/>
      <c r="J82" s="98"/>
      <c r="K82" s="98"/>
      <c r="L82" s="98"/>
      <c r="M82" s="98"/>
      <c r="N82" s="98"/>
      <c r="O82" s="98"/>
      <c r="P82" s="98"/>
      <c r="Q82" s="98"/>
      <c r="R82" s="98"/>
      <c r="S82" s="98"/>
      <c r="T82" s="98"/>
      <c r="U82" s="98"/>
      <c r="V82" s="98"/>
      <c r="W82" s="98"/>
    </row>
    <row r="83" spans="1:23" s="1" customFormat="1" ht="15" customHeight="1" x14ac:dyDescent="0.3">
      <c r="A83" s="98"/>
      <c r="B83" s="280">
        <v>2024</v>
      </c>
      <c r="C83" s="357"/>
      <c r="D83" s="358"/>
      <c r="E83" s="358"/>
      <c r="F83" s="358"/>
      <c r="G83" s="358"/>
      <c r="H83" s="98"/>
      <c r="I83" s="98"/>
      <c r="J83" s="98"/>
      <c r="K83" s="98"/>
      <c r="L83" s="98"/>
      <c r="M83" s="98"/>
      <c r="N83" s="98"/>
      <c r="O83" s="98"/>
      <c r="P83" s="98"/>
      <c r="Q83" s="98"/>
      <c r="R83" s="98"/>
      <c r="S83" s="98"/>
      <c r="T83" s="98"/>
      <c r="U83" s="98"/>
      <c r="V83" s="98"/>
      <c r="W83" s="98"/>
    </row>
    <row r="84" spans="1:23" s="1" customFormat="1" ht="15" customHeight="1" x14ac:dyDescent="0.3">
      <c r="A84" s="98"/>
      <c r="B84" s="275">
        <v>2025</v>
      </c>
      <c r="C84" s="357"/>
      <c r="D84" s="358"/>
      <c r="E84" s="358"/>
      <c r="F84" s="358"/>
      <c r="G84" s="358"/>
      <c r="H84" s="98"/>
      <c r="I84" s="98"/>
      <c r="J84" s="98"/>
      <c r="K84" s="98"/>
      <c r="L84" s="98"/>
      <c r="M84" s="98"/>
      <c r="N84" s="98"/>
      <c r="O84" s="98"/>
      <c r="P84" s="98"/>
      <c r="Q84" s="98"/>
      <c r="R84" s="98"/>
      <c r="S84" s="98"/>
      <c r="T84" s="98"/>
      <c r="U84" s="98"/>
      <c r="V84" s="98"/>
      <c r="W84" s="98"/>
    </row>
    <row r="85" spans="1:23" s="1" customFormat="1" ht="15" customHeight="1" x14ac:dyDescent="0.3">
      <c r="A85" s="98"/>
      <c r="B85" s="280">
        <v>2026</v>
      </c>
      <c r="C85" s="357"/>
      <c r="D85" s="357"/>
      <c r="E85" s="357"/>
      <c r="F85" s="357"/>
      <c r="G85" s="357"/>
      <c r="H85" s="98"/>
      <c r="I85" s="98"/>
      <c r="J85" s="98"/>
      <c r="K85" s="98"/>
      <c r="L85" s="98"/>
      <c r="M85" s="98"/>
      <c r="N85" s="98"/>
      <c r="O85" s="98"/>
      <c r="P85" s="98"/>
      <c r="Q85" s="98"/>
      <c r="R85" s="98"/>
      <c r="S85" s="98"/>
      <c r="T85" s="98"/>
      <c r="U85" s="98"/>
      <c r="V85" s="98"/>
      <c r="W85" s="98"/>
    </row>
    <row r="86" spans="1:23" s="1" customFormat="1" ht="12.6" customHeight="1" x14ac:dyDescent="0.3">
      <c r="A86" s="98"/>
      <c r="B86" s="98"/>
      <c r="C86" s="98"/>
      <c r="D86" s="285"/>
      <c r="E86" s="98"/>
      <c r="F86" s="98"/>
      <c r="G86" s="98"/>
      <c r="H86" s="98"/>
      <c r="I86" s="98"/>
      <c r="J86" s="98"/>
      <c r="K86" s="98"/>
      <c r="L86" s="98"/>
      <c r="M86" s="98"/>
      <c r="N86" s="98"/>
      <c r="O86" s="98"/>
      <c r="P86" s="98"/>
      <c r="Q86" s="98"/>
      <c r="R86" s="98"/>
      <c r="S86" s="98"/>
      <c r="T86" s="98"/>
      <c r="U86" s="98"/>
      <c r="V86" s="98"/>
      <c r="W86" s="98"/>
    </row>
    <row r="87" spans="1:23" s="1" customFormat="1" ht="12.6" customHeight="1" x14ac:dyDescent="0.3">
      <c r="A87" s="98"/>
      <c r="B87" s="98"/>
      <c r="C87" s="98"/>
      <c r="D87" s="98"/>
      <c r="E87" s="98"/>
      <c r="F87" s="98"/>
      <c r="G87" s="98"/>
      <c r="H87" s="98"/>
      <c r="I87" s="98"/>
      <c r="J87" s="98"/>
      <c r="K87" s="98"/>
      <c r="L87" s="98"/>
      <c r="M87" s="98"/>
      <c r="N87" s="98"/>
      <c r="O87" s="98"/>
      <c r="P87" s="98"/>
      <c r="Q87" s="98"/>
      <c r="R87" s="98"/>
      <c r="S87" s="98"/>
      <c r="T87" s="98"/>
      <c r="U87" s="98"/>
      <c r="V87" s="98"/>
      <c r="W87" s="98"/>
    </row>
    <row r="88" spans="1:23" s="1" customFormat="1" ht="12.6" customHeight="1" x14ac:dyDescent="0.3">
      <c r="A88" s="98"/>
      <c r="B88" s="98"/>
      <c r="C88" s="98"/>
      <c r="D88" s="98"/>
      <c r="E88" s="98"/>
      <c r="F88" s="98"/>
      <c r="G88" s="98"/>
      <c r="H88" s="98"/>
      <c r="I88" s="98"/>
      <c r="J88" s="98"/>
      <c r="K88" s="98"/>
      <c r="L88" s="98"/>
      <c r="M88" s="98"/>
      <c r="N88" s="98"/>
      <c r="O88" s="98"/>
      <c r="P88" s="98"/>
      <c r="Q88" s="98"/>
      <c r="R88" s="98"/>
      <c r="S88" s="98"/>
      <c r="T88" s="98"/>
      <c r="U88" s="98"/>
      <c r="V88" s="98"/>
      <c r="W88" s="98"/>
    </row>
    <row r="89" spans="1:23" s="1" customFormat="1" ht="12.6" customHeight="1" x14ac:dyDescent="0.3"/>
    <row r="90" spans="1:23" s="1" customFormat="1" ht="12.6" customHeight="1" x14ac:dyDescent="0.3"/>
    <row r="91" spans="1:23" s="1" customFormat="1" x14ac:dyDescent="0.3"/>
    <row r="92" spans="1:23" s="1" customFormat="1" x14ac:dyDescent="0.3"/>
    <row r="93" spans="1:23" s="1" customFormat="1" x14ac:dyDescent="0.3"/>
    <row r="94" spans="1:23" s="1" customFormat="1" x14ac:dyDescent="0.3"/>
    <row r="95" spans="1:23" s="1" customFormat="1" x14ac:dyDescent="0.3"/>
    <row r="96" spans="1:23" s="1" customFormat="1" x14ac:dyDescent="0.3"/>
    <row r="97" s="1" customFormat="1" x14ac:dyDescent="0.3"/>
    <row r="98" s="1" customFormat="1" x14ac:dyDescent="0.3"/>
    <row r="99" s="1" customFormat="1" x14ac:dyDescent="0.3"/>
    <row r="100" s="1" customFormat="1" x14ac:dyDescent="0.3"/>
    <row r="101" s="1" customFormat="1" x14ac:dyDescent="0.3"/>
    <row r="102" s="1" customFormat="1" x14ac:dyDescent="0.3"/>
    <row r="103" s="1" customFormat="1" x14ac:dyDescent="0.3"/>
    <row r="104" s="1" customFormat="1" x14ac:dyDescent="0.3"/>
    <row r="105" s="1" customFormat="1" x14ac:dyDescent="0.3"/>
    <row r="106" s="1" customFormat="1" x14ac:dyDescent="0.3"/>
    <row r="107" s="1" customFormat="1" x14ac:dyDescent="0.3"/>
    <row r="108" s="1" customFormat="1" x14ac:dyDescent="0.3"/>
    <row r="109" s="1" customFormat="1" x14ac:dyDescent="0.3"/>
    <row r="110" s="1" customFormat="1" x14ac:dyDescent="0.3"/>
    <row r="111" s="1" customFormat="1" x14ac:dyDescent="0.3"/>
    <row r="112" s="1" customFormat="1" x14ac:dyDescent="0.3"/>
    <row r="113" s="1" customFormat="1" x14ac:dyDescent="0.3"/>
    <row r="114" s="1" customFormat="1" x14ac:dyDescent="0.3"/>
    <row r="115" s="1" customFormat="1" x14ac:dyDescent="0.3"/>
    <row r="116" s="1" customFormat="1" x14ac:dyDescent="0.3"/>
    <row r="117" s="1" customFormat="1" x14ac:dyDescent="0.3"/>
    <row r="118" s="1" customFormat="1" x14ac:dyDescent="0.3"/>
    <row r="119" s="1" customFormat="1" x14ac:dyDescent="0.3"/>
    <row r="120" s="1" customFormat="1" x14ac:dyDescent="0.3"/>
    <row r="121" s="1" customFormat="1" x14ac:dyDescent="0.3"/>
  </sheetData>
  <pageMargins left="0.7" right="0.7" top="0.75" bottom="0.75" header="0.3" footer="0.3"/>
  <pageSetup paperSize="9" orientation="portrait" r:id="rId1"/>
  <drawing r:id="rId2"/>
  <legacyDrawing r:id="rId3"/>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7B5063-30DD-43AF-BCF3-F4C70B6BDED1}">
  <dimension ref="A1:FQ27"/>
  <sheetViews>
    <sheetView zoomScale="90" zoomScaleNormal="90" workbookViewId="0">
      <selection activeCell="AH35" sqref="AH35"/>
    </sheetView>
  </sheetViews>
  <sheetFormatPr baseColWidth="10" defaultColWidth="8.6640625" defaultRowHeight="14.4" x14ac:dyDescent="0.3"/>
  <cols>
    <col min="1" max="1" width="4.33203125" customWidth="1"/>
    <col min="3" max="3" width="15.6640625" customWidth="1"/>
    <col min="4" max="7" width="14.5546875" customWidth="1"/>
    <col min="8" max="15" width="18" customWidth="1"/>
    <col min="16" max="17" width="18.6640625" customWidth="1"/>
    <col min="18" max="18" width="15.33203125" customWidth="1"/>
    <col min="19" max="22" width="18" customWidth="1"/>
    <col min="23" max="31" width="14.6640625" customWidth="1"/>
    <col min="32" max="32" width="15.33203125" customWidth="1"/>
    <col min="33" max="33" width="14.6640625" customWidth="1"/>
    <col min="34" max="41" width="13.5546875" customWidth="1"/>
    <col min="42" max="42" width="15.5546875" customWidth="1"/>
    <col min="43" max="43" width="13" customWidth="1"/>
    <col min="44" max="44" width="11.33203125" customWidth="1"/>
    <col min="45" max="45" width="12.33203125" customWidth="1"/>
    <col min="46" max="50" width="11.33203125" customWidth="1"/>
    <col min="51" max="51" width="13.44140625" customWidth="1"/>
    <col min="56" max="56" width="9.6640625" customWidth="1"/>
    <col min="60" max="60" width="16.44140625" customWidth="1"/>
    <col min="61" max="61" width="16.33203125" customWidth="1"/>
    <col min="62" max="63" width="15.33203125" customWidth="1"/>
    <col min="68" max="68" width="11.44140625" bestFit="1" customWidth="1"/>
    <col min="69" max="69" width="13.5546875" customWidth="1"/>
    <col min="70" max="70" width="13.6640625" customWidth="1"/>
    <col min="71" max="71" width="12.44140625" customWidth="1"/>
    <col min="72" max="77" width="12.6640625" customWidth="1"/>
    <col min="78" max="80" width="11.33203125" customWidth="1"/>
    <col min="81" max="85" width="11.6640625" hidden="1" customWidth="1"/>
    <col min="86" max="86" width="13.33203125" hidden="1" customWidth="1"/>
    <col min="87" max="88" width="11.6640625" hidden="1" customWidth="1"/>
    <col min="89" max="94" width="12.6640625" customWidth="1"/>
    <col min="95" max="96" width="11.33203125" customWidth="1"/>
    <col min="97" max="104" width="11.6640625" customWidth="1"/>
    <col min="105" max="108" width="13.44140625" customWidth="1"/>
    <col min="110" max="130" width="0.5546875" customWidth="1"/>
    <col min="131" max="132" width="15.5546875" customWidth="1"/>
    <col min="133" max="133" width="15.33203125" customWidth="1"/>
    <col min="134" max="134" width="14.5546875" customWidth="1"/>
    <col min="135" max="135" width="16.5546875" customWidth="1"/>
    <col min="136" max="138" width="18" customWidth="1"/>
    <col min="139" max="142" width="15.33203125" customWidth="1"/>
    <col min="143" max="143" width="11" customWidth="1"/>
    <col min="144" max="145" width="16" customWidth="1"/>
    <col min="146" max="146" width="9.33203125" customWidth="1"/>
    <col min="147" max="150" width="17" customWidth="1"/>
    <col min="153" max="153" width="10.6640625" customWidth="1"/>
    <col min="156" max="157" width="11.33203125" customWidth="1"/>
    <col min="158" max="161" width="9.6640625" customWidth="1"/>
    <col min="162" max="165" width="11.5546875" customWidth="1"/>
  </cols>
  <sheetData>
    <row r="1" spans="1:173" ht="15" thickBot="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ht="18" customHeight="1" thickBot="1" x14ac:dyDescent="0.35">
      <c r="A2" s="1"/>
      <c r="B2" s="2" t="s">
        <v>579</v>
      </c>
      <c r="C2" s="3"/>
      <c r="D2" s="3"/>
      <c r="E2" s="3"/>
      <c r="F2" s="3"/>
      <c r="G2" s="3"/>
      <c r="H2" s="4"/>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18" customHeight="1" x14ac:dyDescent="0.3">
      <c r="A3" s="1"/>
      <c r="B3" s="5" t="s">
        <v>0</v>
      </c>
      <c r="C3" s="6"/>
      <c r="D3" s="6"/>
      <c r="E3" s="6"/>
      <c r="F3" s="6"/>
      <c r="G3" s="6"/>
      <c r="H3" s="7"/>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18" customHeight="1" x14ac:dyDescent="0.3">
      <c r="A4" s="1"/>
      <c r="B4" s="8" t="s">
        <v>1</v>
      </c>
      <c r="C4" s="9"/>
      <c r="D4" s="9"/>
      <c r="E4" s="9"/>
      <c r="F4" s="9"/>
      <c r="G4" s="9"/>
      <c r="H4" s="10"/>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12.6" customHeight="1" x14ac:dyDescent="0.3">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row>
    <row r="6" spans="1:173" ht="12.6" customHeight="1" x14ac:dyDescent="0.3">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row>
    <row r="7" spans="1:173" ht="12.6" customHeight="1" x14ac:dyDescent="0.3">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c r="EU7" s="1"/>
      <c r="EV7" s="1"/>
      <c r="EW7" s="1"/>
      <c r="EX7" s="1"/>
      <c r="EY7" s="1"/>
      <c r="EZ7" s="1"/>
      <c r="FA7" s="1"/>
      <c r="FB7" s="1"/>
      <c r="FC7" s="1"/>
      <c r="FD7" s="1"/>
      <c r="FE7" s="1"/>
      <c r="FF7" s="1"/>
      <c r="FG7" s="1"/>
      <c r="FH7" s="1"/>
      <c r="FI7" s="1"/>
      <c r="FJ7" s="1"/>
      <c r="FK7" s="1"/>
      <c r="FL7" s="1"/>
      <c r="FM7" s="1"/>
      <c r="FN7" s="1"/>
      <c r="FO7" s="1"/>
      <c r="FP7" s="1"/>
      <c r="FQ7" s="1"/>
    </row>
    <row r="8" spans="1:173" ht="17.7" customHeight="1" x14ac:dyDescent="0.3">
      <c r="A8" s="1"/>
      <c r="B8" s="11" t="s">
        <v>2</v>
      </c>
      <c r="C8" s="12" t="s">
        <v>225</v>
      </c>
      <c r="D8" s="12" t="s">
        <v>226</v>
      </c>
      <c r="E8" s="124" t="s">
        <v>520</v>
      </c>
      <c r="F8" s="125"/>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56"/>
      <c r="CD8" s="56"/>
      <c r="CE8" s="56"/>
      <c r="CF8" s="56"/>
      <c r="CG8" s="56"/>
      <c r="CH8" s="56"/>
      <c r="CI8" s="56"/>
      <c r="CJ8" s="56"/>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row>
    <row r="9" spans="1:173" ht="10.35" customHeight="1" x14ac:dyDescent="0.3">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56"/>
      <c r="CD9" s="56"/>
      <c r="CE9" s="56"/>
      <c r="CF9" s="56"/>
      <c r="CG9" s="56"/>
      <c r="CH9" s="56"/>
      <c r="CI9" s="56"/>
      <c r="CJ9" s="56"/>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row>
    <row r="10" spans="1:173" x14ac:dyDescent="0.3">
      <c r="A10" s="1"/>
      <c r="B10" s="1"/>
      <c r="C10" s="13" t="s">
        <v>6</v>
      </c>
      <c r="D10" s="14"/>
      <c r="E10" s="14"/>
      <c r="F10" s="14"/>
      <c r="G10" s="14"/>
      <c r="H10" s="14"/>
      <c r="I10" s="14"/>
      <c r="J10" s="14"/>
      <c r="K10" s="14"/>
      <c r="L10" s="14"/>
      <c r="M10" s="14"/>
      <c r="N10" s="14"/>
      <c r="O10" s="14"/>
      <c r="P10" s="15" t="s">
        <v>580</v>
      </c>
      <c r="Q10" s="16"/>
      <c r="R10" s="16"/>
      <c r="S10" s="16"/>
      <c r="T10" s="16"/>
      <c r="U10" s="16"/>
      <c r="V10" s="16"/>
      <c r="W10" s="13" t="s">
        <v>628</v>
      </c>
      <c r="X10" s="17"/>
      <c r="Y10" s="17"/>
      <c r="Z10" s="17"/>
      <c r="AA10" s="17"/>
      <c r="AB10" s="17"/>
      <c r="AC10" s="17"/>
      <c r="AD10" s="13" t="s">
        <v>629</v>
      </c>
      <c r="AE10" s="17"/>
      <c r="AF10" s="17"/>
      <c r="AG10" s="18"/>
      <c r="AH10" s="19" t="s">
        <v>630</v>
      </c>
      <c r="AI10" s="20"/>
      <c r="AJ10" s="16"/>
      <c r="AK10" s="16"/>
      <c r="AL10" s="16"/>
      <c r="AM10" s="16"/>
      <c r="AN10" s="16"/>
      <c r="AO10" s="16"/>
      <c r="AP10" s="21"/>
      <c r="AQ10" s="19" t="s">
        <v>9</v>
      </c>
      <c r="AR10" s="16"/>
      <c r="AS10" s="16"/>
      <c r="AT10" s="16"/>
      <c r="AU10" s="16"/>
      <c r="AV10" s="16"/>
      <c r="AW10" s="16"/>
      <c r="AX10" s="16"/>
      <c r="AY10" s="21"/>
      <c r="AZ10" s="22" t="s">
        <v>10</v>
      </c>
      <c r="BA10" s="23"/>
      <c r="BB10" s="23"/>
      <c r="BC10" s="23"/>
      <c r="BD10" s="23"/>
      <c r="BE10" s="23"/>
      <c r="BF10" s="23"/>
      <c r="BG10" s="23"/>
      <c r="BH10" s="23"/>
      <c r="BI10" s="23"/>
      <c r="BJ10" s="23"/>
      <c r="BK10" s="23"/>
      <c r="BL10" s="23"/>
      <c r="BM10" s="23"/>
      <c r="BN10" s="23"/>
      <c r="BO10" s="23"/>
      <c r="BP10" s="23"/>
      <c r="BQ10" s="23"/>
      <c r="BR10" s="24"/>
      <c r="BS10" s="11"/>
      <c r="BT10" s="19"/>
      <c r="BU10" s="16"/>
      <c r="BV10" s="16"/>
      <c r="BW10" s="16"/>
      <c r="BX10" s="16"/>
      <c r="BY10" s="16"/>
      <c r="BZ10" s="16"/>
      <c r="CA10" s="16"/>
      <c r="CB10" s="16"/>
      <c r="CC10" s="58" t="s">
        <v>12</v>
      </c>
      <c r="CD10" s="59"/>
      <c r="CE10" s="59"/>
      <c r="CF10" s="59"/>
      <c r="CG10" s="59"/>
      <c r="CH10" s="59"/>
      <c r="CI10" s="59"/>
      <c r="CJ10" s="59"/>
      <c r="CK10" s="19" t="s">
        <v>581</v>
      </c>
      <c r="CL10" s="16"/>
      <c r="CM10" s="16"/>
      <c r="CN10" s="16"/>
      <c r="CO10" s="16"/>
      <c r="CP10" s="16"/>
      <c r="CQ10" s="16"/>
      <c r="CR10" s="16"/>
      <c r="CS10" s="19" t="s">
        <v>582</v>
      </c>
      <c r="CT10" s="127"/>
      <c r="CU10" s="59"/>
      <c r="CV10" s="59"/>
      <c r="CW10" s="59"/>
      <c r="CX10" s="59"/>
      <c r="CY10" s="59"/>
      <c r="CZ10" s="59"/>
      <c r="DA10" s="15" t="s">
        <v>15</v>
      </c>
      <c r="DB10" s="60"/>
      <c r="DC10" s="60"/>
      <c r="DD10" s="8" t="s">
        <v>16</v>
      </c>
      <c r="DE10" s="10"/>
      <c r="DF10" s="1"/>
      <c r="DG10" s="1"/>
      <c r="DH10" s="1"/>
      <c r="DI10" s="1"/>
      <c r="DJ10" s="1"/>
      <c r="DK10" s="1"/>
      <c r="DL10" s="1"/>
      <c r="DM10" s="1"/>
      <c r="DN10" s="1"/>
      <c r="DO10" s="1"/>
      <c r="DP10" s="1"/>
      <c r="DQ10" s="1"/>
      <c r="DR10" s="1"/>
      <c r="DS10" s="1"/>
      <c r="DT10" s="1"/>
      <c r="DU10" s="1"/>
      <c r="DV10" s="1"/>
      <c r="DW10" s="1"/>
      <c r="DX10" s="1"/>
      <c r="DY10" s="1"/>
      <c r="DZ10" s="1"/>
      <c r="EA10" s="13" t="s">
        <v>17</v>
      </c>
      <c r="EB10" s="14"/>
      <c r="EC10" s="14"/>
      <c r="ED10" s="14"/>
      <c r="EE10" s="14"/>
      <c r="EF10" s="14"/>
      <c r="EG10" s="14"/>
      <c r="EH10" s="14"/>
      <c r="EI10" s="14"/>
      <c r="EJ10" s="14"/>
      <c r="EK10" s="14"/>
      <c r="EL10" s="14"/>
      <c r="EM10" s="14"/>
      <c r="EN10" s="15" t="s">
        <v>583</v>
      </c>
      <c r="EO10" s="16"/>
      <c r="EP10" s="16"/>
      <c r="EQ10" s="16"/>
      <c r="ER10" s="16"/>
      <c r="ES10" s="16"/>
      <c r="ET10" s="16"/>
      <c r="EU10" s="16"/>
      <c r="EV10" s="13" t="s">
        <v>631</v>
      </c>
      <c r="EW10" s="14"/>
      <c r="EX10" s="14"/>
      <c r="EY10" s="61"/>
      <c r="EZ10" s="62" t="s">
        <v>19</v>
      </c>
      <c r="FA10" s="10"/>
      <c r="FB10" s="14" t="s">
        <v>632</v>
      </c>
      <c r="FC10" s="17"/>
      <c r="FD10" s="17"/>
      <c r="FE10" s="17"/>
      <c r="FF10" s="17"/>
      <c r="FG10" s="17"/>
      <c r="FH10" s="17"/>
      <c r="FI10" s="18"/>
      <c r="FJ10" s="1"/>
      <c r="FK10" s="1"/>
      <c r="FL10" s="1"/>
      <c r="FM10" s="1"/>
      <c r="FN10" s="1"/>
      <c r="FO10" s="1"/>
      <c r="FP10" s="1"/>
      <c r="FQ10" s="1"/>
    </row>
    <row r="11" spans="1:173" ht="78.75" customHeight="1" x14ac:dyDescent="0.3">
      <c r="A11" s="1"/>
      <c r="B11" s="25" t="s">
        <v>20</v>
      </c>
      <c r="C11" s="26" t="s">
        <v>21</v>
      </c>
      <c r="D11" s="27" t="s">
        <v>22</v>
      </c>
      <c r="E11" s="27" t="s">
        <v>23</v>
      </c>
      <c r="F11" s="27" t="s">
        <v>24</v>
      </c>
      <c r="G11" s="27" t="s">
        <v>25</v>
      </c>
      <c r="H11" s="27" t="s">
        <v>26</v>
      </c>
      <c r="I11" s="27" t="s">
        <v>27</v>
      </c>
      <c r="J11" s="121"/>
      <c r="K11" s="27" t="s">
        <v>29</v>
      </c>
      <c r="L11" s="27" t="s">
        <v>30</v>
      </c>
      <c r="M11" s="27" t="s">
        <v>31</v>
      </c>
      <c r="N11" s="27" t="s">
        <v>32</v>
      </c>
      <c r="O11" s="27" t="s">
        <v>33</v>
      </c>
      <c r="P11" s="26" t="s">
        <v>21</v>
      </c>
      <c r="Q11" s="27" t="s">
        <v>22</v>
      </c>
      <c r="R11" s="27" t="s">
        <v>34</v>
      </c>
      <c r="S11" s="27" t="s">
        <v>29</v>
      </c>
      <c r="T11" s="27" t="s">
        <v>30</v>
      </c>
      <c r="U11" s="27" t="s">
        <v>31</v>
      </c>
      <c r="V11" s="27" t="s">
        <v>32</v>
      </c>
      <c r="W11" s="27" t="s">
        <v>22</v>
      </c>
      <c r="X11" s="27" t="s">
        <v>23</v>
      </c>
      <c r="Y11" s="27" t="s">
        <v>35</v>
      </c>
      <c r="Z11" s="27" t="s">
        <v>36</v>
      </c>
      <c r="AA11" s="27" t="s">
        <v>26</v>
      </c>
      <c r="AB11" s="27" t="s">
        <v>27</v>
      </c>
      <c r="AC11" s="27" t="s">
        <v>28</v>
      </c>
      <c r="AD11" s="27" t="s">
        <v>29</v>
      </c>
      <c r="AE11" s="27" t="s">
        <v>30</v>
      </c>
      <c r="AF11" s="27" t="s">
        <v>31</v>
      </c>
      <c r="AG11" s="27" t="s">
        <v>32</v>
      </c>
      <c r="AH11" s="27" t="s">
        <v>37</v>
      </c>
      <c r="AI11" s="27" t="s">
        <v>38</v>
      </c>
      <c r="AJ11" s="27" t="s">
        <v>39</v>
      </c>
      <c r="AK11" s="27" t="s">
        <v>40</v>
      </c>
      <c r="AL11" s="27" t="s">
        <v>41</v>
      </c>
      <c r="AM11" s="27" t="s">
        <v>42</v>
      </c>
      <c r="AN11" s="121" t="s">
        <v>43</v>
      </c>
      <c r="AO11" s="27" t="s">
        <v>44</v>
      </c>
      <c r="AP11" s="27" t="s">
        <v>45</v>
      </c>
      <c r="AQ11" s="27" t="s">
        <v>37</v>
      </c>
      <c r="AR11" s="27" t="s">
        <v>38</v>
      </c>
      <c r="AS11" s="27" t="s">
        <v>39</v>
      </c>
      <c r="AT11" s="27" t="s">
        <v>40</v>
      </c>
      <c r="AU11" s="27" t="s">
        <v>41</v>
      </c>
      <c r="AV11" s="27" t="s">
        <v>42</v>
      </c>
      <c r="AW11" s="121"/>
      <c r="AX11" s="27" t="s">
        <v>44</v>
      </c>
      <c r="AY11" s="27" t="s">
        <v>45</v>
      </c>
      <c r="AZ11" s="27" t="s">
        <v>633</v>
      </c>
      <c r="BA11" s="27" t="s">
        <v>634</v>
      </c>
      <c r="BB11" s="27" t="s">
        <v>635</v>
      </c>
      <c r="BC11" s="27" t="s">
        <v>636</v>
      </c>
      <c r="BD11" s="27" t="s">
        <v>46</v>
      </c>
      <c r="BE11" s="27" t="s">
        <v>47</v>
      </c>
      <c r="BF11" s="27" t="s">
        <v>48</v>
      </c>
      <c r="BG11" s="27" t="s">
        <v>49</v>
      </c>
      <c r="BH11" s="27" t="s">
        <v>50</v>
      </c>
      <c r="BI11" s="27" t="s">
        <v>51</v>
      </c>
      <c r="BJ11" s="27" t="s">
        <v>52</v>
      </c>
      <c r="BK11" s="27" t="s">
        <v>53</v>
      </c>
      <c r="BL11" s="27" t="s">
        <v>54</v>
      </c>
      <c r="BM11" s="27" t="s">
        <v>55</v>
      </c>
      <c r="BN11" s="27" t="s">
        <v>56</v>
      </c>
      <c r="BO11" s="27" t="s">
        <v>57</v>
      </c>
      <c r="BP11" s="27" t="s">
        <v>637</v>
      </c>
      <c r="BQ11" s="27" t="s">
        <v>638</v>
      </c>
      <c r="BR11" s="27" t="s">
        <v>273</v>
      </c>
      <c r="BS11" s="27" t="s">
        <v>584</v>
      </c>
      <c r="BT11" s="27"/>
      <c r="BU11" s="27"/>
      <c r="BV11" s="27"/>
      <c r="BW11" s="27"/>
      <c r="BX11" s="27"/>
      <c r="BY11" s="27"/>
      <c r="BZ11" s="27"/>
      <c r="CA11" s="27"/>
      <c r="CB11" s="27"/>
      <c r="CC11" s="63" t="s">
        <v>68</v>
      </c>
      <c r="CD11" s="63" t="s">
        <v>69</v>
      </c>
      <c r="CE11" s="63" t="s">
        <v>70</v>
      </c>
      <c r="CF11" s="63" t="s">
        <v>71</v>
      </c>
      <c r="CG11" s="63" t="s">
        <v>72</v>
      </c>
      <c r="CH11" s="63" t="s">
        <v>73</v>
      </c>
      <c r="CI11" s="63" t="s">
        <v>74</v>
      </c>
      <c r="CJ11" s="63" t="s">
        <v>75</v>
      </c>
      <c r="CK11" s="27" t="s">
        <v>585</v>
      </c>
      <c r="CL11" s="27" t="s">
        <v>586</v>
      </c>
      <c r="CM11" s="27" t="s">
        <v>587</v>
      </c>
      <c r="CN11" s="27" t="s">
        <v>588</v>
      </c>
      <c r="CO11" s="27" t="s">
        <v>80</v>
      </c>
      <c r="CP11" s="27" t="s">
        <v>81</v>
      </c>
      <c r="CQ11" s="27" t="s">
        <v>82</v>
      </c>
      <c r="CR11" s="27" t="s">
        <v>589</v>
      </c>
      <c r="CS11" s="128" t="s">
        <v>590</v>
      </c>
      <c r="CT11" s="128" t="s">
        <v>591</v>
      </c>
      <c r="CU11" s="128" t="s">
        <v>592</v>
      </c>
      <c r="CV11" s="128" t="s">
        <v>593</v>
      </c>
      <c r="CW11" s="128" t="s">
        <v>88</v>
      </c>
      <c r="CX11" s="128" t="s">
        <v>89</v>
      </c>
      <c r="CY11" s="128" t="s">
        <v>90</v>
      </c>
      <c r="CZ11" s="128" t="s">
        <v>91</v>
      </c>
      <c r="DA11" s="64" t="s">
        <v>92</v>
      </c>
      <c r="DB11" s="64" t="s">
        <v>93</v>
      </c>
      <c r="DC11" s="64" t="s">
        <v>94</v>
      </c>
      <c r="DD11" s="64" t="s">
        <v>95</v>
      </c>
      <c r="DE11" s="64" t="s">
        <v>96</v>
      </c>
      <c r="DF11" s="1"/>
      <c r="DG11" s="1"/>
      <c r="DH11" s="1"/>
      <c r="DI11" s="1"/>
      <c r="DJ11" s="1"/>
      <c r="DK11" s="1"/>
      <c r="DL11" s="1"/>
      <c r="DM11" s="1"/>
      <c r="DN11" s="1"/>
      <c r="DO11" s="1"/>
      <c r="DP11" s="1"/>
      <c r="DQ11" s="1"/>
      <c r="DR11" s="1"/>
      <c r="DS11" s="1"/>
      <c r="DT11" s="1"/>
      <c r="DU11" s="1"/>
      <c r="DV11" s="1"/>
      <c r="DW11" s="1"/>
      <c r="DX11" s="1"/>
      <c r="DY11" s="1"/>
      <c r="DZ11" s="1"/>
      <c r="EA11" s="26" t="s">
        <v>97</v>
      </c>
      <c r="EB11" s="27" t="s">
        <v>98</v>
      </c>
      <c r="EC11" s="27" t="s">
        <v>99</v>
      </c>
      <c r="ED11" s="27" t="s">
        <v>100</v>
      </c>
      <c r="EE11" s="27" t="s">
        <v>101</v>
      </c>
      <c r="EF11" s="27" t="s">
        <v>102</v>
      </c>
      <c r="EG11" s="27" t="s">
        <v>103</v>
      </c>
      <c r="EH11" s="121"/>
      <c r="EI11" s="27" t="s">
        <v>104</v>
      </c>
      <c r="EJ11" s="27" t="s">
        <v>105</v>
      </c>
      <c r="EK11" s="27" t="s">
        <v>106</v>
      </c>
      <c r="EL11" s="27" t="s">
        <v>107</v>
      </c>
      <c r="EM11" s="27" t="s">
        <v>33</v>
      </c>
      <c r="EN11" s="27" t="s">
        <v>97</v>
      </c>
      <c r="EO11" s="27" t="s">
        <v>98</v>
      </c>
      <c r="EP11" s="27" t="s">
        <v>108</v>
      </c>
      <c r="EQ11" s="27" t="s">
        <v>104</v>
      </c>
      <c r="ER11" s="27" t="s">
        <v>105</v>
      </c>
      <c r="ES11" s="27" t="s">
        <v>106</v>
      </c>
      <c r="ET11" s="27" t="s">
        <v>107</v>
      </c>
      <c r="EU11" s="27" t="s">
        <v>594</v>
      </c>
      <c r="EV11" s="64" t="s">
        <v>639</v>
      </c>
      <c r="EW11" s="27" t="s">
        <v>99</v>
      </c>
      <c r="EX11" s="64" t="s">
        <v>110</v>
      </c>
      <c r="EY11" s="64" t="s">
        <v>640</v>
      </c>
      <c r="EZ11" s="64" t="s">
        <v>111</v>
      </c>
      <c r="FA11" s="64" t="s">
        <v>112</v>
      </c>
      <c r="FB11" s="27" t="s">
        <v>641</v>
      </c>
      <c r="FC11" s="27" t="s">
        <v>642</v>
      </c>
      <c r="FD11" s="27" t="s">
        <v>643</v>
      </c>
      <c r="FE11" s="27" t="s">
        <v>644</v>
      </c>
      <c r="FF11" s="27" t="s">
        <v>645</v>
      </c>
      <c r="FG11" s="27" t="s">
        <v>646</v>
      </c>
      <c r="FH11" s="27" t="s">
        <v>647</v>
      </c>
      <c r="FI11" s="27" t="s">
        <v>648</v>
      </c>
      <c r="FJ11" s="1"/>
      <c r="FK11" s="1"/>
      <c r="FL11" s="1"/>
      <c r="FM11" s="1"/>
      <c r="FN11" s="1"/>
      <c r="FO11" s="1"/>
      <c r="FP11" s="1"/>
      <c r="FQ11" s="1"/>
    </row>
    <row r="12" spans="1:173" x14ac:dyDescent="0.3">
      <c r="A12" s="1"/>
      <c r="B12" s="28">
        <v>1</v>
      </c>
      <c r="C12" s="129">
        <v>1402240.2623999999</v>
      </c>
      <c r="D12" s="129">
        <v>1410621.1175999995</v>
      </c>
      <c r="E12" s="129">
        <v>1415839.3355999996</v>
      </c>
      <c r="F12" s="129">
        <v>1410621.1175999995</v>
      </c>
      <c r="G12" s="129">
        <v>1410621.1175999995</v>
      </c>
      <c r="H12" s="129">
        <v>1410621.1175999995</v>
      </c>
      <c r="I12" s="129"/>
      <c r="J12" s="122"/>
      <c r="K12" s="130" t="s">
        <v>113</v>
      </c>
      <c r="L12" s="130" t="s">
        <v>113</v>
      </c>
      <c r="M12" s="130" t="s">
        <v>113</v>
      </c>
      <c r="N12" s="130" t="s">
        <v>113</v>
      </c>
      <c r="O12" s="131">
        <f>C12/C$22*100</f>
        <v>0.10934700454646117</v>
      </c>
      <c r="P12" s="129">
        <v>436022937.20879996</v>
      </c>
      <c r="Q12" s="129">
        <v>440382895.91399986</v>
      </c>
      <c r="R12" s="131">
        <f t="shared" ref="R12:R21" si="0">(Q12/P12-1)*100</f>
        <v>0.99993792370423051</v>
      </c>
      <c r="S12" s="130" t="s">
        <v>113</v>
      </c>
      <c r="T12" s="130" t="s">
        <v>113</v>
      </c>
      <c r="U12" s="130" t="s">
        <v>113</v>
      </c>
      <c r="V12" s="130" t="s">
        <v>113</v>
      </c>
      <c r="W12" s="132">
        <f>IF(D12&lt;&gt;0,((D12-$C12)/ABS($C12)) / ($Q12/$P12-1),0)</f>
        <v>0.59771322429424978</v>
      </c>
      <c r="X12" s="132">
        <f>IF(E12&lt;&gt;0,((E12-$C12)/ABS($C12)) / ($Q12/$P12-1),0)</f>
        <v>0.96987069885012678</v>
      </c>
      <c r="Y12" s="132">
        <f>IF(F12&lt;&gt;0,((F12-$C12)/ABS($C12)) / ($Q12/$P12-1),0)</f>
        <v>0.59771322429424978</v>
      </c>
      <c r="Z12" s="132">
        <f>IF(G12&lt;&gt;0,((G12-$C12)/ABS($C12)) / ($Q12/$P12-1),0)</f>
        <v>0.59771322429424978</v>
      </c>
      <c r="AA12" s="132">
        <f>IF(H12&lt;&gt;0,((H12-$C12)/ABS($C12)) / ($Q12/$P12-1),0)</f>
        <v>0.59771322429424978</v>
      </c>
      <c r="AB12" s="132">
        <f t="shared" ref="AB12:AC21" si="1">IF(I12&lt;&gt;0,((I12-$C12)/ABS($C12)) / ($Q12/$P12-1),AA12)</f>
        <v>0.59771322429424978</v>
      </c>
      <c r="AC12" s="132">
        <f t="shared" si="1"/>
        <v>0.59771322429424978</v>
      </c>
      <c r="AD12" s="130" t="s">
        <v>113</v>
      </c>
      <c r="AE12" s="130" t="s">
        <v>113</v>
      </c>
      <c r="AF12" s="130" t="s">
        <v>113</v>
      </c>
      <c r="AG12" s="130" t="s">
        <v>113</v>
      </c>
      <c r="AH12" s="133">
        <f>MIN(W12,1)</f>
        <v>0.59771322429424978</v>
      </c>
      <c r="AI12" s="134">
        <f>IF(W12&gt;1,W12-SUM(AH12,AJ12:AO12),0)</f>
        <v>0</v>
      </c>
      <c r="AJ12" s="134">
        <f>IF(W12&gt;1,MIN($W12-Y12,W12-AH12),0)</f>
        <v>0</v>
      </c>
      <c r="AK12" s="134">
        <f>IF(W12&gt;1,MIN(Y12-Z12,W12-AH12-AJ12),0)</f>
        <v>0</v>
      </c>
      <c r="AL12" s="134">
        <f>IF(W12&gt;1,MIN(Z12-AA12,W12-AH12-AJ12-AK12),0)</f>
        <v>0</v>
      </c>
      <c r="AM12" s="134">
        <f>IF(I12&lt;&gt;0,IF(W12&gt;1,MIN(AA12-AB12,W12-AJ12-AK12-AL12),0),0)</f>
        <v>0</v>
      </c>
      <c r="AN12" s="135">
        <f>IF(J12&lt;&gt;0,IF(W12&gt;1,MIN(AB12-AC12,W12-AH12-AJ12-AK12-AL12-AM12),0),0)</f>
        <v>0</v>
      </c>
      <c r="AO12" s="134">
        <f>IF(W12&gt;1,MIN(AC12-X12,W12-AH12-AJ12-AK12-AL12-AM12-AN12),0)</f>
        <v>0</v>
      </c>
      <c r="AP12" s="134">
        <f t="shared" ref="AP12:AP21" si="2">AI12+AO12</f>
        <v>0</v>
      </c>
      <c r="AQ12" s="136" t="s">
        <v>113</v>
      </c>
      <c r="AR12" s="137">
        <f t="shared" ref="AR12:AY22" si="3">AI12/($W12-1)*100</f>
        <v>0</v>
      </c>
      <c r="AS12" s="137">
        <f t="shared" si="3"/>
        <v>0</v>
      </c>
      <c r="AT12" s="137">
        <f t="shared" si="3"/>
        <v>0</v>
      </c>
      <c r="AU12" s="137">
        <f t="shared" si="3"/>
        <v>0</v>
      </c>
      <c r="AV12" s="137">
        <f t="shared" si="3"/>
        <v>0</v>
      </c>
      <c r="AW12" s="138">
        <f t="shared" si="3"/>
        <v>0</v>
      </c>
      <c r="AX12" s="137">
        <f t="shared" si="3"/>
        <v>0</v>
      </c>
      <c r="AY12" s="137">
        <f t="shared" si="3"/>
        <v>0</v>
      </c>
      <c r="AZ12" s="139" t="s">
        <v>113</v>
      </c>
      <c r="BA12" s="139" t="s">
        <v>113</v>
      </c>
      <c r="BB12" s="139" t="s">
        <v>113</v>
      </c>
      <c r="BC12" s="139" t="s">
        <v>113</v>
      </c>
      <c r="BD12" s="139" t="s">
        <v>113</v>
      </c>
      <c r="BE12" s="139" t="s">
        <v>113</v>
      </c>
      <c r="BF12" s="139" t="s">
        <v>113</v>
      </c>
      <c r="BG12" s="139" t="s">
        <v>113</v>
      </c>
      <c r="BH12" s="140">
        <v>123126444.11040005</v>
      </c>
      <c r="BI12" s="140">
        <v>287099546.62559968</v>
      </c>
      <c r="BJ12" s="140">
        <v>18521294.0436</v>
      </c>
      <c r="BK12" s="140">
        <v>7275748.6271999991</v>
      </c>
      <c r="BL12" s="141">
        <f>BH12/SUM($BH12:$BK12)</f>
        <v>0.28238518306789961</v>
      </c>
      <c r="BM12" s="141">
        <f t="shared" ref="BM12:BO22" si="4">BI12/SUM($BH12:$BK12)</f>
        <v>0.6584504134618554</v>
      </c>
      <c r="BN12" s="141">
        <f t="shared" si="4"/>
        <v>4.2477788154645597E-2</v>
      </c>
      <c r="BO12" s="141">
        <f t="shared" si="4"/>
        <v>1.6686615315599368E-2</v>
      </c>
      <c r="BP12" s="139" t="s">
        <v>113</v>
      </c>
      <c r="BQ12" s="139" t="s">
        <v>113</v>
      </c>
      <c r="BR12" s="139" t="s">
        <v>113</v>
      </c>
      <c r="BS12" s="131">
        <f>P12/P$22*100</f>
        <v>1.7327920882554158</v>
      </c>
      <c r="BT12" s="139"/>
      <c r="BU12" s="139"/>
      <c r="BV12" s="139"/>
      <c r="BW12" s="139"/>
      <c r="BX12" s="139"/>
      <c r="BY12" s="139"/>
      <c r="BZ12" s="139"/>
      <c r="CA12" s="139"/>
      <c r="CB12" s="139"/>
      <c r="CC12" s="142" t="s">
        <v>113</v>
      </c>
      <c r="CD12" s="142" t="s">
        <v>113</v>
      </c>
      <c r="CE12" s="142" t="s">
        <v>113</v>
      </c>
      <c r="CF12" s="142" t="s">
        <v>113</v>
      </c>
      <c r="CG12" s="142" t="s">
        <v>113</v>
      </c>
      <c r="CH12" s="142" t="s">
        <v>113</v>
      </c>
      <c r="CI12" s="142" t="s">
        <v>113</v>
      </c>
      <c r="CJ12" s="142"/>
      <c r="CK12" s="139" t="s">
        <v>113</v>
      </c>
      <c r="CL12" s="139" t="s">
        <v>113</v>
      </c>
      <c r="CM12" s="139" t="s">
        <v>113</v>
      </c>
      <c r="CN12" s="139" t="s">
        <v>113</v>
      </c>
      <c r="CO12" s="139" t="s">
        <v>113</v>
      </c>
      <c r="CP12" s="139" t="s">
        <v>113</v>
      </c>
      <c r="CQ12" s="139" t="s">
        <v>113</v>
      </c>
      <c r="CR12" s="139"/>
      <c r="CS12" s="143" t="s">
        <v>113</v>
      </c>
      <c r="CT12" s="143" t="s">
        <v>113</v>
      </c>
      <c r="CU12" s="143" t="s">
        <v>113</v>
      </c>
      <c r="CV12" s="143" t="s">
        <v>113</v>
      </c>
      <c r="CW12" s="143" t="s">
        <v>113</v>
      </c>
      <c r="CX12" s="143" t="s">
        <v>113</v>
      </c>
      <c r="CY12" s="143" t="s">
        <v>113</v>
      </c>
      <c r="CZ12" s="143"/>
      <c r="DA12" s="139" t="s">
        <v>113</v>
      </c>
      <c r="DB12" s="139" t="s">
        <v>113</v>
      </c>
      <c r="DC12" s="139" t="s">
        <v>113</v>
      </c>
      <c r="DD12" s="144">
        <f>(1-DE12)*100</f>
        <v>95.202521653496632</v>
      </c>
      <c r="DE12" s="145">
        <v>4.7974783465033755E-2</v>
      </c>
      <c r="DF12" s="1"/>
      <c r="DG12" s="1"/>
      <c r="DH12" s="1"/>
      <c r="DI12" s="1"/>
      <c r="DJ12" s="1"/>
      <c r="DK12" s="1"/>
      <c r="DL12" s="1"/>
      <c r="DM12" s="1"/>
      <c r="DN12" s="1"/>
      <c r="DO12" s="1"/>
      <c r="DP12" s="1"/>
      <c r="DQ12" s="1"/>
      <c r="DR12" s="1"/>
      <c r="DS12" s="1"/>
      <c r="DT12" s="1"/>
      <c r="DU12" s="1"/>
      <c r="DV12" s="1"/>
      <c r="DW12" s="1"/>
      <c r="DX12" s="1"/>
      <c r="DY12" s="1"/>
      <c r="DZ12" s="1"/>
      <c r="EA12" s="146">
        <v>1303096.5732</v>
      </c>
      <c r="EB12" s="146">
        <v>1311805.5647999998</v>
      </c>
      <c r="EC12" s="146">
        <v>1315694.0976</v>
      </c>
      <c r="ED12" s="147"/>
      <c r="EE12" s="147"/>
      <c r="EF12" s="147"/>
      <c r="EG12" s="129"/>
      <c r="EH12" s="122"/>
      <c r="EI12" s="130" t="s">
        <v>113</v>
      </c>
      <c r="EJ12" s="130" t="s">
        <v>113</v>
      </c>
      <c r="EK12" s="130" t="s">
        <v>113</v>
      </c>
      <c r="EL12" s="130" t="s">
        <v>113</v>
      </c>
      <c r="EM12" s="131">
        <f t="shared" ref="EM12:EM21" si="5">EA12/EA$22*100</f>
        <v>8.0436704995514557E-2</v>
      </c>
      <c r="EN12" s="146">
        <v>545437315.31159985</v>
      </c>
      <c r="EO12" s="146">
        <v>550892160.0588001</v>
      </c>
      <c r="EP12" s="131">
        <f t="shared" ref="EP12:EP21" si="6">(EO12/EN12-1)*100</f>
        <v>1.0000864616466432</v>
      </c>
      <c r="EQ12" s="130" t="s">
        <v>113</v>
      </c>
      <c r="ER12" s="130" t="s">
        <v>113</v>
      </c>
      <c r="ES12" s="130" t="s">
        <v>113</v>
      </c>
      <c r="ET12" s="130" t="s">
        <v>113</v>
      </c>
      <c r="EU12" s="131">
        <f>EN12/EN$22*100</f>
        <v>1.7219071827034895</v>
      </c>
      <c r="EV12" s="132">
        <f>((EB12-$EA12)/ABS($EA12)) / ($EO12/$EN12-1)</f>
        <v>0.66827270138238648</v>
      </c>
      <c r="EW12" s="132">
        <f>IF(EC12&lt;&gt;0,((EC12-$EA12)/ABS($EA12)) / ($EO12/$EN12-1),0)</f>
        <v>0.96665401095560655</v>
      </c>
      <c r="EX12" s="132"/>
      <c r="EY12" s="148">
        <f t="shared" ref="EY12:EY22" si="7">EV12-W12</f>
        <v>7.0559477088136702E-2</v>
      </c>
      <c r="EZ12" s="144">
        <f>(1-FA12)*100</f>
        <v>95.093811049852818</v>
      </c>
      <c r="FA12" s="145">
        <v>4.9061889501471875E-2</v>
      </c>
      <c r="FB12" s="130" t="s">
        <v>113</v>
      </c>
      <c r="FC12" s="130" t="s">
        <v>113</v>
      </c>
      <c r="FD12" s="130" t="s">
        <v>113</v>
      </c>
      <c r="FE12" s="130" t="s">
        <v>113</v>
      </c>
      <c r="FF12" s="130" t="s">
        <v>113</v>
      </c>
      <c r="FG12" s="130" t="s">
        <v>113</v>
      </c>
      <c r="FH12" s="130" t="s">
        <v>113</v>
      </c>
      <c r="FI12" s="130" t="s">
        <v>113</v>
      </c>
      <c r="FJ12" s="1"/>
      <c r="FK12" s="1"/>
      <c r="FL12" s="1"/>
      <c r="FM12" s="1"/>
      <c r="FN12" s="1"/>
      <c r="FO12" s="1"/>
      <c r="FP12" s="1"/>
      <c r="FQ12" s="1"/>
    </row>
    <row r="13" spans="1:173" x14ac:dyDescent="0.3">
      <c r="A13" s="1"/>
      <c r="B13" s="28">
        <v>2</v>
      </c>
      <c r="C13" s="129">
        <v>1976111.1336000001</v>
      </c>
      <c r="D13" s="129">
        <v>1985018.1216000007</v>
      </c>
      <c r="E13" s="129">
        <v>1995512.0652000003</v>
      </c>
      <c r="F13" s="129">
        <v>1985018.1216000007</v>
      </c>
      <c r="G13" s="129">
        <v>1985018.1216000007</v>
      </c>
      <c r="H13" s="129">
        <v>1985018.1216000007</v>
      </c>
      <c r="I13" s="129"/>
      <c r="J13" s="122"/>
      <c r="K13" s="130" t="s">
        <v>113</v>
      </c>
      <c r="L13" s="130" t="s">
        <v>113</v>
      </c>
      <c r="M13" s="130" t="s">
        <v>113</v>
      </c>
      <c r="N13" s="130" t="s">
        <v>113</v>
      </c>
      <c r="O13" s="131">
        <f t="shared" ref="O13:O21" si="8">C13/C$22*100</f>
        <v>0.15409758149451333</v>
      </c>
      <c r="P13" s="129">
        <v>1037965206.3948004</v>
      </c>
      <c r="Q13" s="129">
        <v>1048343087.8536005</v>
      </c>
      <c r="R13" s="131">
        <f t="shared" si="0"/>
        <v>0.9998294157514076</v>
      </c>
      <c r="S13" s="130" t="s">
        <v>113</v>
      </c>
      <c r="T13" s="130" t="s">
        <v>113</v>
      </c>
      <c r="U13" s="130" t="s">
        <v>113</v>
      </c>
      <c r="V13" s="130" t="s">
        <v>113</v>
      </c>
      <c r="W13" s="132">
        <f t="shared" ref="W13:AA22" si="9">IF(D13&lt;&gt;0,((D13-$C13)/ABS($C13)) / ($Q13/$P13-1),0)</f>
        <v>0.45081005311959216</v>
      </c>
      <c r="X13" s="132">
        <f t="shared" si="9"/>
        <v>0.98194080930221306</v>
      </c>
      <c r="Y13" s="132">
        <f t="shared" si="9"/>
        <v>0.45081005311959216</v>
      </c>
      <c r="Z13" s="132">
        <f t="shared" si="9"/>
        <v>0.45081005311959216</v>
      </c>
      <c r="AA13" s="132">
        <f t="shared" si="9"/>
        <v>0.45081005311959216</v>
      </c>
      <c r="AB13" s="132">
        <f t="shared" si="1"/>
        <v>0.45081005311959216</v>
      </c>
      <c r="AC13" s="132">
        <f t="shared" si="1"/>
        <v>0.45081005311959216</v>
      </c>
      <c r="AD13" s="130" t="s">
        <v>113</v>
      </c>
      <c r="AE13" s="130" t="s">
        <v>113</v>
      </c>
      <c r="AF13" s="130" t="s">
        <v>113</v>
      </c>
      <c r="AG13" s="130" t="s">
        <v>113</v>
      </c>
      <c r="AH13" s="133">
        <f t="shared" ref="AH13:AH22" si="10">MIN(W13,1)</f>
        <v>0.45081005311959216</v>
      </c>
      <c r="AI13" s="134">
        <f t="shared" ref="AI13:AI21" si="11">IF(W13&gt;1,W13-SUM(AH13,AJ13:AO13),0)</f>
        <v>0</v>
      </c>
      <c r="AJ13" s="134">
        <f t="shared" ref="AJ13:AJ22" si="12">IF(W13&gt;1,MIN($W13-Y13,W13-AH13),0)</f>
        <v>0</v>
      </c>
      <c r="AK13" s="134">
        <f t="shared" ref="AK13:AK22" si="13">IF(W13&gt;1,MIN(Y13-Z13,W13-AH13-AJ13),0)</f>
        <v>0</v>
      </c>
      <c r="AL13" s="134">
        <f t="shared" ref="AL13:AL22" si="14">IF(W13&gt;1,MIN(Z13-AA13,W13-AH13-AJ13-AK13),0)</f>
        <v>0</v>
      </c>
      <c r="AM13" s="134">
        <f t="shared" ref="AM13:AM22" si="15">IF(I13&lt;&gt;0,IF(W13&gt;1,MIN(AA13-AB13,W13-AJ13-AK13-AL13),0),0)</f>
        <v>0</v>
      </c>
      <c r="AN13" s="135">
        <f t="shared" ref="AN13:AN22" si="16">IF(J13&lt;&gt;0,IF(W13&gt;1,MIN(AB13-AC13,W13-AH13-AJ13-AK13-AL13-AM13),0),0)</f>
        <v>0</v>
      </c>
      <c r="AO13" s="134">
        <f t="shared" ref="AO13:AO22" si="17">IF(W13&gt;1,MIN(AC13-X13,W13-AH13-AJ13-AK13-AL13-AM13-AN13),0)</f>
        <v>0</v>
      </c>
      <c r="AP13" s="134">
        <f>AI13+AO13</f>
        <v>0</v>
      </c>
      <c r="AQ13" s="136" t="s">
        <v>113</v>
      </c>
      <c r="AR13" s="137">
        <f t="shared" si="3"/>
        <v>0</v>
      </c>
      <c r="AS13" s="137">
        <f t="shared" si="3"/>
        <v>0</v>
      </c>
      <c r="AT13" s="137">
        <f t="shared" si="3"/>
        <v>0</v>
      </c>
      <c r="AU13" s="137">
        <f t="shared" si="3"/>
        <v>0</v>
      </c>
      <c r="AV13" s="137">
        <f t="shared" si="3"/>
        <v>0</v>
      </c>
      <c r="AW13" s="138">
        <f t="shared" si="3"/>
        <v>0</v>
      </c>
      <c r="AX13" s="137">
        <f t="shared" si="3"/>
        <v>0</v>
      </c>
      <c r="AY13" s="137">
        <f t="shared" si="3"/>
        <v>0</v>
      </c>
      <c r="AZ13" s="139" t="s">
        <v>113</v>
      </c>
      <c r="BA13" s="139" t="s">
        <v>113</v>
      </c>
      <c r="BB13" s="139" t="s">
        <v>113</v>
      </c>
      <c r="BC13" s="139" t="s">
        <v>113</v>
      </c>
      <c r="BD13" s="139" t="s">
        <v>113</v>
      </c>
      <c r="BE13" s="139" t="s">
        <v>113</v>
      </c>
      <c r="BF13" s="139" t="s">
        <v>113</v>
      </c>
      <c r="BG13" s="139" t="s">
        <v>113</v>
      </c>
      <c r="BH13" s="140">
        <v>331341767.81640005</v>
      </c>
      <c r="BI13" s="140">
        <v>633330375.51360035</v>
      </c>
      <c r="BJ13" s="140">
        <v>65694174.9912</v>
      </c>
      <c r="BK13" s="140">
        <v>7598930.2812000001</v>
      </c>
      <c r="BL13" s="141">
        <f t="shared" ref="BL13:BL22" si="18">BH13/SUM($BH13:$BK13)</f>
        <v>0.31922240967368143</v>
      </c>
      <c r="BM13" s="141">
        <f t="shared" si="4"/>
        <v>0.61016529827599442</v>
      </c>
      <c r="BN13" s="141">
        <f t="shared" ref="BN13:BO22" si="19">BJ13/SUM($BH13:$BK13)</f>
        <v>6.329130486753376E-2</v>
      </c>
      <c r="BO13" s="141">
        <f t="shared" si="19"/>
        <v>7.3209871827903767E-3</v>
      </c>
      <c r="BP13" s="139" t="s">
        <v>113</v>
      </c>
      <c r="BQ13" s="139" t="s">
        <v>113</v>
      </c>
      <c r="BR13" s="139" t="s">
        <v>113</v>
      </c>
      <c r="BS13" s="131">
        <f t="shared" ref="BS13:BS21" si="20">P13/P$22*100</f>
        <v>4.1249616569231495</v>
      </c>
      <c r="BT13" s="139"/>
      <c r="BU13" s="139"/>
      <c r="BV13" s="139"/>
      <c r="BW13" s="139"/>
      <c r="BX13" s="139"/>
      <c r="BY13" s="139"/>
      <c r="BZ13" s="139"/>
      <c r="CA13" s="139"/>
      <c r="CB13" s="139"/>
      <c r="CC13" s="142" t="s">
        <v>113</v>
      </c>
      <c r="CD13" s="142" t="s">
        <v>113</v>
      </c>
      <c r="CE13" s="142" t="s">
        <v>113</v>
      </c>
      <c r="CF13" s="142" t="s">
        <v>113</v>
      </c>
      <c r="CG13" s="142" t="s">
        <v>113</v>
      </c>
      <c r="CH13" s="142" t="s">
        <v>113</v>
      </c>
      <c r="CI13" s="142" t="s">
        <v>113</v>
      </c>
      <c r="CJ13" s="142"/>
      <c r="CK13" s="139" t="s">
        <v>113</v>
      </c>
      <c r="CL13" s="139" t="s">
        <v>113</v>
      </c>
      <c r="CM13" s="139" t="s">
        <v>113</v>
      </c>
      <c r="CN13" s="139" t="s">
        <v>113</v>
      </c>
      <c r="CO13" s="139" t="s">
        <v>113</v>
      </c>
      <c r="CP13" s="139" t="s">
        <v>113</v>
      </c>
      <c r="CQ13" s="139" t="s">
        <v>113</v>
      </c>
      <c r="CR13" s="139"/>
      <c r="CS13" s="143" t="s">
        <v>113</v>
      </c>
      <c r="CT13" s="143" t="s">
        <v>113</v>
      </c>
      <c r="CU13" s="143" t="s">
        <v>113</v>
      </c>
      <c r="CV13" s="143" t="s">
        <v>113</v>
      </c>
      <c r="CW13" s="143" t="s">
        <v>113</v>
      </c>
      <c r="CX13" s="143" t="s">
        <v>113</v>
      </c>
      <c r="CY13" s="143" t="s">
        <v>113</v>
      </c>
      <c r="CZ13" s="143"/>
      <c r="DA13" s="139" t="s">
        <v>113</v>
      </c>
      <c r="DB13" s="139" t="s">
        <v>113</v>
      </c>
      <c r="DC13" s="139" t="s">
        <v>113</v>
      </c>
      <c r="DD13" s="144">
        <f t="shared" ref="DD13:DD22" si="21">(1-DE13)*100</f>
        <v>93.988284201175873</v>
      </c>
      <c r="DE13" s="145">
        <v>6.0117157988241243E-2</v>
      </c>
      <c r="DF13" s="1"/>
      <c r="DG13" s="1"/>
      <c r="DH13" s="1"/>
      <c r="DI13" s="1"/>
      <c r="DJ13" s="1"/>
      <c r="DK13" s="1"/>
      <c r="DL13" s="1"/>
      <c r="DM13" s="1"/>
      <c r="DN13" s="1"/>
      <c r="DO13" s="1"/>
      <c r="DP13" s="1"/>
      <c r="DQ13" s="1"/>
      <c r="DR13" s="1"/>
      <c r="DS13" s="1"/>
      <c r="DT13" s="1"/>
      <c r="DU13" s="1"/>
      <c r="DV13" s="1"/>
      <c r="DW13" s="1"/>
      <c r="DX13" s="1"/>
      <c r="DY13" s="1"/>
      <c r="DZ13" s="1"/>
      <c r="EA13" s="146">
        <v>2023936.5719999999</v>
      </c>
      <c r="EB13" s="146">
        <v>2042355.7860000008</v>
      </c>
      <c r="EC13" s="146">
        <v>2043852.9876000001</v>
      </c>
      <c r="ED13" s="147"/>
      <c r="EE13" s="147"/>
      <c r="EF13" s="147"/>
      <c r="EG13" s="129"/>
      <c r="EH13" s="122"/>
      <c r="EI13" s="130" t="s">
        <v>113</v>
      </c>
      <c r="EJ13" s="130" t="s">
        <v>113</v>
      </c>
      <c r="EK13" s="130" t="s">
        <v>113</v>
      </c>
      <c r="EL13" s="130" t="s">
        <v>113</v>
      </c>
      <c r="EM13" s="131">
        <f t="shared" si="5"/>
        <v>0.12493225162262056</v>
      </c>
      <c r="EN13" s="146">
        <v>1301994417.022799</v>
      </c>
      <c r="EO13" s="146">
        <v>1315015799.4564006</v>
      </c>
      <c r="EP13" s="131">
        <f t="shared" si="6"/>
        <v>1.0001104661705673</v>
      </c>
      <c r="EQ13" s="130" t="s">
        <v>113</v>
      </c>
      <c r="ER13" s="130" t="s">
        <v>113</v>
      </c>
      <c r="ES13" s="130" t="s">
        <v>113</v>
      </c>
      <c r="ET13" s="130" t="s">
        <v>113</v>
      </c>
      <c r="EU13" s="131">
        <f t="shared" ref="EU13:EU21" si="22">EN13/EN$22*100</f>
        <v>4.1103046593550898</v>
      </c>
      <c r="EV13" s="132">
        <f t="shared" ref="EV13:EV22" si="23">((EB13-$EA13)/ABS($EA13)) / ($EO13/$EN13-1)</f>
        <v>0.90996821637086889</v>
      </c>
      <c r="EW13" s="132">
        <f t="shared" ref="EW13:EW22" si="24">IF(EC13&lt;&gt;0,((EC13-$EA13)/ABS($EA13)) / ($EO13/$EN13-1),0)</f>
        <v>0.98393477485153691</v>
      </c>
      <c r="EX13" s="132"/>
      <c r="EY13" s="148">
        <f t="shared" si="7"/>
        <v>0.45915816325127673</v>
      </c>
      <c r="EZ13" s="144">
        <f t="shared" ref="EZ13:EZ22" si="25">(1-FA13)*100</f>
        <v>93.070714589015196</v>
      </c>
      <c r="FA13" s="145">
        <v>6.9292854109848132E-2</v>
      </c>
      <c r="FB13" s="130" t="s">
        <v>113</v>
      </c>
      <c r="FC13" s="130" t="s">
        <v>113</v>
      </c>
      <c r="FD13" s="130" t="s">
        <v>113</v>
      </c>
      <c r="FE13" s="130" t="s">
        <v>113</v>
      </c>
      <c r="FF13" s="130" t="s">
        <v>113</v>
      </c>
      <c r="FG13" s="130" t="s">
        <v>113</v>
      </c>
      <c r="FH13" s="130" t="s">
        <v>113</v>
      </c>
      <c r="FI13" s="130" t="s">
        <v>113</v>
      </c>
      <c r="FJ13" s="1"/>
      <c r="FK13" s="1"/>
      <c r="FL13" s="1"/>
      <c r="FM13" s="1"/>
      <c r="FN13" s="1"/>
      <c r="FO13" s="1"/>
      <c r="FP13" s="1"/>
      <c r="FQ13" s="1"/>
    </row>
    <row r="14" spans="1:173" x14ac:dyDescent="0.3">
      <c r="A14" s="1"/>
      <c r="B14" s="28">
        <v>3</v>
      </c>
      <c r="C14" s="129">
        <v>3402907.5131999985</v>
      </c>
      <c r="D14" s="129">
        <v>3456589.5407999991</v>
      </c>
      <c r="E14" s="129">
        <v>3435356.9303999995</v>
      </c>
      <c r="F14" s="129">
        <v>3456589.5407999991</v>
      </c>
      <c r="G14" s="129">
        <v>3429978.2987999991</v>
      </c>
      <c r="H14" s="129">
        <v>3427982.4827999985</v>
      </c>
      <c r="I14" s="129"/>
      <c r="J14" s="122"/>
      <c r="K14" s="130" t="s">
        <v>113</v>
      </c>
      <c r="L14" s="130" t="s">
        <v>113</v>
      </c>
      <c r="M14" s="130" t="s">
        <v>113</v>
      </c>
      <c r="N14" s="130" t="s">
        <v>113</v>
      </c>
      <c r="O14" s="131">
        <f t="shared" si="8"/>
        <v>0.26535947746943483</v>
      </c>
      <c r="P14" s="129">
        <v>1404521304.5772004</v>
      </c>
      <c r="Q14" s="129">
        <v>1418567512.2491999</v>
      </c>
      <c r="R14" s="131">
        <f t="shared" si="0"/>
        <v>1.0000708160299299</v>
      </c>
      <c r="S14" s="130" t="s">
        <v>113</v>
      </c>
      <c r="T14" s="130" t="s">
        <v>113</v>
      </c>
      <c r="U14" s="130" t="s">
        <v>113</v>
      </c>
      <c r="V14" s="130" t="s">
        <v>113</v>
      </c>
      <c r="W14" s="132">
        <f t="shared" si="9"/>
        <v>1.577422428111817</v>
      </c>
      <c r="X14" s="132">
        <f t="shared" si="9"/>
        <v>0.9535116454960112</v>
      </c>
      <c r="Y14" s="132">
        <f t="shared" si="9"/>
        <v>1.577422428111817</v>
      </c>
      <c r="Z14" s="132">
        <f t="shared" si="9"/>
        <v>0.7954629558747659</v>
      </c>
      <c r="AA14" s="132">
        <f t="shared" si="9"/>
        <v>0.73681679324760596</v>
      </c>
      <c r="AB14" s="132">
        <f t="shared" si="1"/>
        <v>0.73681679324760596</v>
      </c>
      <c r="AC14" s="132">
        <f t="shared" si="1"/>
        <v>0.73681679324760596</v>
      </c>
      <c r="AD14" s="130" t="s">
        <v>113</v>
      </c>
      <c r="AE14" s="130" t="s">
        <v>113</v>
      </c>
      <c r="AF14" s="130" t="s">
        <v>113</v>
      </c>
      <c r="AG14" s="130" t="s">
        <v>113</v>
      </c>
      <c r="AH14" s="133">
        <f t="shared" si="10"/>
        <v>1</v>
      </c>
      <c r="AI14" s="134">
        <f t="shared" si="11"/>
        <v>0.21669485224840512</v>
      </c>
      <c r="AJ14" s="134">
        <f t="shared" si="12"/>
        <v>0</v>
      </c>
      <c r="AK14" s="134">
        <f t="shared" si="13"/>
        <v>0.57742242811181699</v>
      </c>
      <c r="AL14" s="134">
        <f t="shared" si="14"/>
        <v>0</v>
      </c>
      <c r="AM14" s="134">
        <f t="shared" si="15"/>
        <v>0</v>
      </c>
      <c r="AN14" s="135">
        <f t="shared" si="16"/>
        <v>0</v>
      </c>
      <c r="AO14" s="134">
        <f t="shared" si="17"/>
        <v>-0.21669485224840523</v>
      </c>
      <c r="AP14" s="134">
        <f t="shared" si="2"/>
        <v>0</v>
      </c>
      <c r="AQ14" s="136" t="s">
        <v>113</v>
      </c>
      <c r="AR14" s="137">
        <f t="shared" si="3"/>
        <v>37.52795902940619</v>
      </c>
      <c r="AS14" s="137">
        <f t="shared" si="3"/>
        <v>0</v>
      </c>
      <c r="AT14" s="137">
        <f t="shared" si="3"/>
        <v>100</v>
      </c>
      <c r="AU14" s="137">
        <f t="shared" si="3"/>
        <v>0</v>
      </c>
      <c r="AV14" s="137">
        <f t="shared" si="3"/>
        <v>0</v>
      </c>
      <c r="AW14" s="138">
        <f t="shared" si="3"/>
        <v>0</v>
      </c>
      <c r="AX14" s="137">
        <f t="shared" si="3"/>
        <v>-37.527959029406219</v>
      </c>
      <c r="AY14" s="137">
        <f t="shared" si="3"/>
        <v>0</v>
      </c>
      <c r="AZ14" s="139" t="s">
        <v>113</v>
      </c>
      <c r="BA14" s="139" t="s">
        <v>113</v>
      </c>
      <c r="BB14" s="139" t="s">
        <v>113</v>
      </c>
      <c r="BC14" s="139" t="s">
        <v>113</v>
      </c>
      <c r="BD14" s="139" t="s">
        <v>113</v>
      </c>
      <c r="BE14" s="139" t="s">
        <v>113</v>
      </c>
      <c r="BF14" s="139" t="s">
        <v>113</v>
      </c>
      <c r="BG14" s="139" t="s">
        <v>113</v>
      </c>
      <c r="BH14" s="140">
        <v>579253613.46479976</v>
      </c>
      <c r="BI14" s="140">
        <v>732273550.28519893</v>
      </c>
      <c r="BJ14" s="140">
        <v>73614409.980000019</v>
      </c>
      <c r="BK14" s="140">
        <v>19379831.946000006</v>
      </c>
      <c r="BL14" s="141">
        <f t="shared" si="18"/>
        <v>0.4124206374668985</v>
      </c>
      <c r="BM14" s="141">
        <f t="shared" si="4"/>
        <v>0.52136873622994329</v>
      </c>
      <c r="BN14" s="141">
        <f t="shared" si="19"/>
        <v>5.2412451446099018E-2</v>
      </c>
      <c r="BO14" s="141">
        <f t="shared" si="19"/>
        <v>1.3798174857059198E-2</v>
      </c>
      <c r="BP14" s="139" t="s">
        <v>113</v>
      </c>
      <c r="BQ14" s="139" t="s">
        <v>113</v>
      </c>
      <c r="BR14" s="139" t="s">
        <v>113</v>
      </c>
      <c r="BS14" s="131">
        <f t="shared" si="20"/>
        <v>5.5816866423063711</v>
      </c>
      <c r="BT14" s="139"/>
      <c r="BU14" s="139"/>
      <c r="BV14" s="139"/>
      <c r="BW14" s="139"/>
      <c r="BX14" s="139"/>
      <c r="BY14" s="139"/>
      <c r="BZ14" s="139"/>
      <c r="CA14" s="139"/>
      <c r="CB14" s="139"/>
      <c r="CC14" s="142" t="s">
        <v>113</v>
      </c>
      <c r="CD14" s="142" t="s">
        <v>113</v>
      </c>
      <c r="CE14" s="142" t="s">
        <v>113</v>
      </c>
      <c r="CF14" s="142" t="s">
        <v>113</v>
      </c>
      <c r="CG14" s="142" t="s">
        <v>113</v>
      </c>
      <c r="CH14" s="142" t="s">
        <v>113</v>
      </c>
      <c r="CI14" s="142" t="s">
        <v>113</v>
      </c>
      <c r="CJ14" s="142"/>
      <c r="CK14" s="139" t="s">
        <v>113</v>
      </c>
      <c r="CL14" s="139" t="s">
        <v>113</v>
      </c>
      <c r="CM14" s="139" t="s">
        <v>113</v>
      </c>
      <c r="CN14" s="139" t="s">
        <v>113</v>
      </c>
      <c r="CO14" s="139" t="s">
        <v>113</v>
      </c>
      <c r="CP14" s="139" t="s">
        <v>113</v>
      </c>
      <c r="CQ14" s="139" t="s">
        <v>113</v>
      </c>
      <c r="CR14" s="139"/>
      <c r="CS14" s="143" t="s">
        <v>113</v>
      </c>
      <c r="CT14" s="143" t="s">
        <v>113</v>
      </c>
      <c r="CU14" s="143" t="s">
        <v>113</v>
      </c>
      <c r="CV14" s="143" t="s">
        <v>113</v>
      </c>
      <c r="CW14" s="143" t="s">
        <v>113</v>
      </c>
      <c r="CX14" s="143" t="s">
        <v>113</v>
      </c>
      <c r="CY14" s="143" t="s">
        <v>113</v>
      </c>
      <c r="CZ14" s="143"/>
      <c r="DA14" s="139" t="s">
        <v>113</v>
      </c>
      <c r="DB14" s="139" t="s">
        <v>113</v>
      </c>
      <c r="DC14" s="139" t="s">
        <v>113</v>
      </c>
      <c r="DD14" s="144">
        <f t="shared" si="21"/>
        <v>89.215765183956009</v>
      </c>
      <c r="DE14" s="145">
        <v>0.10784234816043987</v>
      </c>
      <c r="DF14" s="1"/>
      <c r="DG14" s="1"/>
      <c r="DH14" s="1"/>
      <c r="DI14" s="1"/>
      <c r="DJ14" s="1"/>
      <c r="DK14" s="1"/>
      <c r="DL14" s="1"/>
      <c r="DM14" s="1"/>
      <c r="DN14" s="1"/>
      <c r="DO14" s="1"/>
      <c r="DP14" s="1"/>
      <c r="DQ14" s="1"/>
      <c r="DR14" s="1"/>
      <c r="DS14" s="1"/>
      <c r="DT14" s="1"/>
      <c r="DU14" s="1"/>
      <c r="DV14" s="1"/>
      <c r="DW14" s="1"/>
      <c r="DX14" s="1"/>
      <c r="DY14" s="1"/>
      <c r="DZ14" s="1"/>
      <c r="EA14" s="146">
        <v>6632213.0292000026</v>
      </c>
      <c r="EB14" s="146">
        <v>7020642.1547999969</v>
      </c>
      <c r="EC14" s="146">
        <v>6695486.2848000024</v>
      </c>
      <c r="ED14" s="147"/>
      <c r="EE14" s="147"/>
      <c r="EF14" s="147"/>
      <c r="EG14" s="129"/>
      <c r="EH14" s="122"/>
      <c r="EI14" s="130" t="s">
        <v>113</v>
      </c>
      <c r="EJ14" s="130" t="s">
        <v>113</v>
      </c>
      <c r="EK14" s="130" t="s">
        <v>113</v>
      </c>
      <c r="EL14" s="130" t="s">
        <v>113</v>
      </c>
      <c r="EM14" s="131">
        <f t="shared" si="5"/>
        <v>0.40938896922054202</v>
      </c>
      <c r="EN14" s="146">
        <v>1775301938.8643997</v>
      </c>
      <c r="EO14" s="146">
        <v>1793055651.7703991</v>
      </c>
      <c r="EP14" s="131">
        <f t="shared" si="6"/>
        <v>1.0000390647551427</v>
      </c>
      <c r="EQ14" s="130" t="s">
        <v>113</v>
      </c>
      <c r="ER14" s="130" t="s">
        <v>113</v>
      </c>
      <c r="ES14" s="130" t="s">
        <v>113</v>
      </c>
      <c r="ET14" s="130" t="s">
        <v>113</v>
      </c>
      <c r="EU14" s="131">
        <f t="shared" si="22"/>
        <v>5.6045031650459753</v>
      </c>
      <c r="EV14" s="132">
        <f t="shared" si="23"/>
        <v>5.8564758187646033</v>
      </c>
      <c r="EW14" s="132">
        <f t="shared" si="24"/>
        <v>0.95399203348492745</v>
      </c>
      <c r="EX14" s="132"/>
      <c r="EY14" s="148">
        <f t="shared" si="7"/>
        <v>4.2790533906527859</v>
      </c>
      <c r="EZ14" s="144">
        <f t="shared" si="25"/>
        <v>63.187453296869279</v>
      </c>
      <c r="FA14" s="145">
        <v>0.36812546703130716</v>
      </c>
      <c r="FB14" s="130" t="s">
        <v>113</v>
      </c>
      <c r="FC14" s="130" t="s">
        <v>113</v>
      </c>
      <c r="FD14" s="130" t="s">
        <v>113</v>
      </c>
      <c r="FE14" s="130" t="s">
        <v>113</v>
      </c>
      <c r="FF14" s="130" t="s">
        <v>113</v>
      </c>
      <c r="FG14" s="130" t="s">
        <v>113</v>
      </c>
      <c r="FH14" s="130" t="s">
        <v>113</v>
      </c>
      <c r="FI14" s="130" t="s">
        <v>113</v>
      </c>
      <c r="FJ14" s="1"/>
      <c r="FK14" s="1"/>
      <c r="FL14" s="1"/>
      <c r="FM14" s="1"/>
      <c r="FN14" s="1"/>
      <c r="FO14" s="1"/>
      <c r="FP14" s="1"/>
      <c r="FQ14" s="1"/>
    </row>
    <row r="15" spans="1:173" x14ac:dyDescent="0.3">
      <c r="A15" s="1"/>
      <c r="B15" s="28">
        <v>4</v>
      </c>
      <c r="C15" s="129">
        <v>6669917.3556000013</v>
      </c>
      <c r="D15" s="129">
        <v>6981908.7467999961</v>
      </c>
      <c r="E15" s="129">
        <v>6734714.8391999993</v>
      </c>
      <c r="F15" s="129">
        <v>6981908.7467999961</v>
      </c>
      <c r="G15" s="129">
        <v>6752886.2471999973</v>
      </c>
      <c r="H15" s="129">
        <v>6724441.7459999984</v>
      </c>
      <c r="I15" s="129"/>
      <c r="J15" s="122"/>
      <c r="K15" s="130" t="s">
        <v>113</v>
      </c>
      <c r="L15" s="130" t="s">
        <v>113</v>
      </c>
      <c r="M15" s="130" t="s">
        <v>113</v>
      </c>
      <c r="N15" s="130" t="s">
        <v>113</v>
      </c>
      <c r="O15" s="131">
        <f t="shared" si="8"/>
        <v>0.52012162463444156</v>
      </c>
      <c r="P15" s="129">
        <v>1694832444.0132015</v>
      </c>
      <c r="Q15" s="129">
        <v>1711782889.2635989</v>
      </c>
      <c r="R15" s="131">
        <f t="shared" si="0"/>
        <v>1.0001251339194495</v>
      </c>
      <c r="S15" s="130" t="s">
        <v>113</v>
      </c>
      <c r="T15" s="130" t="s">
        <v>113</v>
      </c>
      <c r="U15" s="130" t="s">
        <v>113</v>
      </c>
      <c r="V15" s="130" t="s">
        <v>113</v>
      </c>
      <c r="W15" s="132">
        <f t="shared" si="9"/>
        <v>4.6770048075209276</v>
      </c>
      <c r="X15" s="132">
        <f t="shared" si="9"/>
        <v>0.97136700197660564</v>
      </c>
      <c r="Y15" s="132">
        <f t="shared" si="9"/>
        <v>4.6770048075209276</v>
      </c>
      <c r="Z15" s="132">
        <f t="shared" si="9"/>
        <v>1.2437711931580708</v>
      </c>
      <c r="AA15" s="132">
        <f t="shared" si="9"/>
        <v>0.8173649761523889</v>
      </c>
      <c r="AB15" s="132">
        <f t="shared" si="1"/>
        <v>0.8173649761523889</v>
      </c>
      <c r="AC15" s="132">
        <f t="shared" si="1"/>
        <v>0.8173649761523889</v>
      </c>
      <c r="AD15" s="130" t="s">
        <v>113</v>
      </c>
      <c r="AE15" s="130" t="s">
        <v>113</v>
      </c>
      <c r="AF15" s="130" t="s">
        <v>113</v>
      </c>
      <c r="AG15" s="130" t="s">
        <v>113</v>
      </c>
      <c r="AH15" s="133">
        <f t="shared" si="10"/>
        <v>1</v>
      </c>
      <c r="AI15" s="134">
        <f t="shared" si="11"/>
        <v>0.15400202582421674</v>
      </c>
      <c r="AJ15" s="134">
        <f t="shared" si="12"/>
        <v>0</v>
      </c>
      <c r="AK15" s="134">
        <f t="shared" si="13"/>
        <v>3.433233614362857</v>
      </c>
      <c r="AL15" s="134">
        <f t="shared" si="14"/>
        <v>0.24377119315807061</v>
      </c>
      <c r="AM15" s="134">
        <f t="shared" si="15"/>
        <v>0</v>
      </c>
      <c r="AN15" s="135">
        <f t="shared" si="16"/>
        <v>0</v>
      </c>
      <c r="AO15" s="134">
        <f t="shared" si="17"/>
        <v>-0.15400202582421674</v>
      </c>
      <c r="AP15" s="134">
        <f t="shared" si="2"/>
        <v>0</v>
      </c>
      <c r="AQ15" s="136" t="s">
        <v>113</v>
      </c>
      <c r="AR15" s="137">
        <f t="shared" si="3"/>
        <v>4.1882465181775599</v>
      </c>
      <c r="AS15" s="137">
        <f t="shared" si="3"/>
        <v>0</v>
      </c>
      <c r="AT15" s="137">
        <f t="shared" si="3"/>
        <v>93.370386879574866</v>
      </c>
      <c r="AU15" s="137">
        <f t="shared" si="3"/>
        <v>6.6296131204251401</v>
      </c>
      <c r="AV15" s="137">
        <f t="shared" si="3"/>
        <v>0</v>
      </c>
      <c r="AW15" s="138">
        <f t="shared" si="3"/>
        <v>0</v>
      </c>
      <c r="AX15" s="137">
        <f t="shared" si="3"/>
        <v>-4.1882465181775599</v>
      </c>
      <c r="AY15" s="137">
        <f t="shared" si="3"/>
        <v>0</v>
      </c>
      <c r="AZ15" s="139" t="s">
        <v>113</v>
      </c>
      <c r="BA15" s="139" t="s">
        <v>113</v>
      </c>
      <c r="BB15" s="139" t="s">
        <v>113</v>
      </c>
      <c r="BC15" s="139" t="s">
        <v>113</v>
      </c>
      <c r="BD15" s="139" t="s">
        <v>113</v>
      </c>
      <c r="BE15" s="139" t="s">
        <v>113</v>
      </c>
      <c r="BF15" s="139" t="s">
        <v>113</v>
      </c>
      <c r="BG15" s="139" t="s">
        <v>113</v>
      </c>
      <c r="BH15" s="140">
        <v>1017723868.7556009</v>
      </c>
      <c r="BI15" s="140">
        <v>569453329.71959984</v>
      </c>
      <c r="BJ15" s="140">
        <v>82432168.15080002</v>
      </c>
      <c r="BK15" s="140">
        <v>25223107.342799999</v>
      </c>
      <c r="BL15" s="141">
        <f t="shared" si="18"/>
        <v>0.60048641053731411</v>
      </c>
      <c r="BM15" s="141">
        <f t="shared" si="4"/>
        <v>0.33599387459582197</v>
      </c>
      <c r="BN15" s="141">
        <f t="shared" si="19"/>
        <v>4.863735467480633E-2</v>
      </c>
      <c r="BO15" s="141">
        <f t="shared" si="19"/>
        <v>1.4882360192057732E-2</v>
      </c>
      <c r="BP15" s="139" t="s">
        <v>113</v>
      </c>
      <c r="BQ15" s="139" t="s">
        <v>113</v>
      </c>
      <c r="BR15" s="139" t="s">
        <v>113</v>
      </c>
      <c r="BS15" s="131">
        <f t="shared" si="20"/>
        <v>6.7354077028711741</v>
      </c>
      <c r="BT15" s="139"/>
      <c r="BU15" s="139"/>
      <c r="BV15" s="139"/>
      <c r="BW15" s="139"/>
      <c r="BX15" s="139"/>
      <c r="BY15" s="139"/>
      <c r="BZ15" s="139"/>
      <c r="CA15" s="139"/>
      <c r="CB15" s="139"/>
      <c r="CC15" s="142" t="s">
        <v>113</v>
      </c>
      <c r="CD15" s="142" t="s">
        <v>113</v>
      </c>
      <c r="CE15" s="142" t="s">
        <v>113</v>
      </c>
      <c r="CF15" s="142" t="s">
        <v>113</v>
      </c>
      <c r="CG15" s="142" t="s">
        <v>113</v>
      </c>
      <c r="CH15" s="142" t="s">
        <v>113</v>
      </c>
      <c r="CI15" s="142" t="s">
        <v>113</v>
      </c>
      <c r="CJ15" s="142"/>
      <c r="CK15" s="139" t="s">
        <v>113</v>
      </c>
      <c r="CL15" s="139" t="s">
        <v>113</v>
      </c>
      <c r="CM15" s="139" t="s">
        <v>113</v>
      </c>
      <c r="CN15" s="139" t="s">
        <v>113</v>
      </c>
      <c r="CO15" s="139" t="s">
        <v>113</v>
      </c>
      <c r="CP15" s="139" t="s">
        <v>113</v>
      </c>
      <c r="CQ15" s="139" t="s">
        <v>113</v>
      </c>
      <c r="CR15" s="139"/>
      <c r="CS15" s="143" t="s">
        <v>113</v>
      </c>
      <c r="CT15" s="143" t="s">
        <v>113</v>
      </c>
      <c r="CU15" s="143" t="s">
        <v>113</v>
      </c>
      <c r="CV15" s="143" t="s">
        <v>113</v>
      </c>
      <c r="CW15" s="143" t="s">
        <v>113</v>
      </c>
      <c r="CX15" s="143" t="s">
        <v>113</v>
      </c>
      <c r="CY15" s="143" t="s">
        <v>113</v>
      </c>
      <c r="CZ15" s="143"/>
      <c r="DA15" s="139" t="s">
        <v>113</v>
      </c>
      <c r="DB15" s="139" t="s">
        <v>113</v>
      </c>
      <c r="DC15" s="139" t="s">
        <v>113</v>
      </c>
      <c r="DD15" s="144">
        <f t="shared" si="21"/>
        <v>71.864820406001201</v>
      </c>
      <c r="DE15" s="145">
        <v>0.28135179593998799</v>
      </c>
      <c r="DF15" s="1"/>
      <c r="DG15" s="1"/>
      <c r="DH15" s="1"/>
      <c r="DI15" s="1"/>
      <c r="DJ15" s="1"/>
      <c r="DK15" s="1"/>
      <c r="DL15" s="1"/>
      <c r="DM15" s="1"/>
      <c r="DN15" s="1"/>
      <c r="DO15" s="1"/>
      <c r="DP15" s="1"/>
      <c r="DQ15" s="1"/>
      <c r="DR15" s="1"/>
      <c r="DS15" s="1"/>
      <c r="DT15" s="1"/>
      <c r="DU15" s="1"/>
      <c r="DV15" s="1"/>
      <c r="DW15" s="1"/>
      <c r="DX15" s="1"/>
      <c r="DY15" s="1"/>
      <c r="DZ15" s="1"/>
      <c r="EA15" s="146">
        <v>18169491.881999988</v>
      </c>
      <c r="EB15" s="146">
        <v>19208430.470399998</v>
      </c>
      <c r="EC15" s="146">
        <v>18323619.546000004</v>
      </c>
      <c r="ED15" s="147"/>
      <c r="EE15" s="147"/>
      <c r="EF15" s="147"/>
      <c r="EG15" s="129"/>
      <c r="EH15" s="122"/>
      <c r="EI15" s="130" t="s">
        <v>113</v>
      </c>
      <c r="EJ15" s="130" t="s">
        <v>113</v>
      </c>
      <c r="EK15" s="130" t="s">
        <v>113</v>
      </c>
      <c r="EL15" s="130" t="s">
        <v>113</v>
      </c>
      <c r="EM15" s="131">
        <f t="shared" si="5"/>
        <v>1.121554678669636</v>
      </c>
      <c r="EN15" s="146">
        <v>2118158554.1724007</v>
      </c>
      <c r="EO15" s="146">
        <v>2139340236.5568027</v>
      </c>
      <c r="EP15" s="131">
        <f t="shared" si="6"/>
        <v>1.0000045720221395</v>
      </c>
      <c r="EQ15" s="130" t="s">
        <v>113</v>
      </c>
      <c r="ER15" s="130" t="s">
        <v>113</v>
      </c>
      <c r="ES15" s="130" t="s">
        <v>113</v>
      </c>
      <c r="ET15" s="130" t="s">
        <v>113</v>
      </c>
      <c r="EU15" s="131">
        <f t="shared" si="22"/>
        <v>6.6868773480425805</v>
      </c>
      <c r="EV15" s="132">
        <f t="shared" si="23"/>
        <v>5.7180126176271466</v>
      </c>
      <c r="EW15" s="132">
        <f t="shared" si="24"/>
        <v>0.84827336025194333</v>
      </c>
      <c r="EX15" s="132"/>
      <c r="EY15" s="148">
        <f t="shared" si="7"/>
        <v>1.041007810106219</v>
      </c>
      <c r="EZ15" s="144">
        <f t="shared" si="25"/>
        <v>35.3960818051942</v>
      </c>
      <c r="FA15" s="145">
        <v>0.64603918194805798</v>
      </c>
      <c r="FB15" s="130" t="s">
        <v>113</v>
      </c>
      <c r="FC15" s="130" t="s">
        <v>113</v>
      </c>
      <c r="FD15" s="130" t="s">
        <v>113</v>
      </c>
      <c r="FE15" s="130" t="s">
        <v>113</v>
      </c>
      <c r="FF15" s="130" t="s">
        <v>113</v>
      </c>
      <c r="FG15" s="130" t="s">
        <v>113</v>
      </c>
      <c r="FH15" s="130" t="s">
        <v>113</v>
      </c>
      <c r="FI15" s="130" t="s">
        <v>113</v>
      </c>
      <c r="FJ15" s="1"/>
      <c r="FK15" s="1"/>
      <c r="FL15" s="1"/>
      <c r="FM15" s="1"/>
      <c r="FN15" s="1"/>
      <c r="FO15" s="1"/>
      <c r="FP15" s="1"/>
      <c r="FQ15" s="1"/>
    </row>
    <row r="16" spans="1:173" x14ac:dyDescent="0.3">
      <c r="A16" s="1"/>
      <c r="B16" s="28">
        <v>5</v>
      </c>
      <c r="C16" s="129">
        <v>17830575.381599989</v>
      </c>
      <c r="D16" s="129">
        <v>18707203.027199991</v>
      </c>
      <c r="E16" s="129">
        <v>18028752.962400004</v>
      </c>
      <c r="F16" s="129">
        <v>18707203.027199991</v>
      </c>
      <c r="G16" s="129">
        <v>18130429.183200013</v>
      </c>
      <c r="H16" s="129">
        <v>18022473.650400005</v>
      </c>
      <c r="I16" s="129"/>
      <c r="J16" s="122"/>
      <c r="K16" s="130" t="s">
        <v>113</v>
      </c>
      <c r="L16" s="130" t="s">
        <v>113</v>
      </c>
      <c r="M16" s="130" t="s">
        <v>113</v>
      </c>
      <c r="N16" s="130" t="s">
        <v>113</v>
      </c>
      <c r="O16" s="131">
        <f t="shared" si="8"/>
        <v>1.3904321959639039</v>
      </c>
      <c r="P16" s="129">
        <v>1988384888.9712017</v>
      </c>
      <c r="Q16" s="129">
        <v>2008269276.9900002</v>
      </c>
      <c r="R16" s="131">
        <f t="shared" si="0"/>
        <v>1.0000271139199324</v>
      </c>
      <c r="S16" s="130" t="s">
        <v>113</v>
      </c>
      <c r="T16" s="130" t="s">
        <v>113</v>
      </c>
      <c r="U16" s="130" t="s">
        <v>113</v>
      </c>
      <c r="V16" s="130" t="s">
        <v>113</v>
      </c>
      <c r="W16" s="132">
        <f t="shared" si="9"/>
        <v>4.9162960738622949</v>
      </c>
      <c r="X16" s="132">
        <f t="shared" si="9"/>
        <v>1.1114179062283516</v>
      </c>
      <c r="Y16" s="132">
        <f t="shared" si="9"/>
        <v>4.9162960738622949</v>
      </c>
      <c r="Z16" s="132">
        <f t="shared" si="9"/>
        <v>1.6816376655904977</v>
      </c>
      <c r="AA16" s="132">
        <f t="shared" si="9"/>
        <v>1.0762023194429016</v>
      </c>
      <c r="AB16" s="132">
        <f t="shared" si="1"/>
        <v>1.0762023194429016</v>
      </c>
      <c r="AC16" s="132">
        <f t="shared" si="1"/>
        <v>1.0762023194429016</v>
      </c>
      <c r="AD16" s="130" t="s">
        <v>113</v>
      </c>
      <c r="AE16" s="130" t="s">
        <v>113</v>
      </c>
      <c r="AF16" s="130" t="s">
        <v>113</v>
      </c>
      <c r="AG16" s="130" t="s">
        <v>113</v>
      </c>
      <c r="AH16" s="133">
        <f t="shared" si="10"/>
        <v>1</v>
      </c>
      <c r="AI16" s="134">
        <f t="shared" si="11"/>
        <v>0.11141790622835224</v>
      </c>
      <c r="AJ16" s="134">
        <f t="shared" si="12"/>
        <v>0</v>
      </c>
      <c r="AK16" s="134">
        <f t="shared" si="13"/>
        <v>3.2346584082717973</v>
      </c>
      <c r="AL16" s="134">
        <f t="shared" si="14"/>
        <v>0.60543534614759609</v>
      </c>
      <c r="AM16" s="134">
        <f t="shared" si="15"/>
        <v>0</v>
      </c>
      <c r="AN16" s="135">
        <f t="shared" si="16"/>
        <v>0</v>
      </c>
      <c r="AO16" s="134">
        <f t="shared" si="17"/>
        <v>-3.5215586785450004E-2</v>
      </c>
      <c r="AP16" s="134">
        <f t="shared" si="2"/>
        <v>7.6202319442902233E-2</v>
      </c>
      <c r="AQ16" s="136" t="s">
        <v>113</v>
      </c>
      <c r="AR16" s="137">
        <f t="shared" si="3"/>
        <v>2.8449816900199441</v>
      </c>
      <c r="AS16" s="137">
        <f t="shared" si="3"/>
        <v>0</v>
      </c>
      <c r="AT16" s="137">
        <f t="shared" si="3"/>
        <v>82.594838267213561</v>
      </c>
      <c r="AU16" s="137">
        <f t="shared" si="3"/>
        <v>15.459386489911346</v>
      </c>
      <c r="AV16" s="137">
        <f t="shared" si="3"/>
        <v>0</v>
      </c>
      <c r="AW16" s="138">
        <f t="shared" si="3"/>
        <v>0</v>
      </c>
      <c r="AX16" s="137">
        <f t="shared" si="3"/>
        <v>-0.89920644714483999</v>
      </c>
      <c r="AY16" s="137">
        <f t="shared" si="3"/>
        <v>1.9457752428751041</v>
      </c>
      <c r="AZ16" s="139" t="s">
        <v>113</v>
      </c>
      <c r="BA16" s="139" t="s">
        <v>113</v>
      </c>
      <c r="BB16" s="139" t="s">
        <v>113</v>
      </c>
      <c r="BC16" s="139" t="s">
        <v>113</v>
      </c>
      <c r="BD16" s="139" t="s">
        <v>113</v>
      </c>
      <c r="BE16" s="139" t="s">
        <v>113</v>
      </c>
      <c r="BF16" s="139" t="s">
        <v>113</v>
      </c>
      <c r="BG16" s="139" t="s">
        <v>113</v>
      </c>
      <c r="BH16" s="140">
        <v>1289980872.1127999</v>
      </c>
      <c r="BI16" s="140">
        <v>546796247.45159972</v>
      </c>
      <c r="BJ16" s="140">
        <v>124319432.84639999</v>
      </c>
      <c r="BK16" s="140">
        <v>27288224.995200001</v>
      </c>
      <c r="BL16" s="141">
        <f t="shared" si="18"/>
        <v>0.64875817134130287</v>
      </c>
      <c r="BM16" s="141">
        <f t="shared" si="4"/>
        <v>0.27499518889142638</v>
      </c>
      <c r="BN16" s="141">
        <f t="shared" si="19"/>
        <v>6.2522824686167738E-2</v>
      </c>
      <c r="BO16" s="141">
        <f t="shared" si="19"/>
        <v>1.3723815081102955E-2</v>
      </c>
      <c r="BP16" s="139" t="s">
        <v>113</v>
      </c>
      <c r="BQ16" s="139" t="s">
        <v>113</v>
      </c>
      <c r="BR16" s="139" t="s">
        <v>113</v>
      </c>
      <c r="BS16" s="131">
        <f t="shared" si="20"/>
        <v>7.9020099861535087</v>
      </c>
      <c r="BT16" s="139"/>
      <c r="BU16" s="139"/>
      <c r="BV16" s="139"/>
      <c r="BW16" s="139"/>
      <c r="BX16" s="139"/>
      <c r="BY16" s="139"/>
      <c r="BZ16" s="139"/>
      <c r="CA16" s="139"/>
      <c r="CB16" s="139"/>
      <c r="CC16" s="142" t="s">
        <v>113</v>
      </c>
      <c r="CD16" s="142" t="s">
        <v>113</v>
      </c>
      <c r="CE16" s="142" t="s">
        <v>113</v>
      </c>
      <c r="CF16" s="142" t="s">
        <v>113</v>
      </c>
      <c r="CG16" s="142" t="s">
        <v>113</v>
      </c>
      <c r="CH16" s="142" t="s">
        <v>113</v>
      </c>
      <c r="CI16" s="142" t="s">
        <v>113</v>
      </c>
      <c r="CJ16" s="142"/>
      <c r="CK16" s="139" t="s">
        <v>113</v>
      </c>
      <c r="CL16" s="139" t="s">
        <v>113</v>
      </c>
      <c r="CM16" s="139" t="s">
        <v>113</v>
      </c>
      <c r="CN16" s="139" t="s">
        <v>113</v>
      </c>
      <c r="CO16" s="139" t="s">
        <v>113</v>
      </c>
      <c r="CP16" s="139" t="s">
        <v>113</v>
      </c>
      <c r="CQ16" s="139" t="s">
        <v>113</v>
      </c>
      <c r="CR16" s="139"/>
      <c r="CS16" s="143" t="s">
        <v>113</v>
      </c>
      <c r="CT16" s="143" t="s">
        <v>113</v>
      </c>
      <c r="CU16" s="143" t="s">
        <v>113</v>
      </c>
      <c r="CV16" s="143" t="s">
        <v>113</v>
      </c>
      <c r="CW16" s="143" t="s">
        <v>113</v>
      </c>
      <c r="CX16" s="143" t="s">
        <v>113</v>
      </c>
      <c r="CY16" s="143" t="s">
        <v>113</v>
      </c>
      <c r="CZ16" s="143"/>
      <c r="DA16" s="139" t="s">
        <v>113</v>
      </c>
      <c r="DB16" s="139" t="s">
        <v>113</v>
      </c>
      <c r="DC16" s="139" t="s">
        <v>113</v>
      </c>
      <c r="DD16" s="144">
        <f t="shared" si="21"/>
        <v>50.062262102906388</v>
      </c>
      <c r="DE16" s="145">
        <v>0.4993773789709362</v>
      </c>
      <c r="DF16" s="1"/>
      <c r="DG16" s="1"/>
      <c r="DH16" s="1"/>
      <c r="DI16" s="1"/>
      <c r="DJ16" s="1"/>
      <c r="DK16" s="1"/>
      <c r="DL16" s="1"/>
      <c r="DM16" s="1"/>
      <c r="DN16" s="1"/>
      <c r="DO16" s="1"/>
      <c r="DP16" s="1"/>
      <c r="DQ16" s="1"/>
      <c r="DR16" s="1"/>
      <c r="DS16" s="1"/>
      <c r="DT16" s="1"/>
      <c r="DU16" s="1"/>
      <c r="DV16" s="1"/>
      <c r="DW16" s="1"/>
      <c r="DX16" s="1"/>
      <c r="DY16" s="1"/>
      <c r="DZ16" s="1"/>
      <c r="EA16" s="146">
        <v>40719615.971999973</v>
      </c>
      <c r="EB16" s="146">
        <v>42774336.956399992</v>
      </c>
      <c r="EC16" s="146">
        <v>41144662.970399983</v>
      </c>
      <c r="ED16" s="147"/>
      <c r="EE16" s="147"/>
      <c r="EF16" s="147"/>
      <c r="EG16" s="129"/>
      <c r="EH16" s="122"/>
      <c r="EI16" s="130" t="s">
        <v>113</v>
      </c>
      <c r="EJ16" s="130" t="s">
        <v>113</v>
      </c>
      <c r="EK16" s="130" t="s">
        <v>113</v>
      </c>
      <c r="EL16" s="130" t="s">
        <v>113</v>
      </c>
      <c r="EM16" s="131">
        <f t="shared" si="5"/>
        <v>2.513514197514279</v>
      </c>
      <c r="EN16" s="146">
        <v>2505037889.5356002</v>
      </c>
      <c r="EO16" s="146">
        <v>2530089018.8028016</v>
      </c>
      <c r="EP16" s="131">
        <f t="shared" si="6"/>
        <v>1.000029954510806</v>
      </c>
      <c r="EQ16" s="130" t="s">
        <v>113</v>
      </c>
      <c r="ER16" s="130" t="s">
        <v>113</v>
      </c>
      <c r="ES16" s="130" t="s">
        <v>113</v>
      </c>
      <c r="ET16" s="130" t="s">
        <v>113</v>
      </c>
      <c r="EU16" s="131">
        <f t="shared" si="22"/>
        <v>7.9082281572017825</v>
      </c>
      <c r="EV16" s="132">
        <f t="shared" si="23"/>
        <v>5.0458713547164189</v>
      </c>
      <c r="EW16" s="132">
        <f t="shared" si="24"/>
        <v>1.0438071591803357</v>
      </c>
      <c r="EX16" s="132"/>
      <c r="EY16" s="148">
        <f t="shared" si="7"/>
        <v>0.12957528085412395</v>
      </c>
      <c r="EZ16" s="144">
        <f t="shared" si="25"/>
        <v>11.240390453772076</v>
      </c>
      <c r="FA16" s="145">
        <v>0.88759609546227924</v>
      </c>
      <c r="FB16" s="130" t="s">
        <v>113</v>
      </c>
      <c r="FC16" s="130" t="s">
        <v>113</v>
      </c>
      <c r="FD16" s="130" t="s">
        <v>113</v>
      </c>
      <c r="FE16" s="130" t="s">
        <v>113</v>
      </c>
      <c r="FF16" s="130" t="s">
        <v>113</v>
      </c>
      <c r="FG16" s="130" t="s">
        <v>113</v>
      </c>
      <c r="FH16" s="130" t="s">
        <v>113</v>
      </c>
      <c r="FI16" s="130" t="s">
        <v>113</v>
      </c>
      <c r="FJ16" s="1"/>
      <c r="FK16" s="1"/>
      <c r="FL16" s="1"/>
      <c r="FM16" s="1"/>
      <c r="FN16" s="1"/>
      <c r="FO16" s="1"/>
      <c r="FP16" s="1"/>
      <c r="FQ16" s="1"/>
    </row>
    <row r="17" spans="1:173" x14ac:dyDescent="0.3">
      <c r="A17" s="1"/>
      <c r="B17" s="28">
        <v>6</v>
      </c>
      <c r="C17" s="129">
        <v>42387834.283199996</v>
      </c>
      <c r="D17" s="129">
        <v>44295991.437600002</v>
      </c>
      <c r="E17" s="129">
        <v>42802729.790400013</v>
      </c>
      <c r="F17" s="129">
        <v>44295991.437600002</v>
      </c>
      <c r="G17" s="129">
        <v>43091121.337199971</v>
      </c>
      <c r="H17" s="129">
        <v>42795808.543200001</v>
      </c>
      <c r="I17" s="129"/>
      <c r="J17" s="122"/>
      <c r="K17" s="130" t="s">
        <v>113</v>
      </c>
      <c r="L17" s="130" t="s">
        <v>113</v>
      </c>
      <c r="M17" s="130" t="s">
        <v>113</v>
      </c>
      <c r="N17" s="130" t="s">
        <v>113</v>
      </c>
      <c r="O17" s="131">
        <f t="shared" si="8"/>
        <v>3.3054126545665738</v>
      </c>
      <c r="P17" s="129">
        <v>2335844875.8551989</v>
      </c>
      <c r="Q17" s="129">
        <v>2359205200.1016026</v>
      </c>
      <c r="R17" s="131">
        <f t="shared" si="0"/>
        <v>1.0000802916268592</v>
      </c>
      <c r="S17" s="130" t="s">
        <v>113</v>
      </c>
      <c r="T17" s="130" t="s">
        <v>113</v>
      </c>
      <c r="U17" s="130" t="s">
        <v>113</v>
      </c>
      <c r="V17" s="130" t="s">
        <v>113</v>
      </c>
      <c r="W17" s="132">
        <f t="shared" si="9"/>
        <v>4.5013008801310956</v>
      </c>
      <c r="X17" s="132">
        <f t="shared" si="9"/>
        <v>0.9787294025628136</v>
      </c>
      <c r="Y17" s="132">
        <f t="shared" si="9"/>
        <v>4.5013008801310956</v>
      </c>
      <c r="Z17" s="132">
        <f t="shared" si="9"/>
        <v>1.6590387368540973</v>
      </c>
      <c r="AA17" s="132">
        <f t="shared" si="9"/>
        <v>0.96240233220533267</v>
      </c>
      <c r="AB17" s="132">
        <f t="shared" si="1"/>
        <v>0.96240233220533267</v>
      </c>
      <c r="AC17" s="132">
        <f t="shared" si="1"/>
        <v>0.96240233220533267</v>
      </c>
      <c r="AD17" s="130" t="s">
        <v>113</v>
      </c>
      <c r="AE17" s="130" t="s">
        <v>113</v>
      </c>
      <c r="AF17" s="130" t="s">
        <v>113</v>
      </c>
      <c r="AG17" s="130" t="s">
        <v>113</v>
      </c>
      <c r="AH17" s="133">
        <f t="shared" si="10"/>
        <v>1</v>
      </c>
      <c r="AI17" s="134">
        <f t="shared" si="11"/>
        <v>1.6327070357481155E-2</v>
      </c>
      <c r="AJ17" s="134">
        <f t="shared" si="12"/>
        <v>0</v>
      </c>
      <c r="AK17" s="134">
        <f t="shared" si="13"/>
        <v>2.8422621432769981</v>
      </c>
      <c r="AL17" s="134">
        <f t="shared" si="14"/>
        <v>0.65903873685409753</v>
      </c>
      <c r="AM17" s="134">
        <f t="shared" si="15"/>
        <v>0</v>
      </c>
      <c r="AN17" s="135">
        <f t="shared" si="16"/>
        <v>0</v>
      </c>
      <c r="AO17" s="134">
        <f t="shared" si="17"/>
        <v>-1.6327070357480933E-2</v>
      </c>
      <c r="AP17" s="134">
        <f t="shared" si="2"/>
        <v>2.2204460492503131E-16</v>
      </c>
      <c r="AQ17" s="136" t="s">
        <v>113</v>
      </c>
      <c r="AR17" s="137">
        <f t="shared" si="3"/>
        <v>0.46631440474404007</v>
      </c>
      <c r="AS17" s="137">
        <f t="shared" si="3"/>
        <v>0</v>
      </c>
      <c r="AT17" s="137">
        <f t="shared" si="3"/>
        <v>81.177317819386559</v>
      </c>
      <c r="AU17" s="137">
        <f t="shared" si="3"/>
        <v>18.822682180613448</v>
      </c>
      <c r="AV17" s="137">
        <f t="shared" si="3"/>
        <v>0</v>
      </c>
      <c r="AW17" s="138">
        <f t="shared" si="3"/>
        <v>0</v>
      </c>
      <c r="AX17" s="137">
        <f t="shared" si="3"/>
        <v>-0.46631440474403374</v>
      </c>
      <c r="AY17" s="137">
        <f t="shared" si="3"/>
        <v>6.3417744583184046E-15</v>
      </c>
      <c r="AZ17" s="139" t="s">
        <v>113</v>
      </c>
      <c r="BA17" s="139" t="s">
        <v>113</v>
      </c>
      <c r="BB17" s="139" t="s">
        <v>113</v>
      </c>
      <c r="BC17" s="139" t="s">
        <v>113</v>
      </c>
      <c r="BD17" s="139" t="s">
        <v>113</v>
      </c>
      <c r="BE17" s="139" t="s">
        <v>113</v>
      </c>
      <c r="BF17" s="139" t="s">
        <v>113</v>
      </c>
      <c r="BG17" s="139" t="s">
        <v>113</v>
      </c>
      <c r="BH17" s="140">
        <v>1637144748.6095991</v>
      </c>
      <c r="BI17" s="140">
        <v>552088134.2063992</v>
      </c>
      <c r="BJ17" s="140">
        <v>119729077.734</v>
      </c>
      <c r="BK17" s="140">
        <v>26883084.029999994</v>
      </c>
      <c r="BL17" s="141">
        <f t="shared" si="18"/>
        <v>0.70087900411389203</v>
      </c>
      <c r="BM17" s="141">
        <f t="shared" si="4"/>
        <v>0.23635477682367778</v>
      </c>
      <c r="BN17" s="141">
        <f t="shared" si="19"/>
        <v>5.1257286099441642E-2</v>
      </c>
      <c r="BO17" s="141">
        <f t="shared" si="19"/>
        <v>1.1508932962988459E-2</v>
      </c>
      <c r="BP17" s="139" t="s">
        <v>113</v>
      </c>
      <c r="BQ17" s="139" t="s">
        <v>113</v>
      </c>
      <c r="BR17" s="139" t="s">
        <v>113</v>
      </c>
      <c r="BS17" s="131">
        <f t="shared" si="20"/>
        <v>9.2828454075928235</v>
      </c>
      <c r="BT17" s="139"/>
      <c r="BU17" s="139"/>
      <c r="BV17" s="139"/>
      <c r="BW17" s="139"/>
      <c r="BX17" s="139"/>
      <c r="BY17" s="139"/>
      <c r="BZ17" s="139"/>
      <c r="CA17" s="139"/>
      <c r="CB17" s="139"/>
      <c r="CC17" s="142" t="s">
        <v>113</v>
      </c>
      <c r="CD17" s="142" t="s">
        <v>113</v>
      </c>
      <c r="CE17" s="142" t="s">
        <v>113</v>
      </c>
      <c r="CF17" s="142" t="s">
        <v>113</v>
      </c>
      <c r="CG17" s="142" t="s">
        <v>113</v>
      </c>
      <c r="CH17" s="142" t="s">
        <v>113</v>
      </c>
      <c r="CI17" s="142" t="s">
        <v>113</v>
      </c>
      <c r="CJ17" s="142"/>
      <c r="CK17" s="139" t="s">
        <v>113</v>
      </c>
      <c r="CL17" s="139" t="s">
        <v>113</v>
      </c>
      <c r="CM17" s="139" t="s">
        <v>113</v>
      </c>
      <c r="CN17" s="139" t="s">
        <v>113</v>
      </c>
      <c r="CO17" s="139" t="s">
        <v>113</v>
      </c>
      <c r="CP17" s="139" t="s">
        <v>113</v>
      </c>
      <c r="CQ17" s="139" t="s">
        <v>113</v>
      </c>
      <c r="CR17" s="139"/>
      <c r="CS17" s="143" t="s">
        <v>113</v>
      </c>
      <c r="CT17" s="143" t="s">
        <v>113</v>
      </c>
      <c r="CU17" s="143" t="s">
        <v>113</v>
      </c>
      <c r="CV17" s="143" t="s">
        <v>113</v>
      </c>
      <c r="CW17" s="143" t="s">
        <v>113</v>
      </c>
      <c r="CX17" s="143" t="s">
        <v>113</v>
      </c>
      <c r="CY17" s="143" t="s">
        <v>113</v>
      </c>
      <c r="CZ17" s="143"/>
      <c r="DA17" s="139" t="s">
        <v>113</v>
      </c>
      <c r="DB17" s="139" t="s">
        <v>113</v>
      </c>
      <c r="DC17" s="139" t="s">
        <v>113</v>
      </c>
      <c r="DD17" s="144">
        <f t="shared" si="21"/>
        <v>22.270405883303855</v>
      </c>
      <c r="DE17" s="145">
        <v>0.77729594116696143</v>
      </c>
      <c r="DF17" s="1"/>
      <c r="DG17" s="1"/>
      <c r="DH17" s="1"/>
      <c r="DI17" s="1"/>
      <c r="DJ17" s="1"/>
      <c r="DK17" s="1"/>
      <c r="DL17" s="1"/>
      <c r="DM17" s="1"/>
      <c r="DN17" s="1"/>
      <c r="DO17" s="1"/>
      <c r="DP17" s="1"/>
      <c r="DQ17" s="1"/>
      <c r="DR17" s="1"/>
      <c r="DS17" s="1"/>
      <c r="DT17" s="1"/>
      <c r="DU17" s="1"/>
      <c r="DV17" s="1"/>
      <c r="DW17" s="1"/>
      <c r="DX17" s="1"/>
      <c r="DY17" s="1"/>
      <c r="DZ17" s="1"/>
      <c r="EA17" s="146">
        <v>81658268.917200029</v>
      </c>
      <c r="EB17" s="146">
        <v>84656365.852800116</v>
      </c>
      <c r="EC17" s="146">
        <v>82494646.98119995</v>
      </c>
      <c r="ED17" s="147"/>
      <c r="EE17" s="147"/>
      <c r="EF17" s="147"/>
      <c r="EG17" s="129"/>
      <c r="EH17" s="122"/>
      <c r="EI17" s="130" t="s">
        <v>113</v>
      </c>
      <c r="EJ17" s="130" t="s">
        <v>113</v>
      </c>
      <c r="EK17" s="130" t="s">
        <v>113</v>
      </c>
      <c r="EL17" s="130" t="s">
        <v>113</v>
      </c>
      <c r="EM17" s="131">
        <f t="shared" si="5"/>
        <v>5.040548968068773</v>
      </c>
      <c r="EN17" s="146">
        <v>2940516511.7243996</v>
      </c>
      <c r="EO17" s="146">
        <v>2969921854.4051995</v>
      </c>
      <c r="EP17" s="131">
        <f t="shared" si="6"/>
        <v>1.000006038515866</v>
      </c>
      <c r="EQ17" s="130" t="s">
        <v>113</v>
      </c>
      <c r="ER17" s="130" t="s">
        <v>113</v>
      </c>
      <c r="ES17" s="130" t="s">
        <v>113</v>
      </c>
      <c r="ET17" s="130" t="s">
        <v>113</v>
      </c>
      <c r="EU17" s="131">
        <f t="shared" si="22"/>
        <v>9.2830034914348882</v>
      </c>
      <c r="EV17" s="132">
        <f t="shared" si="23"/>
        <v>3.6714944749728788</v>
      </c>
      <c r="EW17" s="132">
        <f t="shared" si="24"/>
        <v>1.0242355423873553</v>
      </c>
      <c r="EX17" s="132"/>
      <c r="EY17" s="148">
        <f t="shared" si="7"/>
        <v>-0.8298064051582168</v>
      </c>
      <c r="EZ17" s="144">
        <f t="shared" si="25"/>
        <v>3.9668615325785805</v>
      </c>
      <c r="FA17" s="145">
        <v>0.96033138467421419</v>
      </c>
      <c r="FB17" s="130" t="s">
        <v>113</v>
      </c>
      <c r="FC17" s="130" t="s">
        <v>113</v>
      </c>
      <c r="FD17" s="130" t="s">
        <v>113</v>
      </c>
      <c r="FE17" s="130" t="s">
        <v>113</v>
      </c>
      <c r="FF17" s="130" t="s">
        <v>113</v>
      </c>
      <c r="FG17" s="130" t="s">
        <v>113</v>
      </c>
      <c r="FH17" s="130" t="s">
        <v>113</v>
      </c>
      <c r="FI17" s="130" t="s">
        <v>113</v>
      </c>
      <c r="FJ17" s="1"/>
      <c r="FK17" s="1"/>
      <c r="FL17" s="1"/>
      <c r="FM17" s="1"/>
      <c r="FN17" s="1"/>
      <c r="FO17" s="1"/>
      <c r="FP17" s="1"/>
      <c r="FQ17" s="1"/>
    </row>
    <row r="18" spans="1:173" x14ac:dyDescent="0.3">
      <c r="A18" s="1"/>
      <c r="B18" s="28">
        <v>7</v>
      </c>
      <c r="C18" s="129">
        <v>81137429.766000047</v>
      </c>
      <c r="D18" s="129">
        <v>84661738.198800102</v>
      </c>
      <c r="E18" s="129">
        <v>82229544.203999937</v>
      </c>
      <c r="F18" s="129">
        <v>84661738.198800102</v>
      </c>
      <c r="G18" s="129">
        <v>82761579.687599987</v>
      </c>
      <c r="H18" s="129">
        <v>82221354.787199944</v>
      </c>
      <c r="I18" s="129"/>
      <c r="J18" s="122"/>
      <c r="K18" s="130" t="s">
        <v>113</v>
      </c>
      <c r="L18" s="130" t="s">
        <v>113</v>
      </c>
      <c r="M18" s="130" t="s">
        <v>113</v>
      </c>
      <c r="N18" s="130" t="s">
        <v>113</v>
      </c>
      <c r="O18" s="131">
        <f t="shared" si="8"/>
        <v>6.3271146460492496</v>
      </c>
      <c r="P18" s="129">
        <v>2731635997.7844</v>
      </c>
      <c r="Q18" s="129">
        <v>2758952889.3599987</v>
      </c>
      <c r="R18" s="131">
        <f t="shared" si="0"/>
        <v>1.0000194607830304</v>
      </c>
      <c r="S18" s="130" t="s">
        <v>113</v>
      </c>
      <c r="T18" s="130" t="s">
        <v>113</v>
      </c>
      <c r="U18" s="130" t="s">
        <v>113</v>
      </c>
      <c r="V18" s="130" t="s">
        <v>113</v>
      </c>
      <c r="W18" s="132">
        <f t="shared" si="9"/>
        <v>4.3435438594701727</v>
      </c>
      <c r="X18" s="132">
        <f t="shared" si="9"/>
        <v>1.3459795166804742</v>
      </c>
      <c r="Y18" s="132">
        <f t="shared" si="9"/>
        <v>4.3435438594701727</v>
      </c>
      <c r="Z18" s="132">
        <f t="shared" si="9"/>
        <v>2.0016881477140021</v>
      </c>
      <c r="AA18" s="132">
        <f t="shared" si="9"/>
        <v>1.3358864468676297</v>
      </c>
      <c r="AB18" s="132">
        <f t="shared" si="1"/>
        <v>1.3358864468676297</v>
      </c>
      <c r="AC18" s="132">
        <f t="shared" si="1"/>
        <v>1.3358864468676297</v>
      </c>
      <c r="AD18" s="130" t="s">
        <v>113</v>
      </c>
      <c r="AE18" s="130" t="s">
        <v>113</v>
      </c>
      <c r="AF18" s="130" t="s">
        <v>113</v>
      </c>
      <c r="AG18" s="130" t="s">
        <v>113</v>
      </c>
      <c r="AH18" s="133">
        <f t="shared" si="10"/>
        <v>1</v>
      </c>
      <c r="AI18" s="134">
        <f t="shared" si="11"/>
        <v>0.34597951668047422</v>
      </c>
      <c r="AJ18" s="134">
        <f t="shared" si="12"/>
        <v>0</v>
      </c>
      <c r="AK18" s="134">
        <f t="shared" si="13"/>
        <v>2.3418557117561707</v>
      </c>
      <c r="AL18" s="134">
        <f t="shared" si="14"/>
        <v>0.66580170084637236</v>
      </c>
      <c r="AM18" s="134">
        <f t="shared" si="15"/>
        <v>0</v>
      </c>
      <c r="AN18" s="135">
        <f t="shared" si="16"/>
        <v>0</v>
      </c>
      <c r="AO18" s="134">
        <f t="shared" si="17"/>
        <v>-1.0093069812844524E-2</v>
      </c>
      <c r="AP18" s="134">
        <f t="shared" si="2"/>
        <v>0.3358864468676297</v>
      </c>
      <c r="AQ18" s="136" t="s">
        <v>113</v>
      </c>
      <c r="AR18" s="137">
        <f t="shared" si="3"/>
        <v>10.347688896035571</v>
      </c>
      <c r="AS18" s="137">
        <f t="shared" si="3"/>
        <v>0</v>
      </c>
      <c r="AT18" s="137">
        <f t="shared" si="3"/>
        <v>70.04112433348692</v>
      </c>
      <c r="AU18" s="137">
        <f t="shared" si="3"/>
        <v>19.913054197287462</v>
      </c>
      <c r="AV18" s="137">
        <f t="shared" si="3"/>
        <v>0</v>
      </c>
      <c r="AW18" s="138">
        <f t="shared" si="3"/>
        <v>0</v>
      </c>
      <c r="AX18" s="137">
        <f t="shared" si="3"/>
        <v>-0.30186742680994472</v>
      </c>
      <c r="AY18" s="137">
        <f t="shared" si="3"/>
        <v>10.045821469225626</v>
      </c>
      <c r="AZ18" s="139" t="s">
        <v>113</v>
      </c>
      <c r="BA18" s="139" t="s">
        <v>113</v>
      </c>
      <c r="BB18" s="139" t="s">
        <v>113</v>
      </c>
      <c r="BC18" s="139" t="s">
        <v>113</v>
      </c>
      <c r="BD18" s="139" t="s">
        <v>113</v>
      </c>
      <c r="BE18" s="139" t="s">
        <v>113</v>
      </c>
      <c r="BF18" s="139" t="s">
        <v>113</v>
      </c>
      <c r="BG18" s="139" t="s">
        <v>113</v>
      </c>
      <c r="BH18" s="140">
        <v>2012621083.8011971</v>
      </c>
      <c r="BI18" s="140">
        <v>571733913.0624001</v>
      </c>
      <c r="BJ18" s="140">
        <v>118248780.97079995</v>
      </c>
      <c r="BK18" s="140">
        <v>29032116.196800001</v>
      </c>
      <c r="BL18" s="141">
        <f t="shared" si="18"/>
        <v>0.73678233918323655</v>
      </c>
      <c r="BM18" s="141">
        <f t="shared" si="4"/>
        <v>0.20930092268580747</v>
      </c>
      <c r="BN18" s="141">
        <f t="shared" si="19"/>
        <v>4.3288631998569527E-2</v>
      </c>
      <c r="BO18" s="141">
        <f t="shared" si="19"/>
        <v>1.0628106132386484E-2</v>
      </c>
      <c r="BP18" s="139" t="s">
        <v>113</v>
      </c>
      <c r="BQ18" s="139" t="s">
        <v>113</v>
      </c>
      <c r="BR18" s="139" t="s">
        <v>113</v>
      </c>
      <c r="BS18" s="131">
        <f t="shared" si="20"/>
        <v>10.855752853863779</v>
      </c>
      <c r="BT18" s="139"/>
      <c r="BU18" s="139"/>
      <c r="BV18" s="139"/>
      <c r="BW18" s="139"/>
      <c r="BX18" s="139"/>
      <c r="BY18" s="139"/>
      <c r="BZ18" s="139"/>
      <c r="CA18" s="139"/>
      <c r="CB18" s="139"/>
      <c r="CC18" s="142" t="s">
        <v>113</v>
      </c>
      <c r="CD18" s="142" t="s">
        <v>113</v>
      </c>
      <c r="CE18" s="142" t="s">
        <v>113</v>
      </c>
      <c r="CF18" s="142" t="s">
        <v>113</v>
      </c>
      <c r="CG18" s="142" t="s">
        <v>113</v>
      </c>
      <c r="CH18" s="142" t="s">
        <v>113</v>
      </c>
      <c r="CI18" s="142" t="s">
        <v>113</v>
      </c>
      <c r="CJ18" s="142"/>
      <c r="CK18" s="139" t="s">
        <v>113</v>
      </c>
      <c r="CL18" s="139" t="s">
        <v>113</v>
      </c>
      <c r="CM18" s="139" t="s">
        <v>113</v>
      </c>
      <c r="CN18" s="139" t="s">
        <v>113</v>
      </c>
      <c r="CO18" s="139" t="s">
        <v>113</v>
      </c>
      <c r="CP18" s="139" t="s">
        <v>113</v>
      </c>
      <c r="CQ18" s="139" t="s">
        <v>113</v>
      </c>
      <c r="CR18" s="139"/>
      <c r="CS18" s="143" t="s">
        <v>113</v>
      </c>
      <c r="CT18" s="143" t="s">
        <v>113</v>
      </c>
      <c r="CU18" s="143" t="s">
        <v>113</v>
      </c>
      <c r="CV18" s="143" t="s">
        <v>113</v>
      </c>
      <c r="CW18" s="143" t="s">
        <v>113</v>
      </c>
      <c r="CX18" s="143" t="s">
        <v>113</v>
      </c>
      <c r="CY18" s="143" t="s">
        <v>113</v>
      </c>
      <c r="CZ18" s="143"/>
      <c r="DA18" s="139" t="s">
        <v>113</v>
      </c>
      <c r="DB18" s="139" t="s">
        <v>113</v>
      </c>
      <c r="DC18" s="139" t="s">
        <v>113</v>
      </c>
      <c r="DD18" s="144">
        <f t="shared" si="21"/>
        <v>5.4214888868802991</v>
      </c>
      <c r="DE18" s="145">
        <v>0.94578511113119701</v>
      </c>
      <c r="DF18" s="1"/>
      <c r="DG18" s="1"/>
      <c r="DH18" s="1"/>
      <c r="DI18" s="1"/>
      <c r="DJ18" s="1"/>
      <c r="DK18" s="1"/>
      <c r="DL18" s="1"/>
      <c r="DM18" s="1"/>
      <c r="DN18" s="1"/>
      <c r="DO18" s="1"/>
      <c r="DP18" s="1"/>
      <c r="DQ18" s="1"/>
      <c r="DR18" s="1"/>
      <c r="DS18" s="1"/>
      <c r="DT18" s="1"/>
      <c r="DU18" s="1"/>
      <c r="DV18" s="1"/>
      <c r="DW18" s="1"/>
      <c r="DX18" s="1"/>
      <c r="DY18" s="1"/>
      <c r="DZ18" s="1"/>
      <c r="EA18" s="146">
        <v>132716481.09719998</v>
      </c>
      <c r="EB18" s="146">
        <v>136746632.79359996</v>
      </c>
      <c r="EC18" s="146">
        <v>134070432.37920004</v>
      </c>
      <c r="ED18" s="147"/>
      <c r="EE18" s="147"/>
      <c r="EF18" s="147"/>
      <c r="EG18" s="129"/>
      <c r="EH18" s="122"/>
      <c r="EI18" s="130" t="s">
        <v>113</v>
      </c>
      <c r="EJ18" s="130" t="s">
        <v>113</v>
      </c>
      <c r="EK18" s="130" t="s">
        <v>113</v>
      </c>
      <c r="EL18" s="130" t="s">
        <v>113</v>
      </c>
      <c r="EM18" s="131">
        <f t="shared" si="5"/>
        <v>8.1922373656797358</v>
      </c>
      <c r="EN18" s="146">
        <v>3440274905.6675997</v>
      </c>
      <c r="EO18" s="146">
        <v>3474677900.2727981</v>
      </c>
      <c r="EP18" s="131">
        <f t="shared" si="6"/>
        <v>1.0000071374680619</v>
      </c>
      <c r="EQ18" s="130" t="s">
        <v>113</v>
      </c>
      <c r="ER18" s="130" t="s">
        <v>113</v>
      </c>
      <c r="ES18" s="130" t="s">
        <v>113</v>
      </c>
      <c r="ET18" s="130" t="s">
        <v>113</v>
      </c>
      <c r="EU18" s="131">
        <f t="shared" si="22"/>
        <v>10.860705537096257</v>
      </c>
      <c r="EV18" s="132">
        <f t="shared" si="23"/>
        <v>3.0366408890653629</v>
      </c>
      <c r="EW18" s="132">
        <f t="shared" si="24"/>
        <v>1.0201759473214151</v>
      </c>
      <c r="EX18" s="132"/>
      <c r="EY18" s="148">
        <f t="shared" si="7"/>
        <v>-1.3069029704048098</v>
      </c>
      <c r="EZ18" s="144">
        <f t="shared" si="25"/>
        <v>1.316672577743927</v>
      </c>
      <c r="FA18" s="145">
        <v>0.98683327422256073</v>
      </c>
      <c r="FB18" s="130" t="s">
        <v>113</v>
      </c>
      <c r="FC18" s="130" t="s">
        <v>113</v>
      </c>
      <c r="FD18" s="130" t="s">
        <v>113</v>
      </c>
      <c r="FE18" s="130" t="s">
        <v>113</v>
      </c>
      <c r="FF18" s="130" t="s">
        <v>113</v>
      </c>
      <c r="FG18" s="130" t="s">
        <v>113</v>
      </c>
      <c r="FH18" s="130" t="s">
        <v>113</v>
      </c>
      <c r="FI18" s="130" t="s">
        <v>113</v>
      </c>
      <c r="FJ18" s="1"/>
      <c r="FK18" s="1"/>
      <c r="FL18" s="1"/>
      <c r="FM18" s="1"/>
      <c r="FN18" s="1"/>
      <c r="FO18" s="1"/>
      <c r="FP18" s="1"/>
      <c r="FQ18" s="1"/>
    </row>
    <row r="19" spans="1:173" x14ac:dyDescent="0.3">
      <c r="A19" s="1"/>
      <c r="B19" s="28">
        <v>8</v>
      </c>
      <c r="C19" s="129">
        <v>148881614.43119982</v>
      </c>
      <c r="D19" s="129">
        <v>153661890.29759991</v>
      </c>
      <c r="E19" s="129">
        <v>150424039.65599993</v>
      </c>
      <c r="F19" s="129">
        <v>153661890.29759991</v>
      </c>
      <c r="G19" s="129">
        <v>151011543.16799986</v>
      </c>
      <c r="H19" s="129">
        <v>150418847.83559993</v>
      </c>
      <c r="I19" s="129"/>
      <c r="J19" s="122"/>
      <c r="K19" s="130" t="s">
        <v>113</v>
      </c>
      <c r="L19" s="130" t="s">
        <v>113</v>
      </c>
      <c r="M19" s="130" t="s">
        <v>113</v>
      </c>
      <c r="N19" s="130" t="s">
        <v>113</v>
      </c>
      <c r="O19" s="131">
        <f t="shared" si="8"/>
        <v>11.609821088883383</v>
      </c>
      <c r="P19" s="129">
        <v>3191969499.1559982</v>
      </c>
      <c r="Q19" s="129">
        <v>3223890549.8112001</v>
      </c>
      <c r="R19" s="131">
        <f t="shared" si="0"/>
        <v>1.0000424710713052</v>
      </c>
      <c r="S19" s="130" t="s">
        <v>113</v>
      </c>
      <c r="T19" s="130" t="s">
        <v>113</v>
      </c>
      <c r="U19" s="130" t="s">
        <v>113</v>
      </c>
      <c r="V19" s="130" t="s">
        <v>113</v>
      </c>
      <c r="W19" s="132">
        <f t="shared" si="9"/>
        <v>3.2106535584312219</v>
      </c>
      <c r="X19" s="132">
        <f t="shared" si="9"/>
        <v>1.0359638596230063</v>
      </c>
      <c r="Y19" s="132">
        <f t="shared" si="9"/>
        <v>3.2106535584312219</v>
      </c>
      <c r="Z19" s="132">
        <f t="shared" si="9"/>
        <v>1.4305582918506039</v>
      </c>
      <c r="AA19" s="132">
        <f t="shared" si="9"/>
        <v>1.0324767937908523</v>
      </c>
      <c r="AB19" s="132">
        <f t="shared" si="1"/>
        <v>1.0324767937908523</v>
      </c>
      <c r="AC19" s="132">
        <f t="shared" si="1"/>
        <v>1.0324767937908523</v>
      </c>
      <c r="AD19" s="130" t="s">
        <v>113</v>
      </c>
      <c r="AE19" s="130" t="s">
        <v>113</v>
      </c>
      <c r="AF19" s="130" t="s">
        <v>113</v>
      </c>
      <c r="AG19" s="130" t="s">
        <v>113</v>
      </c>
      <c r="AH19" s="133">
        <f t="shared" si="10"/>
        <v>1</v>
      </c>
      <c r="AI19" s="134">
        <f t="shared" si="11"/>
        <v>3.59638596230063E-2</v>
      </c>
      <c r="AJ19" s="134">
        <f t="shared" si="12"/>
        <v>0</v>
      </c>
      <c r="AK19" s="134">
        <f t="shared" si="13"/>
        <v>1.780095266580618</v>
      </c>
      <c r="AL19" s="134">
        <f t="shared" si="14"/>
        <v>0.39808149805975157</v>
      </c>
      <c r="AM19" s="134">
        <f t="shared" si="15"/>
        <v>0</v>
      </c>
      <c r="AN19" s="135">
        <f t="shared" si="16"/>
        <v>0</v>
      </c>
      <c r="AO19" s="134">
        <f t="shared" si="17"/>
        <v>-3.4870658321539683E-3</v>
      </c>
      <c r="AP19" s="134">
        <f t="shared" si="2"/>
        <v>3.2476793790852332E-2</v>
      </c>
      <c r="AQ19" s="136" t="s">
        <v>113</v>
      </c>
      <c r="AR19" s="137">
        <f t="shared" si="3"/>
        <v>1.6268428621863236</v>
      </c>
      <c r="AS19" s="137">
        <f t="shared" si="3"/>
        <v>0</v>
      </c>
      <c r="AT19" s="137">
        <f t="shared" si="3"/>
        <v>80.523484097791098</v>
      </c>
      <c r="AU19" s="137">
        <f t="shared" si="3"/>
        <v>18.00741217643564</v>
      </c>
      <c r="AV19" s="137">
        <f t="shared" si="3"/>
        <v>0</v>
      </c>
      <c r="AW19" s="138">
        <f t="shared" si="3"/>
        <v>0</v>
      </c>
      <c r="AX19" s="137">
        <f t="shared" si="3"/>
        <v>-0.15773913641305901</v>
      </c>
      <c r="AY19" s="137">
        <f t="shared" si="3"/>
        <v>1.4691037257732644</v>
      </c>
      <c r="AZ19" s="139" t="s">
        <v>113</v>
      </c>
      <c r="BA19" s="139" t="s">
        <v>113</v>
      </c>
      <c r="BB19" s="139" t="s">
        <v>113</v>
      </c>
      <c r="BC19" s="139" t="s">
        <v>113</v>
      </c>
      <c r="BD19" s="139" t="s">
        <v>113</v>
      </c>
      <c r="BE19" s="139" t="s">
        <v>113</v>
      </c>
      <c r="BF19" s="139" t="s">
        <v>113</v>
      </c>
      <c r="BG19" s="139" t="s">
        <v>113</v>
      </c>
      <c r="BH19" s="140">
        <v>2441751963.3312006</v>
      </c>
      <c r="BI19" s="140">
        <v>528879090.1979996</v>
      </c>
      <c r="BJ19" s="140">
        <v>178959999.9576</v>
      </c>
      <c r="BK19" s="140">
        <v>42378356.07</v>
      </c>
      <c r="BL19" s="141">
        <f t="shared" si="18"/>
        <v>0.76496721930371936</v>
      </c>
      <c r="BM19" s="141">
        <f t="shared" si="4"/>
        <v>0.1656905259225005</v>
      </c>
      <c r="BN19" s="141">
        <f t="shared" si="19"/>
        <v>5.6065700198063083E-2</v>
      </c>
      <c r="BO19" s="141">
        <f t="shared" si="19"/>
        <v>1.3276554575716991E-2</v>
      </c>
      <c r="BP19" s="139" t="s">
        <v>113</v>
      </c>
      <c r="BQ19" s="139" t="s">
        <v>113</v>
      </c>
      <c r="BR19" s="139" t="s">
        <v>113</v>
      </c>
      <c r="BS19" s="131">
        <f t="shared" si="20"/>
        <v>12.685157183465915</v>
      </c>
      <c r="BT19" s="139"/>
      <c r="BU19" s="139"/>
      <c r="BV19" s="139"/>
      <c r="BW19" s="139"/>
      <c r="BX19" s="139"/>
      <c r="BY19" s="139"/>
      <c r="BZ19" s="139"/>
      <c r="CA19" s="139"/>
      <c r="CB19" s="139"/>
      <c r="CC19" s="142" t="s">
        <v>113</v>
      </c>
      <c r="CD19" s="142" t="s">
        <v>113</v>
      </c>
      <c r="CE19" s="142" t="s">
        <v>113</v>
      </c>
      <c r="CF19" s="142" t="s">
        <v>113</v>
      </c>
      <c r="CG19" s="142" t="s">
        <v>113</v>
      </c>
      <c r="CH19" s="142" t="s">
        <v>113</v>
      </c>
      <c r="CI19" s="142" t="s">
        <v>113</v>
      </c>
      <c r="CJ19" s="142"/>
      <c r="CK19" s="139" t="s">
        <v>113</v>
      </c>
      <c r="CL19" s="139" t="s">
        <v>113</v>
      </c>
      <c r="CM19" s="139" t="s">
        <v>113</v>
      </c>
      <c r="CN19" s="139" t="s">
        <v>113</v>
      </c>
      <c r="CO19" s="139" t="s">
        <v>113</v>
      </c>
      <c r="CP19" s="139" t="s">
        <v>113</v>
      </c>
      <c r="CQ19" s="139" t="s">
        <v>113</v>
      </c>
      <c r="CR19" s="139"/>
      <c r="CS19" s="143" t="s">
        <v>113</v>
      </c>
      <c r="CT19" s="143" t="s">
        <v>113</v>
      </c>
      <c r="CU19" s="143" t="s">
        <v>113</v>
      </c>
      <c r="CV19" s="143" t="s">
        <v>113</v>
      </c>
      <c r="CW19" s="143" t="s">
        <v>113</v>
      </c>
      <c r="CX19" s="143" t="s">
        <v>113</v>
      </c>
      <c r="CY19" s="143" t="s">
        <v>113</v>
      </c>
      <c r="CZ19" s="143"/>
      <c r="DA19" s="139" t="s">
        <v>113</v>
      </c>
      <c r="DB19" s="139" t="s">
        <v>113</v>
      </c>
      <c r="DC19" s="139" t="s">
        <v>113</v>
      </c>
      <c r="DD19" s="144">
        <f t="shared" si="21"/>
        <v>0.11835726551808756</v>
      </c>
      <c r="DE19" s="145">
        <v>0.99881642734481912</v>
      </c>
      <c r="DF19" s="1"/>
      <c r="DG19" s="1"/>
      <c r="DH19" s="1"/>
      <c r="DI19" s="1"/>
      <c r="DJ19" s="1"/>
      <c r="DK19" s="1"/>
      <c r="DL19" s="1"/>
      <c r="DM19" s="1"/>
      <c r="DN19" s="1"/>
      <c r="DO19" s="1"/>
      <c r="DP19" s="1"/>
      <c r="DQ19" s="1"/>
      <c r="DR19" s="1"/>
      <c r="DS19" s="1"/>
      <c r="DT19" s="1"/>
      <c r="DU19" s="1"/>
      <c r="DV19" s="1"/>
      <c r="DW19" s="1"/>
      <c r="DX19" s="1"/>
      <c r="DY19" s="1"/>
      <c r="DZ19" s="1"/>
      <c r="EA19" s="146">
        <v>208119127.62119982</v>
      </c>
      <c r="EB19" s="146">
        <v>213177959.21760023</v>
      </c>
      <c r="EC19" s="146">
        <v>210274489.27559996</v>
      </c>
      <c r="ED19" s="147"/>
      <c r="EE19" s="147"/>
      <c r="EF19" s="147"/>
      <c r="EG19" s="129"/>
      <c r="EH19" s="122"/>
      <c r="EI19" s="130" t="s">
        <v>113</v>
      </c>
      <c r="EJ19" s="130" t="s">
        <v>113</v>
      </c>
      <c r="EK19" s="130" t="s">
        <v>113</v>
      </c>
      <c r="EL19" s="130" t="s">
        <v>113</v>
      </c>
      <c r="EM19" s="131">
        <f t="shared" si="5"/>
        <v>12.846643308470252</v>
      </c>
      <c r="EN19" s="146">
        <v>4042237189.9043999</v>
      </c>
      <c r="EO19" s="146">
        <v>4082660392.603199</v>
      </c>
      <c r="EP19" s="131">
        <f t="shared" si="6"/>
        <v>1.0000205529689721</v>
      </c>
      <c r="EQ19" s="130" t="s">
        <v>113</v>
      </c>
      <c r="ER19" s="130" t="s">
        <v>113</v>
      </c>
      <c r="ES19" s="130" t="s">
        <v>113</v>
      </c>
      <c r="ET19" s="130" t="s">
        <v>113</v>
      </c>
      <c r="EU19" s="131">
        <f t="shared" si="22"/>
        <v>12.761058064960611</v>
      </c>
      <c r="EV19" s="132">
        <f t="shared" si="23"/>
        <v>2.4306884630690733</v>
      </c>
      <c r="EW19" s="132">
        <f t="shared" si="24"/>
        <v>1.03561713950306</v>
      </c>
      <c r="EX19" s="132"/>
      <c r="EY19" s="148">
        <f t="shared" si="7"/>
        <v>-0.77996509536214864</v>
      </c>
      <c r="EZ19" s="144">
        <f t="shared" si="25"/>
        <v>0.20944011016521547</v>
      </c>
      <c r="FA19" s="145">
        <v>0.99790559889834785</v>
      </c>
      <c r="FB19" s="130" t="s">
        <v>113</v>
      </c>
      <c r="FC19" s="130" t="s">
        <v>113</v>
      </c>
      <c r="FD19" s="130" t="s">
        <v>113</v>
      </c>
      <c r="FE19" s="130" t="s">
        <v>113</v>
      </c>
      <c r="FF19" s="130" t="s">
        <v>113</v>
      </c>
      <c r="FG19" s="130" t="s">
        <v>113</v>
      </c>
      <c r="FH19" s="130" t="s">
        <v>113</v>
      </c>
      <c r="FI19" s="130" t="s">
        <v>113</v>
      </c>
      <c r="FJ19" s="1"/>
      <c r="FK19" s="1"/>
      <c r="FL19" s="1"/>
      <c r="FM19" s="1"/>
      <c r="FN19" s="1"/>
      <c r="FO19" s="1"/>
      <c r="FP19" s="1"/>
      <c r="FQ19" s="1"/>
    </row>
    <row r="20" spans="1:173" x14ac:dyDescent="0.3">
      <c r="A20" s="1"/>
      <c r="B20" s="28">
        <v>9</v>
      </c>
      <c r="C20" s="129">
        <v>272755800.26159996</v>
      </c>
      <c r="D20" s="129">
        <v>279643459.0691998</v>
      </c>
      <c r="E20" s="129">
        <v>275716663.2348001</v>
      </c>
      <c r="F20" s="129">
        <v>279643459.0691998</v>
      </c>
      <c r="G20" s="129">
        <v>276374990.88840008</v>
      </c>
      <c r="H20" s="129">
        <v>275713006.67760009</v>
      </c>
      <c r="I20" s="129"/>
      <c r="J20" s="122"/>
      <c r="K20" s="130" t="s">
        <v>113</v>
      </c>
      <c r="L20" s="130" t="s">
        <v>113</v>
      </c>
      <c r="M20" s="130" t="s">
        <v>113</v>
      </c>
      <c r="N20" s="130" t="s">
        <v>113</v>
      </c>
      <c r="O20" s="131">
        <f t="shared" si="8"/>
        <v>21.269557386857436</v>
      </c>
      <c r="P20" s="129">
        <v>4032724348.3691959</v>
      </c>
      <c r="Q20" s="129">
        <v>4073052796.2419972</v>
      </c>
      <c r="R20" s="131">
        <f t="shared" si="0"/>
        <v>1.0000298653963346</v>
      </c>
      <c r="S20" s="130" t="s">
        <v>113</v>
      </c>
      <c r="T20" s="130" t="s">
        <v>113</v>
      </c>
      <c r="U20" s="130" t="s">
        <v>113</v>
      </c>
      <c r="V20" s="130" t="s">
        <v>113</v>
      </c>
      <c r="W20" s="132">
        <f t="shared" si="9"/>
        <v>2.5251353424848126</v>
      </c>
      <c r="X20" s="132">
        <f t="shared" si="9"/>
        <v>1.0855037897104725</v>
      </c>
      <c r="Y20" s="132">
        <f t="shared" si="9"/>
        <v>2.5251353424848126</v>
      </c>
      <c r="Z20" s="132">
        <f t="shared" si="9"/>
        <v>1.3268581412364433</v>
      </c>
      <c r="AA20" s="132">
        <f t="shared" si="9"/>
        <v>1.0841632323345196</v>
      </c>
      <c r="AB20" s="132">
        <f t="shared" si="1"/>
        <v>1.0841632323345196</v>
      </c>
      <c r="AC20" s="132">
        <f t="shared" si="1"/>
        <v>1.0841632323345196</v>
      </c>
      <c r="AD20" s="130" t="s">
        <v>113</v>
      </c>
      <c r="AE20" s="130" t="s">
        <v>113</v>
      </c>
      <c r="AF20" s="130" t="s">
        <v>113</v>
      </c>
      <c r="AG20" s="130" t="s">
        <v>113</v>
      </c>
      <c r="AH20" s="133">
        <f t="shared" si="10"/>
        <v>1</v>
      </c>
      <c r="AI20" s="134">
        <f t="shared" si="11"/>
        <v>8.5503789710472677E-2</v>
      </c>
      <c r="AJ20" s="134">
        <f t="shared" si="12"/>
        <v>0</v>
      </c>
      <c r="AK20" s="134">
        <f t="shared" si="13"/>
        <v>1.1982772012483693</v>
      </c>
      <c r="AL20" s="134">
        <f t="shared" si="14"/>
        <v>0.24269490890192369</v>
      </c>
      <c r="AM20" s="134">
        <f t="shared" si="15"/>
        <v>0</v>
      </c>
      <c r="AN20" s="135">
        <f t="shared" si="16"/>
        <v>0</v>
      </c>
      <c r="AO20" s="134">
        <f t="shared" si="17"/>
        <v>-1.3405573759528444E-3</v>
      </c>
      <c r="AP20" s="134">
        <f t="shared" si="2"/>
        <v>8.4163232334519833E-2</v>
      </c>
      <c r="AQ20" s="136" t="s">
        <v>113</v>
      </c>
      <c r="AR20" s="137">
        <f t="shared" si="3"/>
        <v>5.6063083274410532</v>
      </c>
      <c r="AS20" s="137">
        <f t="shared" si="3"/>
        <v>0</v>
      </c>
      <c r="AT20" s="137">
        <f t="shared" si="3"/>
        <v>78.568581283814936</v>
      </c>
      <c r="AU20" s="137">
        <f t="shared" si="3"/>
        <v>15.913007989606697</v>
      </c>
      <c r="AV20" s="137">
        <f t="shared" si="3"/>
        <v>0</v>
      </c>
      <c r="AW20" s="138">
        <f t="shared" si="3"/>
        <v>0</v>
      </c>
      <c r="AX20" s="137">
        <f t="shared" si="3"/>
        <v>-8.7897600862671871E-2</v>
      </c>
      <c r="AY20" s="137">
        <f t="shared" si="3"/>
        <v>5.5184107265783817</v>
      </c>
      <c r="AZ20" s="139" t="s">
        <v>113</v>
      </c>
      <c r="BA20" s="139" t="s">
        <v>113</v>
      </c>
      <c r="BB20" s="139" t="s">
        <v>113</v>
      </c>
      <c r="BC20" s="139" t="s">
        <v>113</v>
      </c>
      <c r="BD20" s="139" t="s">
        <v>113</v>
      </c>
      <c r="BE20" s="139" t="s">
        <v>113</v>
      </c>
      <c r="BF20" s="139" t="s">
        <v>113</v>
      </c>
      <c r="BG20" s="139" t="s">
        <v>113</v>
      </c>
      <c r="BH20" s="140">
        <v>3151957586.3268003</v>
      </c>
      <c r="BI20" s="140">
        <v>636842159.94959962</v>
      </c>
      <c r="BJ20" s="140">
        <v>176016335.94120002</v>
      </c>
      <c r="BK20" s="140">
        <v>67907978.870400012</v>
      </c>
      <c r="BL20" s="141">
        <f t="shared" si="18"/>
        <v>0.78159515468470331</v>
      </c>
      <c r="BM20" s="141">
        <f t="shared" si="4"/>
        <v>0.15791860546436301</v>
      </c>
      <c r="BN20" s="141">
        <f t="shared" si="19"/>
        <v>4.3647007153202563E-2</v>
      </c>
      <c r="BO20" s="141">
        <f t="shared" si="19"/>
        <v>1.6839232697731105E-2</v>
      </c>
      <c r="BP20" s="139" t="s">
        <v>113</v>
      </c>
      <c r="BQ20" s="139" t="s">
        <v>113</v>
      </c>
      <c r="BR20" s="139" t="s">
        <v>113</v>
      </c>
      <c r="BS20" s="131">
        <f t="shared" si="20"/>
        <v>16.026388175131281</v>
      </c>
      <c r="BT20" s="139"/>
      <c r="BU20" s="139"/>
      <c r="BV20" s="139"/>
      <c r="BW20" s="139"/>
      <c r="BX20" s="139"/>
      <c r="BY20" s="139"/>
      <c r="BZ20" s="139"/>
      <c r="CA20" s="139"/>
      <c r="CB20" s="139"/>
      <c r="CC20" s="142" t="s">
        <v>113</v>
      </c>
      <c r="CD20" s="142" t="s">
        <v>113</v>
      </c>
      <c r="CE20" s="142" t="s">
        <v>113</v>
      </c>
      <c r="CF20" s="142" t="s">
        <v>113</v>
      </c>
      <c r="CG20" s="142" t="s">
        <v>113</v>
      </c>
      <c r="CH20" s="142" t="s">
        <v>113</v>
      </c>
      <c r="CI20" s="142" t="s">
        <v>113</v>
      </c>
      <c r="CJ20" s="142"/>
      <c r="CK20" s="139" t="s">
        <v>113</v>
      </c>
      <c r="CL20" s="139" t="s">
        <v>113</v>
      </c>
      <c r="CM20" s="139" t="s">
        <v>113</v>
      </c>
      <c r="CN20" s="139" t="s">
        <v>113</v>
      </c>
      <c r="CO20" s="139" t="s">
        <v>113</v>
      </c>
      <c r="CP20" s="139" t="s">
        <v>113</v>
      </c>
      <c r="CQ20" s="139" t="s">
        <v>113</v>
      </c>
      <c r="CR20" s="139"/>
      <c r="CS20" s="143" t="s">
        <v>113</v>
      </c>
      <c r="CT20" s="143" t="s">
        <v>113</v>
      </c>
      <c r="CU20" s="143" t="s">
        <v>113</v>
      </c>
      <c r="CV20" s="143" t="s">
        <v>113</v>
      </c>
      <c r="CW20" s="143" t="s">
        <v>113</v>
      </c>
      <c r="CX20" s="143" t="s">
        <v>113</v>
      </c>
      <c r="CY20" s="143" t="s">
        <v>113</v>
      </c>
      <c r="CZ20" s="143"/>
      <c r="DA20" s="139" t="s">
        <v>113</v>
      </c>
      <c r="DB20" s="139" t="s">
        <v>113</v>
      </c>
      <c r="DC20" s="139" t="s">
        <v>113</v>
      </c>
      <c r="DD20" s="144">
        <f t="shared" si="21"/>
        <v>6.0203001070069373E-2</v>
      </c>
      <c r="DE20" s="145">
        <v>0.99939796998929931</v>
      </c>
      <c r="DF20" s="1"/>
      <c r="DG20" s="1"/>
      <c r="DH20" s="1"/>
      <c r="DI20" s="1"/>
      <c r="DJ20" s="1"/>
      <c r="DK20" s="1"/>
      <c r="DL20" s="1"/>
      <c r="DM20" s="1"/>
      <c r="DN20" s="1"/>
      <c r="DO20" s="1"/>
      <c r="DP20" s="1"/>
      <c r="DQ20" s="1"/>
      <c r="DR20" s="1"/>
      <c r="DS20" s="1"/>
      <c r="DT20" s="1"/>
      <c r="DU20" s="1"/>
      <c r="DV20" s="1"/>
      <c r="DW20" s="1"/>
      <c r="DX20" s="1"/>
      <c r="DY20" s="1"/>
      <c r="DZ20" s="1"/>
      <c r="EA20" s="146">
        <v>340113187.23720002</v>
      </c>
      <c r="EB20" s="146">
        <v>346856774.5140003</v>
      </c>
      <c r="EC20" s="146">
        <v>343523471.60520017</v>
      </c>
      <c r="ED20" s="147"/>
      <c r="EE20" s="147"/>
      <c r="EF20" s="147"/>
      <c r="EG20" s="129"/>
      <c r="EH20" s="122"/>
      <c r="EI20" s="130" t="s">
        <v>113</v>
      </c>
      <c r="EJ20" s="130" t="s">
        <v>113</v>
      </c>
      <c r="EK20" s="130" t="s">
        <v>113</v>
      </c>
      <c r="EL20" s="130" t="s">
        <v>113</v>
      </c>
      <c r="EM20" s="131">
        <f t="shared" si="5"/>
        <v>20.994287506797093</v>
      </c>
      <c r="EN20" s="146">
        <v>5054304837.8172007</v>
      </c>
      <c r="EO20" s="146">
        <v>5104847845.2071934</v>
      </c>
      <c r="EP20" s="131">
        <f t="shared" si="6"/>
        <v>0.99999918904418728</v>
      </c>
      <c r="EQ20" s="130" t="s">
        <v>113</v>
      </c>
      <c r="ER20" s="130" t="s">
        <v>113</v>
      </c>
      <c r="ES20" s="130" t="s">
        <v>113</v>
      </c>
      <c r="ET20" s="130" t="s">
        <v>113</v>
      </c>
      <c r="EU20" s="131">
        <f t="shared" si="22"/>
        <v>15.956084337278098</v>
      </c>
      <c r="EV20" s="132">
        <f t="shared" si="23"/>
        <v>1.9827495665003214</v>
      </c>
      <c r="EW20" s="132">
        <f t="shared" si="24"/>
        <v>1.0026918277690711</v>
      </c>
      <c r="EX20" s="132"/>
      <c r="EY20" s="148">
        <f t="shared" si="7"/>
        <v>-0.54238577598449123</v>
      </c>
      <c r="EZ20" s="144">
        <f t="shared" si="25"/>
        <v>0.16290932469719133</v>
      </c>
      <c r="FA20" s="145">
        <v>0.99837090675302809</v>
      </c>
      <c r="FB20" s="130" t="s">
        <v>113</v>
      </c>
      <c r="FC20" s="130" t="s">
        <v>113</v>
      </c>
      <c r="FD20" s="130" t="s">
        <v>113</v>
      </c>
      <c r="FE20" s="130" t="s">
        <v>113</v>
      </c>
      <c r="FF20" s="130" t="s">
        <v>113</v>
      </c>
      <c r="FG20" s="130" t="s">
        <v>113</v>
      </c>
      <c r="FH20" s="130" t="s">
        <v>113</v>
      </c>
      <c r="FI20" s="130" t="s">
        <v>113</v>
      </c>
      <c r="FJ20" s="1"/>
      <c r="FK20" s="1"/>
      <c r="FL20" s="1"/>
      <c r="FM20" s="1"/>
      <c r="FN20" s="1"/>
      <c r="FO20" s="1"/>
      <c r="FP20" s="1"/>
      <c r="FQ20" s="1"/>
    </row>
    <row r="21" spans="1:173" x14ac:dyDescent="0.3">
      <c r="A21" s="1"/>
      <c r="B21" s="33">
        <v>10</v>
      </c>
      <c r="C21" s="129">
        <v>705932044.59240031</v>
      </c>
      <c r="D21" s="129">
        <v>717772983.26280022</v>
      </c>
      <c r="E21" s="129">
        <v>713204812.66560054</v>
      </c>
      <c r="F21" s="129">
        <v>717616366.76880038</v>
      </c>
      <c r="G21" s="129">
        <v>713895365.41199994</v>
      </c>
      <c r="H21" s="129">
        <v>713202806.77440059</v>
      </c>
      <c r="I21" s="149"/>
      <c r="J21" s="122"/>
      <c r="K21" s="130" t="s">
        <v>113</v>
      </c>
      <c r="L21" s="130" t="s">
        <v>113</v>
      </c>
      <c r="M21" s="130" t="s">
        <v>113</v>
      </c>
      <c r="N21" s="130" t="s">
        <v>113</v>
      </c>
      <c r="O21" s="131">
        <f t="shared" si="8"/>
        <v>55.048736339534898</v>
      </c>
      <c r="P21" s="129">
        <v>6309125277.6336002</v>
      </c>
      <c r="Q21" s="129">
        <v>6372217168.2659998</v>
      </c>
      <c r="R21" s="131">
        <f t="shared" si="0"/>
        <v>1.0000101100554382</v>
      </c>
      <c r="S21" s="130" t="s">
        <v>113</v>
      </c>
      <c r="T21" s="130" t="s">
        <v>113</v>
      </c>
      <c r="U21" s="130" t="s">
        <v>113</v>
      </c>
      <c r="V21" s="130" t="s">
        <v>113</v>
      </c>
      <c r="W21" s="132">
        <f t="shared" si="9"/>
        <v>1.6773312742730913</v>
      </c>
      <c r="X21" s="132">
        <f t="shared" si="9"/>
        <v>1.030225869694636</v>
      </c>
      <c r="Y21" s="132">
        <f t="shared" si="9"/>
        <v>1.6551457237212903</v>
      </c>
      <c r="Z21" s="132">
        <f t="shared" si="9"/>
        <v>1.1280463001784444</v>
      </c>
      <c r="AA21" s="132">
        <f t="shared" si="9"/>
        <v>1.0299417246503864</v>
      </c>
      <c r="AB21" s="132">
        <f t="shared" si="1"/>
        <v>1.0299417246503864</v>
      </c>
      <c r="AC21" s="132">
        <f t="shared" si="1"/>
        <v>1.0299417246503864</v>
      </c>
      <c r="AD21" s="130" t="s">
        <v>113</v>
      </c>
      <c r="AE21" s="130" t="s">
        <v>113</v>
      </c>
      <c r="AF21" s="130" t="s">
        <v>113</v>
      </c>
      <c r="AG21" s="130" t="s">
        <v>113</v>
      </c>
      <c r="AH21" s="133">
        <f t="shared" si="10"/>
        <v>1</v>
      </c>
      <c r="AI21" s="134">
        <f t="shared" si="11"/>
        <v>3.0225869694636032E-2</v>
      </c>
      <c r="AJ21" s="134">
        <f t="shared" si="12"/>
        <v>2.2185550551800937E-2</v>
      </c>
      <c r="AK21" s="134">
        <f t="shared" si="13"/>
        <v>0.52709942354284589</v>
      </c>
      <c r="AL21" s="134">
        <f t="shared" si="14"/>
        <v>9.8104575528058069E-2</v>
      </c>
      <c r="AM21" s="134">
        <f t="shared" si="15"/>
        <v>0</v>
      </c>
      <c r="AN21" s="135">
        <f t="shared" si="16"/>
        <v>0</v>
      </c>
      <c r="AO21" s="134">
        <f t="shared" si="17"/>
        <v>-2.8414504424967291E-4</v>
      </c>
      <c r="AP21" s="134">
        <f t="shared" si="2"/>
        <v>2.9941724650386359E-2</v>
      </c>
      <c r="AQ21" s="136" t="s">
        <v>113</v>
      </c>
      <c r="AR21" s="137">
        <f t="shared" si="3"/>
        <v>4.4624943277680913</v>
      </c>
      <c r="AS21" s="137">
        <f t="shared" si="3"/>
        <v>3.2754357276076416</v>
      </c>
      <c r="AT21" s="137">
        <f t="shared" si="3"/>
        <v>77.820033351999953</v>
      </c>
      <c r="AU21" s="137">
        <f t="shared" si="3"/>
        <v>14.483987268023824</v>
      </c>
      <c r="AV21" s="137">
        <f t="shared" si="3"/>
        <v>0</v>
      </c>
      <c r="AW21" s="138">
        <f t="shared" si="3"/>
        <v>0</v>
      </c>
      <c r="AX21" s="137">
        <f t="shared" si="3"/>
        <v>-4.1950675399510536E-2</v>
      </c>
      <c r="AY21" s="137">
        <f t="shared" si="3"/>
        <v>4.4205436523685808</v>
      </c>
      <c r="AZ21" s="139" t="s">
        <v>113</v>
      </c>
      <c r="BA21" s="139" t="s">
        <v>113</v>
      </c>
      <c r="BB21" s="139" t="s">
        <v>113</v>
      </c>
      <c r="BC21" s="139" t="s">
        <v>113</v>
      </c>
      <c r="BD21" s="139" t="s">
        <v>113</v>
      </c>
      <c r="BE21" s="139" t="s">
        <v>113</v>
      </c>
      <c r="BF21" s="139" t="s">
        <v>113</v>
      </c>
      <c r="BG21" s="139" t="s">
        <v>113</v>
      </c>
      <c r="BH21" s="140">
        <v>5083027062.8448048</v>
      </c>
      <c r="BI21" s="140">
        <v>606047649.73440015</v>
      </c>
      <c r="BJ21" s="140">
        <v>496672505.4672001</v>
      </c>
      <c r="BK21" s="140">
        <v>123377425.15680003</v>
      </c>
      <c r="BL21" s="141">
        <f t="shared" si="18"/>
        <v>0.80566280590457662</v>
      </c>
      <c r="BM21" s="141">
        <f t="shared" si="4"/>
        <v>9.6058912132492555E-2</v>
      </c>
      <c r="BN21" s="141">
        <f t="shared" si="19"/>
        <v>7.8722886859156196E-2</v>
      </c>
      <c r="BO21" s="141">
        <f t="shared" si="19"/>
        <v>1.9555395103774666E-2</v>
      </c>
      <c r="BP21" s="139" t="s">
        <v>113</v>
      </c>
      <c r="BQ21" s="139" t="s">
        <v>113</v>
      </c>
      <c r="BR21" s="139" t="s">
        <v>113</v>
      </c>
      <c r="BS21" s="131">
        <f t="shared" si="20"/>
        <v>25.072998303436766</v>
      </c>
      <c r="BT21" s="139"/>
      <c r="BU21" s="139"/>
      <c r="BV21" s="139"/>
      <c r="BW21" s="139"/>
      <c r="BX21" s="139"/>
      <c r="BY21" s="139"/>
      <c r="BZ21" s="139"/>
      <c r="CA21" s="139"/>
      <c r="CB21" s="139"/>
      <c r="CC21" s="142" t="s">
        <v>113</v>
      </c>
      <c r="CD21" s="142" t="s">
        <v>113</v>
      </c>
      <c r="CE21" s="142" t="s">
        <v>113</v>
      </c>
      <c r="CF21" s="142" t="s">
        <v>113</v>
      </c>
      <c r="CG21" s="142" t="s">
        <v>113</v>
      </c>
      <c r="CH21" s="142" t="s">
        <v>113</v>
      </c>
      <c r="CI21" s="142" t="s">
        <v>113</v>
      </c>
      <c r="CJ21" s="142"/>
      <c r="CK21" s="139" t="s">
        <v>113</v>
      </c>
      <c r="CL21" s="139" t="s">
        <v>113</v>
      </c>
      <c r="CM21" s="139" t="s">
        <v>113</v>
      </c>
      <c r="CN21" s="139" t="s">
        <v>113</v>
      </c>
      <c r="CO21" s="139" t="s">
        <v>113</v>
      </c>
      <c r="CP21" s="139" t="s">
        <v>113</v>
      </c>
      <c r="CQ21" s="139" t="s">
        <v>113</v>
      </c>
      <c r="CR21" s="139"/>
      <c r="CS21" s="143" t="s">
        <v>113</v>
      </c>
      <c r="CT21" s="143" t="s">
        <v>113</v>
      </c>
      <c r="CU21" s="143" t="s">
        <v>113</v>
      </c>
      <c r="CV21" s="143" t="s">
        <v>113</v>
      </c>
      <c r="CW21" s="143" t="s">
        <v>113</v>
      </c>
      <c r="CX21" s="143" t="s">
        <v>113</v>
      </c>
      <c r="CY21" s="143" t="s">
        <v>113</v>
      </c>
      <c r="CZ21" s="143"/>
      <c r="DA21" s="139" t="s">
        <v>113</v>
      </c>
      <c r="DB21" s="139" t="s">
        <v>113</v>
      </c>
      <c r="DC21" s="139" t="s">
        <v>113</v>
      </c>
      <c r="DD21" s="144">
        <f t="shared" si="21"/>
        <v>0</v>
      </c>
      <c r="DE21" s="145">
        <v>1</v>
      </c>
      <c r="DF21" s="1"/>
      <c r="DG21" s="1"/>
      <c r="DH21" s="1"/>
      <c r="DI21" s="1"/>
      <c r="DJ21" s="1"/>
      <c r="DK21" s="1"/>
      <c r="DL21" s="1"/>
      <c r="DM21" s="1"/>
      <c r="DN21" s="1"/>
      <c r="DO21" s="1"/>
      <c r="DP21" s="1"/>
      <c r="DQ21" s="1"/>
      <c r="DR21" s="1"/>
      <c r="DS21" s="1"/>
      <c r="DT21" s="1"/>
      <c r="DU21" s="1"/>
      <c r="DV21" s="1"/>
      <c r="DW21" s="1"/>
      <c r="DX21" s="1"/>
      <c r="DY21" s="1"/>
      <c r="DZ21" s="1"/>
      <c r="EA21" s="146">
        <v>788571872.46119976</v>
      </c>
      <c r="EB21" s="146">
        <v>800573492.18159997</v>
      </c>
      <c r="EC21" s="146">
        <v>796672745.32439995</v>
      </c>
      <c r="ED21" s="147"/>
      <c r="EE21" s="147"/>
      <c r="EF21" s="147"/>
      <c r="EG21" s="129"/>
      <c r="EH21" s="122"/>
      <c r="EI21" s="130" t="s">
        <v>113</v>
      </c>
      <c r="EJ21" s="130" t="s">
        <v>113</v>
      </c>
      <c r="EK21" s="130" t="s">
        <v>113</v>
      </c>
      <c r="EL21" s="130" t="s">
        <v>113</v>
      </c>
      <c r="EM21" s="131">
        <f t="shared" si="5"/>
        <v>48.676456048961434</v>
      </c>
      <c r="EN21" s="146">
        <v>7953084665.3951988</v>
      </c>
      <c r="EO21" s="146">
        <v>8032615987.6487989</v>
      </c>
      <c r="EP21" s="131">
        <f t="shared" si="6"/>
        <v>1.0000059800651995</v>
      </c>
      <c r="EQ21" s="130" t="s">
        <v>113</v>
      </c>
      <c r="ER21" s="130" t="s">
        <v>113</v>
      </c>
      <c r="ES21" s="130" t="s">
        <v>113</v>
      </c>
      <c r="ET21" s="130" t="s">
        <v>113</v>
      </c>
      <c r="EU21" s="131">
        <f t="shared" si="22"/>
        <v>25.10732805688135</v>
      </c>
      <c r="EV21" s="132">
        <f t="shared" si="23"/>
        <v>1.5219345717852104</v>
      </c>
      <c r="EW21" s="132">
        <f t="shared" si="24"/>
        <v>1.0272778807667369</v>
      </c>
      <c r="EX21" s="132"/>
      <c r="EY21" s="148">
        <f t="shared" si="7"/>
        <v>-0.15539670248788084</v>
      </c>
      <c r="EZ21" s="144">
        <f t="shared" si="25"/>
        <v>0</v>
      </c>
      <c r="FA21" s="145">
        <v>1</v>
      </c>
      <c r="FB21" s="130" t="s">
        <v>113</v>
      </c>
      <c r="FC21" s="130" t="s">
        <v>113</v>
      </c>
      <c r="FD21" s="130" t="s">
        <v>113</v>
      </c>
      <c r="FE21" s="130" t="s">
        <v>113</v>
      </c>
      <c r="FF21" s="130" t="s">
        <v>113</v>
      </c>
      <c r="FG21" s="130" t="s">
        <v>113</v>
      </c>
      <c r="FH21" s="130" t="s">
        <v>113</v>
      </c>
      <c r="FI21" s="130" t="s">
        <v>113</v>
      </c>
      <c r="FJ21" s="1"/>
      <c r="FK21" s="1"/>
      <c r="FL21" s="1"/>
      <c r="FM21" s="1"/>
      <c r="FN21" s="1"/>
      <c r="FO21" s="1"/>
      <c r="FP21" s="1"/>
      <c r="FQ21" s="1"/>
    </row>
    <row r="22" spans="1:173" ht="13.2" customHeight="1" x14ac:dyDescent="0.3">
      <c r="A22" s="1"/>
      <c r="B22" s="34" t="s">
        <v>114</v>
      </c>
      <c r="C22" s="150">
        <v>1282376474.9807963</v>
      </c>
      <c r="D22" s="150">
        <v>1312577402.8199995</v>
      </c>
      <c r="E22" s="150">
        <v>1295987965.683599</v>
      </c>
      <c r="F22" s="150">
        <v>1312420786.3259997</v>
      </c>
      <c r="G22" s="150">
        <v>1298843533.4616003</v>
      </c>
      <c r="H22" s="150">
        <v>1295922361.7363985</v>
      </c>
      <c r="I22" s="150"/>
      <c r="J22" s="122"/>
      <c r="K22" s="150">
        <v>1306584966.207598</v>
      </c>
      <c r="L22" s="150">
        <v>1285293181.5743988</v>
      </c>
      <c r="M22" s="150">
        <v>1285027938.7415969</v>
      </c>
      <c r="N22" s="150">
        <v>1282795546.6859972</v>
      </c>
      <c r="O22" s="152" t="s">
        <v>113</v>
      </c>
      <c r="P22" s="150">
        <v>25163026779.963551</v>
      </c>
      <c r="Q22" s="150">
        <v>25414664266.051159</v>
      </c>
      <c r="R22" s="153">
        <f>(Q22/P22-1)*100</f>
        <v>1.0000286860878616</v>
      </c>
      <c r="S22" s="151">
        <v>25339718705.750298</v>
      </c>
      <c r="T22" s="151">
        <v>25219669150.64402</v>
      </c>
      <c r="U22" s="151">
        <v>25177566646.411228</v>
      </c>
      <c r="V22" s="151">
        <v>25166789576.320786</v>
      </c>
      <c r="W22" s="154">
        <f t="shared" si="9"/>
        <v>2.355007449589813</v>
      </c>
      <c r="X22" s="154">
        <f t="shared" si="9"/>
        <v>1.0613965960182417</v>
      </c>
      <c r="Y22" s="154">
        <f t="shared" si="9"/>
        <v>2.3427948112211601</v>
      </c>
      <c r="Z22" s="154">
        <f t="shared" si="9"/>
        <v>1.2840680127974406</v>
      </c>
      <c r="AA22" s="154">
        <f t="shared" si="9"/>
        <v>1.0562809325127247</v>
      </c>
      <c r="AB22" s="154">
        <f>IF(I22&lt;&gt;0,((I22-$C22)/ABS($C22)) / ($Q22/$P22-1),AA22)</f>
        <v>1.0562809325127247</v>
      </c>
      <c r="AC22" s="154">
        <f>IF(J22&lt;&gt;0,((J22-$C22)/ABS($C22)) / ($Q22/$P22-1),AB22)</f>
        <v>1.0562809325127247</v>
      </c>
      <c r="AD22" s="155">
        <f>(K22/$C22-1) / (S22/$P22-1)</f>
        <v>2.6884276693825342</v>
      </c>
      <c r="AE22" s="155">
        <f>(L22/$C22-1) / (T22/$P22-1)</f>
        <v>1.0104123808023298</v>
      </c>
      <c r="AF22" s="155">
        <f>(M22/$C22-1) / (U22/$P22-1)</f>
        <v>3.5782659495015663</v>
      </c>
      <c r="AG22" s="155">
        <f>(N22/$C22-1) / (V22/$P22-1)</f>
        <v>2.1853699236530271</v>
      </c>
      <c r="AH22" s="156">
        <f t="shared" si="10"/>
        <v>1</v>
      </c>
      <c r="AI22" s="155">
        <f>IF(W22&gt;1,W22-SUM(AH22,AJ22:AO22),0)</f>
        <v>6.13965960182421E-2</v>
      </c>
      <c r="AJ22" s="155">
        <f t="shared" si="12"/>
        <v>1.2212638368652939E-2</v>
      </c>
      <c r="AK22" s="155">
        <f t="shared" si="13"/>
        <v>1.0587267984237194</v>
      </c>
      <c r="AL22" s="155">
        <f t="shared" si="14"/>
        <v>0.22778708028471595</v>
      </c>
      <c r="AM22" s="155">
        <f t="shared" si="15"/>
        <v>0</v>
      </c>
      <c r="AN22" s="157">
        <f t="shared" si="16"/>
        <v>0</v>
      </c>
      <c r="AO22" s="155">
        <f t="shared" si="17"/>
        <v>-5.1156635055169541E-3</v>
      </c>
      <c r="AP22" s="155">
        <f>AI22+AO22</f>
        <v>5.6280932512725146E-2</v>
      </c>
      <c r="AQ22" s="136" t="s">
        <v>113</v>
      </c>
      <c r="AR22" s="137">
        <f>AI22/($W22-1)*100</f>
        <v>4.531089186028316</v>
      </c>
      <c r="AS22" s="137">
        <f t="shared" si="3"/>
        <v>0.90129676942735193</v>
      </c>
      <c r="AT22" s="137">
        <f t="shared" si="3"/>
        <v>78.13438950053127</v>
      </c>
      <c r="AU22" s="137">
        <f t="shared" si="3"/>
        <v>16.810762210471353</v>
      </c>
      <c r="AV22" s="137">
        <f t="shared" si="3"/>
        <v>0</v>
      </c>
      <c r="AW22" s="138">
        <f t="shared" si="3"/>
        <v>0</v>
      </c>
      <c r="AX22" s="137">
        <f t="shared" si="3"/>
        <v>-0.37753766645825931</v>
      </c>
      <c r="AY22" s="137">
        <f t="shared" si="3"/>
        <v>4.1535515195700565</v>
      </c>
      <c r="AZ22" s="436">
        <f>BP22</f>
        <v>2.7450826919490132</v>
      </c>
      <c r="BA22" s="436">
        <f>AD22</f>
        <v>2.6884276693825342</v>
      </c>
      <c r="BB22" s="436">
        <f>AF22</f>
        <v>3.5782659495015663</v>
      </c>
      <c r="BC22" s="436">
        <f>AG22</f>
        <v>2.1853699236530271</v>
      </c>
      <c r="BD22" s="159">
        <f>W22-AZ22</f>
        <v>-0.39007524235920021</v>
      </c>
      <c r="BE22" s="159">
        <f>AD22-BA22</f>
        <v>0</v>
      </c>
      <c r="BF22" s="159">
        <f>AF22-BB22</f>
        <v>0</v>
      </c>
      <c r="BG22" s="159">
        <f>AG22-BC22</f>
        <v>0</v>
      </c>
      <c r="BH22" s="160">
        <v>17667929011.173565</v>
      </c>
      <c r="BI22" s="160">
        <v>5664543996.7463932</v>
      </c>
      <c r="BJ22" s="160">
        <v>1454208180.0828004</v>
      </c>
      <c r="BK22" s="160">
        <v>376344803.51640034</v>
      </c>
      <c r="BL22" s="141">
        <f t="shared" si="18"/>
        <v>0.70213848752245811</v>
      </c>
      <c r="BM22" s="141">
        <f t="shared" si="4"/>
        <v>0.22511378395649023</v>
      </c>
      <c r="BN22" s="141">
        <f t="shared" si="19"/>
        <v>5.7791466756538762E-2</v>
      </c>
      <c r="BO22" s="141">
        <f t="shared" si="19"/>
        <v>1.4956261764512821E-2</v>
      </c>
      <c r="BP22" s="159">
        <f>(AD22*BL22+AF22*BN22+AG22*BO22)/(BL22+BN22+BO22)</f>
        <v>2.7450826919490132</v>
      </c>
      <c r="BQ22" s="159">
        <f>W22-BP22</f>
        <v>-0.39007524235920021</v>
      </c>
      <c r="BR22" s="159">
        <f>BP22-AZ22</f>
        <v>0</v>
      </c>
      <c r="BS22" s="152" t="s">
        <v>113</v>
      </c>
      <c r="BT22" s="161"/>
      <c r="BU22" s="161"/>
      <c r="BV22" s="161"/>
      <c r="BW22" s="161"/>
      <c r="BX22" s="162"/>
      <c r="BY22" s="162"/>
      <c r="BZ22" s="163"/>
      <c r="CA22" s="164"/>
      <c r="CB22" s="165"/>
      <c r="CC22" s="166"/>
      <c r="CD22" s="166"/>
      <c r="CE22" s="166"/>
      <c r="CF22" s="166"/>
      <c r="CG22" s="167"/>
      <c r="CH22" s="167"/>
      <c r="CI22" s="168"/>
      <c r="CJ22" s="169"/>
      <c r="CK22" s="161">
        <v>0.35271983121410899</v>
      </c>
      <c r="CL22" s="161">
        <v>0.33250245876910201</v>
      </c>
      <c r="CM22" s="161">
        <v>0.35271981929081803</v>
      </c>
      <c r="CN22" s="161">
        <v>0.33233275995082201</v>
      </c>
      <c r="CO22" s="162">
        <f t="shared" ref="CO22" si="26">(CK22-CL22)/CK22</f>
        <v>5.7318502266844699E-2</v>
      </c>
      <c r="CP22" s="162">
        <f>(CM22-CN22)/CM22</f>
        <v>5.7799585464141032E-2</v>
      </c>
      <c r="CQ22" s="163">
        <f>(CP22-CO22)*100</f>
        <v>4.8108319729633225E-2</v>
      </c>
      <c r="CR22" s="165">
        <f>CN22-CL22</f>
        <v>-1.6969881827999522E-4</v>
      </c>
      <c r="CS22" s="170">
        <f>(SUM(P20:P21))/(SUM(P12:P13))</f>
        <v>7.016236644020136</v>
      </c>
      <c r="CT22" s="170">
        <f>(SUM(P20:P21)-SUM(C20:C21))/(SUM(P12:P13)-SUM(C12:C13))</f>
        <v>6.3668566813317078</v>
      </c>
      <c r="CU22" s="170">
        <f>(SUM(Q20:Q21))/(SUM(Q12:Q13))</f>
        <v>7.0162475018227202</v>
      </c>
      <c r="CV22" s="170">
        <f>(SUM(Q20:Q21)-SUM(D20:D21))/(SUM(Q12:Q13)-SUM(D12:D13))</f>
        <v>6.3607759425232357</v>
      </c>
      <c r="CW22" s="162">
        <f>(CS22-CT22)/CS22</f>
        <v>9.2553885456797963E-2</v>
      </c>
      <c r="CX22" s="162">
        <f>(CU22-CV22)/CU22</f>
        <v>9.3421955130460033E-2</v>
      </c>
      <c r="CY22" s="163">
        <f>(CX22-CW22)*100</f>
        <v>8.6806967366206966E-2</v>
      </c>
      <c r="CZ22" s="165">
        <f>CV22-CT22</f>
        <v>-6.0807388084720415E-3</v>
      </c>
      <c r="DA22" s="171">
        <v>0.387572063897832</v>
      </c>
      <c r="DB22" s="171">
        <v>0.385248781135971</v>
      </c>
      <c r="DC22" s="172">
        <f>DB22-DA22</f>
        <v>-2.3232827618610008E-3</v>
      </c>
      <c r="DD22" s="144">
        <f t="shared" si="21"/>
        <v>47.145768259479496</v>
      </c>
      <c r="DE22" s="145">
        <v>0.52854231740520508</v>
      </c>
      <c r="DF22" s="1"/>
      <c r="DG22" s="1"/>
      <c r="DH22" s="1"/>
      <c r="DI22" s="1"/>
      <c r="DJ22" s="1"/>
      <c r="DK22" s="1"/>
      <c r="DL22" s="1"/>
      <c r="DM22" s="1"/>
      <c r="DN22" s="1"/>
      <c r="DO22" s="1"/>
      <c r="DP22" s="1"/>
      <c r="DQ22" s="1"/>
      <c r="DR22" s="1"/>
      <c r="DS22" s="1"/>
      <c r="DT22" s="1"/>
      <c r="DU22" s="1"/>
      <c r="DV22" s="1"/>
      <c r="DW22" s="1"/>
      <c r="DX22" s="1"/>
      <c r="DY22" s="1"/>
      <c r="DZ22" s="1"/>
      <c r="EA22" s="151">
        <v>1620027291.3624015</v>
      </c>
      <c r="EB22" s="151">
        <v>1654368795.4919996</v>
      </c>
      <c r="EC22" s="151">
        <v>1636559101.4519999</v>
      </c>
      <c r="ED22" s="173"/>
      <c r="EE22" s="173"/>
      <c r="EF22" s="173"/>
      <c r="EG22" s="150"/>
      <c r="EH22" s="123"/>
      <c r="EI22" s="151">
        <v>1647249345.4272013</v>
      </c>
      <c r="EJ22" s="151">
        <v>1624171506.3432002</v>
      </c>
      <c r="EK22" s="151">
        <v>1622596205.032804</v>
      </c>
      <c r="EL22" s="151">
        <v>1620430882.3152022</v>
      </c>
      <c r="EM22" s="152" t="s">
        <v>113</v>
      </c>
      <c r="EN22" s="151">
        <v>31676348225.415558</v>
      </c>
      <c r="EO22" s="151">
        <v>31993116846.782402</v>
      </c>
      <c r="EP22" s="153">
        <f>(EO22/EN22-1)*100</f>
        <v>1.0000162238167576</v>
      </c>
      <c r="EQ22" s="151">
        <v>31899801300.725975</v>
      </c>
      <c r="ER22" s="151">
        <v>31746982314.698479</v>
      </c>
      <c r="ES22" s="151">
        <v>31694738708.199478</v>
      </c>
      <c r="ET22" s="151">
        <v>31680637272.967087</v>
      </c>
      <c r="EU22" s="152" t="s">
        <v>113</v>
      </c>
      <c r="EV22" s="154">
        <f t="shared" si="23"/>
        <v>2.1197758316458399</v>
      </c>
      <c r="EW22" s="154">
        <f t="shared" si="24"/>
        <v>1.0204483574464696</v>
      </c>
      <c r="EX22" s="174">
        <f>EW22-X22</f>
        <v>-4.09482385717721E-2</v>
      </c>
      <c r="EY22" s="175">
        <f t="shared" si="7"/>
        <v>-0.23523161794397307</v>
      </c>
      <c r="EZ22" s="144">
        <f t="shared" si="25"/>
        <v>35.341203545281971</v>
      </c>
      <c r="FA22" s="176">
        <v>0.64658796454718026</v>
      </c>
      <c r="FB22" s="155">
        <f>(EI22/$EA22-1) / (EQ22/$EN22-1)</f>
        <v>2.3820305872685403</v>
      </c>
      <c r="FC22" s="155">
        <f>(EJ22/$EA22-1) / (ER22/$EN22-1)</f>
        <v>1.147204136093094</v>
      </c>
      <c r="FD22" s="155">
        <f>(EK22/$EA22-1) / (ES22/$EN22-1)</f>
        <v>2.7312984434201857</v>
      </c>
      <c r="FE22" s="155">
        <f>(EL22/$EA22-1) / (ET22/$EN22-1)</f>
        <v>1.8398962693539731</v>
      </c>
      <c r="FF22" s="75">
        <f>FB22-AD22</f>
        <v>-0.30639708211399386</v>
      </c>
      <c r="FG22" s="75">
        <f>FC22-AE22</f>
        <v>0.13679175529076426</v>
      </c>
      <c r="FH22" s="75">
        <f>FD22-AF22</f>
        <v>-0.84696750608138061</v>
      </c>
      <c r="FI22" s="75">
        <f>FE22-AG22</f>
        <v>-0.34547365429905397</v>
      </c>
      <c r="FJ22" s="1"/>
      <c r="FK22" s="1"/>
      <c r="FL22" s="1"/>
      <c r="FM22" s="1"/>
      <c r="FN22" s="1"/>
      <c r="FO22" s="1"/>
      <c r="FP22" s="1"/>
      <c r="FQ22" s="1"/>
    </row>
    <row r="23" spans="1:173" x14ac:dyDescent="0.3">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c r="ET23" s="1"/>
      <c r="EU23" s="1"/>
      <c r="EV23" s="1"/>
      <c r="EW23" s="1"/>
      <c r="EX23" s="1"/>
      <c r="EY23" s="1"/>
      <c r="EZ23" s="1"/>
      <c r="FA23" s="1"/>
      <c r="FB23" s="1"/>
      <c r="FC23" s="1"/>
      <c r="FD23" s="1"/>
      <c r="FE23" s="1"/>
      <c r="FF23" s="1"/>
      <c r="FG23" s="1"/>
      <c r="FH23" s="1"/>
      <c r="FI23" s="1"/>
      <c r="FJ23" s="1"/>
      <c r="FK23" s="1"/>
      <c r="FL23" s="1"/>
      <c r="FM23" s="1"/>
      <c r="FN23" s="1"/>
      <c r="FO23" s="1"/>
      <c r="FP23" s="1"/>
      <c r="FQ23" s="1"/>
    </row>
    <row r="24" spans="1:173" x14ac:dyDescent="0.3">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c r="EJ24" s="1"/>
      <c r="EK24" s="1"/>
      <c r="EL24" s="1"/>
      <c r="EM24" s="1"/>
      <c r="EN24" s="1"/>
      <c r="EO24" s="1"/>
      <c r="EP24" s="1"/>
      <c r="EQ24" s="1"/>
      <c r="ER24" s="1"/>
      <c r="ES24" s="1"/>
      <c r="ET24" s="1"/>
      <c r="EU24" s="1"/>
      <c r="EV24" s="1"/>
      <c r="EW24" s="1"/>
      <c r="EX24" s="1"/>
      <c r="EY24" s="1"/>
      <c r="EZ24" s="1"/>
      <c r="FA24" s="1"/>
      <c r="FB24" s="1"/>
      <c r="FC24" s="1"/>
      <c r="FD24" s="1"/>
      <c r="FE24" s="1"/>
      <c r="FF24" s="1"/>
      <c r="FG24" s="1"/>
      <c r="FH24" s="1"/>
      <c r="FI24" s="1"/>
      <c r="FJ24" s="1"/>
      <c r="FK24" s="1"/>
      <c r="FL24" s="1"/>
      <c r="FM24" s="1"/>
      <c r="FN24" s="1"/>
      <c r="FO24" s="1"/>
      <c r="FP24" s="1"/>
      <c r="FQ24" s="1"/>
    </row>
    <row r="25" spans="1:173" x14ac:dyDescent="0.3">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Q25" s="1"/>
    </row>
    <row r="26" spans="1:173" x14ac:dyDescent="0.3">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c r="ER26" s="1"/>
      <c r="ES26" s="1"/>
      <c r="ET26" s="1"/>
      <c r="EU26" s="1"/>
      <c r="EV26" s="1"/>
      <c r="EW26" s="1"/>
      <c r="EX26" s="1"/>
      <c r="EY26" s="1"/>
      <c r="EZ26" s="1"/>
      <c r="FA26" s="1"/>
      <c r="FB26" s="1"/>
      <c r="FC26" s="1"/>
      <c r="FD26" s="1"/>
      <c r="FE26" s="1"/>
      <c r="FF26" s="1"/>
      <c r="FG26" s="1"/>
      <c r="FH26" s="1"/>
      <c r="FI26" s="1"/>
      <c r="FJ26" s="1"/>
      <c r="FK26" s="1"/>
      <c r="FL26" s="1"/>
      <c r="FM26" s="1"/>
      <c r="FN26" s="1"/>
      <c r="FO26" s="1"/>
      <c r="FP26" s="1"/>
      <c r="FQ26" s="1"/>
    </row>
    <row r="27" spans="1:173" x14ac:dyDescent="0.3">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c r="CW27" s="1"/>
      <c r="CX27" s="1"/>
      <c r="CY27" s="1"/>
      <c r="CZ27" s="1"/>
      <c r="DA27" s="1"/>
      <c r="DB27" s="1"/>
      <c r="DC27" s="1"/>
      <c r="DD27" s="1"/>
      <c r="DE27" s="1"/>
      <c r="DF27" s="1"/>
      <c r="DG27" s="1"/>
      <c r="DH27" s="1"/>
      <c r="DI27" s="1"/>
      <c r="DJ27" s="1"/>
      <c r="DK27" s="1"/>
      <c r="DL27" s="1"/>
      <c r="DM27" s="1"/>
      <c r="DN27" s="1"/>
      <c r="DO27" s="1"/>
      <c r="DP27" s="1"/>
      <c r="DQ27" s="1"/>
      <c r="DR27" s="1"/>
      <c r="DS27" s="1"/>
      <c r="DT27" s="1"/>
      <c r="DU27" s="1"/>
      <c r="DV27" s="1"/>
      <c r="DW27" s="1"/>
      <c r="DX27" s="1"/>
      <c r="DY27" s="1"/>
      <c r="DZ27" s="1"/>
      <c r="EA27" s="1"/>
      <c r="EB27" s="1"/>
      <c r="EC27" s="1"/>
      <c r="ED27" s="1"/>
      <c r="EE27" s="1"/>
      <c r="EF27" s="1"/>
      <c r="EG27" s="1"/>
      <c r="EH27" s="1"/>
      <c r="EI27" s="1"/>
      <c r="EJ27" s="1"/>
      <c r="EK27" s="1"/>
      <c r="EL27" s="1"/>
      <c r="EM27" s="1"/>
      <c r="EN27" s="1"/>
      <c r="EO27" s="1"/>
      <c r="EP27" s="1"/>
      <c r="EQ27" s="1"/>
      <c r="ER27" s="1"/>
      <c r="ES27" s="1"/>
      <c r="ET27" s="1"/>
      <c r="EU27" s="1"/>
      <c r="EV27" s="1"/>
      <c r="EW27" s="1"/>
      <c r="EX27" s="1"/>
      <c r="EY27" s="1"/>
      <c r="EZ27" s="1"/>
      <c r="FA27" s="1"/>
      <c r="FB27" s="1"/>
      <c r="FC27" s="1"/>
      <c r="FD27" s="1"/>
      <c r="FE27" s="1"/>
      <c r="FF27" s="1"/>
      <c r="FG27" s="1"/>
      <c r="FH27" s="1"/>
      <c r="FI27" s="1"/>
      <c r="FJ27" s="1"/>
      <c r="FK27" s="1"/>
      <c r="FL27" s="1"/>
      <c r="FM27" s="1"/>
      <c r="FN27" s="1"/>
      <c r="FO27" s="1"/>
      <c r="FP27" s="1"/>
      <c r="FQ27" s="1"/>
    </row>
  </sheetData>
  <pageMargins left="0.7" right="0.7" top="0.75" bottom="0.75" header="0.3" footer="0.3"/>
  <pageSetup paperSize="9" orientation="portrait" r:id="rId1"/>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1A4FA-B79E-45D6-9E02-43921089E714}">
  <dimension ref="A1:BN121"/>
  <sheetViews>
    <sheetView zoomScale="55" zoomScaleNormal="55" workbookViewId="0">
      <selection activeCell="O4" sqref="O4"/>
    </sheetView>
  </sheetViews>
  <sheetFormatPr baseColWidth="10" defaultColWidth="8.6640625" defaultRowHeight="14.4" x14ac:dyDescent="0.3"/>
  <cols>
    <col min="1" max="1" width="4.33203125" customWidth="1"/>
    <col min="3" max="3" width="17.33203125" customWidth="1"/>
    <col min="4" max="4" width="15.6640625" customWidth="1"/>
    <col min="5" max="5" width="16.33203125" customWidth="1"/>
    <col min="6" max="6" width="15.6640625" customWidth="1"/>
    <col min="7" max="7" width="16" customWidth="1"/>
    <col min="8" max="8" width="19" customWidth="1"/>
    <col min="9" max="12" width="17" customWidth="1"/>
    <col min="13" max="13" width="17.33203125" customWidth="1"/>
    <col min="14" max="18" width="16.33203125" customWidth="1"/>
    <col min="19" max="19" width="17" customWidth="1"/>
    <col min="20" max="33" width="16.33203125" customWidth="1"/>
    <col min="34" max="34" width="14.6640625" customWidth="1"/>
    <col min="35" max="36" width="12.6640625" customWidth="1"/>
    <col min="37" max="37" width="17.33203125" customWidth="1"/>
    <col min="38" max="38" width="12.33203125" customWidth="1"/>
    <col min="39" max="39" width="9.6640625" customWidth="1"/>
    <col min="40" max="42" width="19" customWidth="1"/>
    <col min="43" max="50" width="9.6640625" customWidth="1"/>
    <col min="51" max="59" width="0.5546875" customWidth="1"/>
  </cols>
  <sheetData>
    <row r="1" spans="1:66" ht="15" thickBot="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row>
    <row r="2" spans="1:66" ht="18" customHeight="1" thickBot="1" x14ac:dyDescent="0.35">
      <c r="A2" s="1"/>
      <c r="B2" s="2" t="s">
        <v>654</v>
      </c>
      <c r="C2" s="3"/>
      <c r="D2" s="3"/>
      <c r="E2" s="3"/>
      <c r="F2" s="3"/>
      <c r="G2" s="3"/>
      <c r="H2" s="3"/>
      <c r="I2" s="3"/>
      <c r="J2" s="3"/>
      <c r="K2" s="3"/>
      <c r="L2" s="3"/>
      <c r="M2" s="4"/>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row>
    <row r="3" spans="1:66" ht="18" customHeight="1" x14ac:dyDescent="0.3">
      <c r="A3" s="1"/>
      <c r="B3" s="5" t="s">
        <v>115</v>
      </c>
      <c r="C3" s="6"/>
      <c r="D3" s="6"/>
      <c r="E3" s="6"/>
      <c r="F3" s="6"/>
      <c r="G3" s="6"/>
      <c r="H3" s="6"/>
      <c r="I3" s="6"/>
      <c r="J3" s="6"/>
      <c r="K3" s="6"/>
      <c r="L3" s="6"/>
      <c r="M3" s="7"/>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row>
    <row r="4" spans="1:66" ht="18" customHeight="1" x14ac:dyDescent="0.3">
      <c r="A4" s="1"/>
      <c r="B4" s="99" t="s">
        <v>1</v>
      </c>
      <c r="C4" s="296"/>
      <c r="D4" s="296"/>
      <c r="E4" s="296"/>
      <c r="F4" s="296"/>
      <c r="G4" s="296"/>
      <c r="H4" s="296"/>
      <c r="I4" s="296"/>
      <c r="J4" s="296"/>
      <c r="K4" s="296"/>
      <c r="L4" s="296"/>
      <c r="M4" s="100"/>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row>
    <row r="5" spans="1:66" ht="14.25" customHeight="1" x14ac:dyDescent="0.3">
      <c r="A5" s="1"/>
      <c r="B5" s="293" t="s">
        <v>116</v>
      </c>
      <c r="C5" s="294"/>
      <c r="D5" s="294"/>
      <c r="E5" s="294"/>
      <c r="F5" s="294"/>
      <c r="G5" s="294"/>
      <c r="H5" s="294"/>
      <c r="I5" s="294"/>
      <c r="J5" s="294"/>
      <c r="K5" s="294"/>
      <c r="L5" s="294"/>
      <c r="M5" s="295"/>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row>
    <row r="6" spans="1:66" ht="12.6" customHeight="1" x14ac:dyDescent="0.3">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row>
    <row r="7" spans="1:66" ht="12.6" customHeight="1" x14ac:dyDescent="0.3">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row>
    <row r="8" spans="1:66" ht="17.7" customHeight="1" x14ac:dyDescent="0.3">
      <c r="A8" s="1"/>
      <c r="B8" s="11" t="s">
        <v>2</v>
      </c>
      <c r="C8" s="12" t="s">
        <v>225</v>
      </c>
      <c r="D8" s="12" t="s">
        <v>226</v>
      </c>
      <c r="E8" s="124" t="s">
        <v>519</v>
      </c>
      <c r="F8" s="125"/>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row>
    <row r="9" spans="1:66" ht="10.35" customHeight="1" x14ac:dyDescent="0.3">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row>
    <row r="10" spans="1:66" x14ac:dyDescent="0.3">
      <c r="A10" s="1"/>
      <c r="B10" s="1"/>
      <c r="C10" s="13" t="s">
        <v>6</v>
      </c>
      <c r="D10" s="14"/>
      <c r="E10" s="14"/>
      <c r="F10" s="14"/>
      <c r="G10" s="14"/>
      <c r="H10" s="14"/>
      <c r="I10" s="14"/>
      <c r="J10" s="14"/>
      <c r="K10" s="14"/>
      <c r="L10" s="14"/>
      <c r="M10" s="14"/>
      <c r="N10" s="14"/>
      <c r="O10" s="14"/>
      <c r="P10" s="15" t="s">
        <v>596</v>
      </c>
      <c r="Q10" s="16"/>
      <c r="R10" s="16"/>
      <c r="S10" s="16"/>
      <c r="T10" s="16"/>
      <c r="U10" s="16"/>
      <c r="V10" s="16"/>
      <c r="W10" s="16"/>
      <c r="X10" s="13"/>
      <c r="Y10" s="17"/>
      <c r="Z10" s="17"/>
      <c r="AA10" s="17"/>
      <c r="AB10" s="17"/>
      <c r="AC10" s="17"/>
      <c r="AD10" s="17"/>
      <c r="AE10" s="19"/>
      <c r="AF10" s="16"/>
      <c r="AG10" s="16"/>
      <c r="AH10" s="16"/>
      <c r="AI10" s="16"/>
      <c r="AJ10" s="16"/>
      <c r="AK10" s="1"/>
      <c r="AL10" s="1"/>
      <c r="AM10" s="99" t="s">
        <v>562</v>
      </c>
      <c r="AN10" s="9"/>
      <c r="AO10" s="9"/>
      <c r="AP10" s="9"/>
      <c r="AQ10" s="9"/>
      <c r="AR10" s="9"/>
      <c r="AS10" s="10"/>
      <c r="AT10" s="1"/>
      <c r="AU10" s="1"/>
      <c r="AV10" s="1"/>
      <c r="AW10" s="1"/>
      <c r="AX10" s="1"/>
      <c r="AY10" s="1"/>
      <c r="AZ10" s="1"/>
      <c r="BA10" s="1"/>
      <c r="BB10" s="1"/>
      <c r="BC10" s="1"/>
      <c r="BD10" s="1"/>
      <c r="BE10" s="1"/>
      <c r="BF10" s="1"/>
      <c r="BG10" s="1"/>
      <c r="BH10" s="1"/>
      <c r="BI10" s="1"/>
      <c r="BJ10" s="1"/>
      <c r="BK10" s="1"/>
      <c r="BL10" s="1"/>
      <c r="BM10" s="1"/>
      <c r="BN10" s="1"/>
    </row>
    <row r="11" spans="1:66" ht="78.75" customHeight="1" x14ac:dyDescent="0.3">
      <c r="A11" s="1"/>
      <c r="B11" s="25" t="s">
        <v>20</v>
      </c>
      <c r="C11" s="26" t="s">
        <v>119</v>
      </c>
      <c r="D11" s="27" t="s">
        <v>120</v>
      </c>
      <c r="E11" s="26" t="s">
        <v>121</v>
      </c>
      <c r="F11" s="27" t="s">
        <v>122</v>
      </c>
      <c r="G11" s="27" t="s">
        <v>123</v>
      </c>
      <c r="H11" s="27" t="s">
        <v>124</v>
      </c>
      <c r="I11" s="27" t="s">
        <v>125</v>
      </c>
      <c r="J11" s="27" t="s">
        <v>126</v>
      </c>
      <c r="K11" s="27" t="s">
        <v>127</v>
      </c>
      <c r="L11" s="27"/>
      <c r="M11" s="27"/>
      <c r="N11" s="27"/>
      <c r="O11" s="27"/>
      <c r="P11" s="26" t="s">
        <v>119</v>
      </c>
      <c r="Q11" s="27" t="s">
        <v>120</v>
      </c>
      <c r="R11" s="27" t="s">
        <v>121</v>
      </c>
      <c r="S11" s="27" t="s">
        <v>122</v>
      </c>
      <c r="T11" s="27" t="s">
        <v>123</v>
      </c>
      <c r="U11" s="27" t="s">
        <v>130</v>
      </c>
      <c r="V11" s="27"/>
      <c r="W11" s="27"/>
      <c r="X11" s="27"/>
      <c r="Y11" s="27"/>
      <c r="Z11" s="27"/>
      <c r="AA11" s="27"/>
      <c r="AB11" s="27"/>
      <c r="AC11" s="27"/>
      <c r="AD11" s="27"/>
      <c r="AE11" s="27"/>
      <c r="AF11" s="27"/>
      <c r="AG11" s="27"/>
      <c r="AH11" s="27"/>
      <c r="AI11" s="27"/>
      <c r="AJ11" s="27"/>
      <c r="AK11" s="27" t="s">
        <v>150</v>
      </c>
      <c r="AL11" s="1"/>
      <c r="AM11" s="522" t="s">
        <v>563</v>
      </c>
      <c r="AN11" s="523" t="s">
        <v>568</v>
      </c>
      <c r="AO11" s="523" t="s">
        <v>569</v>
      </c>
      <c r="AP11" s="523" t="s">
        <v>570</v>
      </c>
      <c r="AQ11" s="523" t="s">
        <v>564</v>
      </c>
      <c r="AR11" s="523" t="s">
        <v>565</v>
      </c>
      <c r="AS11" s="523" t="s">
        <v>566</v>
      </c>
      <c r="AT11" s="1"/>
      <c r="AU11" s="1"/>
      <c r="AV11" s="1"/>
      <c r="AW11" s="1"/>
      <c r="AX11" s="1"/>
      <c r="AY11" s="1"/>
      <c r="AZ11" s="1"/>
      <c r="BA11" s="1"/>
      <c r="BB11" s="1"/>
      <c r="BC11" s="1"/>
      <c r="BD11" s="1"/>
      <c r="BE11" s="1"/>
      <c r="BF11" s="1"/>
      <c r="BG11" s="1"/>
      <c r="BH11" s="1"/>
      <c r="BI11" s="1"/>
      <c r="BJ11" s="1"/>
      <c r="BK11" s="1"/>
      <c r="BL11" s="1"/>
      <c r="BM11" s="1"/>
      <c r="BN11" s="1"/>
    </row>
    <row r="12" spans="1:66" x14ac:dyDescent="0.3">
      <c r="A12" s="1"/>
      <c r="B12" s="28">
        <v>1</v>
      </c>
      <c r="C12" s="129">
        <v>1402240.2623999999</v>
      </c>
      <c r="D12" s="129">
        <v>1306040.6040000003</v>
      </c>
      <c r="E12" s="129">
        <v>1196238.1428000003</v>
      </c>
      <c r="F12" s="129">
        <v>1233415.4244000004</v>
      </c>
      <c r="G12" s="129">
        <v>1268867.2823999999</v>
      </c>
      <c r="H12" s="129">
        <v>1552863.1007999997</v>
      </c>
      <c r="I12" s="129">
        <v>1681868.2403999995</v>
      </c>
      <c r="J12" s="129">
        <v>1623109.9763999996</v>
      </c>
      <c r="K12" s="129">
        <v>1667484.4811999998</v>
      </c>
      <c r="L12" s="139"/>
      <c r="M12" s="139"/>
      <c r="N12" s="139"/>
      <c r="O12" s="139"/>
      <c r="P12" s="129">
        <v>436022937.20879996</v>
      </c>
      <c r="Q12" s="129">
        <v>434618277.55079973</v>
      </c>
      <c r="R12" s="129">
        <v>462244917.29040003</v>
      </c>
      <c r="S12" s="129">
        <v>492109601.76600015</v>
      </c>
      <c r="T12" s="129">
        <v>545437489.61999965</v>
      </c>
      <c r="U12" s="209">
        <f t="shared" ref="U12:U22" si="0">T12/P12-1</f>
        <v>0.25093760688741917</v>
      </c>
      <c r="V12" s="139"/>
      <c r="W12" s="209"/>
      <c r="X12" s="132"/>
      <c r="Y12" s="132"/>
      <c r="Z12" s="132"/>
      <c r="AA12" s="132"/>
      <c r="AB12" s="132"/>
      <c r="AC12" s="132"/>
      <c r="AD12" s="132"/>
      <c r="AE12" s="139"/>
      <c r="AF12" s="139"/>
      <c r="AG12" s="139"/>
      <c r="AH12" s="139"/>
      <c r="AI12" s="139"/>
      <c r="AJ12" s="139"/>
      <c r="AK12" s="408">
        <v>1268867.2823999999</v>
      </c>
      <c r="AL12" s="1"/>
      <c r="AM12" s="32" cm="1">
        <f t="array" aca="1" ref="AM12" ca="1">INDIRECT("'1"&amp;$C$8&amp;"'!W12")</f>
        <v>0.59771322429424978</v>
      </c>
      <c r="AN12" s="524">
        <f t="shared" ref="AN12:AN21" ca="1" si="1">C12+C12*U12*AM12</f>
        <v>1612560.4930566337</v>
      </c>
      <c r="AO12" s="524">
        <f t="shared" ref="AO12:AO21" ca="1" si="2">C12+C12*U$22*AM12</f>
        <v>1619187.9021435308</v>
      </c>
      <c r="AP12" s="524">
        <f t="shared" ref="AP12:AP21" ca="1" si="3">C12+C12*AR12*AM12</f>
        <v>1612560.4930566337</v>
      </c>
      <c r="AQ12" s="525">
        <f t="shared" ref="AQ12:AQ21" si="4">U12</f>
        <v>0.25093760688741917</v>
      </c>
      <c r="AR12" s="344">
        <f>AQ12</f>
        <v>0.25093760688741917</v>
      </c>
      <c r="AS12" s="41">
        <f>P12/P$22</f>
        <v>1.7327920882554158E-2</v>
      </c>
      <c r="AT12" s="1"/>
      <c r="AU12" s="1"/>
      <c r="AV12" s="1"/>
      <c r="AW12" s="1"/>
      <c r="AX12" s="1"/>
      <c r="AY12" s="1"/>
      <c r="AZ12" s="1"/>
      <c r="BA12" s="1"/>
      <c r="BB12" s="1"/>
      <c r="BC12" s="1"/>
      <c r="BD12" s="1"/>
      <c r="BE12" s="1"/>
      <c r="BF12" s="1"/>
      <c r="BG12" s="1"/>
      <c r="BH12" s="1"/>
      <c r="BI12" s="1"/>
      <c r="BJ12" s="1"/>
      <c r="BK12" s="1"/>
      <c r="BL12" s="1"/>
      <c r="BM12" s="1"/>
      <c r="BN12" s="1"/>
    </row>
    <row r="13" spans="1:66" x14ac:dyDescent="0.3">
      <c r="A13" s="1"/>
      <c r="B13" s="28">
        <v>2</v>
      </c>
      <c r="C13" s="129">
        <v>1976111.1336000001</v>
      </c>
      <c r="D13" s="129">
        <v>1861712.9495999999</v>
      </c>
      <c r="E13" s="129">
        <v>1672601.8728</v>
      </c>
      <c r="F13" s="129">
        <v>1741708.3344000001</v>
      </c>
      <c r="G13" s="129">
        <v>1839117.9984000006</v>
      </c>
      <c r="H13" s="129">
        <v>2351753.2104000007</v>
      </c>
      <c r="I13" s="129">
        <v>2404721.0375999999</v>
      </c>
      <c r="J13" s="129">
        <v>2341009.874400001</v>
      </c>
      <c r="K13" s="129">
        <v>2376080.0412000003</v>
      </c>
      <c r="L13" s="139"/>
      <c r="M13" s="139"/>
      <c r="N13" s="139"/>
      <c r="O13" s="139"/>
      <c r="P13" s="129">
        <v>1037965206.3948004</v>
      </c>
      <c r="Q13" s="129">
        <v>1034744392.2444022</v>
      </c>
      <c r="R13" s="129">
        <v>1104194025.7080019</v>
      </c>
      <c r="S13" s="129">
        <v>1176327584.6855996</v>
      </c>
      <c r="T13" s="129">
        <v>1300543468.0055995</v>
      </c>
      <c r="U13" s="209">
        <f t="shared" si="0"/>
        <v>0.25297404960501613</v>
      </c>
      <c r="V13" s="139"/>
      <c r="W13" s="209"/>
      <c r="X13" s="132"/>
      <c r="Y13" s="132"/>
      <c r="Z13" s="132"/>
      <c r="AA13" s="132"/>
      <c r="AB13" s="132"/>
      <c r="AC13" s="132"/>
      <c r="AD13" s="132"/>
      <c r="AE13" s="139"/>
      <c r="AF13" s="139"/>
      <c r="AG13" s="139"/>
      <c r="AH13" s="139"/>
      <c r="AI13" s="139"/>
      <c r="AJ13" s="139"/>
      <c r="AK13" s="408">
        <v>1839117.9984000006</v>
      </c>
      <c r="AL13" s="1"/>
      <c r="AM13" s="32" cm="1">
        <f t="array" aca="1" ref="AM13" ca="1">INDIRECT("'1"&amp;$C$8&amp;"'!W13")</f>
        <v>0.45081005311959216</v>
      </c>
      <c r="AN13" s="524">
        <f t="shared" ca="1" si="1"/>
        <v>2201473.2592432075</v>
      </c>
      <c r="AO13" s="524">
        <f t="shared" ca="1" si="2"/>
        <v>2206703.3212496326</v>
      </c>
      <c r="AP13" s="524">
        <f t="shared" ca="1" si="3"/>
        <v>2201473.2592432075</v>
      </c>
      <c r="AQ13" s="525">
        <f t="shared" si="4"/>
        <v>0.25297404960501613</v>
      </c>
      <c r="AR13" s="344">
        <f t="shared" ref="AR13:AR18" si="5">AQ13</f>
        <v>0.25297404960501613</v>
      </c>
      <c r="AS13" s="41">
        <f t="shared" ref="AS13:AS21" si="6">P13/P$22</f>
        <v>4.1249616569231498E-2</v>
      </c>
      <c r="AT13" s="1"/>
      <c r="AU13" s="1"/>
      <c r="AV13" s="1"/>
      <c r="AW13" s="1"/>
      <c r="AX13" s="1"/>
      <c r="AY13" s="1"/>
      <c r="AZ13" s="1"/>
      <c r="BA13" s="1"/>
      <c r="BB13" s="1"/>
      <c r="BC13" s="1"/>
      <c r="BD13" s="1"/>
      <c r="BE13" s="1"/>
      <c r="BF13" s="1"/>
      <c r="BG13" s="1"/>
      <c r="BH13" s="1"/>
      <c r="BI13" s="1"/>
      <c r="BJ13" s="1"/>
      <c r="BK13" s="1"/>
      <c r="BL13" s="1"/>
      <c r="BM13" s="1"/>
      <c r="BN13" s="1"/>
    </row>
    <row r="14" spans="1:66" x14ac:dyDescent="0.3">
      <c r="A14" s="1"/>
      <c r="B14" s="28">
        <v>3</v>
      </c>
      <c r="C14" s="129">
        <v>3402907.5131999985</v>
      </c>
      <c r="D14" s="129">
        <v>3086957.8679999998</v>
      </c>
      <c r="E14" s="129">
        <v>2964016.2756000012</v>
      </c>
      <c r="F14" s="129">
        <v>3332636.8428000002</v>
      </c>
      <c r="G14" s="129">
        <v>6282322.4244000008</v>
      </c>
      <c r="H14" s="129">
        <v>10448799.70800001</v>
      </c>
      <c r="I14" s="129">
        <v>4145956.3487999998</v>
      </c>
      <c r="J14" s="129">
        <v>5119269.922799997</v>
      </c>
      <c r="K14" s="129">
        <v>4235926.747200001</v>
      </c>
      <c r="L14" s="139"/>
      <c r="M14" s="139"/>
      <c r="N14" s="139"/>
      <c r="O14" s="139"/>
      <c r="P14" s="129">
        <v>1404521304.5772004</v>
      </c>
      <c r="Q14" s="129">
        <v>1397704910.7371988</v>
      </c>
      <c r="R14" s="129">
        <v>1501637193.2267985</v>
      </c>
      <c r="S14" s="129">
        <v>1600932809.5128009</v>
      </c>
      <c r="T14" s="129">
        <v>1760879496.6935997</v>
      </c>
      <c r="U14" s="209">
        <f t="shared" si="0"/>
        <v>0.25372216922239765</v>
      </c>
      <c r="V14" s="139"/>
      <c r="W14" s="209"/>
      <c r="X14" s="132"/>
      <c r="Y14" s="132"/>
      <c r="Z14" s="132"/>
      <c r="AA14" s="132"/>
      <c r="AB14" s="132"/>
      <c r="AC14" s="132"/>
      <c r="AD14" s="132"/>
      <c r="AE14" s="139"/>
      <c r="AF14" s="139"/>
      <c r="AG14" s="139"/>
      <c r="AH14" s="139"/>
      <c r="AI14" s="139"/>
      <c r="AJ14" s="139"/>
      <c r="AK14" s="408">
        <v>6282322.4244000008</v>
      </c>
      <c r="AL14" s="1"/>
      <c r="AM14" s="32" cm="1">
        <f t="array" aca="1" ref="AM14" ca="1">INDIRECT("'1"&amp;$C$8&amp;"'!W14")</f>
        <v>1.577422428111817</v>
      </c>
      <c r="AN14" s="524">
        <f t="shared" ca="1" si="1"/>
        <v>4764843.1154205063</v>
      </c>
      <c r="AO14" s="524">
        <f t="shared" ca="1" si="2"/>
        <v>4792341.0885342788</v>
      </c>
      <c r="AP14" s="524">
        <f t="shared" ca="1" si="3"/>
        <v>4764843.1154205063</v>
      </c>
      <c r="AQ14" s="525">
        <f t="shared" si="4"/>
        <v>0.25372216922239765</v>
      </c>
      <c r="AR14" s="344">
        <f t="shared" si="5"/>
        <v>0.25372216922239765</v>
      </c>
      <c r="AS14" s="41">
        <f t="shared" si="6"/>
        <v>5.5816866423063709E-2</v>
      </c>
      <c r="AT14" s="1"/>
      <c r="AU14" s="1"/>
      <c r="AV14" s="1"/>
      <c r="AW14" s="1"/>
      <c r="AX14" s="1"/>
      <c r="AY14" s="1"/>
      <c r="AZ14" s="1"/>
      <c r="BA14" s="1"/>
      <c r="BB14" s="1"/>
      <c r="BC14" s="1"/>
      <c r="BD14" s="1"/>
      <c r="BE14" s="1"/>
      <c r="BF14" s="1"/>
      <c r="BG14" s="1"/>
      <c r="BH14" s="1"/>
      <c r="BI14" s="1"/>
      <c r="BJ14" s="1"/>
      <c r="BK14" s="1"/>
      <c r="BL14" s="1"/>
      <c r="BM14" s="1"/>
      <c r="BN14" s="1"/>
    </row>
    <row r="15" spans="1:66" x14ac:dyDescent="0.3">
      <c r="A15" s="1"/>
      <c r="B15" s="28">
        <v>4</v>
      </c>
      <c r="C15" s="129">
        <v>6669917.3556000013</v>
      </c>
      <c r="D15" s="129">
        <v>5350619.1888000006</v>
      </c>
      <c r="E15" s="129">
        <v>6267976.3896000003</v>
      </c>
      <c r="F15" s="129">
        <v>9943573.1567999963</v>
      </c>
      <c r="G15" s="129">
        <v>18151629.857999988</v>
      </c>
      <c r="H15" s="129">
        <v>30941829.265199989</v>
      </c>
      <c r="I15" s="129">
        <v>9725610.7716000024</v>
      </c>
      <c r="J15" s="129">
        <v>15842401.773599993</v>
      </c>
      <c r="K15" s="129">
        <v>10740816.245999997</v>
      </c>
      <c r="L15" s="139"/>
      <c r="M15" s="139"/>
      <c r="N15" s="139"/>
      <c r="O15" s="139"/>
      <c r="P15" s="129">
        <v>1694832444.0132015</v>
      </c>
      <c r="Q15" s="129">
        <v>1682191773.3227983</v>
      </c>
      <c r="R15" s="129">
        <v>1832138098.8372009</v>
      </c>
      <c r="S15" s="129">
        <v>1956749739.6527991</v>
      </c>
      <c r="T15" s="129">
        <v>2130092556.5904002</v>
      </c>
      <c r="U15" s="209">
        <f t="shared" si="0"/>
        <v>0.25681601394562903</v>
      </c>
      <c r="V15" s="139"/>
      <c r="W15" s="209"/>
      <c r="X15" s="132"/>
      <c r="Y15" s="132"/>
      <c r="Z15" s="132"/>
      <c r="AA15" s="132"/>
      <c r="AB15" s="132"/>
      <c r="AC15" s="132"/>
      <c r="AD15" s="132"/>
      <c r="AE15" s="139"/>
      <c r="AF15" s="139"/>
      <c r="AG15" s="139"/>
      <c r="AH15" s="139"/>
      <c r="AI15" s="139"/>
      <c r="AJ15" s="139"/>
      <c r="AK15" s="408">
        <v>18151629.857999988</v>
      </c>
      <c r="AL15" s="1"/>
      <c r="AM15" s="32" cm="1">
        <f t="array" aca="1" ref="AM15" ca="1">INDIRECT("'1"&amp;$C$8&amp;"'!W15")</f>
        <v>4.6770048075209276</v>
      </c>
      <c r="AN15" s="524">
        <f t="shared" ca="1" si="1"/>
        <v>14681353.400540687</v>
      </c>
      <c r="AO15" s="524">
        <f t="shared" ca="1" si="2"/>
        <v>14744645.34447512</v>
      </c>
      <c r="AP15" s="524">
        <f t="shared" ca="1" si="3"/>
        <v>14681353.400540687</v>
      </c>
      <c r="AQ15" s="525">
        <f t="shared" si="4"/>
        <v>0.25681601394562903</v>
      </c>
      <c r="AR15" s="344">
        <f t="shared" si="5"/>
        <v>0.25681601394562903</v>
      </c>
      <c r="AS15" s="41">
        <f t="shared" si="6"/>
        <v>6.735407702871174E-2</v>
      </c>
      <c r="AT15" s="1"/>
      <c r="AU15" s="1"/>
      <c r="AV15" s="1"/>
      <c r="AW15" s="1"/>
      <c r="AX15" s="1"/>
      <c r="AY15" s="1"/>
      <c r="AZ15" s="1"/>
      <c r="BA15" s="1"/>
      <c r="BB15" s="1"/>
      <c r="BC15" s="1"/>
      <c r="BD15" s="1"/>
      <c r="BE15" s="1"/>
      <c r="BF15" s="1"/>
      <c r="BG15" s="1"/>
      <c r="BH15" s="1"/>
      <c r="BI15" s="1"/>
      <c r="BJ15" s="1"/>
      <c r="BK15" s="1"/>
      <c r="BL15" s="1"/>
      <c r="BM15" s="1"/>
      <c r="BN15" s="1"/>
    </row>
    <row r="16" spans="1:66" x14ac:dyDescent="0.3">
      <c r="A16" s="1"/>
      <c r="B16" s="28">
        <v>5</v>
      </c>
      <c r="C16" s="129">
        <v>17830575.381599989</v>
      </c>
      <c r="D16" s="129">
        <v>14186534.269200008</v>
      </c>
      <c r="E16" s="129">
        <v>17953106.990399987</v>
      </c>
      <c r="F16" s="129">
        <v>26188785.453599997</v>
      </c>
      <c r="G16" s="129">
        <v>40927278.03239996</v>
      </c>
      <c r="H16" s="129">
        <v>64533345.826800019</v>
      </c>
      <c r="I16" s="129">
        <v>25095715.787999988</v>
      </c>
      <c r="J16" s="129">
        <v>36886874.047199987</v>
      </c>
      <c r="K16" s="129">
        <v>27304399.722000014</v>
      </c>
      <c r="L16" s="139"/>
      <c r="M16" s="139"/>
      <c r="N16" s="139"/>
      <c r="O16" s="139"/>
      <c r="P16" s="129">
        <v>1988384888.9712017</v>
      </c>
      <c r="Q16" s="129">
        <v>1972059904.3680017</v>
      </c>
      <c r="R16" s="129">
        <v>2157447520.358398</v>
      </c>
      <c r="S16" s="129">
        <v>2305604169.1848016</v>
      </c>
      <c r="T16" s="129">
        <v>2501522724.3720007</v>
      </c>
      <c r="U16" s="209">
        <f t="shared" si="0"/>
        <v>0.25806765996210057</v>
      </c>
      <c r="V16" s="139"/>
      <c r="W16" s="209"/>
      <c r="X16" s="132"/>
      <c r="Y16" s="132"/>
      <c r="Z16" s="132"/>
      <c r="AA16" s="132"/>
      <c r="AB16" s="132"/>
      <c r="AC16" s="132"/>
      <c r="AD16" s="132"/>
      <c r="AE16" s="139"/>
      <c r="AF16" s="139"/>
      <c r="AG16" s="139"/>
      <c r="AH16" s="139"/>
      <c r="AI16" s="139"/>
      <c r="AJ16" s="139"/>
      <c r="AK16" s="408">
        <v>40927278.03239996</v>
      </c>
      <c r="AL16" s="1"/>
      <c r="AM16" s="32" cm="1">
        <f t="array" aca="1" ref="AM16" ca="1">INDIRECT("'1"&amp;$C$8&amp;"'!W16")</f>
        <v>4.9162960738622949</v>
      </c>
      <c r="AN16" s="524">
        <f t="shared" ca="1" si="1"/>
        <v>40452886.517874971</v>
      </c>
      <c r="AO16" s="524">
        <f t="shared" ca="1" si="2"/>
        <v>40521020.708292037</v>
      </c>
      <c r="AP16" s="524">
        <f t="shared" ca="1" si="3"/>
        <v>40452886.517874971</v>
      </c>
      <c r="AQ16" s="525">
        <f t="shared" si="4"/>
        <v>0.25806765996210057</v>
      </c>
      <c r="AR16" s="344">
        <f t="shared" si="5"/>
        <v>0.25806765996210057</v>
      </c>
      <c r="AS16" s="41">
        <f t="shared" si="6"/>
        <v>7.902009986153509E-2</v>
      </c>
      <c r="AT16" s="1"/>
      <c r="AU16" s="1"/>
      <c r="AV16" s="1"/>
      <c r="AW16" s="1"/>
      <c r="AX16" s="1"/>
      <c r="AY16" s="1"/>
      <c r="AZ16" s="1"/>
      <c r="BA16" s="1"/>
      <c r="BB16" s="1"/>
      <c r="BC16" s="1"/>
      <c r="BD16" s="1"/>
      <c r="BE16" s="1"/>
      <c r="BF16" s="1"/>
      <c r="BG16" s="1"/>
      <c r="BH16" s="1"/>
      <c r="BI16" s="1"/>
      <c r="BJ16" s="1"/>
      <c r="BK16" s="1"/>
      <c r="BL16" s="1"/>
      <c r="BM16" s="1"/>
      <c r="BN16" s="1"/>
    </row>
    <row r="17" spans="1:66" x14ac:dyDescent="0.3">
      <c r="A17" s="1"/>
      <c r="B17" s="28">
        <v>6</v>
      </c>
      <c r="C17" s="129">
        <v>42387834.283199996</v>
      </c>
      <c r="D17" s="129">
        <v>35195303.114399999</v>
      </c>
      <c r="E17" s="129">
        <v>44404023.213600025</v>
      </c>
      <c r="F17" s="129">
        <v>60086442.056400046</v>
      </c>
      <c r="G17" s="129">
        <v>81014832.458400041</v>
      </c>
      <c r="H17" s="129">
        <v>120101433.7224001</v>
      </c>
      <c r="I17" s="129">
        <v>59858254.450800039</v>
      </c>
      <c r="J17" s="129">
        <v>81823258.174800009</v>
      </c>
      <c r="K17" s="129">
        <v>64488609.286800005</v>
      </c>
      <c r="L17" s="139"/>
      <c r="M17" s="139"/>
      <c r="N17" s="139"/>
      <c r="O17" s="139"/>
      <c r="P17" s="129">
        <v>2335844875.8551989</v>
      </c>
      <c r="Q17" s="129">
        <v>2315736864.7356024</v>
      </c>
      <c r="R17" s="129">
        <v>2540678529.6275992</v>
      </c>
      <c r="S17" s="129">
        <v>2716368238.4579988</v>
      </c>
      <c r="T17" s="129">
        <v>2941184337.8603992</v>
      </c>
      <c r="U17" s="209">
        <f t="shared" si="0"/>
        <v>0.2591522529010295</v>
      </c>
      <c r="V17" s="139"/>
      <c r="W17" s="209"/>
      <c r="X17" s="132"/>
      <c r="Y17" s="132"/>
      <c r="Z17" s="132"/>
      <c r="AA17" s="132"/>
      <c r="AB17" s="132"/>
      <c r="AC17" s="132"/>
      <c r="AD17" s="132"/>
      <c r="AE17" s="139"/>
      <c r="AF17" s="139"/>
      <c r="AG17" s="139"/>
      <c r="AH17" s="139"/>
      <c r="AI17" s="139"/>
      <c r="AJ17" s="139"/>
      <c r="AK17" s="408">
        <v>81014832.458400041</v>
      </c>
      <c r="AL17" s="1"/>
      <c r="AM17" s="32" cm="1">
        <f t="array" aca="1" ref="AM17" ca="1">INDIRECT("'1"&amp;$C$8&amp;"'!W17")</f>
        <v>4.5013008801310956</v>
      </c>
      <c r="AN17" s="524">
        <f t="shared" ca="1" si="1"/>
        <v>91834186.70032008</v>
      </c>
      <c r="AO17" s="524">
        <f t="shared" ca="1" si="2"/>
        <v>91775545.881225824</v>
      </c>
      <c r="AP17" s="524">
        <f t="shared" ca="1" si="3"/>
        <v>91834186.70032008</v>
      </c>
      <c r="AQ17" s="525">
        <f t="shared" si="4"/>
        <v>0.2591522529010295</v>
      </c>
      <c r="AR17" s="344">
        <f t="shared" si="5"/>
        <v>0.2591522529010295</v>
      </c>
      <c r="AS17" s="41">
        <f t="shared" si="6"/>
        <v>9.2828454075928241E-2</v>
      </c>
      <c r="AT17" s="1"/>
      <c r="AU17" s="1"/>
      <c r="AV17" s="1"/>
      <c r="AW17" s="1"/>
      <c r="AX17" s="1"/>
      <c r="AY17" s="1"/>
      <c r="AZ17" s="1"/>
      <c r="BA17" s="1"/>
      <c r="BB17" s="1"/>
      <c r="BC17" s="1"/>
      <c r="BD17" s="1"/>
      <c r="BE17" s="1"/>
      <c r="BF17" s="1"/>
      <c r="BG17" s="1"/>
      <c r="BH17" s="1"/>
      <c r="BI17" s="1"/>
      <c r="BJ17" s="1"/>
      <c r="BK17" s="1"/>
      <c r="BL17" s="1"/>
      <c r="BM17" s="1"/>
      <c r="BN17" s="1"/>
    </row>
    <row r="18" spans="1:66" x14ac:dyDescent="0.3">
      <c r="A18" s="1"/>
      <c r="B18" s="28">
        <v>7</v>
      </c>
      <c r="C18" s="129">
        <v>81137429.766000047</v>
      </c>
      <c r="D18" s="129">
        <v>66269651.158800006</v>
      </c>
      <c r="E18" s="129">
        <v>80544764.443199962</v>
      </c>
      <c r="F18" s="129">
        <v>104648483.484</v>
      </c>
      <c r="G18" s="129">
        <v>134017530.92399997</v>
      </c>
      <c r="H18" s="129">
        <v>198826887.66479993</v>
      </c>
      <c r="I18" s="129">
        <v>115885304.39999986</v>
      </c>
      <c r="J18" s="129">
        <v>148006762.05119988</v>
      </c>
      <c r="K18" s="129">
        <v>122952357.33240022</v>
      </c>
      <c r="L18" s="139"/>
      <c r="M18" s="139"/>
      <c r="N18" s="139"/>
      <c r="O18" s="139"/>
      <c r="P18" s="129">
        <v>2731635997.7844</v>
      </c>
      <c r="Q18" s="129">
        <v>2707373456.9508028</v>
      </c>
      <c r="R18" s="129">
        <v>2976031010.9664001</v>
      </c>
      <c r="S18" s="129">
        <v>3182648171.8019996</v>
      </c>
      <c r="T18" s="129">
        <v>3441012754.3727999</v>
      </c>
      <c r="U18" s="209">
        <f t="shared" si="0"/>
        <v>0.25968934263707455</v>
      </c>
      <c r="V18" s="139"/>
      <c r="W18" s="209"/>
      <c r="X18" s="132"/>
      <c r="Y18" s="132"/>
      <c r="Z18" s="132"/>
      <c r="AA18" s="132"/>
      <c r="AB18" s="132"/>
      <c r="AC18" s="132"/>
      <c r="AD18" s="132"/>
      <c r="AE18" s="139"/>
      <c r="AF18" s="139"/>
      <c r="AG18" s="139"/>
      <c r="AH18" s="139"/>
      <c r="AI18" s="139"/>
      <c r="AJ18" s="139"/>
      <c r="AK18" s="408">
        <v>134017530.92399997</v>
      </c>
      <c r="AL18" s="1"/>
      <c r="AM18" s="32" cm="1">
        <f t="array" aca="1" ref="AM18" ca="1">INDIRECT("'1"&amp;$C$8&amp;"'!W18")</f>
        <v>4.3435438594701727</v>
      </c>
      <c r="AN18" s="524">
        <f t="shared" ca="1" si="1"/>
        <v>172658182.71689856</v>
      </c>
      <c r="AO18" s="524">
        <f t="shared" ca="1" si="2"/>
        <v>172360585.00796744</v>
      </c>
      <c r="AP18" s="524">
        <f t="shared" ca="1" si="3"/>
        <v>172658182.71689856</v>
      </c>
      <c r="AQ18" s="525">
        <f t="shared" si="4"/>
        <v>0.25968934263707455</v>
      </c>
      <c r="AR18" s="344">
        <f t="shared" si="5"/>
        <v>0.25968934263707455</v>
      </c>
      <c r="AS18" s="41">
        <f t="shared" si="6"/>
        <v>0.10855752853863779</v>
      </c>
      <c r="AT18" s="1"/>
      <c r="AU18" s="1"/>
      <c r="AV18" s="1"/>
      <c r="AW18" s="1"/>
      <c r="AX18" s="1"/>
      <c r="AY18" s="1"/>
      <c r="AZ18" s="1"/>
      <c r="BA18" s="1"/>
      <c r="BB18" s="1"/>
      <c r="BC18" s="1"/>
      <c r="BD18" s="1"/>
      <c r="BE18" s="1"/>
      <c r="BF18" s="1"/>
      <c r="BG18" s="1"/>
      <c r="BH18" s="1"/>
      <c r="BI18" s="1"/>
      <c r="BJ18" s="1"/>
      <c r="BK18" s="1"/>
      <c r="BL18" s="1"/>
      <c r="BM18" s="1"/>
      <c r="BN18" s="1"/>
    </row>
    <row r="19" spans="1:66" x14ac:dyDescent="0.3">
      <c r="A19" s="1"/>
      <c r="B19" s="28">
        <v>8</v>
      </c>
      <c r="C19" s="129">
        <v>148881614.43119982</v>
      </c>
      <c r="D19" s="129">
        <v>124275034.11120008</v>
      </c>
      <c r="E19" s="129">
        <v>140161487.12879997</v>
      </c>
      <c r="F19" s="129">
        <v>171264700.06560004</v>
      </c>
      <c r="G19" s="129">
        <v>206424721.05239987</v>
      </c>
      <c r="H19" s="129">
        <v>300616610.61839992</v>
      </c>
      <c r="I19" s="129">
        <v>205072377.76679999</v>
      </c>
      <c r="J19" s="129">
        <v>244451218.47239965</v>
      </c>
      <c r="K19" s="129">
        <v>214009911.11039999</v>
      </c>
      <c r="L19" s="139"/>
      <c r="M19" s="139"/>
      <c r="N19" s="139"/>
      <c r="O19" s="139"/>
      <c r="P19" s="129">
        <v>3191969499.1559982</v>
      </c>
      <c r="Q19" s="129">
        <v>3160960699.0284023</v>
      </c>
      <c r="R19" s="129">
        <v>3486060872.5716004</v>
      </c>
      <c r="S19" s="129">
        <v>3729466500.5375962</v>
      </c>
      <c r="T19" s="129">
        <v>4022388233.9987993</v>
      </c>
      <c r="U19" s="209">
        <f t="shared" si="0"/>
        <v>0.26015873117283084</v>
      </c>
      <c r="V19" s="139"/>
      <c r="W19" s="209"/>
      <c r="X19" s="132"/>
      <c r="Y19" s="132"/>
      <c r="Z19" s="132"/>
      <c r="AA19" s="132"/>
      <c r="AB19" s="132"/>
      <c r="AC19" s="132"/>
      <c r="AD19" s="132"/>
      <c r="AE19" s="139"/>
      <c r="AF19" s="139"/>
      <c r="AG19" s="139"/>
      <c r="AH19" s="139"/>
      <c r="AI19" s="139"/>
      <c r="AJ19" s="139"/>
      <c r="AK19" s="408">
        <v>206424721.05239987</v>
      </c>
      <c r="AL19" s="1"/>
      <c r="AM19" s="32" cm="1">
        <f t="array" aca="1" ref="AM19" ca="1">INDIRECT("'1"&amp;$C$8&amp;"'!W19")</f>
        <v>3.2106535584312219</v>
      </c>
      <c r="AN19" s="524">
        <f t="shared" ca="1" si="1"/>
        <v>273239383.2294091</v>
      </c>
      <c r="AO19" s="524">
        <f t="shared" ca="1" si="2"/>
        <v>272611367.9592756</v>
      </c>
      <c r="AP19" s="524">
        <f t="shared" ca="1" si="3"/>
        <v>252367856.28768498</v>
      </c>
      <c r="AQ19" s="525">
        <f t="shared" si="4"/>
        <v>0.26015873117283084</v>
      </c>
      <c r="AR19" s="526">
        <f>U19-AP31*AS21/SUM(AS19:AS20)</f>
        <v>0.21649511434154614</v>
      </c>
      <c r="AS19" s="41">
        <f t="shared" si="6"/>
        <v>0.12685157183465914</v>
      </c>
      <c r="AT19" s="1"/>
      <c r="AU19" s="1"/>
      <c r="AV19" s="1"/>
      <c r="AW19" s="1"/>
      <c r="AX19" s="1"/>
      <c r="AY19" s="1"/>
      <c r="AZ19" s="1"/>
      <c r="BA19" s="1"/>
      <c r="BB19" s="1"/>
      <c r="BC19" s="1"/>
      <c r="BD19" s="1"/>
      <c r="BE19" s="1"/>
      <c r="BF19" s="1"/>
      <c r="BG19" s="1"/>
      <c r="BH19" s="1"/>
      <c r="BI19" s="1"/>
      <c r="BJ19" s="1"/>
      <c r="BK19" s="1"/>
      <c r="BL19" s="1"/>
      <c r="BM19" s="1"/>
      <c r="BN19" s="1"/>
    </row>
    <row r="20" spans="1:66" x14ac:dyDescent="0.3">
      <c r="A20" s="1"/>
      <c r="B20" s="28">
        <v>9</v>
      </c>
      <c r="C20" s="129">
        <v>272755800.26159996</v>
      </c>
      <c r="D20" s="129">
        <v>239363120.98199961</v>
      </c>
      <c r="E20" s="129">
        <v>251550232.98599994</v>
      </c>
      <c r="F20" s="129">
        <v>293699502.62519979</v>
      </c>
      <c r="G20" s="129">
        <v>341409007.07880008</v>
      </c>
      <c r="H20" s="129">
        <v>472627060.80120003</v>
      </c>
      <c r="I20" s="129">
        <v>365046125.59200013</v>
      </c>
      <c r="J20" s="129">
        <v>410614871.6268003</v>
      </c>
      <c r="K20" s="129">
        <v>375563558.4192003</v>
      </c>
      <c r="L20" s="139"/>
      <c r="M20" s="139"/>
      <c r="N20" s="139"/>
      <c r="O20" s="139"/>
      <c r="P20" s="129">
        <v>4032724348.3691959</v>
      </c>
      <c r="Q20" s="129">
        <v>3991787272.104002</v>
      </c>
      <c r="R20" s="129">
        <v>4405555627.0620003</v>
      </c>
      <c r="S20" s="129">
        <v>4713284198.6855984</v>
      </c>
      <c r="T20" s="129">
        <v>5080911806.6940002</v>
      </c>
      <c r="U20" s="209">
        <f t="shared" si="0"/>
        <v>0.2599204328827196</v>
      </c>
      <c r="V20" s="139"/>
      <c r="W20" s="209"/>
      <c r="X20" s="132"/>
      <c r="Y20" s="132"/>
      <c r="Z20" s="132"/>
      <c r="AA20" s="132"/>
      <c r="AB20" s="132"/>
      <c r="AC20" s="132"/>
      <c r="AD20" s="132"/>
      <c r="AE20" s="139"/>
      <c r="AF20" s="139"/>
      <c r="AG20" s="139"/>
      <c r="AH20" s="139"/>
      <c r="AI20" s="139"/>
      <c r="AJ20" s="139"/>
      <c r="AK20" s="408">
        <v>341409007.07880008</v>
      </c>
      <c r="AL20" s="1"/>
      <c r="AM20" s="32" cm="1">
        <f t="array" aca="1" ref="AM20" ca="1">INDIRECT("'1"&amp;$C$8&amp;"'!W20")</f>
        <v>2.5251353424848126</v>
      </c>
      <c r="AN20" s="524">
        <f t="shared" ca="1" si="1"/>
        <v>451774779.67081118</v>
      </c>
      <c r="AO20" s="524">
        <f t="shared" ca="1" si="2"/>
        <v>451034019.5125618</v>
      </c>
      <c r="AP20" s="524">
        <f t="shared" ca="1" si="3"/>
        <v>421701668.31223464</v>
      </c>
      <c r="AQ20" s="525">
        <f t="shared" si="4"/>
        <v>0.2599204328827196</v>
      </c>
      <c r="AR20" s="526">
        <f>U20-AP31*AS21/SUM(AS19:AS20)</f>
        <v>0.2162568160514349</v>
      </c>
      <c r="AS20" s="41">
        <f t="shared" si="6"/>
        <v>0.16026388175131281</v>
      </c>
      <c r="AT20" s="1"/>
      <c r="AU20" s="1"/>
      <c r="AV20" s="1"/>
      <c r="AW20" s="1"/>
      <c r="AX20" s="1"/>
      <c r="AY20" s="1"/>
      <c r="AZ20" s="1"/>
      <c r="BA20" s="1"/>
      <c r="BB20" s="1"/>
      <c r="BC20" s="1"/>
      <c r="BD20" s="1"/>
      <c r="BE20" s="1"/>
      <c r="BF20" s="1"/>
      <c r="BG20" s="1"/>
      <c r="BH20" s="1"/>
      <c r="BI20" s="1"/>
      <c r="BJ20" s="1"/>
      <c r="BK20" s="1"/>
      <c r="BL20" s="1"/>
      <c r="BM20" s="1"/>
      <c r="BN20" s="1"/>
    </row>
    <row r="21" spans="1:66" x14ac:dyDescent="0.3">
      <c r="A21" s="1"/>
      <c r="B21" s="33">
        <v>10</v>
      </c>
      <c r="C21" s="129">
        <v>705932044.59240031</v>
      </c>
      <c r="D21" s="129">
        <v>644651414.85720026</v>
      </c>
      <c r="E21" s="129">
        <v>634553431.66919982</v>
      </c>
      <c r="F21" s="129">
        <v>709099109.29440045</v>
      </c>
      <c r="G21" s="129">
        <v>788691984.25319958</v>
      </c>
      <c r="H21" s="129">
        <v>1050019249.5755993</v>
      </c>
      <c r="I21" s="129">
        <v>927190246.74960017</v>
      </c>
      <c r="J21" s="129">
        <v>979796389.83120012</v>
      </c>
      <c r="K21" s="129">
        <v>939515110.34040046</v>
      </c>
      <c r="L21" s="139"/>
      <c r="M21" s="139"/>
      <c r="N21" s="139"/>
      <c r="O21" s="139"/>
      <c r="P21" s="129">
        <v>6309125277.6336002</v>
      </c>
      <c r="Q21" s="129">
        <v>6238935039.3276091</v>
      </c>
      <c r="R21" s="129">
        <v>6916063215.2207937</v>
      </c>
      <c r="S21" s="129">
        <v>7402586866.0848026</v>
      </c>
      <c r="T21" s="129">
        <v>7952375357.2079973</v>
      </c>
      <c r="U21" s="209">
        <f t="shared" si="0"/>
        <v>0.26045608658301056</v>
      </c>
      <c r="V21" s="139"/>
      <c r="W21" s="209"/>
      <c r="X21" s="132"/>
      <c r="Y21" s="132"/>
      <c r="Z21" s="132"/>
      <c r="AA21" s="132"/>
      <c r="AB21" s="132"/>
      <c r="AC21" s="132"/>
      <c r="AD21" s="132"/>
      <c r="AE21" s="139"/>
      <c r="AF21" s="139"/>
      <c r="AG21" s="139"/>
      <c r="AH21" s="139"/>
      <c r="AI21" s="139"/>
      <c r="AJ21" s="139"/>
      <c r="AK21" s="408">
        <v>788691984.25319958</v>
      </c>
      <c r="AL21" s="1"/>
      <c r="AM21" s="32" cm="1">
        <f t="array" aca="1" ref="AM21" ca="1">INDIRECT("'1"&amp;$C$8&amp;"'!W21")</f>
        <v>1.6773312742730913</v>
      </c>
      <c r="AN21" s="524">
        <f t="shared" ca="1" si="1"/>
        <v>1014333381.3939676</v>
      </c>
      <c r="AO21" s="524">
        <f t="shared" ca="1" si="2"/>
        <v>1012425618.4068007</v>
      </c>
      <c r="AP21" s="524">
        <f t="shared" ca="1" si="3"/>
        <v>1073537476.1892865</v>
      </c>
      <c r="AQ21" s="525">
        <f t="shared" si="4"/>
        <v>0.26045608658301056</v>
      </c>
      <c r="AR21" s="527">
        <f>U21+AP31</f>
        <v>0.31045608658301055</v>
      </c>
      <c r="AS21" s="41">
        <f t="shared" si="6"/>
        <v>0.25072998303436766</v>
      </c>
      <c r="AT21" s="1"/>
      <c r="AU21" s="1"/>
      <c r="AV21" s="1"/>
      <c r="AW21" s="1"/>
      <c r="AX21" s="1"/>
      <c r="AY21" s="1"/>
      <c r="AZ21" s="1"/>
      <c r="BA21" s="1"/>
      <c r="BB21" s="1"/>
      <c r="BC21" s="1"/>
      <c r="BD21" s="1"/>
      <c r="BE21" s="1"/>
      <c r="BF21" s="1"/>
      <c r="BG21" s="1"/>
      <c r="BH21" s="1"/>
      <c r="BI21" s="1"/>
      <c r="BJ21" s="1"/>
      <c r="BK21" s="1"/>
      <c r="BL21" s="1"/>
      <c r="BM21" s="1"/>
      <c r="BN21" s="1"/>
    </row>
    <row r="22" spans="1:66" ht="13.2" customHeight="1" x14ac:dyDescent="0.3">
      <c r="A22" s="1"/>
      <c r="B22" s="34" t="s">
        <v>114</v>
      </c>
      <c r="C22" s="150">
        <v>1282376474.9807963</v>
      </c>
      <c r="D22" s="150">
        <v>1135546389.1032009</v>
      </c>
      <c r="E22" s="150">
        <v>1181267879.112</v>
      </c>
      <c r="F22" s="150">
        <v>1381238356.7376006</v>
      </c>
      <c r="G22" s="150">
        <v>1620027291.3624015</v>
      </c>
      <c r="H22" s="150">
        <v>2252019833.4936023</v>
      </c>
      <c r="I22" s="150">
        <v>1716106181.1456013</v>
      </c>
      <c r="J22" s="150">
        <v>1926505165.7507987</v>
      </c>
      <c r="K22" s="150">
        <v>1762854253.7268014</v>
      </c>
      <c r="L22" s="139"/>
      <c r="M22" s="139"/>
      <c r="N22" s="139"/>
      <c r="O22" s="139"/>
      <c r="P22" s="150">
        <v>25163026779.963551</v>
      </c>
      <c r="Q22" s="150">
        <v>24936112590.369614</v>
      </c>
      <c r="R22" s="150">
        <v>27382051010.86916</v>
      </c>
      <c r="S22" s="150">
        <v>29276077880.369923</v>
      </c>
      <c r="T22" s="150">
        <v>31676348225.415558</v>
      </c>
      <c r="U22" s="210">
        <f t="shared" si="0"/>
        <v>0.25884491171937785</v>
      </c>
      <c r="V22" s="139"/>
      <c r="W22" s="210"/>
      <c r="X22" s="154"/>
      <c r="Y22" s="154"/>
      <c r="Z22" s="154"/>
      <c r="AA22" s="154"/>
      <c r="AB22" s="154"/>
      <c r="AC22" s="154"/>
      <c r="AD22" s="154"/>
      <c r="AE22" s="161"/>
      <c r="AF22" s="161"/>
      <c r="AG22" s="161"/>
      <c r="AH22" s="161"/>
      <c r="AI22" s="162"/>
      <c r="AJ22" s="162"/>
      <c r="AK22" s="409">
        <v>1620027291.3624015</v>
      </c>
      <c r="AL22" s="1"/>
      <c r="AM22" s="534" cm="1">
        <f t="array" aca="1" ref="AM22" ca="1">INDIRECT("'1"&amp;$C$8&amp;"'!W22")</f>
        <v>2.355007449589813</v>
      </c>
      <c r="AN22" s="528">
        <f ca="1">SUM(AN12:AN21)</f>
        <v>2067553030.4975426</v>
      </c>
      <c r="AO22" s="528">
        <f ca="1">SUM(AO12:AO21)</f>
        <v>2064091035.1325259</v>
      </c>
      <c r="AP22" s="528">
        <f ca="1">SUM(AP12:AP21)</f>
        <v>2075812486.9925609</v>
      </c>
      <c r="AQ22" s="529">
        <f>SUMPRODUCT(AQ12:AQ21,AS12:AS21)</f>
        <v>0.25884491171937757</v>
      </c>
      <c r="AR22" s="529">
        <f>SUMPRODUCT(AR12:AR21,AS12:AS21)</f>
        <v>0.25884491171937757</v>
      </c>
      <c r="AS22" s="530"/>
      <c r="AT22" s="1"/>
      <c r="AU22" s="1"/>
      <c r="AV22" s="1"/>
      <c r="AW22" s="1"/>
      <c r="AX22" s="1"/>
      <c r="AY22" s="1"/>
      <c r="AZ22" s="1"/>
      <c r="BA22" s="1"/>
      <c r="BB22" s="1"/>
      <c r="BC22" s="1"/>
      <c r="BD22" s="1"/>
      <c r="BE22" s="1"/>
      <c r="BF22" s="1"/>
      <c r="BG22" s="1"/>
      <c r="BH22" s="1"/>
      <c r="BI22" s="1"/>
      <c r="BJ22" s="1"/>
      <c r="BK22" s="1"/>
      <c r="BL22" s="1"/>
      <c r="BM22" s="1"/>
      <c r="BN22" s="1"/>
    </row>
    <row r="23" spans="1:66" ht="12.6" customHeight="1" x14ac:dyDescent="0.3">
      <c r="A23" s="1"/>
      <c r="B23" s="1"/>
      <c r="C23" s="1"/>
      <c r="D23" s="1"/>
      <c r="E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531"/>
      <c r="AO23" s="531"/>
      <c r="AP23" s="1"/>
      <c r="AQ23" s="1"/>
      <c r="AR23" s="525">
        <f>U22</f>
        <v>0.25884491171937785</v>
      </c>
      <c r="AS23" s="1"/>
      <c r="AT23" s="1"/>
      <c r="AU23" s="1"/>
      <c r="AV23" s="1"/>
      <c r="AW23" s="1"/>
      <c r="AX23" s="1"/>
      <c r="AY23" s="1"/>
      <c r="AZ23" s="1"/>
      <c r="BA23" s="1"/>
      <c r="BB23" s="1"/>
      <c r="BC23" s="1"/>
      <c r="BD23" s="1"/>
      <c r="BE23" s="1"/>
      <c r="BF23" s="1"/>
      <c r="BG23" s="1"/>
      <c r="BH23" s="1"/>
      <c r="BI23" s="1"/>
      <c r="BJ23" s="1"/>
      <c r="BK23" s="1"/>
      <c r="BL23" s="1"/>
      <c r="BM23" s="1"/>
      <c r="BN23" s="1"/>
    </row>
    <row r="24" spans="1:66" ht="13.95" customHeight="1" x14ac:dyDescent="0.3">
      <c r="A24" s="1"/>
      <c r="B24" s="1"/>
      <c r="C24" s="1"/>
      <c r="D24" s="1"/>
      <c r="E24" s="1"/>
      <c r="F24" s="1"/>
      <c r="G24" s="11" t="s">
        <v>151</v>
      </c>
      <c r="H24" s="212">
        <f>U22</f>
        <v>0.25884491171937785</v>
      </c>
      <c r="I24" s="1"/>
      <c r="J24" s="1"/>
      <c r="K24" s="11" t="s">
        <v>151</v>
      </c>
      <c r="L24" s="212"/>
      <c r="M24" s="1"/>
      <c r="O24" s="1"/>
      <c r="P24" s="1"/>
      <c r="Q24" s="1"/>
      <c r="R24" s="1"/>
      <c r="S24" s="1"/>
      <c r="T24" s="1"/>
      <c r="U24" s="1"/>
      <c r="V24" s="1"/>
      <c r="W24" s="1"/>
      <c r="X24" s="1"/>
      <c r="Y24" s="55"/>
      <c r="Z24" s="55"/>
      <c r="AA24" s="55"/>
      <c r="AB24" s="55"/>
      <c r="AC24" s="55"/>
      <c r="AD24" s="55"/>
      <c r="AE24" s="55"/>
      <c r="AF24" s="55"/>
      <c r="AG24" s="55"/>
      <c r="AH24" s="1"/>
      <c r="AI24" s="1"/>
      <c r="AJ24" s="1"/>
      <c r="AK24" s="1"/>
      <c r="AL24" s="1"/>
      <c r="AM24" s="1"/>
      <c r="AN24" s="531">
        <f ca="1">AN22/G22-1</f>
        <v>0.27624580247582342</v>
      </c>
      <c r="AO24" s="531"/>
      <c r="AP24" s="1"/>
      <c r="AQ24" s="1"/>
      <c r="AR24" s="532" t="str">
        <f>IF(AR23-AR22&lt;0.0000000001,"ok","wrong")</f>
        <v>ok</v>
      </c>
      <c r="AS24" s="1"/>
      <c r="AT24" s="1"/>
      <c r="AU24" s="1"/>
      <c r="AV24" s="1"/>
      <c r="AW24" s="1"/>
      <c r="AX24" s="1"/>
      <c r="AY24" s="1"/>
      <c r="AZ24" s="1"/>
      <c r="BA24" s="1"/>
      <c r="BB24" s="1"/>
      <c r="BC24" s="1"/>
      <c r="BD24" s="1"/>
      <c r="BE24" s="1"/>
      <c r="BF24" s="1"/>
      <c r="BG24" s="1"/>
      <c r="BH24" s="1"/>
      <c r="BI24" s="1"/>
      <c r="BJ24" s="1"/>
      <c r="BK24" s="1"/>
      <c r="BL24" s="1"/>
      <c r="BM24" s="1"/>
      <c r="BN24" s="1"/>
    </row>
    <row r="25" spans="1:66" ht="13.95" customHeight="1" x14ac:dyDescent="0.3">
      <c r="A25" s="1"/>
      <c r="B25" s="1"/>
      <c r="C25" s="1"/>
      <c r="D25" s="1"/>
      <c r="E25" s="1"/>
      <c r="F25" s="1"/>
      <c r="G25" s="11" t="s">
        <v>152</v>
      </c>
      <c r="H25" s="213">
        <v>0.14560000000000001</v>
      </c>
      <c r="I25" s="1"/>
      <c r="J25" s="1"/>
      <c r="K25" s="11" t="s">
        <v>152</v>
      </c>
      <c r="L25" s="139"/>
      <c r="M25" s="1"/>
      <c r="N25" s="1"/>
      <c r="O25" s="55"/>
      <c r="P25" s="1"/>
      <c r="Q25" s="1"/>
      <c r="R25" s="55"/>
      <c r="S25" s="1"/>
      <c r="T25" s="1"/>
      <c r="U25" s="55"/>
      <c r="V25" s="435"/>
      <c r="W25" s="1"/>
      <c r="X25" s="1"/>
      <c r="Y25" s="55"/>
      <c r="Z25" s="55"/>
      <c r="AA25" s="55"/>
      <c r="AB25" s="55"/>
      <c r="AC25" s="55"/>
      <c r="AD25" s="55"/>
      <c r="AE25" s="55"/>
      <c r="AF25" s="55"/>
      <c r="AG25" s="55"/>
      <c r="AH25" s="1"/>
      <c r="AI25" s="1"/>
      <c r="AJ25" s="1"/>
      <c r="AK25" s="1"/>
      <c r="AL25" s="1"/>
      <c r="AM25" s="1"/>
      <c r="AN25" s="1"/>
      <c r="AO25" s="531"/>
      <c r="AP25" s="1"/>
      <c r="AQ25" s="1"/>
      <c r="AR25" s="532" t="str">
        <f>IF(AQ22-AR22&lt;0.0000000001,"ok","wrong")</f>
        <v>ok</v>
      </c>
      <c r="AS25" s="1"/>
      <c r="AT25" s="1"/>
      <c r="AU25" s="1"/>
      <c r="AV25" s="1"/>
      <c r="AW25" s="1"/>
      <c r="AX25" s="1"/>
      <c r="AY25" s="1"/>
      <c r="AZ25" s="1"/>
      <c r="BA25" s="1"/>
      <c r="BB25" s="1"/>
      <c r="BC25" s="1"/>
      <c r="BD25" s="1"/>
      <c r="BE25" s="1"/>
      <c r="BF25" s="1"/>
      <c r="BG25" s="1"/>
      <c r="BH25" s="1"/>
      <c r="BI25" s="1"/>
      <c r="BJ25" s="1"/>
      <c r="BK25" s="1"/>
      <c r="BL25" s="1"/>
      <c r="BM25" s="1"/>
      <c r="BN25" s="1"/>
    </row>
    <row r="26" spans="1:66" ht="13.95" customHeight="1" x14ac:dyDescent="0.3">
      <c r="A26" s="1"/>
      <c r="B26" s="1"/>
      <c r="C26" s="1"/>
      <c r="D26" s="1"/>
      <c r="E26" s="1"/>
      <c r="F26" s="1"/>
      <c r="G26" s="11" t="s">
        <v>153</v>
      </c>
      <c r="H26" s="213">
        <v>0.2319</v>
      </c>
      <c r="I26" s="1"/>
      <c r="J26" s="1"/>
      <c r="K26" s="11" t="s">
        <v>153</v>
      </c>
      <c r="L26" s="139"/>
      <c r="M26" s="1"/>
      <c r="N26" s="1"/>
      <c r="O26" s="1"/>
      <c r="P26" s="1"/>
      <c r="Q26" s="1"/>
      <c r="R26" s="1"/>
      <c r="S26" s="1"/>
      <c r="T26" s="1"/>
      <c r="U26" s="1"/>
      <c r="V26" s="1"/>
      <c r="W26" s="1"/>
      <c r="X26" s="1"/>
      <c r="Y26" s="55"/>
      <c r="Z26" s="55"/>
      <c r="AA26" s="55"/>
      <c r="AB26" s="55"/>
      <c r="AC26" s="55"/>
      <c r="AD26" s="55"/>
      <c r="AE26" s="55"/>
      <c r="AF26" s="55"/>
      <c r="AG26" s="55"/>
      <c r="AH26" s="1"/>
      <c r="AI26" s="1"/>
      <c r="AJ26" s="1"/>
      <c r="AK26" s="1"/>
      <c r="AL26" s="1"/>
      <c r="AM26" s="8" t="s">
        <v>571</v>
      </c>
      <c r="AN26" s="533"/>
      <c r="AO26" s="535">
        <f ca="1">AO22/$AN22-1</f>
        <v>-1.6744409037883212E-3</v>
      </c>
      <c r="AP26" s="536">
        <f ca="1">AP22/$AN22-1</f>
        <v>3.9947978954768537E-3</v>
      </c>
      <c r="AQ26" s="1"/>
      <c r="AR26" s="1"/>
      <c r="AS26" s="1"/>
      <c r="AT26" s="1"/>
      <c r="AU26" s="1"/>
      <c r="AV26" s="1"/>
      <c r="AW26" s="1"/>
      <c r="AX26" s="1"/>
      <c r="AY26" s="1"/>
      <c r="AZ26" s="1"/>
      <c r="BA26" s="1"/>
      <c r="BB26" s="1"/>
      <c r="BC26" s="1"/>
      <c r="BD26" s="1"/>
      <c r="BE26" s="1"/>
      <c r="BF26" s="1"/>
      <c r="BG26" s="1"/>
      <c r="BH26" s="1"/>
      <c r="BI26" s="1"/>
      <c r="BJ26" s="1"/>
      <c r="BK26" s="1"/>
      <c r="BL26" s="1"/>
      <c r="BM26" s="1"/>
      <c r="BN26" s="1"/>
    </row>
    <row r="27" spans="1:66" ht="9" customHeight="1" x14ac:dyDescent="0.3">
      <c r="A27" s="1"/>
      <c r="B27" s="1"/>
      <c r="C27" s="1"/>
      <c r="D27" s="1"/>
      <c r="E27" s="1"/>
      <c r="F27" s="1"/>
      <c r="G27" s="1"/>
      <c r="H27" s="1"/>
      <c r="I27" s="1"/>
      <c r="J27" s="1"/>
      <c r="K27" s="1"/>
      <c r="L27" s="1"/>
      <c r="M27" s="1"/>
      <c r="N27" s="1"/>
      <c r="O27" s="1"/>
      <c r="P27" s="1"/>
      <c r="Q27" s="1"/>
      <c r="R27" s="1"/>
      <c r="S27" s="1"/>
      <c r="T27" s="55"/>
      <c r="U27" s="55"/>
      <c r="V27" s="55"/>
      <c r="W27" s="55"/>
      <c r="X27" s="55"/>
      <c r="Y27" s="55"/>
      <c r="Z27" s="55"/>
      <c r="AA27" s="55"/>
      <c r="AB27" s="55"/>
      <c r="AC27" s="55"/>
      <c r="AD27" s="55"/>
      <c r="AE27" s="55"/>
      <c r="AF27" s="55"/>
      <c r="AG27" s="55"/>
      <c r="AH27" s="1"/>
      <c r="AI27" s="1"/>
      <c r="AJ27" s="1"/>
      <c r="AK27" s="1"/>
      <c r="AL27" s="1"/>
      <c r="AM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row>
    <row r="28" spans="1:66" ht="12" customHeight="1" thickBot="1" x14ac:dyDescent="0.35">
      <c r="A28" s="214"/>
      <c r="B28" s="214"/>
      <c r="C28" s="214"/>
      <c r="D28" s="214"/>
      <c r="E28" s="214"/>
      <c r="F28" s="214"/>
      <c r="G28" s="214"/>
      <c r="H28" s="214"/>
      <c r="I28" s="214"/>
      <c r="J28" s="214"/>
      <c r="K28" s="214"/>
      <c r="L28" s="214"/>
      <c r="M28" s="214"/>
      <c r="N28" s="214"/>
      <c r="O28" s="214"/>
      <c r="P28" s="214"/>
      <c r="Q28" s="214"/>
      <c r="R28" s="214"/>
      <c r="S28" s="214"/>
      <c r="T28" s="215"/>
      <c r="U28" s="215"/>
      <c r="V28" s="215"/>
      <c r="W28" s="215"/>
      <c r="X28" s="215"/>
      <c r="Y28" s="215"/>
      <c r="Z28" s="215"/>
      <c r="AA28" s="214"/>
      <c r="AB28" s="214"/>
      <c r="AC28" s="214"/>
      <c r="AD28" s="214"/>
      <c r="AE28" s="214"/>
      <c r="AF28" s="214"/>
      <c r="AG28" s="214"/>
      <c r="AH28" s="214"/>
      <c r="AI28" s="214"/>
      <c r="AJ28" s="1"/>
      <c r="AK28" s="1"/>
      <c r="AL28" s="1"/>
      <c r="AM28" s="8" t="s">
        <v>572</v>
      </c>
      <c r="AN28" s="8"/>
      <c r="AO28" s="535">
        <f ca="1">(AO22-$AN22)/($W$37*1000000)</f>
        <v>-5.1714042000222541E-3</v>
      </c>
      <c r="AP28" s="536">
        <f ca="1">(AP22-$AN22)/($W$37*1000000)</f>
        <v>1.2337679143031553E-2</v>
      </c>
      <c r="AQ28" s="1"/>
      <c r="AR28" s="1"/>
      <c r="AS28" s="1"/>
      <c r="AT28" s="1"/>
      <c r="AU28" s="1"/>
      <c r="AV28" s="1"/>
      <c r="AW28" s="1"/>
      <c r="AX28" s="1"/>
      <c r="AY28" s="1"/>
      <c r="AZ28" s="1"/>
      <c r="BA28" s="1"/>
      <c r="BB28" s="1"/>
      <c r="BC28" s="1"/>
      <c r="BD28" s="1"/>
      <c r="BE28" s="1"/>
      <c r="BF28" s="1"/>
      <c r="BG28" s="1"/>
      <c r="BH28" s="1"/>
      <c r="BI28" s="1"/>
      <c r="BJ28" s="1"/>
      <c r="BK28" s="1"/>
      <c r="BL28" s="1"/>
      <c r="BM28" s="1"/>
      <c r="BN28" s="1"/>
    </row>
    <row r="29" spans="1:66" ht="12" customHeight="1" thickBot="1" x14ac:dyDescent="0.35">
      <c r="A29" s="214"/>
      <c r="B29" s="216" t="s">
        <v>154</v>
      </c>
      <c r="C29" s="217"/>
      <c r="D29" s="217"/>
      <c r="E29" s="217"/>
      <c r="F29" s="217"/>
      <c r="G29" s="217"/>
      <c r="H29" s="217"/>
      <c r="I29" s="217"/>
      <c r="J29" s="217"/>
      <c r="K29" s="217"/>
      <c r="L29" s="217"/>
      <c r="M29" s="217"/>
      <c r="N29" s="217"/>
      <c r="O29" s="217"/>
      <c r="P29" s="217"/>
      <c r="Q29" s="217"/>
      <c r="R29" s="217"/>
      <c r="S29" s="217"/>
      <c r="T29" s="218"/>
      <c r="U29" s="218"/>
      <c r="V29" s="219"/>
      <c r="W29" s="215"/>
      <c r="X29" s="215"/>
      <c r="Y29" s="215"/>
      <c r="Z29" s="215"/>
      <c r="AA29" s="214"/>
      <c r="AB29" s="214"/>
      <c r="AC29" s="214"/>
      <c r="AD29" s="214"/>
      <c r="AE29" s="214"/>
      <c r="AF29" s="214"/>
      <c r="AG29" s="214"/>
      <c r="AH29" s="214"/>
      <c r="AI29" s="214"/>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row>
    <row r="30" spans="1:66" ht="21.6" customHeight="1" thickBot="1" x14ac:dyDescent="0.35">
      <c r="A30" s="214"/>
      <c r="B30" s="220"/>
      <c r="C30" s="214"/>
      <c r="D30" s="214"/>
      <c r="E30" s="214"/>
      <c r="F30" s="214"/>
      <c r="G30" s="214"/>
      <c r="H30" s="214"/>
      <c r="I30" s="214"/>
      <c r="J30" s="214"/>
      <c r="K30" s="214"/>
      <c r="L30" s="214"/>
      <c r="M30" s="214"/>
      <c r="N30" s="214"/>
      <c r="O30" s="214"/>
      <c r="P30" s="214"/>
      <c r="Q30" s="214"/>
      <c r="R30" s="214"/>
      <c r="S30" s="214"/>
      <c r="T30" s="214"/>
      <c r="U30" s="214"/>
      <c r="V30" s="214"/>
      <c r="W30" s="214"/>
      <c r="X30" s="214"/>
      <c r="Y30" s="214"/>
      <c r="Z30" s="214"/>
      <c r="AA30" s="214"/>
      <c r="AB30" s="214"/>
      <c r="AC30" s="216" t="s">
        <v>158</v>
      </c>
      <c r="AD30" s="221"/>
      <c r="AE30" s="214"/>
      <c r="AF30" s="214"/>
      <c r="AG30" s="214"/>
      <c r="AH30" s="214"/>
      <c r="AI30" s="214"/>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row>
    <row r="31" spans="1:66" ht="21" customHeight="1" thickBot="1" x14ac:dyDescent="0.35">
      <c r="A31" s="214"/>
      <c r="B31" s="216" t="s">
        <v>159</v>
      </c>
      <c r="C31" s="221"/>
      <c r="D31" s="223"/>
      <c r="E31" s="222" t="s">
        <v>160</v>
      </c>
      <c r="F31" s="222" t="s">
        <v>160</v>
      </c>
      <c r="G31" s="223"/>
      <c r="H31" s="224" t="s">
        <v>161</v>
      </c>
      <c r="I31" s="222"/>
      <c r="J31" s="222"/>
      <c r="K31" s="222"/>
      <c r="L31" s="222"/>
      <c r="M31" s="223"/>
      <c r="N31" s="216" t="s">
        <v>162</v>
      </c>
      <c r="O31" s="221"/>
      <c r="P31" s="222" t="s">
        <v>163</v>
      </c>
      <c r="Q31" s="222"/>
      <c r="R31" s="222"/>
      <c r="S31" s="223"/>
      <c r="T31" s="224" t="s">
        <v>164</v>
      </c>
      <c r="U31" s="222"/>
      <c r="V31" s="222"/>
      <c r="W31" s="223"/>
      <c r="X31" s="225" t="s">
        <v>165</v>
      </c>
      <c r="Y31" s="222"/>
      <c r="Z31" s="222"/>
      <c r="AA31" s="223"/>
      <c r="AB31" s="214"/>
      <c r="AC31" s="347" t="s">
        <v>163</v>
      </c>
      <c r="AD31" s="348"/>
      <c r="AE31" s="223"/>
      <c r="AF31" s="224" t="s">
        <v>164</v>
      </c>
      <c r="AG31" s="222"/>
      <c r="AH31" s="223"/>
      <c r="AI31" s="214"/>
      <c r="AJ31" s="1"/>
      <c r="AK31" s="1"/>
      <c r="AL31" s="1"/>
      <c r="AM31" s="1"/>
      <c r="AN31" s="1"/>
      <c r="AO31" s="8" t="s">
        <v>567</v>
      </c>
      <c r="AP31" s="10">
        <v>0.05</v>
      </c>
      <c r="AQ31" s="1"/>
      <c r="AR31" s="1"/>
      <c r="AS31" s="1"/>
      <c r="AT31" s="1"/>
      <c r="AU31" s="1"/>
      <c r="AV31" s="1"/>
      <c r="AW31" s="1"/>
      <c r="AX31" s="1"/>
      <c r="AY31" s="1"/>
      <c r="AZ31" s="1"/>
      <c r="BA31" s="1"/>
      <c r="BB31" s="1"/>
      <c r="BC31" s="1"/>
      <c r="BD31" s="1"/>
      <c r="BE31" s="1"/>
      <c r="BF31" s="1"/>
      <c r="BG31" s="1"/>
      <c r="BH31" s="1"/>
      <c r="BI31" s="1"/>
      <c r="BJ31" s="1"/>
      <c r="BK31" s="1"/>
      <c r="BL31" s="1"/>
      <c r="BM31" s="1"/>
      <c r="BN31" s="1"/>
    </row>
    <row r="32" spans="1:66" ht="51" customHeight="1" x14ac:dyDescent="0.3">
      <c r="A32" s="214"/>
      <c r="B32" s="226"/>
      <c r="C32" s="227" t="s">
        <v>166</v>
      </c>
      <c r="D32" s="228" t="s">
        <v>167</v>
      </c>
      <c r="E32" s="228" t="s">
        <v>168</v>
      </c>
      <c r="F32" s="410" t="s">
        <v>169</v>
      </c>
      <c r="G32" s="228" t="s">
        <v>170</v>
      </c>
      <c r="H32" s="228" t="s">
        <v>171</v>
      </c>
      <c r="I32" s="229" t="s">
        <v>172</v>
      </c>
      <c r="J32" s="229" t="s">
        <v>173</v>
      </c>
      <c r="K32" s="230" t="s">
        <v>174</v>
      </c>
      <c r="L32" s="229" t="s">
        <v>175</v>
      </c>
      <c r="M32" s="411" t="s">
        <v>176</v>
      </c>
      <c r="N32" s="227"/>
      <c r="O32" s="227" t="s">
        <v>177</v>
      </c>
      <c r="P32" s="231" t="s">
        <v>178</v>
      </c>
      <c r="Q32" s="231" t="s">
        <v>179</v>
      </c>
      <c r="R32" s="231" t="s">
        <v>180</v>
      </c>
      <c r="S32" s="231" t="s">
        <v>181</v>
      </c>
      <c r="T32" s="231" t="s">
        <v>182</v>
      </c>
      <c r="U32" s="231" t="s">
        <v>183</v>
      </c>
      <c r="V32" s="231" t="s">
        <v>184</v>
      </c>
      <c r="W32" s="231" t="s">
        <v>185</v>
      </c>
      <c r="X32" s="231" t="s">
        <v>186</v>
      </c>
      <c r="Y32" s="231" t="s">
        <v>187</v>
      </c>
      <c r="Z32" s="231" t="s">
        <v>188</v>
      </c>
      <c r="AA32" s="231" t="s">
        <v>189</v>
      </c>
      <c r="AB32" s="214"/>
      <c r="AC32" s="231" t="s">
        <v>178</v>
      </c>
      <c r="AD32" s="231" t="s">
        <v>179</v>
      </c>
      <c r="AE32" s="231" t="s">
        <v>180</v>
      </c>
      <c r="AF32" s="231" t="s">
        <v>182</v>
      </c>
      <c r="AG32" s="231" t="s">
        <v>183</v>
      </c>
      <c r="AH32" s="231" t="s">
        <v>184</v>
      </c>
      <c r="AI32" s="214"/>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row>
    <row r="33" spans="1:66" ht="15.6" customHeight="1" x14ac:dyDescent="0.3">
      <c r="A33" s="214"/>
      <c r="B33" s="232">
        <v>2019</v>
      </c>
      <c r="C33" s="233">
        <f>C22</f>
        <v>1282376474.9807963</v>
      </c>
      <c r="D33" s="146">
        <v>56131.1</v>
      </c>
      <c r="E33" s="259">
        <f>(F33/1000000/D33)*100</f>
        <v>3.1266089565321189</v>
      </c>
      <c r="F33" s="146">
        <v>1755000000</v>
      </c>
      <c r="G33" s="234">
        <f>F33/C33</f>
        <v>1.3685528659017869</v>
      </c>
      <c r="H33" s="235">
        <f>C33*G33</f>
        <v>1755000000</v>
      </c>
      <c r="I33" s="235" t="s">
        <v>113</v>
      </c>
      <c r="J33" s="235" t="s">
        <v>113</v>
      </c>
      <c r="K33" s="235" t="s">
        <v>113</v>
      </c>
      <c r="L33" s="235" t="s">
        <v>113</v>
      </c>
      <c r="M33" s="214"/>
      <c r="N33" s="232">
        <v>2019</v>
      </c>
      <c r="O33" s="236">
        <f>G33</f>
        <v>1.3685528659017869</v>
      </c>
      <c r="P33" s="237"/>
      <c r="Q33" s="237"/>
      <c r="R33" s="237"/>
      <c r="S33" s="237"/>
      <c r="T33" s="237"/>
      <c r="U33" s="237"/>
      <c r="V33" s="238"/>
      <c r="W33" s="238"/>
      <c r="X33" s="238"/>
      <c r="Y33" s="238"/>
      <c r="Z33" s="238"/>
      <c r="AA33" s="238"/>
      <c r="AB33" s="214"/>
      <c r="AC33" s="237"/>
      <c r="AD33" s="237"/>
      <c r="AE33" s="237"/>
      <c r="AF33" s="237"/>
      <c r="AG33" s="237"/>
      <c r="AH33" s="238"/>
      <c r="AI33" s="214"/>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row>
    <row r="34" spans="1:66" s="51" customFormat="1" ht="15.6" customHeight="1" x14ac:dyDescent="0.3">
      <c r="A34" s="239"/>
      <c r="B34" s="240">
        <v>2020</v>
      </c>
      <c r="C34" s="241">
        <f>D22</f>
        <v>1135546389.1032009</v>
      </c>
      <c r="D34" s="146">
        <v>50946.6</v>
      </c>
      <c r="E34" s="259">
        <f t="shared" ref="E34:E36" si="7">(F34/1000000/D34)*100</f>
        <v>3.2406480510966387</v>
      </c>
      <c r="F34" s="146">
        <v>1651000000</v>
      </c>
      <c r="G34" s="234">
        <f>F34/C34</f>
        <v>1.45392563072996</v>
      </c>
      <c r="H34" s="242">
        <f>C34*G34</f>
        <v>1651000000</v>
      </c>
      <c r="I34" s="243"/>
      <c r="J34" s="243"/>
      <c r="K34" s="243"/>
      <c r="L34" s="243"/>
      <c r="M34" s="214"/>
      <c r="N34" s="240">
        <v>2020</v>
      </c>
      <c r="O34" s="244"/>
      <c r="P34" s="245"/>
      <c r="Q34" s="245"/>
      <c r="R34" s="245"/>
      <c r="S34" s="245"/>
      <c r="T34" s="245"/>
      <c r="U34" s="245"/>
      <c r="V34" s="245"/>
      <c r="W34" s="245"/>
      <c r="X34" s="245"/>
      <c r="Y34" s="245"/>
      <c r="Z34" s="245"/>
      <c r="AA34" s="245"/>
      <c r="AB34" s="239"/>
      <c r="AC34" s="245"/>
      <c r="AD34" s="245"/>
      <c r="AE34" s="245"/>
      <c r="AF34" s="245"/>
      <c r="AG34" s="245"/>
      <c r="AH34" s="245"/>
      <c r="AI34" s="239"/>
      <c r="AJ34" s="47"/>
      <c r="AK34" s="47"/>
      <c r="AL34" s="47"/>
      <c r="AM34" s="47"/>
      <c r="AN34" s="47"/>
      <c r="AO34" s="47"/>
      <c r="AP34" s="47"/>
      <c r="AQ34" s="47"/>
      <c r="AR34" s="47"/>
      <c r="AS34" s="47"/>
      <c r="AT34" s="47"/>
      <c r="AU34" s="47"/>
      <c r="AV34" s="47"/>
      <c r="AW34" s="47"/>
      <c r="AX34" s="47"/>
      <c r="AY34" s="47"/>
      <c r="AZ34" s="47"/>
      <c r="BA34" s="47"/>
      <c r="BB34" s="47"/>
      <c r="BC34" s="47"/>
      <c r="BD34" s="47"/>
      <c r="BE34" s="47"/>
      <c r="BF34" s="47"/>
      <c r="BG34" s="47"/>
      <c r="BH34" s="47"/>
      <c r="BI34" s="47"/>
      <c r="BJ34" s="47"/>
      <c r="BK34" s="47"/>
      <c r="BL34" s="47"/>
      <c r="BM34" s="47"/>
      <c r="BN34" s="47"/>
    </row>
    <row r="35" spans="1:66" ht="15.6" customHeight="1" x14ac:dyDescent="0.3">
      <c r="A35" s="214"/>
      <c r="B35" s="232">
        <v>2021</v>
      </c>
      <c r="C35" s="241">
        <f>E22</f>
        <v>1181267879.112</v>
      </c>
      <c r="D35" s="146">
        <v>58897.9</v>
      </c>
      <c r="E35" s="259">
        <f t="shared" si="7"/>
        <v>2.5807371739909235</v>
      </c>
      <c r="F35" s="146">
        <v>1520000000</v>
      </c>
      <c r="G35" s="234">
        <f>F35/C35</f>
        <v>1.2867530107926382</v>
      </c>
      <c r="H35" s="242">
        <f>C35*G35</f>
        <v>1520000000</v>
      </c>
      <c r="I35" s="243"/>
      <c r="J35" s="243"/>
      <c r="K35" s="243"/>
      <c r="L35" s="243"/>
      <c r="M35" s="214"/>
      <c r="N35" s="232">
        <v>2021</v>
      </c>
      <c r="O35" s="244"/>
      <c r="P35" s="246"/>
      <c r="Q35" s="246"/>
      <c r="R35" s="246"/>
      <c r="S35" s="246"/>
      <c r="T35" s="246"/>
      <c r="U35" s="246"/>
      <c r="V35" s="247"/>
      <c r="W35" s="247"/>
      <c r="X35" s="247"/>
      <c r="Y35" s="247"/>
      <c r="Z35" s="247"/>
      <c r="AA35" s="247"/>
      <c r="AB35" s="214"/>
      <c r="AC35" s="246"/>
      <c r="AD35" s="246"/>
      <c r="AE35" s="246"/>
      <c r="AF35" s="246"/>
      <c r="AG35" s="246"/>
      <c r="AH35" s="247"/>
      <c r="AI35" s="214"/>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row>
    <row r="36" spans="1:66" ht="15.6" customHeight="1" x14ac:dyDescent="0.3">
      <c r="A36" s="214"/>
      <c r="B36" s="240">
        <v>2022</v>
      </c>
      <c r="C36" s="248">
        <f>F22</f>
        <v>1381238356.7376006</v>
      </c>
      <c r="D36" s="146">
        <v>68369.7</v>
      </c>
      <c r="E36" s="259">
        <f t="shared" si="7"/>
        <v>2.7146528359785109</v>
      </c>
      <c r="F36" s="146">
        <v>1856000000</v>
      </c>
      <c r="G36" s="234">
        <f>F36/C36</f>
        <v>1.3437217341572798</v>
      </c>
      <c r="H36" s="242">
        <f>C36*G36</f>
        <v>1856000000</v>
      </c>
      <c r="I36" s="249"/>
      <c r="J36" s="249"/>
      <c r="K36" s="249"/>
      <c r="L36" s="249"/>
      <c r="M36" s="214"/>
      <c r="N36" s="240">
        <v>2022</v>
      </c>
      <c r="O36" s="250"/>
      <c r="P36" s="225"/>
      <c r="Q36" s="225"/>
      <c r="R36" s="225"/>
      <c r="S36" s="225"/>
      <c r="T36" s="225"/>
      <c r="U36" s="225"/>
      <c r="V36" s="225"/>
      <c r="W36" s="225"/>
      <c r="X36" s="225"/>
      <c r="Y36" s="225"/>
      <c r="Z36" s="225"/>
      <c r="AA36" s="225"/>
      <c r="AB36" s="214"/>
      <c r="AC36" s="225"/>
      <c r="AD36" s="225"/>
      <c r="AE36" s="225"/>
      <c r="AF36" s="225"/>
      <c r="AG36" s="225"/>
      <c r="AH36" s="225"/>
      <c r="AI36" s="214"/>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row>
    <row r="37" spans="1:66" ht="15.6" customHeight="1" x14ac:dyDescent="0.3">
      <c r="A37" s="214"/>
      <c r="B37" s="232">
        <v>2023</v>
      </c>
      <c r="C37" s="251">
        <f>G22</f>
        <v>1620027291.3624015</v>
      </c>
      <c r="D37" s="146">
        <v>76471.7</v>
      </c>
      <c r="E37" s="259">
        <f>(F37/1000000/D37)*100</f>
        <v>3.1501849703877385</v>
      </c>
      <c r="F37" s="146">
        <v>2409000000</v>
      </c>
      <c r="G37" s="234">
        <f>F37/C37</f>
        <v>1.4870119860598723</v>
      </c>
      <c r="H37" s="242">
        <f>C37*G37</f>
        <v>2409000000</v>
      </c>
      <c r="I37" s="235">
        <f>H22*$G37</f>
        <v>3348780485.2495446</v>
      </c>
      <c r="J37" s="235">
        <f>I22*$G37</f>
        <v>2551870460.7149434</v>
      </c>
      <c r="K37" s="235">
        <f>J22*$G37</f>
        <v>2864736272.6776986</v>
      </c>
      <c r="L37" s="235">
        <f>K22*$G37</f>
        <v>2621385404.9683847</v>
      </c>
      <c r="M37" s="412">
        <f>AK22*$G37</f>
        <v>2409000000</v>
      </c>
      <c r="N37" s="232">
        <v>2023</v>
      </c>
      <c r="O37" s="252">
        <f>G37</f>
        <v>1.4870119860598723</v>
      </c>
      <c r="P37" s="253">
        <f>($H37-J37)/1000000</f>
        <v>-142.87046071494342</v>
      </c>
      <c r="Q37" s="253">
        <f>($H37-K37)/1000000</f>
        <v>-455.73627267769859</v>
      </c>
      <c r="R37" s="253">
        <f>($H37-L37)/1000000</f>
        <v>-212.38540496838473</v>
      </c>
      <c r="S37" s="253">
        <f>AVERAGE(P37:R37)</f>
        <v>-270.33071278700891</v>
      </c>
      <c r="T37" s="253">
        <f t="shared" ref="T37:V37" si="8">($I37-J37)/1000000</f>
        <v>796.91002453460123</v>
      </c>
      <c r="U37" s="253">
        <f t="shared" si="8"/>
        <v>484.044212571846</v>
      </c>
      <c r="V37" s="253">
        <f t="shared" si="8"/>
        <v>727.39508028115984</v>
      </c>
      <c r="W37" s="253">
        <f>AVERAGE(T37:V37)</f>
        <v>669.44977246253563</v>
      </c>
      <c r="X37" s="254">
        <f>(T37-P37)/T37</f>
        <v>1.1792805414869518</v>
      </c>
      <c r="Y37" s="254">
        <f>(U37-Q37)/U37</f>
        <v>1.9415178631229979</v>
      </c>
      <c r="Z37" s="254">
        <f>(V37-R37)/V37</f>
        <v>1.2919808103270254</v>
      </c>
      <c r="AA37" s="254">
        <f>AVERAGE(X37:Z37)</f>
        <v>1.4709264049789919</v>
      </c>
      <c r="AB37" s="214"/>
      <c r="AC37" s="351">
        <f>P37/$D37</f>
        <v>-1.8682788628334851E-3</v>
      </c>
      <c r="AD37" s="351">
        <f>Q37/$D37</f>
        <v>-5.9595415386044593E-3</v>
      </c>
      <c r="AE37" s="351">
        <f>R37/$D37</f>
        <v>-2.777307225658443E-3</v>
      </c>
      <c r="AF37" s="351">
        <f>T37/$D37</f>
        <v>1.0420979585056972E-2</v>
      </c>
      <c r="AG37" s="351">
        <f>U37/$D37</f>
        <v>6.3297169092859972E-3</v>
      </c>
      <c r="AH37" s="351">
        <f>V37/$D37</f>
        <v>9.5119512222320134E-3</v>
      </c>
      <c r="AI37" s="214"/>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row>
    <row r="38" spans="1:66" ht="15.6" customHeight="1" x14ac:dyDescent="0.3">
      <c r="A38" s="214"/>
      <c r="B38" s="240">
        <v>2024</v>
      </c>
      <c r="C38" s="255"/>
      <c r="D38" s="256"/>
      <c r="E38" s="256"/>
      <c r="F38" s="256"/>
      <c r="G38" s="257"/>
      <c r="H38" s="256"/>
      <c r="I38" s="249"/>
      <c r="J38" s="249"/>
      <c r="K38" s="249"/>
      <c r="L38" s="249"/>
      <c r="M38" s="214"/>
      <c r="N38" s="240">
        <v>2024</v>
      </c>
      <c r="O38" s="250"/>
      <c r="P38" s="225"/>
      <c r="Q38" s="225"/>
      <c r="R38" s="225"/>
      <c r="S38" s="225"/>
      <c r="T38" s="258"/>
      <c r="U38" s="258"/>
      <c r="V38" s="258"/>
      <c r="W38" s="258"/>
      <c r="X38" s="225"/>
      <c r="Y38" s="225"/>
      <c r="Z38" s="225"/>
      <c r="AA38" s="225"/>
      <c r="AB38" s="214"/>
      <c r="AC38" s="353"/>
      <c r="AD38" s="353"/>
      <c r="AE38" s="353"/>
      <c r="AF38" s="354"/>
      <c r="AG38" s="354"/>
      <c r="AH38" s="354"/>
      <c r="AI38" s="214"/>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row>
    <row r="39" spans="1:66" ht="15.6" customHeight="1" x14ac:dyDescent="0.3">
      <c r="A39" s="214"/>
      <c r="B39" s="232">
        <v>2025</v>
      </c>
      <c r="C39" s="255"/>
      <c r="D39" s="256"/>
      <c r="E39" s="256"/>
      <c r="F39" s="256"/>
      <c r="G39" s="257"/>
      <c r="H39" s="256"/>
      <c r="I39" s="249"/>
      <c r="J39" s="249"/>
      <c r="K39" s="249"/>
      <c r="L39" s="249"/>
      <c r="M39" s="214"/>
      <c r="N39" s="232">
        <v>2025</v>
      </c>
      <c r="O39" s="250"/>
      <c r="P39" s="225"/>
      <c r="Q39" s="225"/>
      <c r="R39" s="225"/>
      <c r="S39" s="225"/>
      <c r="T39" s="258"/>
      <c r="U39" s="258"/>
      <c r="V39" s="258"/>
      <c r="W39" s="258"/>
      <c r="X39" s="225"/>
      <c r="Y39" s="225"/>
      <c r="Z39" s="225"/>
      <c r="AA39" s="225"/>
      <c r="AB39" s="214"/>
      <c r="AC39" s="353"/>
      <c r="AD39" s="353"/>
      <c r="AE39" s="353"/>
      <c r="AF39" s="354"/>
      <c r="AG39" s="354"/>
      <c r="AH39" s="354"/>
      <c r="AI39" s="214"/>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row>
    <row r="40" spans="1:66" ht="15.6" customHeight="1" x14ac:dyDescent="0.3">
      <c r="A40" s="214"/>
      <c r="B40" s="240">
        <v>2026</v>
      </c>
      <c r="C40" s="251"/>
      <c r="D40" s="256"/>
      <c r="E40" s="256"/>
      <c r="F40" s="256"/>
      <c r="G40" s="259"/>
      <c r="H40" s="256"/>
      <c r="I40" s="235"/>
      <c r="J40" s="235"/>
      <c r="K40" s="235"/>
      <c r="L40" s="235"/>
      <c r="M40" s="214"/>
      <c r="N40" s="240">
        <v>2026</v>
      </c>
      <c r="O40" s="252"/>
      <c r="P40" s="225"/>
      <c r="Q40" s="225"/>
      <c r="R40" s="225"/>
      <c r="S40" s="225"/>
      <c r="T40" s="253"/>
      <c r="U40" s="253"/>
      <c r="V40" s="253"/>
      <c r="W40" s="253"/>
      <c r="X40" s="225"/>
      <c r="Y40" s="225"/>
      <c r="Z40" s="225"/>
      <c r="AA40" s="225"/>
      <c r="AB40" s="214"/>
      <c r="AC40" s="353"/>
      <c r="AD40" s="353"/>
      <c r="AE40" s="353"/>
      <c r="AF40" s="351"/>
      <c r="AG40" s="351"/>
      <c r="AH40" s="351"/>
      <c r="AI40" s="214"/>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row>
    <row r="41" spans="1:66" ht="12.6" customHeight="1" x14ac:dyDescent="0.3">
      <c r="A41" s="214"/>
      <c r="B41" s="214"/>
      <c r="C41" s="214"/>
      <c r="D41" s="214"/>
      <c r="E41" s="214"/>
      <c r="F41" s="214"/>
      <c r="G41" s="214"/>
      <c r="H41" s="214"/>
      <c r="I41" s="260"/>
      <c r="J41" s="214"/>
      <c r="K41" s="214"/>
      <c r="L41" s="214"/>
      <c r="M41" s="214"/>
      <c r="N41" s="214"/>
      <c r="O41" s="214"/>
      <c r="P41" s="214"/>
      <c r="Q41" s="214"/>
      <c r="R41" s="214"/>
      <c r="S41" s="214"/>
      <c r="T41" s="260"/>
      <c r="U41" s="214"/>
      <c r="V41" s="214"/>
      <c r="W41" s="214"/>
      <c r="X41" s="413" t="s">
        <v>190</v>
      </c>
      <c r="Y41" s="414"/>
      <c r="Z41" s="414"/>
      <c r="AA41" s="415"/>
      <c r="AB41" s="214"/>
      <c r="AC41" s="214"/>
      <c r="AD41" s="214"/>
      <c r="AE41" s="214"/>
      <c r="AF41" s="260"/>
      <c r="AG41" s="214"/>
      <c r="AH41" s="214"/>
      <c r="AI41" s="214"/>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row>
    <row r="42" spans="1:66" ht="12.6" customHeight="1" x14ac:dyDescent="0.3">
      <c r="A42" s="214"/>
      <c r="B42" s="214"/>
      <c r="C42" s="214"/>
      <c r="D42" s="214"/>
      <c r="E42" s="214"/>
      <c r="F42" s="214"/>
      <c r="G42" s="214"/>
      <c r="H42" s="214"/>
      <c r="I42" s="214"/>
      <c r="J42" s="214"/>
      <c r="K42" s="214"/>
      <c r="L42" s="214"/>
      <c r="M42" s="214"/>
      <c r="N42" s="214"/>
      <c r="O42" s="214"/>
      <c r="P42" s="214"/>
      <c r="Q42" s="214"/>
      <c r="R42" s="214"/>
      <c r="S42" s="214"/>
      <c r="T42" s="214"/>
      <c r="U42" s="214"/>
      <c r="V42" s="214"/>
      <c r="W42" s="416">
        <v>2023</v>
      </c>
      <c r="X42" s="417">
        <f>(($M37-$H37)/1000000)/T37</f>
        <v>0</v>
      </c>
      <c r="Y42" s="417">
        <f t="shared" ref="Y42:Z42" si="9">(($M37-$H37)/1000000)/U37</f>
        <v>0</v>
      </c>
      <c r="Z42" s="417">
        <f t="shared" si="9"/>
        <v>0</v>
      </c>
      <c r="AA42" s="417">
        <f>AVERAGE(X42:Z42)</f>
        <v>0</v>
      </c>
      <c r="AB42" s="214"/>
      <c r="AC42" s="214"/>
      <c r="AD42" s="214"/>
      <c r="AE42" s="214"/>
      <c r="AF42" s="214"/>
      <c r="AG42" s="214"/>
      <c r="AH42" s="214"/>
      <c r="AI42" s="214"/>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row>
    <row r="43" spans="1:66" ht="12.6" customHeight="1" thickBot="1" x14ac:dyDescent="0.35">
      <c r="A43" s="214"/>
      <c r="B43" s="214"/>
      <c r="C43" s="214"/>
      <c r="D43" s="214"/>
      <c r="E43" s="214"/>
      <c r="F43" s="214"/>
      <c r="G43" s="214"/>
      <c r="H43" s="214"/>
      <c r="I43" s="214"/>
      <c r="J43" s="214"/>
      <c r="K43" s="214"/>
      <c r="L43" s="214"/>
      <c r="M43" s="214"/>
      <c r="N43" s="214"/>
      <c r="O43" s="214"/>
      <c r="P43" s="214"/>
      <c r="Q43" s="214"/>
      <c r="R43" s="214"/>
      <c r="S43" s="214"/>
      <c r="T43" s="214"/>
      <c r="U43" s="214"/>
      <c r="V43" s="214"/>
      <c r="W43" s="214"/>
      <c r="X43" s="214"/>
      <c r="Y43" s="214"/>
      <c r="Z43" s="214"/>
      <c r="AA43" s="214"/>
      <c r="AB43" s="214"/>
      <c r="AC43" s="214"/>
      <c r="AD43" s="214"/>
      <c r="AE43" s="214"/>
      <c r="AF43" s="214"/>
      <c r="AG43" s="214"/>
      <c r="AH43" s="214"/>
      <c r="AI43" s="214"/>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row>
    <row r="44" spans="1:66" ht="18" customHeight="1" thickBot="1" x14ac:dyDescent="0.35">
      <c r="A44" s="214"/>
      <c r="B44" s="216" t="s">
        <v>191</v>
      </c>
      <c r="C44" s="221"/>
      <c r="D44" s="222" t="s">
        <v>160</v>
      </c>
      <c r="E44" s="223"/>
      <c r="F44" s="224" t="s">
        <v>161</v>
      </c>
      <c r="G44" s="222"/>
      <c r="H44" s="222"/>
      <c r="I44" s="222"/>
      <c r="J44" s="223"/>
      <c r="K44" s="214"/>
      <c r="L44" s="214"/>
      <c r="M44" s="214"/>
      <c r="N44" s="214"/>
      <c r="O44" s="214"/>
      <c r="P44" s="214"/>
      <c r="Q44" s="214"/>
      <c r="R44" s="214"/>
      <c r="S44" s="214"/>
      <c r="T44" s="214"/>
      <c r="U44" s="216" t="s">
        <v>192</v>
      </c>
      <c r="V44" s="221"/>
      <c r="W44" s="222" t="s">
        <v>160</v>
      </c>
      <c r="X44" s="223"/>
      <c r="Y44" s="224" t="s">
        <v>161</v>
      </c>
      <c r="Z44" s="222"/>
      <c r="AA44" s="222"/>
      <c r="AB44" s="222"/>
      <c r="AC44" s="223"/>
      <c r="AD44" s="214"/>
      <c r="AE44" s="214"/>
      <c r="AF44" s="214"/>
      <c r="AG44" s="214"/>
      <c r="AH44" s="214"/>
      <c r="AI44" s="214"/>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row>
    <row r="45" spans="1:66" ht="42" customHeight="1" x14ac:dyDescent="0.3">
      <c r="A45" s="214"/>
      <c r="B45" s="227"/>
      <c r="C45" s="231" t="s">
        <v>193</v>
      </c>
      <c r="D45" s="228" t="s">
        <v>194</v>
      </c>
      <c r="E45" s="228" t="s">
        <v>170</v>
      </c>
      <c r="F45" s="229" t="s">
        <v>195</v>
      </c>
      <c r="G45" s="229" t="s">
        <v>196</v>
      </c>
      <c r="H45" s="261" t="s">
        <v>197</v>
      </c>
      <c r="I45" s="261" t="s">
        <v>198</v>
      </c>
      <c r="J45" s="261" t="s">
        <v>199</v>
      </c>
      <c r="K45" s="411" t="s">
        <v>176</v>
      </c>
      <c r="L45" s="214"/>
      <c r="M45" s="214"/>
      <c r="N45" s="214"/>
      <c r="O45" s="214"/>
      <c r="P45" s="214"/>
      <c r="Q45" s="214"/>
      <c r="R45" s="214"/>
      <c r="S45" s="214"/>
      <c r="T45" s="214"/>
      <c r="U45" s="227"/>
      <c r="V45" s="231" t="s">
        <v>193</v>
      </c>
      <c r="W45" s="228" t="s">
        <v>194</v>
      </c>
      <c r="X45" s="228" t="s">
        <v>170</v>
      </c>
      <c r="Y45" s="229" t="s">
        <v>195</v>
      </c>
      <c r="Z45" s="229" t="s">
        <v>196</v>
      </c>
      <c r="AA45" s="261" t="s">
        <v>197</v>
      </c>
      <c r="AB45" s="261" t="s">
        <v>198</v>
      </c>
      <c r="AC45" s="261" t="s">
        <v>199</v>
      </c>
      <c r="AD45" s="214"/>
      <c r="AE45" s="214"/>
      <c r="AF45" s="214"/>
      <c r="AG45" s="214"/>
      <c r="AH45" s="214"/>
      <c r="AI45" s="214"/>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row>
    <row r="46" spans="1:66" ht="15" customHeight="1" x14ac:dyDescent="0.3">
      <c r="A46" s="214"/>
      <c r="B46" s="232">
        <v>2019</v>
      </c>
      <c r="C46" s="262">
        <f>C33/1000000</f>
        <v>1282.3764749807963</v>
      </c>
      <c r="D46" s="263">
        <f>F33/1000000</f>
        <v>1755</v>
      </c>
      <c r="E46" s="264"/>
      <c r="F46" s="262">
        <f>H33/1000000</f>
        <v>1755</v>
      </c>
      <c r="G46" s="264"/>
      <c r="H46" s="264"/>
      <c r="I46" s="264"/>
      <c r="J46" s="264"/>
      <c r="K46" s="214"/>
      <c r="L46" s="214"/>
      <c r="M46" s="214"/>
      <c r="N46" s="214"/>
      <c r="O46" s="214"/>
      <c r="P46" s="214"/>
      <c r="Q46" s="214"/>
      <c r="R46" s="214"/>
      <c r="S46" s="214"/>
      <c r="T46" s="214"/>
      <c r="U46" s="232">
        <v>2019</v>
      </c>
      <c r="V46" s="355">
        <f>C33/1000000/D33</f>
        <v>2.2846095568780877E-2</v>
      </c>
      <c r="W46" s="355">
        <f>F33/(D33*1000000)</f>
        <v>3.1266089565321183E-2</v>
      </c>
      <c r="X46" s="264"/>
      <c r="Y46" s="355">
        <f>H33/($D33*1000000)</f>
        <v>3.1266089565321183E-2</v>
      </c>
      <c r="Z46" s="355"/>
      <c r="AA46" s="355"/>
      <c r="AB46" s="355"/>
      <c r="AC46" s="355"/>
      <c r="AD46" s="214"/>
      <c r="AE46" s="214"/>
      <c r="AF46" s="214"/>
      <c r="AG46" s="214"/>
      <c r="AH46" s="214"/>
      <c r="AI46" s="214"/>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row>
    <row r="47" spans="1:66" ht="15" customHeight="1" x14ac:dyDescent="0.3">
      <c r="A47" s="214"/>
      <c r="B47" s="240">
        <v>2020</v>
      </c>
      <c r="C47" s="262">
        <f t="shared" ref="C47:C49" si="10">C34/1000000</f>
        <v>1135.5463891032009</v>
      </c>
      <c r="D47" s="263">
        <f>F34/1000000</f>
        <v>1651</v>
      </c>
      <c r="E47" s="264"/>
      <c r="F47" s="264"/>
      <c r="G47" s="264"/>
      <c r="H47" s="264"/>
      <c r="I47" s="264"/>
      <c r="J47" s="264"/>
      <c r="K47" s="214"/>
      <c r="L47" s="214"/>
      <c r="M47" s="214"/>
      <c r="N47" s="214"/>
      <c r="O47" s="214"/>
      <c r="P47" s="214"/>
      <c r="Q47" s="214"/>
      <c r="R47" s="214"/>
      <c r="S47" s="214"/>
      <c r="T47" s="214"/>
      <c r="U47" s="240">
        <v>2020</v>
      </c>
      <c r="V47" s="355">
        <f t="shared" ref="V47:V50" si="11">C34/1000000/D34</f>
        <v>2.2288953317850475E-2</v>
      </c>
      <c r="W47" s="355">
        <f t="shared" ref="W47:W50" si="12">F34/(D34*1000000)</f>
        <v>3.2406480510966382E-2</v>
      </c>
      <c r="X47" s="264"/>
      <c r="Y47" s="355"/>
      <c r="Z47" s="355"/>
      <c r="AA47" s="355"/>
      <c r="AB47" s="355"/>
      <c r="AC47" s="355"/>
      <c r="AD47" s="214"/>
      <c r="AE47" s="214"/>
      <c r="AF47" s="214"/>
      <c r="AG47" s="214"/>
      <c r="AH47" s="214"/>
      <c r="AI47" s="214"/>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row>
    <row r="48" spans="1:66" ht="15" customHeight="1" x14ac:dyDescent="0.3">
      <c r="A48" s="214"/>
      <c r="B48" s="232">
        <v>2021</v>
      </c>
      <c r="C48" s="262">
        <f t="shared" si="10"/>
        <v>1181.2678791119999</v>
      </c>
      <c r="D48" s="263">
        <f>F35/1000000</f>
        <v>1520</v>
      </c>
      <c r="E48" s="264"/>
      <c r="F48" s="264"/>
      <c r="G48" s="264"/>
      <c r="H48" s="264"/>
      <c r="I48" s="264"/>
      <c r="J48" s="264"/>
      <c r="K48" s="214"/>
      <c r="L48" s="214"/>
      <c r="M48" s="214"/>
      <c r="N48" s="214"/>
      <c r="O48" s="214"/>
      <c r="P48" s="214"/>
      <c r="Q48" s="214"/>
      <c r="R48" s="214"/>
      <c r="S48" s="214"/>
      <c r="T48" s="214"/>
      <c r="U48" s="232">
        <v>2021</v>
      </c>
      <c r="V48" s="355">
        <f t="shared" si="11"/>
        <v>2.0056196895169437E-2</v>
      </c>
      <c r="W48" s="355">
        <f t="shared" si="12"/>
        <v>2.5807371739909234E-2</v>
      </c>
      <c r="X48" s="264"/>
      <c r="Y48" s="355"/>
      <c r="Z48" s="355"/>
      <c r="AA48" s="355"/>
      <c r="AB48" s="355"/>
      <c r="AC48" s="355"/>
      <c r="AD48" s="214"/>
      <c r="AE48" s="214"/>
      <c r="AF48" s="214"/>
      <c r="AG48" s="214"/>
      <c r="AH48" s="214"/>
      <c r="AI48" s="214"/>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row>
    <row r="49" spans="1:66" ht="15" customHeight="1" x14ac:dyDescent="0.3">
      <c r="A49" s="214"/>
      <c r="B49" s="240">
        <v>2022</v>
      </c>
      <c r="C49" s="262">
        <f t="shared" si="10"/>
        <v>1381.2383567376005</v>
      </c>
      <c r="D49" s="263">
        <f>F36/1000000</f>
        <v>1856</v>
      </c>
      <c r="E49" s="264"/>
      <c r="F49" s="264"/>
      <c r="G49" s="264"/>
      <c r="H49" s="264"/>
      <c r="I49" s="264"/>
      <c r="J49" s="264"/>
      <c r="K49" s="214"/>
      <c r="L49" s="214"/>
      <c r="M49" s="214"/>
      <c r="N49" s="214"/>
      <c r="O49" s="214"/>
      <c r="P49" s="214"/>
      <c r="Q49" s="214"/>
      <c r="R49" s="214"/>
      <c r="S49" s="214"/>
      <c r="T49" s="214"/>
      <c r="U49" s="240">
        <v>2022</v>
      </c>
      <c r="V49" s="355">
        <f t="shared" si="11"/>
        <v>2.0202492576939794E-2</v>
      </c>
      <c r="W49" s="355">
        <f t="shared" si="12"/>
        <v>2.7146528359785111E-2</v>
      </c>
      <c r="X49" s="264"/>
      <c r="Y49" s="355"/>
      <c r="Z49" s="355"/>
      <c r="AA49" s="355"/>
      <c r="AB49" s="355"/>
      <c r="AC49" s="355"/>
      <c r="AD49" s="214"/>
      <c r="AE49" s="214"/>
      <c r="AF49" s="214"/>
      <c r="AG49" s="214"/>
      <c r="AH49" s="214"/>
      <c r="AI49" s="214"/>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row>
    <row r="50" spans="1:66" ht="15" customHeight="1" x14ac:dyDescent="0.3">
      <c r="A50" s="214"/>
      <c r="B50" s="232">
        <v>2023</v>
      </c>
      <c r="C50" s="262">
        <f>C37/1000000</f>
        <v>1620.0272913624015</v>
      </c>
      <c r="D50" s="263">
        <f>F37/1000000</f>
        <v>2409</v>
      </c>
      <c r="E50" s="264"/>
      <c r="F50" s="262">
        <f t="shared" ref="F50:K50" si="13">H37/1000000</f>
        <v>2409</v>
      </c>
      <c r="G50" s="262">
        <f t="shared" si="13"/>
        <v>3348.7804852495447</v>
      </c>
      <c r="H50" s="262">
        <f t="shared" si="13"/>
        <v>2551.8704607149434</v>
      </c>
      <c r="I50" s="262">
        <f t="shared" si="13"/>
        <v>2864.7362726776987</v>
      </c>
      <c r="J50" s="262">
        <f t="shared" si="13"/>
        <v>2621.3854049683846</v>
      </c>
      <c r="K50" s="418">
        <f t="shared" si="13"/>
        <v>2409</v>
      </c>
      <c r="L50" s="214"/>
      <c r="M50" s="214"/>
      <c r="N50" s="214"/>
      <c r="O50" s="214"/>
      <c r="P50" s="214"/>
      <c r="Q50" s="214"/>
      <c r="R50" s="214"/>
      <c r="S50" s="214"/>
      <c r="T50" s="214"/>
      <c r="U50" s="232">
        <v>2023</v>
      </c>
      <c r="V50" s="355">
        <f t="shared" si="11"/>
        <v>2.1184664279235346E-2</v>
      </c>
      <c r="W50" s="355">
        <f t="shared" si="12"/>
        <v>3.1501849703877385E-2</v>
      </c>
      <c r="X50" s="264"/>
      <c r="Y50" s="355">
        <f>H37/($D37*1000000)</f>
        <v>3.1501849703877385E-2</v>
      </c>
      <c r="Z50" s="355">
        <f t="shared" ref="Z50:AC50" si="14">I37/($D37*1000000)</f>
        <v>4.3791108151767837E-2</v>
      </c>
      <c r="AA50" s="355">
        <f t="shared" si="14"/>
        <v>3.3370128566710865E-2</v>
      </c>
      <c r="AB50" s="355">
        <f t="shared" si="14"/>
        <v>3.7461391242481844E-2</v>
      </c>
      <c r="AC50" s="355">
        <f t="shared" si="14"/>
        <v>3.4279156929535828E-2</v>
      </c>
      <c r="AD50" s="214"/>
      <c r="AE50" s="214"/>
      <c r="AF50" s="214"/>
      <c r="AG50" s="214"/>
      <c r="AH50" s="214"/>
      <c r="AI50" s="214"/>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row>
    <row r="51" spans="1:66" ht="15" customHeight="1" x14ac:dyDescent="0.3">
      <c r="A51" s="214"/>
      <c r="B51" s="240">
        <v>2024</v>
      </c>
      <c r="C51" s="264"/>
      <c r="D51" s="264"/>
      <c r="E51" s="264"/>
      <c r="F51" s="264"/>
      <c r="G51" s="264"/>
      <c r="H51" s="264"/>
      <c r="I51" s="264"/>
      <c r="J51" s="264"/>
      <c r="K51" s="214"/>
      <c r="L51" s="214"/>
      <c r="M51" s="214"/>
      <c r="N51" s="214"/>
      <c r="O51" s="214"/>
      <c r="P51" s="214"/>
      <c r="Q51" s="214"/>
      <c r="R51" s="214"/>
      <c r="S51" s="214"/>
      <c r="T51" s="214"/>
      <c r="U51" s="240">
        <v>2024</v>
      </c>
      <c r="V51" s="264"/>
      <c r="W51" s="264"/>
      <c r="X51" s="264"/>
      <c r="Y51" s="355"/>
      <c r="Z51" s="355"/>
      <c r="AA51" s="355"/>
      <c r="AB51" s="355"/>
      <c r="AC51" s="355"/>
      <c r="AD51" s="214"/>
      <c r="AE51" s="214"/>
      <c r="AF51" s="214"/>
      <c r="AG51" s="214"/>
      <c r="AH51" s="214"/>
      <c r="AI51" s="214"/>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row>
    <row r="52" spans="1:66" ht="15" customHeight="1" x14ac:dyDescent="0.3">
      <c r="A52" s="214"/>
      <c r="B52" s="232">
        <v>2025</v>
      </c>
      <c r="C52" s="264"/>
      <c r="D52" s="264"/>
      <c r="E52" s="264"/>
      <c r="F52" s="264"/>
      <c r="G52" s="264"/>
      <c r="H52" s="264"/>
      <c r="I52" s="264"/>
      <c r="J52" s="264"/>
      <c r="K52" s="214"/>
      <c r="L52" s="214"/>
      <c r="M52" s="214"/>
      <c r="N52" s="214"/>
      <c r="O52" s="214"/>
      <c r="P52" s="214"/>
      <c r="Q52" s="214"/>
      <c r="R52" s="214"/>
      <c r="S52" s="214"/>
      <c r="T52" s="214"/>
      <c r="U52" s="232">
        <v>2025</v>
      </c>
      <c r="V52" s="264"/>
      <c r="W52" s="264"/>
      <c r="X52" s="264"/>
      <c r="Y52" s="355"/>
      <c r="Z52" s="355"/>
      <c r="AA52" s="355"/>
      <c r="AB52" s="355"/>
      <c r="AC52" s="355"/>
      <c r="AD52" s="214"/>
      <c r="AE52" s="214"/>
      <c r="AF52" s="214"/>
      <c r="AG52" s="214"/>
      <c r="AH52" s="214"/>
      <c r="AI52" s="214"/>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row>
    <row r="53" spans="1:66" ht="15" customHeight="1" x14ac:dyDescent="0.3">
      <c r="A53" s="214"/>
      <c r="B53" s="240">
        <v>2026</v>
      </c>
      <c r="C53" s="262"/>
      <c r="D53" s="264"/>
      <c r="E53" s="264"/>
      <c r="F53" s="264"/>
      <c r="G53" s="262"/>
      <c r="H53" s="262"/>
      <c r="I53" s="262"/>
      <c r="J53" s="262"/>
      <c r="K53" s="214"/>
      <c r="L53" s="214"/>
      <c r="M53" s="214"/>
      <c r="N53" s="214"/>
      <c r="O53" s="214"/>
      <c r="P53" s="214"/>
      <c r="Q53" s="214"/>
      <c r="R53" s="214"/>
      <c r="S53" s="214"/>
      <c r="T53" s="214"/>
      <c r="U53" s="240">
        <v>2026</v>
      </c>
      <c r="V53" s="262"/>
      <c r="W53" s="264"/>
      <c r="X53" s="264"/>
      <c r="Y53" s="355"/>
      <c r="Z53" s="355"/>
      <c r="AA53" s="355"/>
      <c r="AB53" s="355"/>
      <c r="AC53" s="355"/>
      <c r="AD53" s="214"/>
      <c r="AE53" s="214"/>
      <c r="AF53" s="214"/>
      <c r="AG53" s="214"/>
      <c r="AH53" s="214"/>
      <c r="AI53" s="214"/>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row>
    <row r="54" spans="1:66" ht="12.6" customHeight="1" x14ac:dyDescent="0.3">
      <c r="A54" s="214"/>
      <c r="B54" s="214"/>
      <c r="C54" s="214"/>
      <c r="D54" s="214"/>
      <c r="E54" s="214"/>
      <c r="F54" s="214"/>
      <c r="G54" s="214"/>
      <c r="H54" s="214"/>
      <c r="I54" s="214"/>
      <c r="J54" s="214"/>
      <c r="K54" s="214"/>
      <c r="L54" s="214"/>
      <c r="M54" s="214"/>
      <c r="N54" s="214"/>
      <c r="O54" s="214"/>
      <c r="P54" s="214"/>
      <c r="Q54" s="214"/>
      <c r="R54" s="214"/>
      <c r="S54" s="214"/>
      <c r="T54" s="214"/>
      <c r="U54" s="214"/>
      <c r="V54" s="214"/>
      <c r="W54" s="214"/>
      <c r="X54" s="214"/>
      <c r="Y54" s="214"/>
      <c r="Z54" s="214"/>
      <c r="AA54" s="214"/>
      <c r="AB54" s="214"/>
      <c r="AC54" s="214"/>
      <c r="AD54" s="214"/>
      <c r="AE54" s="214"/>
      <c r="AF54" s="214"/>
      <c r="AG54" s="214"/>
      <c r="AH54" s="214"/>
      <c r="AI54" s="214"/>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row>
    <row r="55" spans="1:66" ht="12.6" customHeight="1" x14ac:dyDescent="0.3">
      <c r="A55" s="214"/>
      <c r="B55" s="214"/>
      <c r="C55" s="214"/>
      <c r="D55" s="214"/>
      <c r="E55" s="214"/>
      <c r="F55" s="214"/>
      <c r="G55" s="214"/>
      <c r="H55" s="214"/>
      <c r="I55" s="214"/>
      <c r="J55" s="214"/>
      <c r="K55" s="214"/>
      <c r="L55" s="214"/>
      <c r="M55" s="214"/>
      <c r="N55" s="214"/>
      <c r="O55" s="214"/>
      <c r="P55" s="214"/>
      <c r="Q55" s="214"/>
      <c r="R55" s="214"/>
      <c r="S55" s="214"/>
      <c r="T55" s="214"/>
      <c r="U55" s="214"/>
      <c r="V55" s="214"/>
      <c r="W55" s="214"/>
      <c r="X55" s="214"/>
      <c r="Y55" s="214"/>
      <c r="Z55" s="214"/>
      <c r="AA55" s="214"/>
      <c r="AB55" s="214"/>
      <c r="AC55" s="214"/>
      <c r="AD55" s="214"/>
      <c r="AE55" s="214"/>
      <c r="AF55" s="214"/>
      <c r="AG55" s="214"/>
      <c r="AH55" s="214"/>
      <c r="AI55" s="214"/>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row>
    <row r="56" spans="1:66" ht="12.6" customHeight="1" x14ac:dyDescent="0.3">
      <c r="A56" s="214"/>
      <c r="B56" s="214"/>
      <c r="C56" s="214"/>
      <c r="D56" s="214"/>
      <c r="E56" s="214"/>
      <c r="F56" s="214"/>
      <c r="G56" s="214"/>
      <c r="H56" s="214"/>
      <c r="I56" s="214"/>
      <c r="J56" s="214"/>
      <c r="K56" s="214"/>
      <c r="L56" s="214"/>
      <c r="M56" s="214"/>
      <c r="N56" s="214"/>
      <c r="O56" s="214"/>
      <c r="P56" s="214"/>
      <c r="Q56" s="214"/>
      <c r="R56" s="214"/>
      <c r="S56" s="214"/>
      <c r="T56" s="214"/>
      <c r="U56" s="214"/>
      <c r="V56" s="214"/>
      <c r="W56" s="214"/>
      <c r="X56" s="214"/>
      <c r="Y56" s="214"/>
      <c r="Z56" s="214"/>
      <c r="AA56" s="214"/>
      <c r="AB56" s="214"/>
      <c r="AC56" s="214"/>
      <c r="AD56" s="214"/>
      <c r="AE56" s="214"/>
      <c r="AF56" s="214"/>
      <c r="AG56" s="214"/>
      <c r="AH56" s="214"/>
      <c r="AI56" s="214"/>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row>
    <row r="57" spans="1:66" ht="12.6" customHeight="1" x14ac:dyDescent="0.3">
      <c r="A57" s="214"/>
      <c r="B57" s="214"/>
      <c r="C57" s="214"/>
      <c r="D57" s="214"/>
      <c r="E57" s="214"/>
      <c r="F57" s="214"/>
      <c r="G57" s="214"/>
      <c r="H57" s="214"/>
      <c r="I57" s="214"/>
      <c r="J57" s="214"/>
      <c r="K57" s="214"/>
      <c r="L57" s="214"/>
      <c r="M57" s="214"/>
      <c r="N57" s="214"/>
      <c r="O57" s="214"/>
      <c r="P57" s="214"/>
      <c r="Q57" s="214"/>
      <c r="R57" s="214"/>
      <c r="S57" s="214"/>
      <c r="T57" s="214"/>
      <c r="U57" s="214"/>
      <c r="V57" s="214"/>
      <c r="W57" s="214"/>
      <c r="X57" s="214"/>
      <c r="Y57" s="214"/>
      <c r="Z57" s="214"/>
      <c r="AA57" s="214"/>
      <c r="AB57" s="214"/>
      <c r="AC57" s="214"/>
      <c r="AD57" s="214"/>
      <c r="AE57" s="214"/>
      <c r="AF57" s="214"/>
      <c r="AG57" s="214"/>
      <c r="AH57" s="214"/>
      <c r="AI57" s="214"/>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row>
    <row r="58" spans="1:66" ht="12.6" customHeight="1" x14ac:dyDescent="0.3">
      <c r="A58" s="214"/>
      <c r="B58" s="214"/>
      <c r="C58" s="214"/>
      <c r="D58" s="214"/>
      <c r="E58" s="214"/>
      <c r="F58" s="214"/>
      <c r="G58" s="214"/>
      <c r="H58" s="214"/>
      <c r="I58" s="214"/>
      <c r="J58" s="214"/>
      <c r="K58" s="214"/>
      <c r="L58" s="214"/>
      <c r="M58" s="214"/>
      <c r="N58" s="214"/>
      <c r="O58" s="214"/>
      <c r="P58" s="214"/>
      <c r="Q58" s="214"/>
      <c r="R58" s="214"/>
      <c r="S58" s="214"/>
      <c r="T58" s="214"/>
      <c r="U58" s="214"/>
      <c r="V58" s="214"/>
      <c r="W58" s="214"/>
      <c r="X58" s="214"/>
      <c r="Y58" s="214"/>
      <c r="Z58" s="214"/>
      <c r="AA58" s="214"/>
      <c r="AB58" s="214"/>
      <c r="AC58" s="214"/>
      <c r="AD58" s="214"/>
      <c r="AE58" s="214"/>
      <c r="AF58" s="214"/>
      <c r="AG58" s="214"/>
      <c r="AH58" s="214"/>
      <c r="AI58" s="214"/>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row>
    <row r="59" spans="1:66" ht="12.6"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row>
    <row r="60" spans="1:66" ht="12" customHeight="1" thickBot="1" x14ac:dyDescent="0.35">
      <c r="A60" s="98"/>
      <c r="B60" s="98"/>
      <c r="C60" s="98"/>
      <c r="D60" s="98"/>
      <c r="E60" s="98"/>
      <c r="F60" s="98"/>
      <c r="G60" s="98"/>
      <c r="H60" s="98"/>
      <c r="I60" s="98"/>
      <c r="J60" s="98"/>
      <c r="K60" s="98"/>
      <c r="L60" s="98"/>
      <c r="M60" s="98"/>
      <c r="N60" s="98"/>
      <c r="O60" s="98"/>
      <c r="P60" s="98"/>
      <c r="Q60" s="98"/>
      <c r="R60" s="98"/>
      <c r="S60" s="98"/>
      <c r="T60" s="265"/>
      <c r="U60" s="265"/>
      <c r="V60" s="265"/>
      <c r="W60" s="265"/>
      <c r="X60" s="55"/>
      <c r="Y60" s="55"/>
      <c r="Z60" s="55"/>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row>
    <row r="61" spans="1:66" ht="12" customHeight="1" thickBot="1" x14ac:dyDescent="0.35">
      <c r="A61" s="98"/>
      <c r="B61" s="266" t="s">
        <v>200</v>
      </c>
      <c r="C61" s="267"/>
      <c r="D61" s="267"/>
      <c r="E61" s="267"/>
      <c r="F61" s="267"/>
      <c r="G61" s="267"/>
      <c r="H61" s="267"/>
      <c r="I61" s="267"/>
      <c r="J61" s="267"/>
      <c r="K61" s="267"/>
      <c r="L61" s="267"/>
      <c r="M61" s="267"/>
      <c r="N61" s="267"/>
      <c r="O61" s="267"/>
      <c r="P61" s="267"/>
      <c r="Q61" s="267"/>
      <c r="R61" s="267"/>
      <c r="S61" s="267"/>
      <c r="T61" s="268"/>
      <c r="U61" s="268"/>
      <c r="V61" s="269"/>
      <c r="W61" s="265"/>
      <c r="X61" s="55"/>
      <c r="Y61" s="55"/>
      <c r="Z61" s="55"/>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row>
    <row r="62" spans="1:66" ht="21.6" customHeight="1" x14ac:dyDescent="0.3">
      <c r="A62" s="98"/>
      <c r="B62" s="270"/>
      <c r="C62" s="98"/>
      <c r="D62" s="98"/>
      <c r="E62" s="98"/>
      <c r="F62" s="98"/>
      <c r="G62" s="98"/>
      <c r="H62" s="98"/>
      <c r="I62" s="98"/>
      <c r="J62" s="98"/>
      <c r="K62" s="98"/>
      <c r="L62" s="98"/>
      <c r="M62" s="98"/>
      <c r="N62" s="98"/>
      <c r="O62" s="98"/>
      <c r="P62" s="98"/>
      <c r="Q62" s="98"/>
      <c r="R62" s="98"/>
      <c r="S62" s="98"/>
      <c r="T62" s="98"/>
      <c r="U62" s="98"/>
      <c r="V62" s="98"/>
      <c r="W62" s="98"/>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row>
    <row r="63" spans="1:66" ht="21" customHeight="1" x14ac:dyDescent="0.3">
      <c r="A63" s="98"/>
      <c r="B63" s="98"/>
      <c r="C63" s="98"/>
      <c r="D63" s="98"/>
      <c r="E63" s="98"/>
      <c r="F63" s="98"/>
      <c r="G63" s="98"/>
      <c r="H63" s="98"/>
      <c r="I63" s="98"/>
      <c r="J63" s="98"/>
      <c r="K63" s="98"/>
      <c r="L63" s="98"/>
      <c r="M63" s="98"/>
      <c r="N63" s="98"/>
      <c r="O63" s="98"/>
      <c r="P63" s="98"/>
      <c r="Q63" s="98"/>
      <c r="R63" s="98"/>
      <c r="S63" s="98"/>
      <c r="T63" s="98"/>
      <c r="U63" s="98"/>
      <c r="V63" s="98"/>
      <c r="W63" s="98"/>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row>
    <row r="64" spans="1:66" ht="42.6" customHeight="1" x14ac:dyDescent="0.3">
      <c r="A64" s="98"/>
      <c r="B64" s="356" t="s">
        <v>201</v>
      </c>
      <c r="C64" s="271" t="s">
        <v>202</v>
      </c>
      <c r="D64" s="272" t="s">
        <v>172</v>
      </c>
      <c r="E64" s="272" t="s">
        <v>173</v>
      </c>
      <c r="F64" s="273" t="s">
        <v>174</v>
      </c>
      <c r="G64" s="272" t="s">
        <v>175</v>
      </c>
      <c r="H64" s="274"/>
      <c r="I64" s="274"/>
      <c r="J64" s="274"/>
      <c r="K64" s="274"/>
      <c r="L64" s="274"/>
      <c r="M64" s="274"/>
      <c r="N64" s="274"/>
      <c r="O64" s="274"/>
      <c r="P64" s="274"/>
      <c r="Q64" s="274"/>
      <c r="R64" s="274"/>
      <c r="S64" s="274"/>
      <c r="T64" s="274"/>
      <c r="U64" s="274"/>
      <c r="V64" s="274"/>
      <c r="W64" s="98"/>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row>
    <row r="65" spans="1:66" ht="15.6" customHeight="1" x14ac:dyDescent="0.3">
      <c r="A65" s="98"/>
      <c r="B65" s="275">
        <v>2019</v>
      </c>
      <c r="C65" s="357">
        <f>C22/P22*100</f>
        <v>5.09627274252201</v>
      </c>
      <c r="D65" s="276"/>
      <c r="E65" s="276"/>
      <c r="F65" s="276"/>
      <c r="G65" s="276"/>
      <c r="H65" s="277"/>
      <c r="I65" s="277"/>
      <c r="J65" s="277"/>
      <c r="K65" s="277"/>
      <c r="L65" s="277"/>
      <c r="M65" s="277"/>
      <c r="N65" s="277"/>
      <c r="O65" s="277"/>
      <c r="P65" s="277"/>
      <c r="Q65" s="277"/>
      <c r="R65" s="277"/>
      <c r="S65" s="277"/>
      <c r="T65" s="277"/>
      <c r="U65" s="277"/>
      <c r="V65" s="277"/>
      <c r="W65" s="278"/>
      <c r="X65" s="44"/>
      <c r="Y65" s="44"/>
      <c r="Z65" s="44"/>
      <c r="AA65" s="46"/>
      <c r="AB65" s="46"/>
      <c r="AC65" s="46"/>
      <c r="AD65" s="46"/>
      <c r="AE65" s="46"/>
      <c r="AF65" s="46"/>
      <c r="AG65" s="44"/>
      <c r="AH65" s="44"/>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row>
    <row r="66" spans="1:66" s="51" customFormat="1" ht="15.6" customHeight="1" x14ac:dyDescent="0.3">
      <c r="A66" s="279"/>
      <c r="B66" s="280">
        <v>2020</v>
      </c>
      <c r="C66" s="357">
        <f>D22/Q22*100</f>
        <v>4.5538228342045244</v>
      </c>
      <c r="D66" s="276"/>
      <c r="E66" s="276"/>
      <c r="F66" s="276"/>
      <c r="G66" s="276"/>
      <c r="H66" s="281"/>
      <c r="I66" s="281"/>
      <c r="J66" s="281"/>
      <c r="K66" s="281"/>
      <c r="L66" s="281"/>
      <c r="M66" s="281"/>
      <c r="N66" s="281"/>
      <c r="O66" s="281"/>
      <c r="P66" s="281"/>
      <c r="Q66" s="281"/>
      <c r="R66" s="281"/>
      <c r="S66" s="281"/>
      <c r="T66" s="281"/>
      <c r="U66" s="281"/>
      <c r="V66" s="281"/>
      <c r="W66" s="282"/>
      <c r="X66" s="48"/>
      <c r="Y66" s="48"/>
      <c r="Z66" s="48"/>
      <c r="AA66" s="48"/>
      <c r="AB66" s="48"/>
      <c r="AC66" s="48"/>
      <c r="AD66" s="48"/>
      <c r="AE66" s="48"/>
      <c r="AF66" s="48"/>
      <c r="AG66" s="48"/>
      <c r="AH66" s="48"/>
      <c r="AI66" s="47"/>
      <c r="AJ66" s="47"/>
      <c r="AK66" s="47"/>
      <c r="AL66" s="47"/>
      <c r="AM66" s="47"/>
      <c r="AN66" s="47"/>
      <c r="AO66" s="47"/>
      <c r="AP66" s="47"/>
      <c r="AQ66" s="47"/>
      <c r="AR66" s="47"/>
      <c r="AS66" s="47"/>
      <c r="AT66" s="47"/>
      <c r="AU66" s="47"/>
      <c r="AV66" s="47"/>
      <c r="AW66" s="47"/>
      <c r="AX66" s="47"/>
      <c r="AY66" s="47"/>
      <c r="AZ66" s="47"/>
      <c r="BA66" s="47"/>
      <c r="BB66" s="47"/>
      <c r="BC66" s="47"/>
      <c r="BD66" s="47"/>
      <c r="BE66" s="47"/>
      <c r="BF66" s="47"/>
      <c r="BG66" s="47"/>
      <c r="BH66" s="47"/>
      <c r="BI66" s="47"/>
      <c r="BJ66" s="47"/>
      <c r="BK66" s="47"/>
      <c r="BL66" s="47"/>
      <c r="BM66" s="47"/>
      <c r="BN66" s="47"/>
    </row>
    <row r="67" spans="1:66" ht="15.6" customHeight="1" x14ac:dyDescent="0.3">
      <c r="A67" s="98"/>
      <c r="B67" s="275">
        <v>2021</v>
      </c>
      <c r="C67" s="357">
        <f>E22/R22*100</f>
        <v>4.3140226371030499</v>
      </c>
      <c r="D67" s="276"/>
      <c r="E67" s="276"/>
      <c r="F67" s="276"/>
      <c r="G67" s="276"/>
      <c r="H67" s="281"/>
      <c r="I67" s="281"/>
      <c r="J67" s="281"/>
      <c r="K67" s="281"/>
      <c r="L67" s="281"/>
      <c r="M67" s="281"/>
      <c r="N67" s="281"/>
      <c r="O67" s="281"/>
      <c r="P67" s="281"/>
      <c r="Q67" s="281"/>
      <c r="R67" s="281"/>
      <c r="S67" s="281"/>
      <c r="T67" s="281"/>
      <c r="U67" s="281"/>
      <c r="V67" s="281"/>
      <c r="W67" s="283"/>
      <c r="X67" s="52"/>
      <c r="Y67" s="52"/>
      <c r="Z67" s="52"/>
      <c r="AA67" s="43"/>
      <c r="AB67" s="43"/>
      <c r="AC67" s="43"/>
      <c r="AD67" s="43"/>
      <c r="AE67" s="43"/>
      <c r="AF67" s="43"/>
      <c r="AG67" s="43"/>
      <c r="AH67" s="43"/>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row>
    <row r="68" spans="1:66" ht="15.6" customHeight="1" x14ac:dyDescent="0.3">
      <c r="A68" s="98"/>
      <c r="B68" s="280">
        <v>2022</v>
      </c>
      <c r="C68" s="357">
        <f>F22/S22*100</f>
        <v>4.7179760976921807</v>
      </c>
      <c r="D68" s="276"/>
      <c r="E68" s="276"/>
      <c r="F68" s="276"/>
      <c r="G68" s="276"/>
      <c r="H68" s="284"/>
      <c r="I68" s="284"/>
      <c r="J68" s="284"/>
      <c r="K68" s="284"/>
      <c r="L68" s="284"/>
      <c r="M68" s="284"/>
      <c r="N68" s="284"/>
      <c r="O68" s="284"/>
      <c r="P68" s="284"/>
      <c r="Q68" s="284"/>
      <c r="R68" s="284"/>
      <c r="S68" s="284"/>
      <c r="T68" s="284"/>
      <c r="U68" s="284"/>
      <c r="V68" s="284"/>
      <c r="W68" s="98"/>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row>
    <row r="69" spans="1:66" ht="15.6" customHeight="1" x14ac:dyDescent="0.3">
      <c r="A69" s="98"/>
      <c r="B69" s="275">
        <v>2023</v>
      </c>
      <c r="C69" s="357">
        <f>G22/$T22*100</f>
        <v>5.114312040750236</v>
      </c>
      <c r="D69" s="357">
        <f>H22/$T22*100</f>
        <v>7.1094679773935905</v>
      </c>
      <c r="E69" s="357">
        <f>I22/$T22*100</f>
        <v>5.4176263277996215</v>
      </c>
      <c r="F69" s="357">
        <f>J22/$T22*100</f>
        <v>6.0818411012575773</v>
      </c>
      <c r="G69" s="357">
        <f>K22/$T22*100</f>
        <v>5.565206699907324</v>
      </c>
      <c r="H69" s="277"/>
      <c r="I69" s="277"/>
      <c r="J69" s="277"/>
      <c r="K69" s="277"/>
      <c r="L69" s="277"/>
      <c r="M69" s="277"/>
      <c r="N69" s="277"/>
      <c r="O69" s="277"/>
      <c r="P69" s="277"/>
      <c r="Q69" s="277"/>
      <c r="R69" s="277"/>
      <c r="S69" s="277"/>
      <c r="T69" s="277"/>
      <c r="U69" s="277"/>
      <c r="V69" s="277"/>
      <c r="W69" s="98"/>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row>
    <row r="70" spans="1:66" ht="15.6" customHeight="1" x14ac:dyDescent="0.3">
      <c r="A70" s="98"/>
      <c r="B70" s="280">
        <v>2024</v>
      </c>
      <c r="C70" s="276"/>
      <c r="D70" s="358"/>
      <c r="E70" s="357"/>
      <c r="F70" s="357"/>
      <c r="G70" s="357"/>
      <c r="H70" s="284"/>
      <c r="I70" s="284"/>
      <c r="J70" s="284"/>
      <c r="K70" s="284"/>
      <c r="L70" s="284"/>
      <c r="M70" s="284"/>
      <c r="N70" s="284"/>
      <c r="O70" s="284"/>
      <c r="P70" s="284"/>
      <c r="Q70" s="284"/>
      <c r="R70" s="284"/>
      <c r="S70" s="284"/>
      <c r="T70" s="284"/>
      <c r="U70" s="284"/>
      <c r="V70" s="284"/>
      <c r="W70" s="98"/>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row>
    <row r="71" spans="1:66" ht="15.6" customHeight="1" x14ac:dyDescent="0.3">
      <c r="A71" s="98"/>
      <c r="B71" s="275">
        <v>2025</v>
      </c>
      <c r="C71" s="276"/>
      <c r="D71" s="358"/>
      <c r="E71" s="357"/>
      <c r="F71" s="357"/>
      <c r="G71" s="357"/>
      <c r="H71" s="284"/>
      <c r="I71" s="284"/>
      <c r="J71" s="284"/>
      <c r="K71" s="284"/>
      <c r="L71" s="284"/>
      <c r="M71" s="284"/>
      <c r="N71" s="284"/>
      <c r="O71" s="284"/>
      <c r="P71" s="284"/>
      <c r="Q71" s="284"/>
      <c r="R71" s="284"/>
      <c r="S71" s="284"/>
      <c r="T71" s="284"/>
      <c r="U71" s="284"/>
      <c r="V71" s="284"/>
      <c r="W71" s="98"/>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row>
    <row r="72" spans="1:66" ht="15.6" customHeight="1" x14ac:dyDescent="0.3">
      <c r="A72" s="98"/>
      <c r="B72" s="280">
        <v>2026</v>
      </c>
      <c r="C72" s="276"/>
      <c r="D72" s="357"/>
      <c r="E72" s="357"/>
      <c r="F72" s="357"/>
      <c r="G72" s="357"/>
      <c r="H72" s="277"/>
      <c r="I72" s="277"/>
      <c r="J72" s="277"/>
      <c r="K72" s="277"/>
      <c r="L72" s="277"/>
      <c r="M72" s="277"/>
      <c r="N72" s="277"/>
      <c r="O72" s="277"/>
      <c r="P72" s="277"/>
      <c r="Q72" s="277"/>
      <c r="R72" s="277"/>
      <c r="S72" s="277"/>
      <c r="T72" s="277"/>
      <c r="U72" s="277"/>
      <c r="V72" s="277"/>
      <c r="W72" s="98"/>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row>
    <row r="73" spans="1:66" ht="12.6" customHeight="1" x14ac:dyDescent="0.3">
      <c r="A73" s="98"/>
      <c r="B73" s="98"/>
      <c r="C73" s="98"/>
      <c r="D73" s="98"/>
      <c r="E73" s="98"/>
      <c r="F73" s="98"/>
      <c r="G73" s="98"/>
      <c r="H73" s="98"/>
      <c r="I73" s="98"/>
      <c r="J73" s="98"/>
      <c r="K73" s="98"/>
      <c r="L73" s="98"/>
      <c r="M73" s="98"/>
      <c r="N73" s="98"/>
      <c r="O73" s="98"/>
      <c r="P73" s="98"/>
      <c r="Q73" s="98"/>
      <c r="R73" s="98"/>
      <c r="S73" s="98"/>
      <c r="T73" s="98"/>
      <c r="U73" s="98"/>
      <c r="V73" s="98"/>
      <c r="W73" s="98"/>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row>
    <row r="74" spans="1:66" ht="12.6" customHeight="1" x14ac:dyDescent="0.3">
      <c r="A74" s="98"/>
      <c r="B74" s="98"/>
      <c r="C74" s="285"/>
      <c r="D74" s="98"/>
      <c r="E74" s="98"/>
      <c r="F74" s="98"/>
      <c r="G74" s="98"/>
      <c r="H74" s="98"/>
      <c r="I74" s="98"/>
      <c r="J74" s="98"/>
      <c r="K74" s="98"/>
      <c r="L74" s="98"/>
      <c r="M74" s="98"/>
      <c r="N74" s="98"/>
      <c r="O74" s="98"/>
      <c r="P74" s="98"/>
      <c r="Q74" s="98"/>
      <c r="R74" s="98"/>
      <c r="S74" s="98"/>
      <c r="T74" s="98"/>
      <c r="U74" s="98"/>
      <c r="V74" s="98"/>
      <c r="W74" s="98"/>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row>
    <row r="75" spans="1:66" ht="12.6" customHeight="1" x14ac:dyDescent="0.3">
      <c r="A75" s="98"/>
      <c r="B75" s="98"/>
      <c r="C75" s="98"/>
      <c r="D75" s="98"/>
      <c r="E75" s="98"/>
      <c r="F75" s="98"/>
      <c r="G75" s="98"/>
      <c r="H75" s="98"/>
      <c r="I75" s="98"/>
      <c r="J75" s="98"/>
      <c r="K75" s="98"/>
      <c r="L75" s="98"/>
      <c r="M75" s="98"/>
      <c r="N75" s="98"/>
      <c r="O75" s="98"/>
      <c r="P75" s="98"/>
      <c r="Q75" s="98"/>
      <c r="R75" s="98"/>
      <c r="S75" s="98"/>
      <c r="T75" s="98"/>
      <c r="U75" s="98"/>
      <c r="V75" s="98"/>
      <c r="W75" s="98"/>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row>
    <row r="76" spans="1:66" ht="18" customHeight="1" x14ac:dyDescent="0.3">
      <c r="A76" s="98"/>
      <c r="B76" s="98"/>
      <c r="C76" s="98"/>
      <c r="D76" s="98"/>
      <c r="E76" s="98"/>
      <c r="F76" s="98"/>
      <c r="G76" s="98"/>
      <c r="H76" s="98"/>
      <c r="I76" s="98"/>
      <c r="J76" s="98"/>
      <c r="K76" s="98"/>
      <c r="L76" s="98"/>
      <c r="M76" s="98"/>
      <c r="N76" s="98"/>
      <c r="O76" s="98"/>
      <c r="P76" s="98"/>
      <c r="Q76" s="98"/>
      <c r="R76" s="98"/>
      <c r="S76" s="98"/>
      <c r="T76" s="98"/>
      <c r="U76" s="98"/>
      <c r="V76" s="98"/>
      <c r="W76" s="98"/>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row>
    <row r="77" spans="1:66" ht="42" customHeight="1" x14ac:dyDescent="0.3">
      <c r="A77" s="98"/>
      <c r="B77" s="356" t="s">
        <v>203</v>
      </c>
      <c r="C77" s="271" t="s">
        <v>202</v>
      </c>
      <c r="D77" s="272" t="s">
        <v>172</v>
      </c>
      <c r="E77" s="272" t="s">
        <v>173</v>
      </c>
      <c r="F77" s="273" t="s">
        <v>174</v>
      </c>
      <c r="G77" s="272" t="s">
        <v>175</v>
      </c>
      <c r="H77" s="98"/>
      <c r="I77" s="98"/>
      <c r="J77" s="98"/>
      <c r="K77" s="98"/>
      <c r="L77" s="98"/>
      <c r="M77" s="98"/>
      <c r="N77" s="98"/>
      <c r="O77" s="98"/>
      <c r="P77" s="98"/>
      <c r="Q77" s="98"/>
      <c r="R77" s="98"/>
      <c r="S77" s="98"/>
      <c r="T77" s="98"/>
      <c r="U77" s="98"/>
      <c r="V77" s="98"/>
      <c r="W77" s="98"/>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row>
    <row r="78" spans="1:66" ht="15.6" customHeight="1" x14ac:dyDescent="0.3">
      <c r="A78" s="98"/>
      <c r="B78" s="275">
        <v>2019</v>
      </c>
      <c r="C78" s="357">
        <f>C65</f>
        <v>5.09627274252201</v>
      </c>
      <c r="D78" s="276"/>
      <c r="E78" s="276"/>
      <c r="F78" s="276"/>
      <c r="G78" s="276"/>
      <c r="H78" s="98"/>
      <c r="I78" s="98"/>
      <c r="J78" s="98"/>
      <c r="K78" s="98"/>
      <c r="L78" s="98"/>
      <c r="M78" s="98"/>
      <c r="N78" s="98"/>
      <c r="O78" s="98"/>
      <c r="P78" s="98"/>
      <c r="Q78" s="98"/>
      <c r="R78" s="98"/>
      <c r="S78" s="98"/>
      <c r="T78" s="98"/>
      <c r="U78" s="98"/>
      <c r="V78" s="98"/>
      <c r="W78" s="98"/>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row>
    <row r="79" spans="1:66" s="1" customFormat="1" ht="15" customHeight="1" x14ac:dyDescent="0.3">
      <c r="A79" s="98"/>
      <c r="B79" s="280">
        <v>2020</v>
      </c>
      <c r="C79" s="357">
        <f>C66</f>
        <v>4.5538228342045244</v>
      </c>
      <c r="D79" s="276"/>
      <c r="E79" s="276"/>
      <c r="F79" s="276"/>
      <c r="G79" s="276"/>
      <c r="H79" s="98"/>
      <c r="I79" s="98"/>
      <c r="J79" s="98"/>
      <c r="K79" s="98"/>
      <c r="L79" s="98"/>
      <c r="M79" s="98"/>
      <c r="N79" s="98"/>
      <c r="O79" s="98"/>
      <c r="P79" s="98"/>
      <c r="Q79" s="98"/>
      <c r="R79" s="98"/>
      <c r="S79" s="98"/>
      <c r="T79" s="98"/>
      <c r="U79" s="98"/>
      <c r="V79" s="98"/>
      <c r="W79" s="98"/>
    </row>
    <row r="80" spans="1:66" s="1" customFormat="1" ht="15" customHeight="1" x14ac:dyDescent="0.3">
      <c r="A80" s="98"/>
      <c r="B80" s="275">
        <v>2021</v>
      </c>
      <c r="C80" s="357">
        <f>C67</f>
        <v>4.3140226371030499</v>
      </c>
      <c r="D80" s="276"/>
      <c r="E80" s="276"/>
      <c r="F80" s="276"/>
      <c r="G80" s="276"/>
      <c r="H80" s="98"/>
      <c r="I80" s="98"/>
      <c r="J80" s="98"/>
      <c r="K80" s="98"/>
      <c r="L80" s="98"/>
      <c r="M80" s="98"/>
      <c r="N80" s="98"/>
      <c r="O80" s="98"/>
      <c r="P80" s="98"/>
      <c r="Q80" s="98"/>
      <c r="R80" s="98"/>
      <c r="S80" s="98"/>
      <c r="T80" s="98"/>
      <c r="U80" s="98"/>
      <c r="V80" s="98"/>
      <c r="W80" s="98"/>
    </row>
    <row r="81" spans="1:23" s="1" customFormat="1" ht="15" customHeight="1" x14ac:dyDescent="0.3">
      <c r="A81" s="98"/>
      <c r="B81" s="280">
        <v>2022</v>
      </c>
      <c r="C81" s="357">
        <f>C68</f>
        <v>4.7179760976921807</v>
      </c>
      <c r="D81" s="276"/>
      <c r="E81" s="276"/>
      <c r="F81" s="276"/>
      <c r="G81" s="276"/>
      <c r="H81" s="98"/>
      <c r="I81" s="98"/>
      <c r="J81" s="98"/>
      <c r="K81" s="98"/>
      <c r="L81" s="98"/>
      <c r="M81" s="98"/>
      <c r="N81" s="98"/>
      <c r="O81" s="98"/>
      <c r="P81" s="98"/>
      <c r="Q81" s="98"/>
      <c r="R81" s="98"/>
      <c r="S81" s="98"/>
      <c r="T81" s="98"/>
      <c r="U81" s="98"/>
      <c r="V81" s="98"/>
      <c r="W81" s="98"/>
    </row>
    <row r="82" spans="1:23" s="1" customFormat="1" ht="15" customHeight="1" x14ac:dyDescent="0.3">
      <c r="A82" s="98"/>
      <c r="B82" s="275">
        <v>2023</v>
      </c>
      <c r="C82" s="357">
        <f>C69</f>
        <v>5.114312040750236</v>
      </c>
      <c r="D82" s="357">
        <f>D69</f>
        <v>7.1094679773935905</v>
      </c>
      <c r="E82" s="357">
        <f>E69</f>
        <v>5.4176263277996215</v>
      </c>
      <c r="F82" s="357">
        <f>F69</f>
        <v>6.0818411012575773</v>
      </c>
      <c r="G82" s="357">
        <f>G69</f>
        <v>5.565206699907324</v>
      </c>
      <c r="H82" s="98"/>
      <c r="I82" s="98"/>
      <c r="J82" s="98"/>
      <c r="K82" s="98"/>
      <c r="L82" s="98"/>
      <c r="M82" s="98"/>
      <c r="N82" s="98"/>
      <c r="O82" s="98"/>
      <c r="P82" s="98"/>
      <c r="Q82" s="98"/>
      <c r="R82" s="98"/>
      <c r="S82" s="98"/>
      <c r="T82" s="98"/>
      <c r="U82" s="98"/>
      <c r="V82" s="98"/>
      <c r="W82" s="98"/>
    </row>
    <row r="83" spans="1:23" s="1" customFormat="1" ht="15" customHeight="1" x14ac:dyDescent="0.3">
      <c r="A83" s="98"/>
      <c r="B83" s="280">
        <v>2024</v>
      </c>
      <c r="C83" s="357"/>
      <c r="D83" s="358"/>
      <c r="E83" s="358"/>
      <c r="F83" s="358"/>
      <c r="G83" s="358"/>
      <c r="H83" s="98"/>
      <c r="I83" s="98"/>
      <c r="J83" s="98"/>
      <c r="K83" s="98"/>
      <c r="L83" s="98"/>
      <c r="M83" s="98"/>
      <c r="N83" s="98"/>
      <c r="O83" s="98"/>
      <c r="P83" s="98"/>
      <c r="Q83" s="98"/>
      <c r="R83" s="98"/>
      <c r="S83" s="98"/>
      <c r="T83" s="98"/>
      <c r="U83" s="98"/>
      <c r="V83" s="98"/>
      <c r="W83" s="98"/>
    </row>
    <row r="84" spans="1:23" s="1" customFormat="1" ht="15" customHeight="1" x14ac:dyDescent="0.3">
      <c r="A84" s="98"/>
      <c r="B84" s="275">
        <v>2025</v>
      </c>
      <c r="C84" s="357"/>
      <c r="D84" s="358"/>
      <c r="E84" s="358"/>
      <c r="F84" s="358"/>
      <c r="G84" s="358"/>
      <c r="H84" s="98"/>
      <c r="I84" s="98"/>
      <c r="J84" s="98"/>
      <c r="K84" s="98"/>
      <c r="L84" s="98"/>
      <c r="M84" s="98"/>
      <c r="N84" s="98"/>
      <c r="O84" s="98"/>
      <c r="P84" s="98"/>
      <c r="Q84" s="98"/>
      <c r="R84" s="98"/>
      <c r="S84" s="98"/>
      <c r="T84" s="98"/>
      <c r="U84" s="98"/>
      <c r="V84" s="98"/>
      <c r="W84" s="98"/>
    </row>
    <row r="85" spans="1:23" s="1" customFormat="1" ht="15" customHeight="1" x14ac:dyDescent="0.3">
      <c r="A85" s="98"/>
      <c r="B85" s="280">
        <v>2026</v>
      </c>
      <c r="C85" s="357"/>
      <c r="D85" s="357"/>
      <c r="E85" s="357"/>
      <c r="F85" s="357"/>
      <c r="G85" s="357"/>
      <c r="H85" s="98"/>
      <c r="I85" s="98"/>
      <c r="J85" s="98"/>
      <c r="K85" s="98"/>
      <c r="L85" s="98"/>
      <c r="M85" s="98"/>
      <c r="N85" s="98"/>
      <c r="O85" s="98"/>
      <c r="P85" s="98"/>
      <c r="Q85" s="98"/>
      <c r="R85" s="98"/>
      <c r="S85" s="98"/>
      <c r="T85" s="98"/>
      <c r="U85" s="98"/>
      <c r="V85" s="98"/>
      <c r="W85" s="98"/>
    </row>
    <row r="86" spans="1:23" s="1" customFormat="1" ht="12.6" customHeight="1" x14ac:dyDescent="0.3">
      <c r="A86" s="98"/>
      <c r="B86" s="98"/>
      <c r="C86" s="98"/>
      <c r="D86" s="285"/>
      <c r="E86" s="98"/>
      <c r="F86" s="98"/>
      <c r="G86" s="98"/>
      <c r="H86" s="98"/>
      <c r="I86" s="98"/>
      <c r="J86" s="98"/>
      <c r="K86" s="98"/>
      <c r="L86" s="98"/>
      <c r="M86" s="98"/>
      <c r="N86" s="98"/>
      <c r="O86" s="98"/>
      <c r="P86" s="98"/>
      <c r="Q86" s="98"/>
      <c r="R86" s="98"/>
      <c r="S86" s="98"/>
      <c r="T86" s="98"/>
      <c r="U86" s="98"/>
      <c r="V86" s="98"/>
      <c r="W86" s="98"/>
    </row>
    <row r="87" spans="1:23" s="1" customFormat="1" ht="12.6" customHeight="1" x14ac:dyDescent="0.3">
      <c r="A87" s="98"/>
      <c r="B87" s="98"/>
      <c r="C87" s="98"/>
      <c r="D87" s="98"/>
      <c r="E87" s="98"/>
      <c r="F87" s="98"/>
      <c r="G87" s="98"/>
      <c r="H87" s="98"/>
      <c r="I87" s="98"/>
      <c r="J87" s="98"/>
      <c r="K87" s="98"/>
      <c r="L87" s="98"/>
      <c r="M87" s="98"/>
      <c r="N87" s="98"/>
      <c r="O87" s="98"/>
      <c r="P87" s="98"/>
      <c r="Q87" s="98"/>
      <c r="R87" s="98"/>
      <c r="S87" s="98"/>
      <c r="T87" s="98"/>
      <c r="U87" s="98"/>
      <c r="V87" s="98"/>
      <c r="W87" s="98"/>
    </row>
    <row r="88" spans="1:23" s="1" customFormat="1" ht="12.6" customHeight="1" x14ac:dyDescent="0.3">
      <c r="A88" s="98"/>
      <c r="B88" s="98"/>
      <c r="C88" s="98"/>
      <c r="D88" s="98"/>
      <c r="E88" s="98"/>
      <c r="F88" s="98"/>
      <c r="G88" s="98"/>
      <c r="H88" s="98"/>
      <c r="I88" s="98"/>
      <c r="J88" s="98"/>
      <c r="K88" s="98"/>
      <c r="L88" s="98"/>
      <c r="M88" s="98"/>
      <c r="N88" s="98"/>
      <c r="O88" s="98"/>
      <c r="P88" s="98"/>
      <c r="Q88" s="98"/>
      <c r="R88" s="98"/>
      <c r="S88" s="98"/>
      <c r="T88" s="98"/>
      <c r="U88" s="98"/>
      <c r="V88" s="98"/>
      <c r="W88" s="98"/>
    </row>
    <row r="89" spans="1:23" s="1" customFormat="1" ht="12.6" customHeight="1" x14ac:dyDescent="0.3"/>
    <row r="90" spans="1:23" s="1" customFormat="1" ht="12.6" customHeight="1" x14ac:dyDescent="0.3"/>
    <row r="91" spans="1:23" s="1" customFormat="1" x14ac:dyDescent="0.3"/>
    <row r="92" spans="1:23" s="1" customFormat="1" x14ac:dyDescent="0.3"/>
    <row r="93" spans="1:23" s="1" customFormat="1" x14ac:dyDescent="0.3"/>
    <row r="94" spans="1:23" s="1" customFormat="1" x14ac:dyDescent="0.3"/>
    <row r="95" spans="1:23" s="1" customFormat="1" x14ac:dyDescent="0.3"/>
    <row r="96" spans="1:23" s="1" customFormat="1" x14ac:dyDescent="0.3"/>
    <row r="97" s="1" customFormat="1" x14ac:dyDescent="0.3"/>
    <row r="98" s="1" customFormat="1" x14ac:dyDescent="0.3"/>
    <row r="99" s="1" customFormat="1" x14ac:dyDescent="0.3"/>
    <row r="100" s="1" customFormat="1" x14ac:dyDescent="0.3"/>
    <row r="101" s="1" customFormat="1" x14ac:dyDescent="0.3"/>
    <row r="102" s="1" customFormat="1" x14ac:dyDescent="0.3"/>
    <row r="103" s="1" customFormat="1" x14ac:dyDescent="0.3"/>
    <row r="104" s="1" customFormat="1" x14ac:dyDescent="0.3"/>
    <row r="105" s="1" customFormat="1" x14ac:dyDescent="0.3"/>
    <row r="106" s="1" customFormat="1" x14ac:dyDescent="0.3"/>
    <row r="107" s="1" customFormat="1" x14ac:dyDescent="0.3"/>
    <row r="108" s="1" customFormat="1" x14ac:dyDescent="0.3"/>
    <row r="109" s="1" customFormat="1" x14ac:dyDescent="0.3"/>
    <row r="110" s="1" customFormat="1" x14ac:dyDescent="0.3"/>
    <row r="111" s="1" customFormat="1" x14ac:dyDescent="0.3"/>
    <row r="112" s="1" customFormat="1" x14ac:dyDescent="0.3"/>
    <row r="113" s="1" customFormat="1" x14ac:dyDescent="0.3"/>
    <row r="114" s="1" customFormat="1" x14ac:dyDescent="0.3"/>
    <row r="115" s="1" customFormat="1" x14ac:dyDescent="0.3"/>
    <row r="116" s="1" customFormat="1" x14ac:dyDescent="0.3"/>
    <row r="117" s="1" customFormat="1" x14ac:dyDescent="0.3"/>
    <row r="118" s="1" customFormat="1" x14ac:dyDescent="0.3"/>
    <row r="119" s="1" customFormat="1" x14ac:dyDescent="0.3"/>
    <row r="120" s="1" customFormat="1" x14ac:dyDescent="0.3"/>
    <row r="121" s="1" customFormat="1" x14ac:dyDescent="0.3"/>
  </sheetData>
  <pageMargins left="0.7" right="0.7" top="0.75" bottom="0.75" header="0.3" footer="0.3"/>
  <pageSetup paperSize="9" orientation="portrait" r:id="rId1"/>
  <drawing r:id="rId2"/>
  <legacyDrawing r:id="rId3"/>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F8A9FD-E01D-470F-90E8-6725722882B5}">
  <dimension ref="A1:FQ27"/>
  <sheetViews>
    <sheetView zoomScale="85" zoomScaleNormal="85" workbookViewId="0">
      <selection activeCell="AH35" sqref="AH35"/>
    </sheetView>
  </sheetViews>
  <sheetFormatPr baseColWidth="10" defaultColWidth="8.6640625" defaultRowHeight="14.4" x14ac:dyDescent="0.3"/>
  <cols>
    <col min="1" max="1" width="4.33203125" customWidth="1"/>
    <col min="3" max="3" width="17.33203125" customWidth="1"/>
    <col min="4" max="4" width="17" bestFit="1" customWidth="1"/>
    <col min="5" max="5" width="17.6640625" customWidth="1"/>
    <col min="6" max="6" width="16.44140625" customWidth="1"/>
    <col min="7" max="7" width="17" bestFit="1" customWidth="1"/>
    <col min="8" max="15" width="18" customWidth="1"/>
    <col min="16" max="17" width="18.6640625" customWidth="1"/>
    <col min="18" max="18" width="15.33203125" customWidth="1"/>
    <col min="19" max="22" width="18" customWidth="1"/>
    <col min="23" max="31" width="14.6640625" customWidth="1"/>
    <col min="32" max="32" width="15.33203125" customWidth="1"/>
    <col min="33" max="33" width="14.6640625" customWidth="1"/>
    <col min="34" max="41" width="13.5546875" customWidth="1"/>
    <col min="42" max="42" width="15.5546875" customWidth="1"/>
    <col min="43" max="43" width="13" customWidth="1"/>
    <col min="44" max="44" width="11.33203125" customWidth="1"/>
    <col min="45" max="45" width="12.33203125" customWidth="1"/>
    <col min="46" max="50" width="11.33203125" customWidth="1"/>
    <col min="51" max="51" width="13.44140625" customWidth="1"/>
    <col min="56" max="56" width="9.6640625" customWidth="1"/>
    <col min="60" max="60" width="19.44140625" customWidth="1"/>
    <col min="61" max="61" width="18" customWidth="1"/>
    <col min="62" max="62" width="18.33203125" customWidth="1"/>
    <col min="63" max="63" width="16.33203125" customWidth="1"/>
    <col min="68" max="68" width="11.44140625" bestFit="1" customWidth="1"/>
    <col min="69" max="69" width="13.5546875" customWidth="1"/>
    <col min="70" max="70" width="13.6640625" customWidth="1"/>
    <col min="71" max="71" width="12.44140625" customWidth="1"/>
    <col min="72" max="77" width="12.6640625" customWidth="1"/>
    <col min="78" max="80" width="11.33203125" customWidth="1"/>
    <col min="81" max="85" width="11.6640625" hidden="1" customWidth="1"/>
    <col min="86" max="86" width="13.33203125" hidden="1" customWidth="1"/>
    <col min="87" max="88" width="11.6640625" hidden="1" customWidth="1"/>
    <col min="89" max="94" width="12.6640625" customWidth="1"/>
    <col min="95" max="96" width="11.33203125" customWidth="1"/>
    <col min="97" max="104" width="11.6640625" customWidth="1"/>
    <col min="105" max="108" width="13.44140625" customWidth="1"/>
    <col min="110" max="130" width="0.5546875" customWidth="1"/>
    <col min="131" max="132" width="16.33203125" customWidth="1"/>
    <col min="133" max="133" width="17.33203125" customWidth="1"/>
    <col min="134" max="134" width="14.5546875" customWidth="1"/>
    <col min="135" max="135" width="16.5546875" customWidth="1"/>
    <col min="136" max="138" width="18" customWidth="1"/>
    <col min="139" max="142" width="15.33203125" customWidth="1"/>
    <col min="143" max="143" width="11" customWidth="1"/>
    <col min="144" max="145" width="16.6640625" customWidth="1"/>
    <col min="146" max="146" width="9.33203125" customWidth="1"/>
    <col min="147" max="150" width="17" customWidth="1"/>
    <col min="153" max="153" width="10.6640625" customWidth="1"/>
    <col min="156" max="157" width="11.33203125" customWidth="1"/>
    <col min="158" max="161" width="9.6640625" customWidth="1"/>
    <col min="162" max="165" width="11.5546875" customWidth="1"/>
  </cols>
  <sheetData>
    <row r="1" spans="1:173" ht="15" thickBot="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ht="18" customHeight="1" thickBot="1" x14ac:dyDescent="0.35">
      <c r="A2" s="1"/>
      <c r="B2" s="2" t="s">
        <v>579</v>
      </c>
      <c r="C2" s="3"/>
      <c r="D2" s="3"/>
      <c r="E2" s="3"/>
      <c r="F2" s="3"/>
      <c r="G2" s="3"/>
      <c r="H2" s="4"/>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18" customHeight="1" x14ac:dyDescent="0.3">
      <c r="A3" s="1"/>
      <c r="B3" s="5" t="s">
        <v>0</v>
      </c>
      <c r="C3" s="6"/>
      <c r="D3" s="6"/>
      <c r="E3" s="6"/>
      <c r="F3" s="6"/>
      <c r="G3" s="6"/>
      <c r="H3" s="7"/>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18" customHeight="1" x14ac:dyDescent="0.3">
      <c r="A4" s="1"/>
      <c r="B4" s="8" t="s">
        <v>1</v>
      </c>
      <c r="C4" s="9"/>
      <c r="D4" s="9"/>
      <c r="E4" s="9"/>
      <c r="F4" s="9"/>
      <c r="G4" s="9"/>
      <c r="H4" s="10"/>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12.6" customHeight="1" x14ac:dyDescent="0.3">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row>
    <row r="6" spans="1:173" ht="12.6" customHeight="1" x14ac:dyDescent="0.3">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row>
    <row r="7" spans="1:173" ht="12.6" customHeight="1" x14ac:dyDescent="0.3">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c r="EU7" s="1"/>
      <c r="EV7" s="1"/>
      <c r="EW7" s="1"/>
      <c r="EX7" s="1"/>
      <c r="EY7" s="1"/>
      <c r="EZ7" s="1"/>
      <c r="FA7" s="1"/>
      <c r="FB7" s="1"/>
      <c r="FC7" s="1"/>
      <c r="FD7" s="1"/>
      <c r="FE7" s="1"/>
      <c r="FF7" s="1"/>
      <c r="FG7" s="1"/>
      <c r="FH7" s="1"/>
      <c r="FI7" s="1"/>
      <c r="FJ7" s="1"/>
      <c r="FK7" s="1"/>
      <c r="FL7" s="1"/>
      <c r="FM7" s="1"/>
      <c r="FN7" s="1"/>
      <c r="FO7" s="1"/>
      <c r="FP7" s="1"/>
      <c r="FQ7" s="1"/>
    </row>
    <row r="8" spans="1:173" ht="17.7" customHeight="1" x14ac:dyDescent="0.3">
      <c r="A8" s="1"/>
      <c r="B8" s="11" t="s">
        <v>2</v>
      </c>
      <c r="C8" s="12" t="s">
        <v>227</v>
      </c>
      <c r="D8" s="12" t="s">
        <v>228</v>
      </c>
      <c r="E8" s="124" t="s">
        <v>229</v>
      </c>
      <c r="F8" s="125"/>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56"/>
      <c r="CD8" s="56"/>
      <c r="CE8" s="56"/>
      <c r="CF8" s="56"/>
      <c r="CG8" s="56"/>
      <c r="CH8" s="56"/>
      <c r="CI8" s="56"/>
      <c r="CJ8" s="56"/>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row>
    <row r="9" spans="1:173" ht="10.35" customHeight="1" x14ac:dyDescent="0.3">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56"/>
      <c r="CD9" s="56"/>
      <c r="CE9" s="56"/>
      <c r="CF9" s="56"/>
      <c r="CG9" s="56"/>
      <c r="CH9" s="56"/>
      <c r="CI9" s="56"/>
      <c r="CJ9" s="56"/>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row>
    <row r="10" spans="1:173" x14ac:dyDescent="0.3">
      <c r="A10" s="1"/>
      <c r="B10" s="1"/>
      <c r="C10" s="13" t="s">
        <v>6</v>
      </c>
      <c r="D10" s="14"/>
      <c r="E10" s="14"/>
      <c r="F10" s="14"/>
      <c r="G10" s="14"/>
      <c r="H10" s="14"/>
      <c r="I10" s="14"/>
      <c r="J10" s="14"/>
      <c r="K10" s="14"/>
      <c r="L10" s="14"/>
      <c r="M10" s="14"/>
      <c r="N10" s="14"/>
      <c r="O10" s="14"/>
      <c r="P10" s="15" t="s">
        <v>580</v>
      </c>
      <c r="Q10" s="16"/>
      <c r="R10" s="16"/>
      <c r="S10" s="16"/>
      <c r="T10" s="16"/>
      <c r="U10" s="16"/>
      <c r="V10" s="16"/>
      <c r="W10" s="13" t="s">
        <v>628</v>
      </c>
      <c r="X10" s="17"/>
      <c r="Y10" s="17"/>
      <c r="Z10" s="17"/>
      <c r="AA10" s="17"/>
      <c r="AB10" s="17"/>
      <c r="AC10" s="17"/>
      <c r="AD10" s="13" t="s">
        <v>629</v>
      </c>
      <c r="AE10" s="17"/>
      <c r="AF10" s="17"/>
      <c r="AG10" s="18"/>
      <c r="AH10" s="19" t="s">
        <v>630</v>
      </c>
      <c r="AI10" s="20"/>
      <c r="AJ10" s="16"/>
      <c r="AK10" s="16"/>
      <c r="AL10" s="16"/>
      <c r="AM10" s="16"/>
      <c r="AN10" s="16"/>
      <c r="AO10" s="16"/>
      <c r="AP10" s="21"/>
      <c r="AQ10" s="19" t="s">
        <v>9</v>
      </c>
      <c r="AR10" s="16"/>
      <c r="AS10" s="16"/>
      <c r="AT10" s="16"/>
      <c r="AU10" s="16"/>
      <c r="AV10" s="16"/>
      <c r="AW10" s="16"/>
      <c r="AX10" s="16"/>
      <c r="AY10" s="21"/>
      <c r="AZ10" s="22" t="s">
        <v>10</v>
      </c>
      <c r="BA10" s="23"/>
      <c r="BB10" s="23"/>
      <c r="BC10" s="23"/>
      <c r="BD10" s="23"/>
      <c r="BE10" s="23"/>
      <c r="BF10" s="23"/>
      <c r="BG10" s="23"/>
      <c r="BH10" s="23"/>
      <c r="BI10" s="23"/>
      <c r="BJ10" s="23"/>
      <c r="BK10" s="23"/>
      <c r="BL10" s="23"/>
      <c r="BM10" s="23"/>
      <c r="BN10" s="23"/>
      <c r="BO10" s="23"/>
      <c r="BP10" s="23"/>
      <c r="BQ10" s="23"/>
      <c r="BR10" s="24"/>
      <c r="BS10" s="11"/>
      <c r="BT10" s="19"/>
      <c r="BU10" s="16"/>
      <c r="BV10" s="16"/>
      <c r="BW10" s="16"/>
      <c r="BX10" s="16"/>
      <c r="BY10" s="16"/>
      <c r="BZ10" s="16"/>
      <c r="CA10" s="16"/>
      <c r="CB10" s="16"/>
      <c r="CC10" s="58" t="s">
        <v>12</v>
      </c>
      <c r="CD10" s="59"/>
      <c r="CE10" s="59"/>
      <c r="CF10" s="59"/>
      <c r="CG10" s="59"/>
      <c r="CH10" s="59"/>
      <c r="CI10" s="59"/>
      <c r="CJ10" s="59"/>
      <c r="CK10" s="19" t="s">
        <v>581</v>
      </c>
      <c r="CL10" s="16"/>
      <c r="CM10" s="16"/>
      <c r="CN10" s="16"/>
      <c r="CO10" s="16"/>
      <c r="CP10" s="16"/>
      <c r="CQ10" s="16"/>
      <c r="CR10" s="16"/>
      <c r="CS10" s="19" t="s">
        <v>582</v>
      </c>
      <c r="CT10" s="127"/>
      <c r="CU10" s="59"/>
      <c r="CV10" s="59"/>
      <c r="CW10" s="59"/>
      <c r="CX10" s="59"/>
      <c r="CY10" s="59"/>
      <c r="CZ10" s="59"/>
      <c r="DA10" s="15" t="s">
        <v>15</v>
      </c>
      <c r="DB10" s="60"/>
      <c r="DC10" s="60"/>
      <c r="DD10" s="8" t="s">
        <v>16</v>
      </c>
      <c r="DE10" s="10"/>
      <c r="DF10" s="1"/>
      <c r="DG10" s="1"/>
      <c r="DH10" s="1"/>
      <c r="DI10" s="1"/>
      <c r="DJ10" s="1"/>
      <c r="DK10" s="1"/>
      <c r="DL10" s="1"/>
      <c r="DM10" s="1"/>
      <c r="DN10" s="1"/>
      <c r="DO10" s="1"/>
      <c r="DP10" s="1"/>
      <c r="DQ10" s="1"/>
      <c r="DR10" s="1"/>
      <c r="DS10" s="1"/>
      <c r="DT10" s="1"/>
      <c r="DU10" s="1"/>
      <c r="DV10" s="1"/>
      <c r="DW10" s="1"/>
      <c r="DX10" s="1"/>
      <c r="DY10" s="1"/>
      <c r="DZ10" s="1"/>
      <c r="EA10" s="13" t="s">
        <v>17</v>
      </c>
      <c r="EB10" s="14"/>
      <c r="EC10" s="14"/>
      <c r="ED10" s="14"/>
      <c r="EE10" s="14"/>
      <c r="EF10" s="14"/>
      <c r="EG10" s="14"/>
      <c r="EH10" s="14"/>
      <c r="EI10" s="14"/>
      <c r="EJ10" s="14"/>
      <c r="EK10" s="14"/>
      <c r="EL10" s="14"/>
      <c r="EM10" s="14"/>
      <c r="EN10" s="15" t="s">
        <v>583</v>
      </c>
      <c r="EO10" s="16"/>
      <c r="EP10" s="16"/>
      <c r="EQ10" s="16"/>
      <c r="ER10" s="16"/>
      <c r="ES10" s="16"/>
      <c r="ET10" s="16"/>
      <c r="EU10" s="16"/>
      <c r="EV10" s="13" t="s">
        <v>631</v>
      </c>
      <c r="EW10" s="14"/>
      <c r="EX10" s="14"/>
      <c r="EY10" s="61"/>
      <c r="EZ10" s="62" t="s">
        <v>19</v>
      </c>
      <c r="FA10" s="10"/>
      <c r="FB10" s="14" t="s">
        <v>632</v>
      </c>
      <c r="FC10" s="17"/>
      <c r="FD10" s="17"/>
      <c r="FE10" s="17"/>
      <c r="FF10" s="17"/>
      <c r="FG10" s="17"/>
      <c r="FH10" s="17"/>
      <c r="FI10" s="18"/>
      <c r="FJ10" s="1"/>
      <c r="FK10" s="1"/>
      <c r="FL10" s="1"/>
      <c r="FM10" s="1"/>
      <c r="FN10" s="1"/>
      <c r="FO10" s="1"/>
      <c r="FP10" s="1"/>
      <c r="FQ10" s="1"/>
    </row>
    <row r="11" spans="1:173" ht="78.75" customHeight="1" x14ac:dyDescent="0.3">
      <c r="A11" s="1"/>
      <c r="B11" s="25" t="s">
        <v>20</v>
      </c>
      <c r="C11" s="26" t="s">
        <v>21</v>
      </c>
      <c r="D11" s="27" t="s">
        <v>22</v>
      </c>
      <c r="E11" s="27" t="s">
        <v>23</v>
      </c>
      <c r="F11" s="27" t="s">
        <v>24</v>
      </c>
      <c r="G11" s="27" t="s">
        <v>25</v>
      </c>
      <c r="H11" s="27" t="s">
        <v>26</v>
      </c>
      <c r="I11" s="27" t="s">
        <v>27</v>
      </c>
      <c r="J11" s="121"/>
      <c r="K11" s="27" t="s">
        <v>29</v>
      </c>
      <c r="L11" s="27" t="s">
        <v>30</v>
      </c>
      <c r="M11" s="27" t="s">
        <v>31</v>
      </c>
      <c r="N11" s="27" t="s">
        <v>32</v>
      </c>
      <c r="O11" s="27" t="s">
        <v>33</v>
      </c>
      <c r="P11" s="26" t="s">
        <v>21</v>
      </c>
      <c r="Q11" s="27" t="s">
        <v>22</v>
      </c>
      <c r="R11" s="27" t="s">
        <v>34</v>
      </c>
      <c r="S11" s="27" t="s">
        <v>29</v>
      </c>
      <c r="T11" s="27" t="s">
        <v>30</v>
      </c>
      <c r="U11" s="27" t="s">
        <v>31</v>
      </c>
      <c r="V11" s="27" t="s">
        <v>32</v>
      </c>
      <c r="W11" s="27" t="s">
        <v>22</v>
      </c>
      <c r="X11" s="27" t="s">
        <v>23</v>
      </c>
      <c r="Y11" s="27" t="s">
        <v>35</v>
      </c>
      <c r="Z11" s="27" t="s">
        <v>36</v>
      </c>
      <c r="AA11" s="27" t="s">
        <v>26</v>
      </c>
      <c r="AB11" s="27" t="s">
        <v>27</v>
      </c>
      <c r="AC11" s="27" t="s">
        <v>28</v>
      </c>
      <c r="AD11" s="27" t="s">
        <v>29</v>
      </c>
      <c r="AE11" s="27" t="s">
        <v>30</v>
      </c>
      <c r="AF11" s="27" t="s">
        <v>31</v>
      </c>
      <c r="AG11" s="27" t="s">
        <v>32</v>
      </c>
      <c r="AH11" s="27" t="s">
        <v>37</v>
      </c>
      <c r="AI11" s="27" t="s">
        <v>38</v>
      </c>
      <c r="AJ11" s="27" t="s">
        <v>39</v>
      </c>
      <c r="AK11" s="27" t="s">
        <v>40</v>
      </c>
      <c r="AL11" s="27" t="s">
        <v>41</v>
      </c>
      <c r="AM11" s="27" t="s">
        <v>42</v>
      </c>
      <c r="AN11" s="121" t="s">
        <v>43</v>
      </c>
      <c r="AO11" s="27" t="s">
        <v>44</v>
      </c>
      <c r="AP11" s="27" t="s">
        <v>45</v>
      </c>
      <c r="AQ11" s="27" t="s">
        <v>37</v>
      </c>
      <c r="AR11" s="27" t="s">
        <v>38</v>
      </c>
      <c r="AS11" s="27" t="s">
        <v>39</v>
      </c>
      <c r="AT11" s="27" t="s">
        <v>40</v>
      </c>
      <c r="AU11" s="27" t="s">
        <v>41</v>
      </c>
      <c r="AV11" s="27" t="s">
        <v>42</v>
      </c>
      <c r="AW11" s="121"/>
      <c r="AX11" s="27" t="s">
        <v>44</v>
      </c>
      <c r="AY11" s="27" t="s">
        <v>45</v>
      </c>
      <c r="AZ11" s="27" t="s">
        <v>633</v>
      </c>
      <c r="BA11" s="27" t="s">
        <v>634</v>
      </c>
      <c r="BB11" s="27" t="s">
        <v>635</v>
      </c>
      <c r="BC11" s="27" t="s">
        <v>636</v>
      </c>
      <c r="BD11" s="27" t="s">
        <v>46</v>
      </c>
      <c r="BE11" s="27" t="s">
        <v>47</v>
      </c>
      <c r="BF11" s="27" t="s">
        <v>48</v>
      </c>
      <c r="BG11" s="27" t="s">
        <v>49</v>
      </c>
      <c r="BH11" s="27" t="s">
        <v>50</v>
      </c>
      <c r="BI11" s="27" t="s">
        <v>51</v>
      </c>
      <c r="BJ11" s="27" t="s">
        <v>52</v>
      </c>
      <c r="BK11" s="27" t="s">
        <v>53</v>
      </c>
      <c r="BL11" s="27" t="s">
        <v>54</v>
      </c>
      <c r="BM11" s="27" t="s">
        <v>55</v>
      </c>
      <c r="BN11" s="27" t="s">
        <v>56</v>
      </c>
      <c r="BO11" s="27" t="s">
        <v>57</v>
      </c>
      <c r="BP11" s="27" t="s">
        <v>637</v>
      </c>
      <c r="BQ11" s="27" t="s">
        <v>638</v>
      </c>
      <c r="BR11" s="27" t="s">
        <v>273</v>
      </c>
      <c r="BS11" s="27" t="s">
        <v>584</v>
      </c>
      <c r="BT11" s="27"/>
      <c r="BU11" s="27"/>
      <c r="BV11" s="27"/>
      <c r="BW11" s="27"/>
      <c r="BX11" s="27"/>
      <c r="BY11" s="27"/>
      <c r="BZ11" s="27"/>
      <c r="CA11" s="27"/>
      <c r="CB11" s="27"/>
      <c r="CC11" s="63" t="s">
        <v>68</v>
      </c>
      <c r="CD11" s="63" t="s">
        <v>69</v>
      </c>
      <c r="CE11" s="63" t="s">
        <v>70</v>
      </c>
      <c r="CF11" s="63" t="s">
        <v>71</v>
      </c>
      <c r="CG11" s="63" t="s">
        <v>72</v>
      </c>
      <c r="CH11" s="63" t="s">
        <v>73</v>
      </c>
      <c r="CI11" s="63" t="s">
        <v>74</v>
      </c>
      <c r="CJ11" s="63" t="s">
        <v>75</v>
      </c>
      <c r="CK11" s="27" t="s">
        <v>585</v>
      </c>
      <c r="CL11" s="27" t="s">
        <v>586</v>
      </c>
      <c r="CM11" s="27" t="s">
        <v>587</v>
      </c>
      <c r="CN11" s="27" t="s">
        <v>588</v>
      </c>
      <c r="CO11" s="27" t="s">
        <v>80</v>
      </c>
      <c r="CP11" s="27" t="s">
        <v>81</v>
      </c>
      <c r="CQ11" s="27" t="s">
        <v>82</v>
      </c>
      <c r="CR11" s="27" t="s">
        <v>589</v>
      </c>
      <c r="CS11" s="128" t="s">
        <v>590</v>
      </c>
      <c r="CT11" s="128" t="s">
        <v>591</v>
      </c>
      <c r="CU11" s="128" t="s">
        <v>592</v>
      </c>
      <c r="CV11" s="128" t="s">
        <v>593</v>
      </c>
      <c r="CW11" s="128" t="s">
        <v>88</v>
      </c>
      <c r="CX11" s="128" t="s">
        <v>89</v>
      </c>
      <c r="CY11" s="128" t="s">
        <v>90</v>
      </c>
      <c r="CZ11" s="128" t="s">
        <v>91</v>
      </c>
      <c r="DA11" s="64" t="s">
        <v>92</v>
      </c>
      <c r="DB11" s="64" t="s">
        <v>93</v>
      </c>
      <c r="DC11" s="64" t="s">
        <v>94</v>
      </c>
      <c r="DD11" s="64" t="s">
        <v>95</v>
      </c>
      <c r="DE11" s="64" t="s">
        <v>96</v>
      </c>
      <c r="DF11" s="1"/>
      <c r="DG11" s="1"/>
      <c r="DH11" s="1"/>
      <c r="DI11" s="1"/>
      <c r="DJ11" s="1"/>
      <c r="DK11" s="1"/>
      <c r="DL11" s="1"/>
      <c r="DM11" s="1"/>
      <c r="DN11" s="1"/>
      <c r="DO11" s="1"/>
      <c r="DP11" s="1"/>
      <c r="DQ11" s="1"/>
      <c r="DR11" s="1"/>
      <c r="DS11" s="1"/>
      <c r="DT11" s="1"/>
      <c r="DU11" s="1"/>
      <c r="DV11" s="1"/>
      <c r="DW11" s="1"/>
      <c r="DX11" s="1"/>
      <c r="DY11" s="1"/>
      <c r="DZ11" s="1"/>
      <c r="EA11" s="26" t="s">
        <v>97</v>
      </c>
      <c r="EB11" s="27" t="s">
        <v>98</v>
      </c>
      <c r="EC11" s="27" t="s">
        <v>99</v>
      </c>
      <c r="ED11" s="27" t="s">
        <v>100</v>
      </c>
      <c r="EE11" s="27" t="s">
        <v>101</v>
      </c>
      <c r="EF11" s="27" t="s">
        <v>102</v>
      </c>
      <c r="EG11" s="27" t="s">
        <v>103</v>
      </c>
      <c r="EH11" s="121"/>
      <c r="EI11" s="27" t="s">
        <v>104</v>
      </c>
      <c r="EJ11" s="27" t="s">
        <v>105</v>
      </c>
      <c r="EK11" s="27" t="s">
        <v>106</v>
      </c>
      <c r="EL11" s="27" t="s">
        <v>107</v>
      </c>
      <c r="EM11" s="27" t="s">
        <v>33</v>
      </c>
      <c r="EN11" s="27" t="s">
        <v>97</v>
      </c>
      <c r="EO11" s="27" t="s">
        <v>98</v>
      </c>
      <c r="EP11" s="27" t="s">
        <v>108</v>
      </c>
      <c r="EQ11" s="27" t="s">
        <v>104</v>
      </c>
      <c r="ER11" s="27" t="s">
        <v>105</v>
      </c>
      <c r="ES11" s="27" t="s">
        <v>106</v>
      </c>
      <c r="ET11" s="27" t="s">
        <v>107</v>
      </c>
      <c r="EU11" s="27" t="s">
        <v>594</v>
      </c>
      <c r="EV11" s="64" t="s">
        <v>639</v>
      </c>
      <c r="EW11" s="27" t="s">
        <v>99</v>
      </c>
      <c r="EX11" s="64" t="s">
        <v>110</v>
      </c>
      <c r="EY11" s="64" t="s">
        <v>640</v>
      </c>
      <c r="EZ11" s="64" t="s">
        <v>111</v>
      </c>
      <c r="FA11" s="64" t="s">
        <v>112</v>
      </c>
      <c r="FB11" s="27" t="s">
        <v>641</v>
      </c>
      <c r="FC11" s="27" t="s">
        <v>642</v>
      </c>
      <c r="FD11" s="27" t="s">
        <v>643</v>
      </c>
      <c r="FE11" s="27" t="s">
        <v>644</v>
      </c>
      <c r="FF11" s="27" t="s">
        <v>645</v>
      </c>
      <c r="FG11" s="27" t="s">
        <v>646</v>
      </c>
      <c r="FH11" s="27" t="s">
        <v>647</v>
      </c>
      <c r="FI11" s="27" t="s">
        <v>648</v>
      </c>
      <c r="FJ11" s="1"/>
      <c r="FK11" s="1"/>
      <c r="FL11" s="1"/>
      <c r="FM11" s="1"/>
      <c r="FN11" s="1"/>
      <c r="FO11" s="1"/>
      <c r="FP11" s="1"/>
      <c r="FQ11" s="1"/>
    </row>
    <row r="12" spans="1:173" x14ac:dyDescent="0.3">
      <c r="A12" s="1"/>
      <c r="B12" s="28">
        <v>1</v>
      </c>
      <c r="C12" s="129">
        <v>11129521817</v>
      </c>
      <c r="D12" s="129">
        <v>11241552488</v>
      </c>
      <c r="E12" s="129">
        <v>11233757200</v>
      </c>
      <c r="F12" s="129">
        <v>11241552488</v>
      </c>
      <c r="G12" s="129">
        <v>11233757200</v>
      </c>
      <c r="H12" s="129">
        <v>11233757200</v>
      </c>
      <c r="I12" s="129">
        <v>11233757200</v>
      </c>
      <c r="J12" s="122"/>
      <c r="K12" s="130" t="s">
        <v>113</v>
      </c>
      <c r="L12" s="130" t="s">
        <v>113</v>
      </c>
      <c r="M12" s="130" t="s">
        <v>113</v>
      </c>
      <c r="N12" s="130" t="s">
        <v>113</v>
      </c>
      <c r="O12" s="131">
        <f>C12/C$22*100</f>
        <v>0.5893420348287719</v>
      </c>
      <c r="P12" s="129">
        <v>158287978874</v>
      </c>
      <c r="Q12" s="129">
        <v>159870856774</v>
      </c>
      <c r="R12" s="131">
        <f t="shared" ref="R12:R21" si="0">(Q12/P12-1)*100</f>
        <v>0.99999880676977515</v>
      </c>
      <c r="S12" s="130" t="s">
        <v>113</v>
      </c>
      <c r="T12" s="130" t="s">
        <v>113</v>
      </c>
      <c r="U12" s="130" t="s">
        <v>113</v>
      </c>
      <c r="V12" s="130" t="s">
        <v>113</v>
      </c>
      <c r="W12" s="132">
        <f>IF(D12&lt;&gt;0,((D12-$C12)/ABS($C12)) / ($Q12/$P12-1),0)</f>
        <v>1.0066093271628136</v>
      </c>
      <c r="X12" s="132">
        <f>IF(E12&lt;&gt;0,((E12-$C12)/ABS($C12)) / ($Q12/$P12-1),0)</f>
        <v>0.93656770785732579</v>
      </c>
      <c r="Y12" s="132">
        <f>IF(F12&lt;&gt;0,((F12-$C12)/ABS($C12)) / ($Q12/$P12-1),0)</f>
        <v>1.0066093271628136</v>
      </c>
      <c r="Z12" s="132">
        <f>IF(G12&lt;&gt;0,((G12-$C12)/ABS($C12)) / ($Q12/$P12-1),0)</f>
        <v>0.93656770785732579</v>
      </c>
      <c r="AA12" s="132">
        <f>IF(H12&lt;&gt;0,((H12-$C12)/ABS($C12)) / ($Q12/$P12-1),0)</f>
        <v>0.93656770785732579</v>
      </c>
      <c r="AB12" s="132">
        <f t="shared" ref="AB12:AC21" si="1">IF(I12&lt;&gt;0,((I12-$C12)/ABS($C12)) / ($Q12/$P12-1),AA12)</f>
        <v>0.93656770785732579</v>
      </c>
      <c r="AC12" s="132">
        <f t="shared" si="1"/>
        <v>0.93656770785732579</v>
      </c>
      <c r="AD12" s="130" t="s">
        <v>113</v>
      </c>
      <c r="AE12" s="130" t="s">
        <v>113</v>
      </c>
      <c r="AF12" s="130" t="s">
        <v>113</v>
      </c>
      <c r="AG12" s="130" t="s">
        <v>113</v>
      </c>
      <c r="AH12" s="133">
        <f>MIN(W12,1)</f>
        <v>1</v>
      </c>
      <c r="AI12" s="134">
        <f>IF(W12&gt;1,W12-SUM(AH12,AJ12:AO12),0)</f>
        <v>0</v>
      </c>
      <c r="AJ12" s="134">
        <f>IF(W12&gt;1,MIN($W12-Y12,W12-AH12),0)</f>
        <v>0</v>
      </c>
      <c r="AK12" s="134">
        <f>IF(W12&gt;1,MIN(Y12-Z12,W12-AH12-AJ12),0)</f>
        <v>6.6093271628135941E-3</v>
      </c>
      <c r="AL12" s="134">
        <f>IF(W12&gt;1,MIN(Z12-AA12,W12-AH12-AJ12-AK12),0)</f>
        <v>0</v>
      </c>
      <c r="AM12" s="134">
        <f>IF(I12&lt;&gt;0,IF(W12&gt;1,MIN(AA12-AB12,W12-AJ12-AK12-AL12),0),0)</f>
        <v>0</v>
      </c>
      <c r="AN12" s="135">
        <f>IF(J12&lt;&gt;0,IF(W12&gt;1,MIN(AB12-AC12,W12-AH12-AJ12-AK12-AL12-AM12),0),0)</f>
        <v>0</v>
      </c>
      <c r="AO12" s="134">
        <f>IF(W12&gt;1,MIN(AC12-X12,W12-AH12-AJ12-AK12-AL12-AM12-AN12),0)</f>
        <v>0</v>
      </c>
      <c r="AP12" s="134">
        <f t="shared" ref="AP12:AP21" si="2">AI12+AO12</f>
        <v>0</v>
      </c>
      <c r="AQ12" s="136" t="s">
        <v>113</v>
      </c>
      <c r="AR12" s="137">
        <f t="shared" ref="AR12:AY22" si="3">AI12/($W12-1)*100</f>
        <v>0</v>
      </c>
      <c r="AS12" s="137">
        <f t="shared" si="3"/>
        <v>0</v>
      </c>
      <c r="AT12" s="137">
        <f t="shared" si="3"/>
        <v>100</v>
      </c>
      <c r="AU12" s="137">
        <f t="shared" si="3"/>
        <v>0</v>
      </c>
      <c r="AV12" s="137">
        <f t="shared" si="3"/>
        <v>0</v>
      </c>
      <c r="AW12" s="138">
        <f t="shared" si="3"/>
        <v>0</v>
      </c>
      <c r="AX12" s="137">
        <f t="shared" si="3"/>
        <v>0</v>
      </c>
      <c r="AY12" s="137">
        <f t="shared" si="3"/>
        <v>0</v>
      </c>
      <c r="AZ12" s="139" t="s">
        <v>113</v>
      </c>
      <c r="BA12" s="139" t="s">
        <v>113</v>
      </c>
      <c r="BB12" s="139" t="s">
        <v>113</v>
      </c>
      <c r="BC12" s="139" t="s">
        <v>113</v>
      </c>
      <c r="BD12" s="139" t="s">
        <v>113</v>
      </c>
      <c r="BE12" s="139" t="s">
        <v>113</v>
      </c>
      <c r="BF12" s="139" t="s">
        <v>113</v>
      </c>
      <c r="BG12" s="139" t="s">
        <v>113</v>
      </c>
      <c r="BH12" s="140">
        <v>107332713957</v>
      </c>
      <c r="BI12" s="140">
        <v>39021000836</v>
      </c>
      <c r="BJ12" s="140">
        <v>11916411432</v>
      </c>
      <c r="BK12" s="140">
        <v>17853415</v>
      </c>
      <c r="BL12" s="141">
        <f>BH12/SUM($BH12:$BK12)</f>
        <v>0.67808505864507607</v>
      </c>
      <c r="BM12" s="141">
        <f t="shared" ref="BM12:BO22" si="4">BI12/SUM($BH12:$BK12)</f>
        <v>0.24651904032603647</v>
      </c>
      <c r="BN12" s="141">
        <f t="shared" si="4"/>
        <v>7.5283110310093784E-2</v>
      </c>
      <c r="BO12" s="141">
        <f t="shared" si="4"/>
        <v>1.1279071879371168E-4</v>
      </c>
      <c r="BP12" s="139" t="s">
        <v>113</v>
      </c>
      <c r="BQ12" s="139" t="s">
        <v>113</v>
      </c>
      <c r="BR12" s="139" t="s">
        <v>113</v>
      </c>
      <c r="BS12" s="131">
        <f>P12/P$22*100</f>
        <v>0.88498581842046464</v>
      </c>
      <c r="BT12" s="139"/>
      <c r="BU12" s="139"/>
      <c r="BV12" s="139"/>
      <c r="BW12" s="139"/>
      <c r="BX12" s="139"/>
      <c r="BY12" s="139"/>
      <c r="BZ12" s="139"/>
      <c r="CA12" s="139"/>
      <c r="CB12" s="139"/>
      <c r="CC12" s="142" t="s">
        <v>113</v>
      </c>
      <c r="CD12" s="142" t="s">
        <v>113</v>
      </c>
      <c r="CE12" s="142" t="s">
        <v>113</v>
      </c>
      <c r="CF12" s="142" t="s">
        <v>113</v>
      </c>
      <c r="CG12" s="142" t="s">
        <v>113</v>
      </c>
      <c r="CH12" s="142" t="s">
        <v>113</v>
      </c>
      <c r="CI12" s="142" t="s">
        <v>113</v>
      </c>
      <c r="CJ12" s="142"/>
      <c r="CK12" s="139" t="s">
        <v>113</v>
      </c>
      <c r="CL12" s="139" t="s">
        <v>113</v>
      </c>
      <c r="CM12" s="139" t="s">
        <v>113</v>
      </c>
      <c r="CN12" s="139" t="s">
        <v>113</v>
      </c>
      <c r="CO12" s="139" t="s">
        <v>113</v>
      </c>
      <c r="CP12" s="139" t="s">
        <v>113</v>
      </c>
      <c r="CQ12" s="139" t="s">
        <v>113</v>
      </c>
      <c r="CR12" s="139"/>
      <c r="CS12" s="143" t="s">
        <v>113</v>
      </c>
      <c r="CT12" s="143" t="s">
        <v>113</v>
      </c>
      <c r="CU12" s="143" t="s">
        <v>113</v>
      </c>
      <c r="CV12" s="143" t="s">
        <v>113</v>
      </c>
      <c r="CW12" s="143" t="s">
        <v>113</v>
      </c>
      <c r="CX12" s="143" t="s">
        <v>113</v>
      </c>
      <c r="CY12" s="143" t="s">
        <v>113</v>
      </c>
      <c r="CZ12" s="143"/>
      <c r="DA12" s="139" t="s">
        <v>113</v>
      </c>
      <c r="DB12" s="139" t="s">
        <v>113</v>
      </c>
      <c r="DC12" s="139" t="s">
        <v>113</v>
      </c>
      <c r="DD12" s="144">
        <f>(1-DE12)*100</f>
        <v>63.4</v>
      </c>
      <c r="DE12" s="145">
        <v>0.36599999999999999</v>
      </c>
      <c r="DF12" s="1"/>
      <c r="DG12" s="1"/>
      <c r="DH12" s="1"/>
      <c r="DI12" s="1"/>
      <c r="DJ12" s="1"/>
      <c r="DK12" s="1"/>
      <c r="DL12" s="1"/>
      <c r="DM12" s="1"/>
      <c r="DN12" s="1"/>
      <c r="DO12" s="1"/>
      <c r="DP12" s="1"/>
      <c r="DQ12" s="1"/>
      <c r="DR12" s="1"/>
      <c r="DS12" s="1"/>
      <c r="DT12" s="1"/>
      <c r="DU12" s="1"/>
      <c r="DV12" s="1"/>
      <c r="DW12" s="1"/>
      <c r="DX12" s="1"/>
      <c r="DY12" s="1"/>
      <c r="DZ12" s="1"/>
      <c r="EA12" s="146">
        <v>15415222439</v>
      </c>
      <c r="EB12" s="146">
        <v>15577579349</v>
      </c>
      <c r="EC12" s="146">
        <v>15558911254</v>
      </c>
      <c r="ED12" s="147"/>
      <c r="EE12" s="147"/>
      <c r="EF12" s="147"/>
      <c r="EG12" s="129"/>
      <c r="EH12" s="122"/>
      <c r="EI12" s="130" t="s">
        <v>113</v>
      </c>
      <c r="EJ12" s="130" t="s">
        <v>113</v>
      </c>
      <c r="EK12" s="130" t="s">
        <v>113</v>
      </c>
      <c r="EL12" s="130" t="s">
        <v>113</v>
      </c>
      <c r="EM12" s="131">
        <f t="shared" ref="EM12:EM21" si="5">EA12/EA$22*100</f>
        <v>0.5602932000220473</v>
      </c>
      <c r="EN12" s="146">
        <v>333386279920</v>
      </c>
      <c r="EO12" s="146">
        <v>336509388427</v>
      </c>
      <c r="EP12" s="131">
        <f t="shared" ref="EP12:EP21" si="6">(EO12/EN12-1)*100</f>
        <v>0.93678375359340649</v>
      </c>
      <c r="EQ12" s="130" t="s">
        <v>113</v>
      </c>
      <c r="ER12" s="130" t="s">
        <v>113</v>
      </c>
      <c r="ES12" s="130" t="s">
        <v>113</v>
      </c>
      <c r="ET12" s="130" t="s">
        <v>113</v>
      </c>
      <c r="EU12" s="131">
        <f>EN12/EN$22*100</f>
        <v>1.2081586009612648</v>
      </c>
      <c r="EV12" s="132">
        <f>((EB12-$EA12)/ABS($EA12)) / ($EO12/$EN12-1)</f>
        <v>1.1242984993634626</v>
      </c>
      <c r="EW12" s="132">
        <f>IF(EC12&lt;&gt;0,((EC12-$EA12)/ABS($EA12)) / ($EO12/$EN12-1),0)</f>
        <v>0.99502459784319741</v>
      </c>
      <c r="EX12" s="132"/>
      <c r="EY12" s="148">
        <f t="shared" ref="EY12:EY22" si="7">EV12-W12</f>
        <v>0.11768917220064901</v>
      </c>
      <c r="EZ12" s="144">
        <f>(1-FA12)*100</f>
        <v>28.700000000000003</v>
      </c>
      <c r="FA12" s="145">
        <v>0.71299999999999997</v>
      </c>
      <c r="FB12" s="130" t="s">
        <v>113</v>
      </c>
      <c r="FC12" s="130" t="s">
        <v>113</v>
      </c>
      <c r="FD12" s="130" t="s">
        <v>113</v>
      </c>
      <c r="FE12" s="130" t="s">
        <v>113</v>
      </c>
      <c r="FF12" s="130" t="s">
        <v>113</v>
      </c>
      <c r="FG12" s="130" t="s">
        <v>113</v>
      </c>
      <c r="FH12" s="130" t="s">
        <v>113</v>
      </c>
      <c r="FI12" s="130" t="s">
        <v>113</v>
      </c>
      <c r="FJ12" s="1"/>
      <c r="FK12" s="1"/>
      <c r="FL12" s="1"/>
      <c r="FM12" s="1"/>
      <c r="FN12" s="1"/>
      <c r="FO12" s="1"/>
      <c r="FP12" s="1"/>
      <c r="FQ12" s="1"/>
    </row>
    <row r="13" spans="1:173" x14ac:dyDescent="0.3">
      <c r="A13" s="1"/>
      <c r="B13" s="28">
        <v>2</v>
      </c>
      <c r="C13" s="129">
        <v>31650966315</v>
      </c>
      <c r="D13" s="129">
        <v>32005111287</v>
      </c>
      <c r="E13" s="129">
        <v>31963929997</v>
      </c>
      <c r="F13" s="129">
        <v>32005111287</v>
      </c>
      <c r="G13" s="129">
        <v>31963929997</v>
      </c>
      <c r="H13" s="129">
        <v>31963929997</v>
      </c>
      <c r="I13" s="129">
        <v>31963929997</v>
      </c>
      <c r="J13" s="122"/>
      <c r="K13" s="130" t="s">
        <v>113</v>
      </c>
      <c r="L13" s="130" t="s">
        <v>113</v>
      </c>
      <c r="M13" s="130" t="s">
        <v>113</v>
      </c>
      <c r="N13" s="130" t="s">
        <v>113</v>
      </c>
      <c r="O13" s="131">
        <f t="shared" ref="O13:O21" si="8">C13/C$22*100</f>
        <v>1.6760149446750501</v>
      </c>
      <c r="P13" s="129">
        <v>696226041394</v>
      </c>
      <c r="Q13" s="129">
        <v>703188299938</v>
      </c>
      <c r="R13" s="131">
        <f t="shared" si="0"/>
        <v>0.99999973141768894</v>
      </c>
      <c r="S13" s="130" t="s">
        <v>113</v>
      </c>
      <c r="T13" s="130" t="s">
        <v>113</v>
      </c>
      <c r="U13" s="130" t="s">
        <v>113</v>
      </c>
      <c r="V13" s="130" t="s">
        <v>113</v>
      </c>
      <c r="W13" s="132">
        <f t="shared" ref="W13:AA22" si="9">IF(D13&lt;&gt;0,((D13-$C13)/ABS($C13)) / ($Q13/$P13-1),0)</f>
        <v>1.1189075985628421</v>
      </c>
      <c r="X13" s="132">
        <f t="shared" si="9"/>
        <v>0.98879687571564601</v>
      </c>
      <c r="Y13" s="132">
        <f t="shared" si="9"/>
        <v>1.1189075985628421</v>
      </c>
      <c r="Z13" s="132">
        <f t="shared" si="9"/>
        <v>0.98879687571564601</v>
      </c>
      <c r="AA13" s="132">
        <f t="shared" si="9"/>
        <v>0.98879687571564601</v>
      </c>
      <c r="AB13" s="132">
        <f t="shared" si="1"/>
        <v>0.98879687571564601</v>
      </c>
      <c r="AC13" s="132">
        <f t="shared" si="1"/>
        <v>0.98879687571564601</v>
      </c>
      <c r="AD13" s="130" t="s">
        <v>113</v>
      </c>
      <c r="AE13" s="130" t="s">
        <v>113</v>
      </c>
      <c r="AF13" s="130" t="s">
        <v>113</v>
      </c>
      <c r="AG13" s="130" t="s">
        <v>113</v>
      </c>
      <c r="AH13" s="133">
        <f t="shared" ref="AH13:AH22" si="10">MIN(W13,1)</f>
        <v>1</v>
      </c>
      <c r="AI13" s="134">
        <f t="shared" ref="AI13:AI21" si="11">IF(W13&gt;1,W13-SUM(AH13,AJ13:AO13),0)</f>
        <v>0</v>
      </c>
      <c r="AJ13" s="134">
        <f t="shared" ref="AJ13:AJ22" si="12">IF(W13&gt;1,MIN($W13-Y13,W13-AH13),0)</f>
        <v>0</v>
      </c>
      <c r="AK13" s="134">
        <f t="shared" ref="AK13:AK22" si="13">IF(W13&gt;1,MIN(Y13-Z13,W13-AH13-AJ13),0)</f>
        <v>0.11890759856284205</v>
      </c>
      <c r="AL13" s="134">
        <f t="shared" ref="AL13:AL22" si="14">IF(W13&gt;1,MIN(Z13-AA13,W13-AH13-AJ13-AK13),0)</f>
        <v>0</v>
      </c>
      <c r="AM13" s="134">
        <f t="shared" ref="AM13:AM22" si="15">IF(I13&lt;&gt;0,IF(W13&gt;1,MIN(AA13-AB13,W13-AJ13-AK13-AL13),0),0)</f>
        <v>0</v>
      </c>
      <c r="AN13" s="135">
        <f t="shared" ref="AN13:AN22" si="16">IF(J13&lt;&gt;0,IF(W13&gt;1,MIN(AB13-AC13,W13-AH13-AJ13-AK13-AL13-AM13),0),0)</f>
        <v>0</v>
      </c>
      <c r="AO13" s="134">
        <f t="shared" ref="AO13:AO22" si="17">IF(W13&gt;1,MIN(AC13-X13,W13-AH13-AJ13-AK13-AL13-AM13-AN13),0)</f>
        <v>0</v>
      </c>
      <c r="AP13" s="134">
        <f>AI13+AO13</f>
        <v>0</v>
      </c>
      <c r="AQ13" s="136" t="s">
        <v>113</v>
      </c>
      <c r="AR13" s="137">
        <f t="shared" si="3"/>
        <v>0</v>
      </c>
      <c r="AS13" s="137">
        <f t="shared" si="3"/>
        <v>0</v>
      </c>
      <c r="AT13" s="137">
        <f t="shared" si="3"/>
        <v>100</v>
      </c>
      <c r="AU13" s="137">
        <f t="shared" si="3"/>
        <v>0</v>
      </c>
      <c r="AV13" s="137">
        <f t="shared" si="3"/>
        <v>0</v>
      </c>
      <c r="AW13" s="138">
        <f t="shared" si="3"/>
        <v>0</v>
      </c>
      <c r="AX13" s="137">
        <f t="shared" si="3"/>
        <v>0</v>
      </c>
      <c r="AY13" s="137">
        <f t="shared" si="3"/>
        <v>0</v>
      </c>
      <c r="AZ13" s="139" t="s">
        <v>113</v>
      </c>
      <c r="BA13" s="139" t="s">
        <v>113</v>
      </c>
      <c r="BB13" s="139" t="s">
        <v>113</v>
      </c>
      <c r="BC13" s="139" t="s">
        <v>113</v>
      </c>
      <c r="BD13" s="139" t="s">
        <v>113</v>
      </c>
      <c r="BE13" s="139" t="s">
        <v>113</v>
      </c>
      <c r="BF13" s="139" t="s">
        <v>113</v>
      </c>
      <c r="BG13" s="139" t="s">
        <v>113</v>
      </c>
      <c r="BH13" s="140">
        <v>300415271606</v>
      </c>
      <c r="BI13" s="140">
        <v>344697578032</v>
      </c>
      <c r="BJ13" s="140">
        <v>50910533400</v>
      </c>
      <c r="BK13" s="140">
        <v>202658990</v>
      </c>
      <c r="BL13" s="141">
        <f t="shared" ref="BL13:BL22" si="18">BH13/SUM($BH13:$BK13)</f>
        <v>0.43149100072576463</v>
      </c>
      <c r="BM13" s="141">
        <f t="shared" si="4"/>
        <v>0.4950943475598078</v>
      </c>
      <c r="BN13" s="141">
        <f t="shared" ref="BN13:BO22" si="19">BJ13/SUM($BH13:$BK13)</f>
        <v>7.312356954029671E-2</v>
      </c>
      <c r="BO13" s="141">
        <f t="shared" si="19"/>
        <v>2.9108217413081151E-4</v>
      </c>
      <c r="BP13" s="139" t="s">
        <v>113</v>
      </c>
      <c r="BQ13" s="139" t="s">
        <v>113</v>
      </c>
      <c r="BR13" s="139" t="s">
        <v>113</v>
      </c>
      <c r="BS13" s="131">
        <f t="shared" ref="BS13:BS21" si="20">P13/P$22*100</f>
        <v>3.8925898064512889</v>
      </c>
      <c r="BT13" s="139"/>
      <c r="BU13" s="139"/>
      <c r="BV13" s="139"/>
      <c r="BW13" s="139"/>
      <c r="BX13" s="139"/>
      <c r="BY13" s="139"/>
      <c r="BZ13" s="139"/>
      <c r="CA13" s="139"/>
      <c r="CB13" s="139"/>
      <c r="CC13" s="142" t="s">
        <v>113</v>
      </c>
      <c r="CD13" s="142" t="s">
        <v>113</v>
      </c>
      <c r="CE13" s="142" t="s">
        <v>113</v>
      </c>
      <c r="CF13" s="142" t="s">
        <v>113</v>
      </c>
      <c r="CG13" s="142" t="s">
        <v>113</v>
      </c>
      <c r="CH13" s="142" t="s">
        <v>113</v>
      </c>
      <c r="CI13" s="142" t="s">
        <v>113</v>
      </c>
      <c r="CJ13" s="142"/>
      <c r="CK13" s="139" t="s">
        <v>113</v>
      </c>
      <c r="CL13" s="139" t="s">
        <v>113</v>
      </c>
      <c r="CM13" s="139" t="s">
        <v>113</v>
      </c>
      <c r="CN13" s="139" t="s">
        <v>113</v>
      </c>
      <c r="CO13" s="139" t="s">
        <v>113</v>
      </c>
      <c r="CP13" s="139" t="s">
        <v>113</v>
      </c>
      <c r="CQ13" s="139" t="s">
        <v>113</v>
      </c>
      <c r="CR13" s="139"/>
      <c r="CS13" s="143" t="s">
        <v>113</v>
      </c>
      <c r="CT13" s="143" t="s">
        <v>113</v>
      </c>
      <c r="CU13" s="143" t="s">
        <v>113</v>
      </c>
      <c r="CV13" s="143" t="s">
        <v>113</v>
      </c>
      <c r="CW13" s="143" t="s">
        <v>113</v>
      </c>
      <c r="CX13" s="143" t="s">
        <v>113</v>
      </c>
      <c r="CY13" s="143" t="s">
        <v>113</v>
      </c>
      <c r="CZ13" s="143"/>
      <c r="DA13" s="139" t="s">
        <v>113</v>
      </c>
      <c r="DB13" s="139" t="s">
        <v>113</v>
      </c>
      <c r="DC13" s="139" t="s">
        <v>113</v>
      </c>
      <c r="DD13" s="144">
        <f t="shared" ref="DD13:DD22" si="21">(1-DE13)*100</f>
        <v>52.400000000000006</v>
      </c>
      <c r="DE13" s="145">
        <v>0.47599999999999998</v>
      </c>
      <c r="DF13" s="1"/>
      <c r="DG13" s="1"/>
      <c r="DH13" s="1"/>
      <c r="DI13" s="1"/>
      <c r="DJ13" s="1"/>
      <c r="DK13" s="1"/>
      <c r="DL13" s="1"/>
      <c r="DM13" s="1"/>
      <c r="DN13" s="1"/>
      <c r="DO13" s="1"/>
      <c r="DP13" s="1"/>
      <c r="DQ13" s="1"/>
      <c r="DR13" s="1"/>
      <c r="DS13" s="1"/>
      <c r="DT13" s="1"/>
      <c r="DU13" s="1"/>
      <c r="DV13" s="1"/>
      <c r="DW13" s="1"/>
      <c r="DX13" s="1"/>
      <c r="DY13" s="1"/>
      <c r="DZ13" s="1"/>
      <c r="EA13" s="146">
        <v>47089086776</v>
      </c>
      <c r="EB13" s="146">
        <v>47678838365</v>
      </c>
      <c r="EC13" s="146">
        <v>47553230413</v>
      </c>
      <c r="ED13" s="147"/>
      <c r="EE13" s="147"/>
      <c r="EF13" s="147"/>
      <c r="EG13" s="129"/>
      <c r="EH13" s="122"/>
      <c r="EI13" s="130" t="s">
        <v>113</v>
      </c>
      <c r="EJ13" s="130" t="s">
        <v>113</v>
      </c>
      <c r="EK13" s="130" t="s">
        <v>113</v>
      </c>
      <c r="EL13" s="130" t="s">
        <v>113</v>
      </c>
      <c r="EM13" s="131">
        <f t="shared" si="5"/>
        <v>1.7115351543089665</v>
      </c>
      <c r="EN13" s="146">
        <v>1161661074191</v>
      </c>
      <c r="EO13" s="146">
        <v>1173160957770</v>
      </c>
      <c r="EP13" s="131">
        <f t="shared" si="6"/>
        <v>0.98995170230773422</v>
      </c>
      <c r="EQ13" s="130" t="s">
        <v>113</v>
      </c>
      <c r="ER13" s="130" t="s">
        <v>113</v>
      </c>
      <c r="ES13" s="130" t="s">
        <v>113</v>
      </c>
      <c r="ET13" s="130" t="s">
        <v>113</v>
      </c>
      <c r="EU13" s="131">
        <f t="shared" ref="EU13:EU21" si="22">EN13/EN$22*100</f>
        <v>4.2097437798656205</v>
      </c>
      <c r="EV13" s="132">
        <f t="shared" ref="EV13:EV22" si="23">((EB13-$EA13)/ABS($EA13)) / ($EO13/$EN13-1)</f>
        <v>1.2651290987726744</v>
      </c>
      <c r="EW13" s="132">
        <f t="shared" ref="EW13:EW22" si="24">IF(EC13&lt;&gt;0,((EC13-$EA13)/ABS($EA13)) / ($EO13/$EN13-1),0)</f>
        <v>0.99567620016854486</v>
      </c>
      <c r="EX13" s="132"/>
      <c r="EY13" s="148">
        <f t="shared" si="7"/>
        <v>0.14622150020983238</v>
      </c>
      <c r="EZ13" s="144">
        <f t="shared" ref="EZ13:EZ22" si="25">(1-FA13)*100</f>
        <v>20.199999999999996</v>
      </c>
      <c r="FA13" s="145">
        <v>0.79800000000000004</v>
      </c>
      <c r="FB13" s="130" t="s">
        <v>113</v>
      </c>
      <c r="FC13" s="130" t="s">
        <v>113</v>
      </c>
      <c r="FD13" s="130" t="s">
        <v>113</v>
      </c>
      <c r="FE13" s="130" t="s">
        <v>113</v>
      </c>
      <c r="FF13" s="130" t="s">
        <v>113</v>
      </c>
      <c r="FG13" s="130" t="s">
        <v>113</v>
      </c>
      <c r="FH13" s="130" t="s">
        <v>113</v>
      </c>
      <c r="FI13" s="130" t="s">
        <v>113</v>
      </c>
      <c r="FJ13" s="1"/>
      <c r="FK13" s="1"/>
      <c r="FL13" s="1"/>
      <c r="FM13" s="1"/>
      <c r="FN13" s="1"/>
      <c r="FO13" s="1"/>
      <c r="FP13" s="1"/>
      <c r="FQ13" s="1"/>
    </row>
    <row r="14" spans="1:173" x14ac:dyDescent="0.3">
      <c r="A14" s="1"/>
      <c r="B14" s="28">
        <v>3</v>
      </c>
      <c r="C14" s="129">
        <v>63436436015</v>
      </c>
      <c r="D14" s="129">
        <v>64179099203</v>
      </c>
      <c r="E14" s="129">
        <v>64064673069</v>
      </c>
      <c r="F14" s="129">
        <v>64179099203</v>
      </c>
      <c r="G14" s="129">
        <v>64064673069</v>
      </c>
      <c r="H14" s="129">
        <v>64064673069</v>
      </c>
      <c r="I14" s="129">
        <v>64064673069</v>
      </c>
      <c r="J14" s="122"/>
      <c r="K14" s="130" t="s">
        <v>113</v>
      </c>
      <c r="L14" s="130" t="s">
        <v>113</v>
      </c>
      <c r="M14" s="130" t="s">
        <v>113</v>
      </c>
      <c r="N14" s="130" t="s">
        <v>113</v>
      </c>
      <c r="O14" s="131">
        <f t="shared" si="8"/>
        <v>3.3591522527283875</v>
      </c>
      <c r="P14" s="129">
        <v>1003949244501</v>
      </c>
      <c r="Q14" s="129">
        <v>1013988736575</v>
      </c>
      <c r="R14" s="131">
        <f t="shared" si="0"/>
        <v>0.99999996304493965</v>
      </c>
      <c r="S14" s="130" t="s">
        <v>113</v>
      </c>
      <c r="T14" s="130" t="s">
        <v>113</v>
      </c>
      <c r="U14" s="130" t="s">
        <v>113</v>
      </c>
      <c r="V14" s="130" t="s">
        <v>113</v>
      </c>
      <c r="W14" s="132">
        <f t="shared" si="9"/>
        <v>1.1707202707124909</v>
      </c>
      <c r="X14" s="132">
        <f t="shared" si="9"/>
        <v>0.99034106687202272</v>
      </c>
      <c r="Y14" s="132">
        <f t="shared" si="9"/>
        <v>1.1707202707124909</v>
      </c>
      <c r="Z14" s="132">
        <f t="shared" si="9"/>
        <v>0.99034106687202272</v>
      </c>
      <c r="AA14" s="132">
        <f t="shared" si="9"/>
        <v>0.99034106687202272</v>
      </c>
      <c r="AB14" s="132">
        <f t="shared" si="1"/>
        <v>0.99034106687202272</v>
      </c>
      <c r="AC14" s="132">
        <f t="shared" si="1"/>
        <v>0.99034106687202272</v>
      </c>
      <c r="AD14" s="130" t="s">
        <v>113</v>
      </c>
      <c r="AE14" s="130" t="s">
        <v>113</v>
      </c>
      <c r="AF14" s="130" t="s">
        <v>113</v>
      </c>
      <c r="AG14" s="130" t="s">
        <v>113</v>
      </c>
      <c r="AH14" s="133">
        <f t="shared" si="10"/>
        <v>1</v>
      </c>
      <c r="AI14" s="134">
        <f t="shared" si="11"/>
        <v>0</v>
      </c>
      <c r="AJ14" s="134">
        <f t="shared" si="12"/>
        <v>0</v>
      </c>
      <c r="AK14" s="134">
        <f t="shared" si="13"/>
        <v>0.17072027071249085</v>
      </c>
      <c r="AL14" s="134">
        <f t="shared" si="14"/>
        <v>0</v>
      </c>
      <c r="AM14" s="134">
        <f t="shared" si="15"/>
        <v>0</v>
      </c>
      <c r="AN14" s="135">
        <f t="shared" si="16"/>
        <v>0</v>
      </c>
      <c r="AO14" s="134">
        <f t="shared" si="17"/>
        <v>0</v>
      </c>
      <c r="AP14" s="134">
        <f t="shared" si="2"/>
        <v>0</v>
      </c>
      <c r="AQ14" s="136" t="s">
        <v>113</v>
      </c>
      <c r="AR14" s="137">
        <f t="shared" si="3"/>
        <v>0</v>
      </c>
      <c r="AS14" s="137">
        <f t="shared" si="3"/>
        <v>0</v>
      </c>
      <c r="AT14" s="137">
        <f t="shared" si="3"/>
        <v>100</v>
      </c>
      <c r="AU14" s="137">
        <f t="shared" si="3"/>
        <v>0</v>
      </c>
      <c r="AV14" s="137">
        <f t="shared" si="3"/>
        <v>0</v>
      </c>
      <c r="AW14" s="138">
        <f t="shared" si="3"/>
        <v>0</v>
      </c>
      <c r="AX14" s="137">
        <f t="shared" si="3"/>
        <v>0</v>
      </c>
      <c r="AY14" s="137">
        <f t="shared" si="3"/>
        <v>0</v>
      </c>
      <c r="AZ14" s="139" t="s">
        <v>113</v>
      </c>
      <c r="BA14" s="139" t="s">
        <v>113</v>
      </c>
      <c r="BB14" s="139" t="s">
        <v>113</v>
      </c>
      <c r="BC14" s="139" t="s">
        <v>113</v>
      </c>
      <c r="BD14" s="139" t="s">
        <v>113</v>
      </c>
      <c r="BE14" s="139" t="s">
        <v>113</v>
      </c>
      <c r="BF14" s="139" t="s">
        <v>113</v>
      </c>
      <c r="BG14" s="139" t="s">
        <v>113</v>
      </c>
      <c r="BH14" s="140">
        <v>522630271165</v>
      </c>
      <c r="BI14" s="140">
        <v>393957999773</v>
      </c>
      <c r="BJ14" s="140">
        <v>86206798726</v>
      </c>
      <c r="BK14" s="140">
        <v>1154174868</v>
      </c>
      <c r="BL14" s="141">
        <f t="shared" si="18"/>
        <v>0.52057439557975749</v>
      </c>
      <c r="BM14" s="141">
        <f t="shared" si="4"/>
        <v>0.39240828350505613</v>
      </c>
      <c r="BN14" s="141">
        <f t="shared" si="19"/>
        <v>8.5867686235658339E-2</v>
      </c>
      <c r="BO14" s="141">
        <f t="shared" si="19"/>
        <v>1.1496346795280762E-3</v>
      </c>
      <c r="BP14" s="139" t="s">
        <v>113</v>
      </c>
      <c r="BQ14" s="139" t="s">
        <v>113</v>
      </c>
      <c r="BR14" s="139" t="s">
        <v>113</v>
      </c>
      <c r="BS14" s="131">
        <f t="shared" si="20"/>
        <v>5.6130658191331824</v>
      </c>
      <c r="BT14" s="139"/>
      <c r="BU14" s="139"/>
      <c r="BV14" s="139"/>
      <c r="BW14" s="139"/>
      <c r="BX14" s="139"/>
      <c r="BY14" s="139"/>
      <c r="BZ14" s="139"/>
      <c r="CA14" s="139"/>
      <c r="CB14" s="139"/>
      <c r="CC14" s="142" t="s">
        <v>113</v>
      </c>
      <c r="CD14" s="142" t="s">
        <v>113</v>
      </c>
      <c r="CE14" s="142" t="s">
        <v>113</v>
      </c>
      <c r="CF14" s="142" t="s">
        <v>113</v>
      </c>
      <c r="CG14" s="142" t="s">
        <v>113</v>
      </c>
      <c r="CH14" s="142" t="s">
        <v>113</v>
      </c>
      <c r="CI14" s="142" t="s">
        <v>113</v>
      </c>
      <c r="CJ14" s="142"/>
      <c r="CK14" s="139" t="s">
        <v>113</v>
      </c>
      <c r="CL14" s="139" t="s">
        <v>113</v>
      </c>
      <c r="CM14" s="139" t="s">
        <v>113</v>
      </c>
      <c r="CN14" s="139" t="s">
        <v>113</v>
      </c>
      <c r="CO14" s="139" t="s">
        <v>113</v>
      </c>
      <c r="CP14" s="139" t="s">
        <v>113</v>
      </c>
      <c r="CQ14" s="139" t="s">
        <v>113</v>
      </c>
      <c r="CR14" s="139"/>
      <c r="CS14" s="143" t="s">
        <v>113</v>
      </c>
      <c r="CT14" s="143" t="s">
        <v>113</v>
      </c>
      <c r="CU14" s="143" t="s">
        <v>113</v>
      </c>
      <c r="CV14" s="143" t="s">
        <v>113</v>
      </c>
      <c r="CW14" s="143" t="s">
        <v>113</v>
      </c>
      <c r="CX14" s="143" t="s">
        <v>113</v>
      </c>
      <c r="CY14" s="143" t="s">
        <v>113</v>
      </c>
      <c r="CZ14" s="143"/>
      <c r="DA14" s="139" t="s">
        <v>113</v>
      </c>
      <c r="DB14" s="139" t="s">
        <v>113</v>
      </c>
      <c r="DC14" s="139" t="s">
        <v>113</v>
      </c>
      <c r="DD14" s="144">
        <f t="shared" si="21"/>
        <v>40.400000000000006</v>
      </c>
      <c r="DE14" s="145">
        <v>0.59599999999999997</v>
      </c>
      <c r="DF14" s="1"/>
      <c r="DG14" s="1"/>
      <c r="DH14" s="1"/>
      <c r="DI14" s="1"/>
      <c r="DJ14" s="1"/>
      <c r="DK14" s="1"/>
      <c r="DL14" s="1"/>
      <c r="DM14" s="1"/>
      <c r="DN14" s="1"/>
      <c r="DO14" s="1"/>
      <c r="DP14" s="1"/>
      <c r="DQ14" s="1"/>
      <c r="DR14" s="1"/>
      <c r="DS14" s="1"/>
      <c r="DT14" s="1"/>
      <c r="DU14" s="1"/>
      <c r="DV14" s="1"/>
      <c r="DW14" s="1"/>
      <c r="DX14" s="1"/>
      <c r="DY14" s="1"/>
      <c r="DZ14" s="1"/>
      <c r="EA14" s="146">
        <v>108681866456</v>
      </c>
      <c r="EB14" s="146">
        <v>109967620779</v>
      </c>
      <c r="EC14" s="146">
        <v>109756804364</v>
      </c>
      <c r="ED14" s="147"/>
      <c r="EE14" s="147"/>
      <c r="EF14" s="147"/>
      <c r="EG14" s="129"/>
      <c r="EH14" s="122"/>
      <c r="EI14" s="130" t="s">
        <v>113</v>
      </c>
      <c r="EJ14" s="130" t="s">
        <v>113</v>
      </c>
      <c r="EK14" s="130" t="s">
        <v>113</v>
      </c>
      <c r="EL14" s="130" t="s">
        <v>113</v>
      </c>
      <c r="EM14" s="131">
        <f t="shared" si="5"/>
        <v>3.9502323746520824</v>
      </c>
      <c r="EN14" s="146">
        <v>1645647062676</v>
      </c>
      <c r="EO14" s="146">
        <v>1661997542382</v>
      </c>
      <c r="EP14" s="131">
        <f t="shared" si="6"/>
        <v>0.99355931638296369</v>
      </c>
      <c r="EQ14" s="130" t="s">
        <v>113</v>
      </c>
      <c r="ER14" s="130" t="s">
        <v>113</v>
      </c>
      <c r="ES14" s="130" t="s">
        <v>113</v>
      </c>
      <c r="ET14" s="130" t="s">
        <v>113</v>
      </c>
      <c r="EU14" s="131">
        <f t="shared" si="22"/>
        <v>5.963660692322863</v>
      </c>
      <c r="EV14" s="132">
        <f t="shared" si="23"/>
        <v>1.1907130268673345</v>
      </c>
      <c r="EW14" s="132">
        <f t="shared" si="24"/>
        <v>0.99547988852386715</v>
      </c>
      <c r="EX14" s="132"/>
      <c r="EY14" s="148">
        <f t="shared" si="7"/>
        <v>1.9992756154843638E-2</v>
      </c>
      <c r="EZ14" s="144">
        <f t="shared" si="25"/>
        <v>18.000000000000004</v>
      </c>
      <c r="FA14" s="145">
        <v>0.82</v>
      </c>
      <c r="FB14" s="130" t="s">
        <v>113</v>
      </c>
      <c r="FC14" s="130" t="s">
        <v>113</v>
      </c>
      <c r="FD14" s="130" t="s">
        <v>113</v>
      </c>
      <c r="FE14" s="130" t="s">
        <v>113</v>
      </c>
      <c r="FF14" s="130" t="s">
        <v>113</v>
      </c>
      <c r="FG14" s="130" t="s">
        <v>113</v>
      </c>
      <c r="FH14" s="130" t="s">
        <v>113</v>
      </c>
      <c r="FI14" s="130" t="s">
        <v>113</v>
      </c>
      <c r="FJ14" s="1"/>
      <c r="FK14" s="1"/>
      <c r="FL14" s="1"/>
      <c r="FM14" s="1"/>
      <c r="FN14" s="1"/>
      <c r="FO14" s="1"/>
      <c r="FP14" s="1"/>
      <c r="FQ14" s="1"/>
    </row>
    <row r="15" spans="1:173" x14ac:dyDescent="0.3">
      <c r="A15" s="1"/>
      <c r="B15" s="28">
        <v>4</v>
      </c>
      <c r="C15" s="129">
        <v>85914081136</v>
      </c>
      <c r="D15" s="129">
        <v>86948836860</v>
      </c>
      <c r="E15" s="129">
        <v>86769700966</v>
      </c>
      <c r="F15" s="129">
        <v>86948836860</v>
      </c>
      <c r="G15" s="129">
        <v>86769700966</v>
      </c>
      <c r="H15" s="129">
        <v>86769700966</v>
      </c>
      <c r="I15" s="129">
        <v>86769700966</v>
      </c>
      <c r="J15" s="122"/>
      <c r="K15" s="130" t="s">
        <v>113</v>
      </c>
      <c r="L15" s="130" t="s">
        <v>113</v>
      </c>
      <c r="M15" s="130" t="s">
        <v>113</v>
      </c>
      <c r="N15" s="130" t="s">
        <v>113</v>
      </c>
      <c r="O15" s="131">
        <f t="shared" si="8"/>
        <v>4.549411936081067</v>
      </c>
      <c r="P15" s="129">
        <v>1259216213144</v>
      </c>
      <c r="Q15" s="129">
        <v>1271808375094</v>
      </c>
      <c r="R15" s="131">
        <f t="shared" si="0"/>
        <v>0.99999998559103798</v>
      </c>
      <c r="S15" s="130" t="s">
        <v>113</v>
      </c>
      <c r="T15" s="130" t="s">
        <v>113</v>
      </c>
      <c r="U15" s="130" t="s">
        <v>113</v>
      </c>
      <c r="V15" s="130" t="s">
        <v>113</v>
      </c>
      <c r="W15" s="132">
        <f t="shared" si="9"/>
        <v>1.204407618899819</v>
      </c>
      <c r="X15" s="132">
        <f t="shared" si="9"/>
        <v>0.99590175558552207</v>
      </c>
      <c r="Y15" s="132">
        <f t="shared" si="9"/>
        <v>1.204407618899819</v>
      </c>
      <c r="Z15" s="132">
        <f t="shared" si="9"/>
        <v>0.99590175558552207</v>
      </c>
      <c r="AA15" s="132">
        <f t="shared" si="9"/>
        <v>0.99590175558552207</v>
      </c>
      <c r="AB15" s="132">
        <f t="shared" si="1"/>
        <v>0.99590175558552207</v>
      </c>
      <c r="AC15" s="132">
        <f t="shared" si="1"/>
        <v>0.99590175558552207</v>
      </c>
      <c r="AD15" s="130" t="s">
        <v>113</v>
      </c>
      <c r="AE15" s="130" t="s">
        <v>113</v>
      </c>
      <c r="AF15" s="130" t="s">
        <v>113</v>
      </c>
      <c r="AG15" s="130" t="s">
        <v>113</v>
      </c>
      <c r="AH15" s="133">
        <f t="shared" si="10"/>
        <v>1</v>
      </c>
      <c r="AI15" s="134">
        <f t="shared" si="11"/>
        <v>0</v>
      </c>
      <c r="AJ15" s="134">
        <f t="shared" si="12"/>
        <v>0</v>
      </c>
      <c r="AK15" s="134">
        <f t="shared" si="13"/>
        <v>0.20440761889981895</v>
      </c>
      <c r="AL15" s="134">
        <f t="shared" si="14"/>
        <v>0</v>
      </c>
      <c r="AM15" s="134">
        <f t="shared" si="15"/>
        <v>0</v>
      </c>
      <c r="AN15" s="135">
        <f t="shared" si="16"/>
        <v>0</v>
      </c>
      <c r="AO15" s="134">
        <f t="shared" si="17"/>
        <v>0</v>
      </c>
      <c r="AP15" s="134">
        <f t="shared" si="2"/>
        <v>0</v>
      </c>
      <c r="AQ15" s="136" t="s">
        <v>113</v>
      </c>
      <c r="AR15" s="137">
        <f t="shared" si="3"/>
        <v>0</v>
      </c>
      <c r="AS15" s="137">
        <f t="shared" si="3"/>
        <v>0</v>
      </c>
      <c r="AT15" s="137">
        <f t="shared" si="3"/>
        <v>100</v>
      </c>
      <c r="AU15" s="137">
        <f t="shared" si="3"/>
        <v>0</v>
      </c>
      <c r="AV15" s="137">
        <f t="shared" si="3"/>
        <v>0</v>
      </c>
      <c r="AW15" s="138">
        <f t="shared" si="3"/>
        <v>0</v>
      </c>
      <c r="AX15" s="137">
        <f t="shared" si="3"/>
        <v>0</v>
      </c>
      <c r="AY15" s="137">
        <f t="shared" si="3"/>
        <v>0</v>
      </c>
      <c r="AZ15" s="139" t="s">
        <v>113</v>
      </c>
      <c r="BA15" s="139" t="s">
        <v>113</v>
      </c>
      <c r="BB15" s="139" t="s">
        <v>113</v>
      </c>
      <c r="BC15" s="139" t="s">
        <v>113</v>
      </c>
      <c r="BD15" s="139" t="s">
        <v>113</v>
      </c>
      <c r="BE15" s="139" t="s">
        <v>113</v>
      </c>
      <c r="BF15" s="139" t="s">
        <v>113</v>
      </c>
      <c r="BG15" s="139" t="s">
        <v>113</v>
      </c>
      <c r="BH15" s="140">
        <v>747162678082</v>
      </c>
      <c r="BI15" s="140">
        <v>412690552137</v>
      </c>
      <c r="BJ15" s="140">
        <v>98844752695</v>
      </c>
      <c r="BK15" s="140">
        <v>518230119</v>
      </c>
      <c r="BL15" s="141">
        <f t="shared" si="18"/>
        <v>0.59335535101025516</v>
      </c>
      <c r="BM15" s="141">
        <f t="shared" si="4"/>
        <v>0.32773605347962964</v>
      </c>
      <c r="BN15" s="141">
        <f t="shared" si="19"/>
        <v>7.8497045759058692E-2</v>
      </c>
      <c r="BO15" s="141">
        <f t="shared" si="19"/>
        <v>4.1154975105646836E-4</v>
      </c>
      <c r="BP15" s="139" t="s">
        <v>113</v>
      </c>
      <c r="BQ15" s="139" t="s">
        <v>113</v>
      </c>
      <c r="BR15" s="139" t="s">
        <v>113</v>
      </c>
      <c r="BS15" s="131">
        <f t="shared" si="20"/>
        <v>7.0402597776842795</v>
      </c>
      <c r="BT15" s="139"/>
      <c r="BU15" s="139"/>
      <c r="BV15" s="139"/>
      <c r="BW15" s="139"/>
      <c r="BX15" s="139"/>
      <c r="BY15" s="139"/>
      <c r="BZ15" s="139"/>
      <c r="CA15" s="139"/>
      <c r="CB15" s="139"/>
      <c r="CC15" s="142" t="s">
        <v>113</v>
      </c>
      <c r="CD15" s="142" t="s">
        <v>113</v>
      </c>
      <c r="CE15" s="142" t="s">
        <v>113</v>
      </c>
      <c r="CF15" s="142" t="s">
        <v>113</v>
      </c>
      <c r="CG15" s="142" t="s">
        <v>113</v>
      </c>
      <c r="CH15" s="142" t="s">
        <v>113</v>
      </c>
      <c r="CI15" s="142" t="s">
        <v>113</v>
      </c>
      <c r="CJ15" s="142"/>
      <c r="CK15" s="139" t="s">
        <v>113</v>
      </c>
      <c r="CL15" s="139" t="s">
        <v>113</v>
      </c>
      <c r="CM15" s="139" t="s">
        <v>113</v>
      </c>
      <c r="CN15" s="139" t="s">
        <v>113</v>
      </c>
      <c r="CO15" s="139" t="s">
        <v>113</v>
      </c>
      <c r="CP15" s="139" t="s">
        <v>113</v>
      </c>
      <c r="CQ15" s="139" t="s">
        <v>113</v>
      </c>
      <c r="CR15" s="139"/>
      <c r="CS15" s="143" t="s">
        <v>113</v>
      </c>
      <c r="CT15" s="143" t="s">
        <v>113</v>
      </c>
      <c r="CU15" s="143" t="s">
        <v>113</v>
      </c>
      <c r="CV15" s="143" t="s">
        <v>113</v>
      </c>
      <c r="CW15" s="143" t="s">
        <v>113</v>
      </c>
      <c r="CX15" s="143" t="s">
        <v>113</v>
      </c>
      <c r="CY15" s="143" t="s">
        <v>113</v>
      </c>
      <c r="CZ15" s="143"/>
      <c r="DA15" s="139" t="s">
        <v>113</v>
      </c>
      <c r="DB15" s="139" t="s">
        <v>113</v>
      </c>
      <c r="DC15" s="139" t="s">
        <v>113</v>
      </c>
      <c r="DD15" s="144">
        <f t="shared" si="21"/>
        <v>28.1</v>
      </c>
      <c r="DE15" s="145">
        <v>0.71899999999999997</v>
      </c>
      <c r="DF15" s="1"/>
      <c r="DG15" s="1"/>
      <c r="DH15" s="1"/>
      <c r="DI15" s="1"/>
      <c r="DJ15" s="1"/>
      <c r="DK15" s="1"/>
      <c r="DL15" s="1"/>
      <c r="DM15" s="1"/>
      <c r="DN15" s="1"/>
      <c r="DO15" s="1"/>
      <c r="DP15" s="1"/>
      <c r="DQ15" s="1"/>
      <c r="DR15" s="1"/>
      <c r="DS15" s="1"/>
      <c r="DT15" s="1"/>
      <c r="DU15" s="1"/>
      <c r="DV15" s="1"/>
      <c r="DW15" s="1"/>
      <c r="DX15" s="1"/>
      <c r="DY15" s="1"/>
      <c r="DZ15" s="1"/>
      <c r="EA15" s="146">
        <v>132320425320</v>
      </c>
      <c r="EB15" s="146">
        <v>133923056340</v>
      </c>
      <c r="EC15" s="146">
        <v>133630611150</v>
      </c>
      <c r="ED15" s="147"/>
      <c r="EE15" s="147"/>
      <c r="EF15" s="147"/>
      <c r="EG15" s="129"/>
      <c r="EH15" s="122"/>
      <c r="EI15" s="130" t="s">
        <v>113</v>
      </c>
      <c r="EJ15" s="130" t="s">
        <v>113</v>
      </c>
      <c r="EK15" s="130" t="s">
        <v>113</v>
      </c>
      <c r="EL15" s="130" t="s">
        <v>113</v>
      </c>
      <c r="EM15" s="131">
        <f t="shared" si="5"/>
        <v>4.8094171085883177</v>
      </c>
      <c r="EN15" s="146">
        <v>1953991937054</v>
      </c>
      <c r="EO15" s="146">
        <v>1973446165116</v>
      </c>
      <c r="EP15" s="131">
        <f t="shared" si="6"/>
        <v>0.99561455157950451</v>
      </c>
      <c r="EQ15" s="130" t="s">
        <v>113</v>
      </c>
      <c r="ER15" s="130" t="s">
        <v>113</v>
      </c>
      <c r="ES15" s="130" t="s">
        <v>113</v>
      </c>
      <c r="ET15" s="130" t="s">
        <v>113</v>
      </c>
      <c r="EU15" s="131">
        <f t="shared" si="22"/>
        <v>7.0810717391466689</v>
      </c>
      <c r="EV15" s="132">
        <f t="shared" si="23"/>
        <v>1.2165092649899854</v>
      </c>
      <c r="EW15" s="132">
        <f t="shared" si="24"/>
        <v>0.99452286968312509</v>
      </c>
      <c r="EX15" s="132"/>
      <c r="EY15" s="148">
        <f t="shared" si="7"/>
        <v>1.2101646090166396E-2</v>
      </c>
      <c r="EZ15" s="144">
        <f t="shared" si="25"/>
        <v>13.100000000000001</v>
      </c>
      <c r="FA15" s="145">
        <v>0.86899999999999999</v>
      </c>
      <c r="FB15" s="130" t="s">
        <v>113</v>
      </c>
      <c r="FC15" s="130" t="s">
        <v>113</v>
      </c>
      <c r="FD15" s="130" t="s">
        <v>113</v>
      </c>
      <c r="FE15" s="130" t="s">
        <v>113</v>
      </c>
      <c r="FF15" s="130" t="s">
        <v>113</v>
      </c>
      <c r="FG15" s="130" t="s">
        <v>113</v>
      </c>
      <c r="FH15" s="130" t="s">
        <v>113</v>
      </c>
      <c r="FI15" s="130" t="s">
        <v>113</v>
      </c>
      <c r="FJ15" s="1"/>
      <c r="FK15" s="1"/>
      <c r="FL15" s="1"/>
      <c r="FM15" s="1"/>
      <c r="FN15" s="1"/>
      <c r="FO15" s="1"/>
      <c r="FP15" s="1"/>
      <c r="FQ15" s="1"/>
    </row>
    <row r="16" spans="1:173" x14ac:dyDescent="0.3">
      <c r="A16" s="1"/>
      <c r="B16" s="28">
        <v>5</v>
      </c>
      <c r="C16" s="129">
        <v>143748515385</v>
      </c>
      <c r="D16" s="129">
        <v>145433460087</v>
      </c>
      <c r="E16" s="129">
        <v>145182635050</v>
      </c>
      <c r="F16" s="129">
        <v>145433460087</v>
      </c>
      <c r="G16" s="129">
        <v>145182635050</v>
      </c>
      <c r="H16" s="129">
        <v>145182635050</v>
      </c>
      <c r="I16" s="129">
        <v>145182635050</v>
      </c>
      <c r="J16" s="122"/>
      <c r="K16" s="130" t="s">
        <v>113</v>
      </c>
      <c r="L16" s="130" t="s">
        <v>113</v>
      </c>
      <c r="M16" s="130" t="s">
        <v>113</v>
      </c>
      <c r="N16" s="130" t="s">
        <v>113</v>
      </c>
      <c r="O16" s="131">
        <f t="shared" si="8"/>
        <v>7.6119211547083951</v>
      </c>
      <c r="P16" s="129">
        <v>1532289426994</v>
      </c>
      <c r="Q16" s="129">
        <v>1547612316673</v>
      </c>
      <c r="R16" s="131">
        <f t="shared" si="0"/>
        <v>0.99999970038688879</v>
      </c>
      <c r="S16" s="130" t="s">
        <v>113</v>
      </c>
      <c r="T16" s="130" t="s">
        <v>113</v>
      </c>
      <c r="U16" s="130" t="s">
        <v>113</v>
      </c>
      <c r="V16" s="130" t="s">
        <v>113</v>
      </c>
      <c r="W16" s="132">
        <f t="shared" si="9"/>
        <v>1.1721479017149541</v>
      </c>
      <c r="X16" s="132">
        <f t="shared" si="9"/>
        <v>0.9976590650972611</v>
      </c>
      <c r="Y16" s="132">
        <f t="shared" si="9"/>
        <v>1.1721479017149541</v>
      </c>
      <c r="Z16" s="132">
        <f t="shared" si="9"/>
        <v>0.9976590650972611</v>
      </c>
      <c r="AA16" s="132">
        <f t="shared" si="9"/>
        <v>0.9976590650972611</v>
      </c>
      <c r="AB16" s="132">
        <f t="shared" si="1"/>
        <v>0.9976590650972611</v>
      </c>
      <c r="AC16" s="132">
        <f t="shared" si="1"/>
        <v>0.9976590650972611</v>
      </c>
      <c r="AD16" s="130" t="s">
        <v>113</v>
      </c>
      <c r="AE16" s="130" t="s">
        <v>113</v>
      </c>
      <c r="AF16" s="130" t="s">
        <v>113</v>
      </c>
      <c r="AG16" s="130" t="s">
        <v>113</v>
      </c>
      <c r="AH16" s="133">
        <f t="shared" si="10"/>
        <v>1</v>
      </c>
      <c r="AI16" s="134">
        <f t="shared" si="11"/>
        <v>0</v>
      </c>
      <c r="AJ16" s="134">
        <f t="shared" si="12"/>
        <v>0</v>
      </c>
      <c r="AK16" s="134">
        <f t="shared" si="13"/>
        <v>0.17214790171495409</v>
      </c>
      <c r="AL16" s="134">
        <f t="shared" si="14"/>
        <v>0</v>
      </c>
      <c r="AM16" s="134">
        <f t="shared" si="15"/>
        <v>0</v>
      </c>
      <c r="AN16" s="135">
        <f t="shared" si="16"/>
        <v>0</v>
      </c>
      <c r="AO16" s="134">
        <f t="shared" si="17"/>
        <v>0</v>
      </c>
      <c r="AP16" s="134">
        <f t="shared" si="2"/>
        <v>0</v>
      </c>
      <c r="AQ16" s="136" t="s">
        <v>113</v>
      </c>
      <c r="AR16" s="137">
        <f t="shared" si="3"/>
        <v>0</v>
      </c>
      <c r="AS16" s="137">
        <f t="shared" si="3"/>
        <v>0</v>
      </c>
      <c r="AT16" s="137">
        <f t="shared" si="3"/>
        <v>100</v>
      </c>
      <c r="AU16" s="137">
        <f t="shared" si="3"/>
        <v>0</v>
      </c>
      <c r="AV16" s="137">
        <f t="shared" si="3"/>
        <v>0</v>
      </c>
      <c r="AW16" s="138">
        <f t="shared" si="3"/>
        <v>0</v>
      </c>
      <c r="AX16" s="137">
        <f t="shared" si="3"/>
        <v>0</v>
      </c>
      <c r="AY16" s="137">
        <f t="shared" si="3"/>
        <v>0</v>
      </c>
      <c r="AZ16" s="139" t="s">
        <v>113</v>
      </c>
      <c r="BA16" s="139" t="s">
        <v>113</v>
      </c>
      <c r="BB16" s="139" t="s">
        <v>113</v>
      </c>
      <c r="BC16" s="139" t="s">
        <v>113</v>
      </c>
      <c r="BD16" s="139" t="s">
        <v>113</v>
      </c>
      <c r="BE16" s="139" t="s">
        <v>113</v>
      </c>
      <c r="BF16" s="139" t="s">
        <v>113</v>
      </c>
      <c r="BG16" s="139" t="s">
        <v>113</v>
      </c>
      <c r="BH16" s="140">
        <v>985441230251</v>
      </c>
      <c r="BI16" s="140">
        <v>395591788671</v>
      </c>
      <c r="BJ16" s="140">
        <v>151048163665</v>
      </c>
      <c r="BK16" s="140">
        <v>208244738</v>
      </c>
      <c r="BL16" s="141">
        <f t="shared" si="18"/>
        <v>0.64311690251060316</v>
      </c>
      <c r="BM16" s="141">
        <f t="shared" si="4"/>
        <v>0.25817040933422469</v>
      </c>
      <c r="BN16" s="141">
        <f t="shared" si="19"/>
        <v>9.8576783844741986E-2</v>
      </c>
      <c r="BO16" s="141">
        <f t="shared" si="19"/>
        <v>1.3590431043014115E-4</v>
      </c>
      <c r="BP16" s="139" t="s">
        <v>113</v>
      </c>
      <c r="BQ16" s="139" t="s">
        <v>113</v>
      </c>
      <c r="BR16" s="139" t="s">
        <v>113</v>
      </c>
      <c r="BS16" s="131">
        <f t="shared" si="20"/>
        <v>8.567008197664542</v>
      </c>
      <c r="BT16" s="139"/>
      <c r="BU16" s="139"/>
      <c r="BV16" s="139"/>
      <c r="BW16" s="139"/>
      <c r="BX16" s="139"/>
      <c r="BY16" s="139"/>
      <c r="BZ16" s="139"/>
      <c r="CA16" s="139"/>
      <c r="CB16" s="139"/>
      <c r="CC16" s="142" t="s">
        <v>113</v>
      </c>
      <c r="CD16" s="142" t="s">
        <v>113</v>
      </c>
      <c r="CE16" s="142" t="s">
        <v>113</v>
      </c>
      <c r="CF16" s="142" t="s">
        <v>113</v>
      </c>
      <c r="CG16" s="142" t="s">
        <v>113</v>
      </c>
      <c r="CH16" s="142" t="s">
        <v>113</v>
      </c>
      <c r="CI16" s="142" t="s">
        <v>113</v>
      </c>
      <c r="CJ16" s="142"/>
      <c r="CK16" s="139" t="s">
        <v>113</v>
      </c>
      <c r="CL16" s="139" t="s">
        <v>113</v>
      </c>
      <c r="CM16" s="139" t="s">
        <v>113</v>
      </c>
      <c r="CN16" s="139" t="s">
        <v>113</v>
      </c>
      <c r="CO16" s="139" t="s">
        <v>113</v>
      </c>
      <c r="CP16" s="139" t="s">
        <v>113</v>
      </c>
      <c r="CQ16" s="139" t="s">
        <v>113</v>
      </c>
      <c r="CR16" s="139"/>
      <c r="CS16" s="143" t="s">
        <v>113</v>
      </c>
      <c r="CT16" s="143" t="s">
        <v>113</v>
      </c>
      <c r="CU16" s="143" t="s">
        <v>113</v>
      </c>
      <c r="CV16" s="143" t="s">
        <v>113</v>
      </c>
      <c r="CW16" s="143" t="s">
        <v>113</v>
      </c>
      <c r="CX16" s="143" t="s">
        <v>113</v>
      </c>
      <c r="CY16" s="143" t="s">
        <v>113</v>
      </c>
      <c r="CZ16" s="143"/>
      <c r="DA16" s="139" t="s">
        <v>113</v>
      </c>
      <c r="DB16" s="139" t="s">
        <v>113</v>
      </c>
      <c r="DC16" s="139" t="s">
        <v>113</v>
      </c>
      <c r="DD16" s="144">
        <f t="shared" si="21"/>
        <v>18.999999999999993</v>
      </c>
      <c r="DE16" s="145">
        <v>0.81</v>
      </c>
      <c r="DF16" s="1"/>
      <c r="DG16" s="1"/>
      <c r="DH16" s="1"/>
      <c r="DI16" s="1"/>
      <c r="DJ16" s="1"/>
      <c r="DK16" s="1"/>
      <c r="DL16" s="1"/>
      <c r="DM16" s="1"/>
      <c r="DN16" s="1"/>
      <c r="DO16" s="1"/>
      <c r="DP16" s="1"/>
      <c r="DQ16" s="1"/>
      <c r="DR16" s="1"/>
      <c r="DS16" s="1"/>
      <c r="DT16" s="1"/>
      <c r="DU16" s="1"/>
      <c r="DV16" s="1"/>
      <c r="DW16" s="1"/>
      <c r="DX16" s="1"/>
      <c r="DY16" s="1"/>
      <c r="DZ16" s="1"/>
      <c r="EA16" s="146">
        <v>215472688428</v>
      </c>
      <c r="EB16" s="146">
        <v>217865163224</v>
      </c>
      <c r="EC16" s="146">
        <v>217616354183</v>
      </c>
      <c r="ED16" s="147"/>
      <c r="EE16" s="147"/>
      <c r="EF16" s="147"/>
      <c r="EG16" s="129"/>
      <c r="EH16" s="122"/>
      <c r="EI16" s="130" t="s">
        <v>113</v>
      </c>
      <c r="EJ16" s="130" t="s">
        <v>113</v>
      </c>
      <c r="EK16" s="130" t="s">
        <v>113</v>
      </c>
      <c r="EL16" s="130" t="s">
        <v>113</v>
      </c>
      <c r="EM16" s="131">
        <f t="shared" si="5"/>
        <v>7.8317314326415515</v>
      </c>
      <c r="EN16" s="146">
        <v>2419684030139</v>
      </c>
      <c r="EO16" s="146">
        <v>2443822816824</v>
      </c>
      <c r="EP16" s="131">
        <f t="shared" si="6"/>
        <v>0.99760077697472749</v>
      </c>
      <c r="EQ16" s="130" t="s">
        <v>113</v>
      </c>
      <c r="ER16" s="130" t="s">
        <v>113</v>
      </c>
      <c r="ES16" s="130" t="s">
        <v>113</v>
      </c>
      <c r="ET16" s="130" t="s">
        <v>113</v>
      </c>
      <c r="EU16" s="131">
        <f t="shared" si="22"/>
        <v>8.7686934007078658</v>
      </c>
      <c r="EV16" s="132">
        <f t="shared" si="23"/>
        <v>1.1130081955949715</v>
      </c>
      <c r="EW16" s="132">
        <f t="shared" si="24"/>
        <v>0.99725922209099926</v>
      </c>
      <c r="EX16" s="132"/>
      <c r="EY16" s="148">
        <f t="shared" si="7"/>
        <v>-5.9139706119982538E-2</v>
      </c>
      <c r="EZ16" s="144">
        <f t="shared" si="25"/>
        <v>6.9999999999999947</v>
      </c>
      <c r="FA16" s="145">
        <v>0.93</v>
      </c>
      <c r="FB16" s="130" t="s">
        <v>113</v>
      </c>
      <c r="FC16" s="130" t="s">
        <v>113</v>
      </c>
      <c r="FD16" s="130" t="s">
        <v>113</v>
      </c>
      <c r="FE16" s="130" t="s">
        <v>113</v>
      </c>
      <c r="FF16" s="130" t="s">
        <v>113</v>
      </c>
      <c r="FG16" s="130" t="s">
        <v>113</v>
      </c>
      <c r="FH16" s="130" t="s">
        <v>113</v>
      </c>
      <c r="FI16" s="130" t="s">
        <v>113</v>
      </c>
      <c r="FJ16" s="1"/>
      <c r="FK16" s="1"/>
      <c r="FL16" s="1"/>
      <c r="FM16" s="1"/>
      <c r="FN16" s="1"/>
      <c r="FO16" s="1"/>
      <c r="FP16" s="1"/>
      <c r="FQ16" s="1"/>
    </row>
    <row r="17" spans="1:173" x14ac:dyDescent="0.3">
      <c r="A17" s="1"/>
      <c r="B17" s="28">
        <v>6</v>
      </c>
      <c r="C17" s="129">
        <v>188617382016</v>
      </c>
      <c r="D17" s="129">
        <v>190712422941</v>
      </c>
      <c r="E17" s="129">
        <v>190501571141</v>
      </c>
      <c r="F17" s="129">
        <v>190712422941</v>
      </c>
      <c r="G17" s="129">
        <v>190501571141</v>
      </c>
      <c r="H17" s="129">
        <v>190501571141</v>
      </c>
      <c r="I17" s="129">
        <v>190501571141</v>
      </c>
      <c r="J17" s="122"/>
      <c r="K17" s="130" t="s">
        <v>113</v>
      </c>
      <c r="L17" s="130" t="s">
        <v>113</v>
      </c>
      <c r="M17" s="130" t="s">
        <v>113</v>
      </c>
      <c r="N17" s="130" t="s">
        <v>113</v>
      </c>
      <c r="O17" s="131">
        <f t="shared" si="8"/>
        <v>9.9878641283214478</v>
      </c>
      <c r="P17" s="129">
        <v>1802009822015</v>
      </c>
      <c r="Q17" s="129">
        <v>1820029918930</v>
      </c>
      <c r="R17" s="131">
        <f t="shared" si="0"/>
        <v>0.99999992757253686</v>
      </c>
      <c r="S17" s="130" t="s">
        <v>113</v>
      </c>
      <c r="T17" s="130" t="s">
        <v>113</v>
      </c>
      <c r="U17" s="130" t="s">
        <v>113</v>
      </c>
      <c r="V17" s="130" t="s">
        <v>113</v>
      </c>
      <c r="W17" s="132">
        <f t="shared" si="9"/>
        <v>1.110735953572292</v>
      </c>
      <c r="X17" s="132">
        <f t="shared" si="9"/>
        <v>0.99894783891508832</v>
      </c>
      <c r="Y17" s="132">
        <f t="shared" si="9"/>
        <v>1.110735953572292</v>
      </c>
      <c r="Z17" s="132">
        <f t="shared" si="9"/>
        <v>0.99894783891508832</v>
      </c>
      <c r="AA17" s="132">
        <f t="shared" si="9"/>
        <v>0.99894783891508832</v>
      </c>
      <c r="AB17" s="132">
        <f t="shared" si="1"/>
        <v>0.99894783891508832</v>
      </c>
      <c r="AC17" s="132">
        <f t="shared" si="1"/>
        <v>0.99894783891508832</v>
      </c>
      <c r="AD17" s="130" t="s">
        <v>113</v>
      </c>
      <c r="AE17" s="130" t="s">
        <v>113</v>
      </c>
      <c r="AF17" s="130" t="s">
        <v>113</v>
      </c>
      <c r="AG17" s="130" t="s">
        <v>113</v>
      </c>
      <c r="AH17" s="133">
        <f t="shared" si="10"/>
        <v>1</v>
      </c>
      <c r="AI17" s="134">
        <f t="shared" si="11"/>
        <v>0</v>
      </c>
      <c r="AJ17" s="134">
        <f t="shared" si="12"/>
        <v>0</v>
      </c>
      <c r="AK17" s="134">
        <f t="shared" si="13"/>
        <v>0.11073595357229205</v>
      </c>
      <c r="AL17" s="134">
        <f t="shared" si="14"/>
        <v>0</v>
      </c>
      <c r="AM17" s="134">
        <f t="shared" si="15"/>
        <v>0</v>
      </c>
      <c r="AN17" s="135">
        <f t="shared" si="16"/>
        <v>0</v>
      </c>
      <c r="AO17" s="134">
        <f t="shared" si="17"/>
        <v>0</v>
      </c>
      <c r="AP17" s="134">
        <f t="shared" si="2"/>
        <v>0</v>
      </c>
      <c r="AQ17" s="136" t="s">
        <v>113</v>
      </c>
      <c r="AR17" s="137">
        <f t="shared" si="3"/>
        <v>0</v>
      </c>
      <c r="AS17" s="137">
        <f t="shared" si="3"/>
        <v>0</v>
      </c>
      <c r="AT17" s="137">
        <f t="shared" si="3"/>
        <v>100</v>
      </c>
      <c r="AU17" s="137">
        <f t="shared" si="3"/>
        <v>0</v>
      </c>
      <c r="AV17" s="137">
        <f t="shared" si="3"/>
        <v>0</v>
      </c>
      <c r="AW17" s="138">
        <f t="shared" si="3"/>
        <v>0</v>
      </c>
      <c r="AX17" s="137">
        <f t="shared" si="3"/>
        <v>0</v>
      </c>
      <c r="AY17" s="137">
        <f t="shared" si="3"/>
        <v>0</v>
      </c>
      <c r="AZ17" s="139" t="s">
        <v>113</v>
      </c>
      <c r="BA17" s="139" t="s">
        <v>113</v>
      </c>
      <c r="BB17" s="139" t="s">
        <v>113</v>
      </c>
      <c r="BC17" s="139" t="s">
        <v>113</v>
      </c>
      <c r="BD17" s="139" t="s">
        <v>113</v>
      </c>
      <c r="BE17" s="139" t="s">
        <v>113</v>
      </c>
      <c r="BF17" s="139" t="s">
        <v>113</v>
      </c>
      <c r="BG17" s="139" t="s">
        <v>113</v>
      </c>
      <c r="BH17" s="140">
        <v>1347843140144</v>
      </c>
      <c r="BI17" s="140">
        <v>359543891676</v>
      </c>
      <c r="BJ17" s="140">
        <v>93842011560</v>
      </c>
      <c r="BK17" s="140">
        <v>780779043</v>
      </c>
      <c r="BL17" s="141">
        <f t="shared" si="18"/>
        <v>0.74796658895658896</v>
      </c>
      <c r="BM17" s="141">
        <f t="shared" si="4"/>
        <v>0.19952382456636877</v>
      </c>
      <c r="BN17" s="141">
        <f t="shared" si="19"/>
        <v>5.2076304131250029E-2</v>
      </c>
      <c r="BO17" s="141">
        <f t="shared" si="19"/>
        <v>4.3328234579218715E-4</v>
      </c>
      <c r="BP17" s="139" t="s">
        <v>113</v>
      </c>
      <c r="BQ17" s="139" t="s">
        <v>113</v>
      </c>
      <c r="BR17" s="139" t="s">
        <v>113</v>
      </c>
      <c r="BS17" s="131">
        <f t="shared" si="20"/>
        <v>10.075011055685486</v>
      </c>
      <c r="BT17" s="139"/>
      <c r="BU17" s="139"/>
      <c r="BV17" s="139"/>
      <c r="BW17" s="139"/>
      <c r="BX17" s="139"/>
      <c r="BY17" s="139"/>
      <c r="BZ17" s="139"/>
      <c r="CA17" s="139"/>
      <c r="CB17" s="139"/>
      <c r="CC17" s="142" t="s">
        <v>113</v>
      </c>
      <c r="CD17" s="142" t="s">
        <v>113</v>
      </c>
      <c r="CE17" s="142" t="s">
        <v>113</v>
      </c>
      <c r="CF17" s="142" t="s">
        <v>113</v>
      </c>
      <c r="CG17" s="142" t="s">
        <v>113</v>
      </c>
      <c r="CH17" s="142" t="s">
        <v>113</v>
      </c>
      <c r="CI17" s="142" t="s">
        <v>113</v>
      </c>
      <c r="CJ17" s="142"/>
      <c r="CK17" s="139" t="s">
        <v>113</v>
      </c>
      <c r="CL17" s="139" t="s">
        <v>113</v>
      </c>
      <c r="CM17" s="139" t="s">
        <v>113</v>
      </c>
      <c r="CN17" s="139" t="s">
        <v>113</v>
      </c>
      <c r="CO17" s="139" t="s">
        <v>113</v>
      </c>
      <c r="CP17" s="139" t="s">
        <v>113</v>
      </c>
      <c r="CQ17" s="139" t="s">
        <v>113</v>
      </c>
      <c r="CR17" s="139"/>
      <c r="CS17" s="143" t="s">
        <v>113</v>
      </c>
      <c r="CT17" s="143" t="s">
        <v>113</v>
      </c>
      <c r="CU17" s="143" t="s">
        <v>113</v>
      </c>
      <c r="CV17" s="143" t="s">
        <v>113</v>
      </c>
      <c r="CW17" s="143" t="s">
        <v>113</v>
      </c>
      <c r="CX17" s="143" t="s">
        <v>113</v>
      </c>
      <c r="CY17" s="143" t="s">
        <v>113</v>
      </c>
      <c r="CZ17" s="143"/>
      <c r="DA17" s="139" t="s">
        <v>113</v>
      </c>
      <c r="DB17" s="139" t="s">
        <v>113</v>
      </c>
      <c r="DC17" s="139" t="s">
        <v>113</v>
      </c>
      <c r="DD17" s="144">
        <f t="shared" si="21"/>
        <v>12.2</v>
      </c>
      <c r="DE17" s="145">
        <v>0.878</v>
      </c>
      <c r="DF17" s="1"/>
      <c r="DG17" s="1"/>
      <c r="DH17" s="1"/>
      <c r="DI17" s="1"/>
      <c r="DJ17" s="1"/>
      <c r="DK17" s="1"/>
      <c r="DL17" s="1"/>
      <c r="DM17" s="1"/>
      <c r="DN17" s="1"/>
      <c r="DO17" s="1"/>
      <c r="DP17" s="1"/>
      <c r="DQ17" s="1"/>
      <c r="DR17" s="1"/>
      <c r="DS17" s="1"/>
      <c r="DT17" s="1"/>
      <c r="DU17" s="1"/>
      <c r="DV17" s="1"/>
      <c r="DW17" s="1"/>
      <c r="DX17" s="1"/>
      <c r="DY17" s="1"/>
      <c r="DZ17" s="1"/>
      <c r="EA17" s="146">
        <v>272668117048</v>
      </c>
      <c r="EB17" s="146">
        <v>275647901200</v>
      </c>
      <c r="EC17" s="146">
        <v>275390225768</v>
      </c>
      <c r="ED17" s="147"/>
      <c r="EE17" s="147"/>
      <c r="EF17" s="147"/>
      <c r="EG17" s="129"/>
      <c r="EH17" s="122"/>
      <c r="EI17" s="130" t="s">
        <v>113</v>
      </c>
      <c r="EJ17" s="130" t="s">
        <v>113</v>
      </c>
      <c r="EK17" s="130" t="s">
        <v>113</v>
      </c>
      <c r="EL17" s="130" t="s">
        <v>113</v>
      </c>
      <c r="EM17" s="131">
        <f t="shared" si="5"/>
        <v>9.9105992436603891</v>
      </c>
      <c r="EN17" s="146">
        <v>2669230257423</v>
      </c>
      <c r="EO17" s="146">
        <v>2695888675387</v>
      </c>
      <c r="EP17" s="131">
        <f t="shared" si="6"/>
        <v>0.99873054750012624</v>
      </c>
      <c r="EQ17" s="130" t="s">
        <v>113</v>
      </c>
      <c r="ER17" s="130" t="s">
        <v>113</v>
      </c>
      <c r="ES17" s="130" t="s">
        <v>113</v>
      </c>
      <c r="ET17" s="130" t="s">
        <v>113</v>
      </c>
      <c r="EU17" s="131">
        <f t="shared" si="22"/>
        <v>9.6730240195412076</v>
      </c>
      <c r="EV17" s="132">
        <f t="shared" si="23"/>
        <v>1.0942136127965887</v>
      </c>
      <c r="EW17" s="132">
        <f t="shared" si="24"/>
        <v>0.99959200566158912</v>
      </c>
      <c r="EX17" s="132"/>
      <c r="EY17" s="148">
        <f t="shared" si="7"/>
        <v>-1.6522340775703359E-2</v>
      </c>
      <c r="EZ17" s="144">
        <f t="shared" si="25"/>
        <v>3.8000000000000034</v>
      </c>
      <c r="FA17" s="145">
        <v>0.96199999999999997</v>
      </c>
      <c r="FB17" s="130" t="s">
        <v>113</v>
      </c>
      <c r="FC17" s="130" t="s">
        <v>113</v>
      </c>
      <c r="FD17" s="130" t="s">
        <v>113</v>
      </c>
      <c r="FE17" s="130" t="s">
        <v>113</v>
      </c>
      <c r="FF17" s="130" t="s">
        <v>113</v>
      </c>
      <c r="FG17" s="130" t="s">
        <v>113</v>
      </c>
      <c r="FH17" s="130" t="s">
        <v>113</v>
      </c>
      <c r="FI17" s="130" t="s">
        <v>113</v>
      </c>
      <c r="FJ17" s="1"/>
      <c r="FK17" s="1"/>
      <c r="FL17" s="1"/>
      <c r="FM17" s="1"/>
      <c r="FN17" s="1"/>
      <c r="FO17" s="1"/>
      <c r="FP17" s="1"/>
      <c r="FQ17" s="1"/>
    </row>
    <row r="18" spans="1:173" x14ac:dyDescent="0.3">
      <c r="A18" s="1"/>
      <c r="B18" s="28">
        <v>7</v>
      </c>
      <c r="C18" s="129">
        <v>219570859028</v>
      </c>
      <c r="D18" s="129">
        <v>222027592866</v>
      </c>
      <c r="E18" s="129">
        <v>221764377635</v>
      </c>
      <c r="F18" s="129">
        <v>222027592866</v>
      </c>
      <c r="G18" s="129">
        <v>221764377635</v>
      </c>
      <c r="H18" s="129">
        <v>221764377635</v>
      </c>
      <c r="I18" s="129">
        <v>221764377635</v>
      </c>
      <c r="J18" s="122"/>
      <c r="K18" s="130" t="s">
        <v>113</v>
      </c>
      <c r="L18" s="130" t="s">
        <v>113</v>
      </c>
      <c r="M18" s="130" t="s">
        <v>113</v>
      </c>
      <c r="N18" s="130" t="s">
        <v>113</v>
      </c>
      <c r="O18" s="131">
        <f t="shared" si="8"/>
        <v>11.626944892727096</v>
      </c>
      <c r="P18" s="129">
        <v>1968264550838</v>
      </c>
      <c r="Q18" s="129">
        <v>1987947194191</v>
      </c>
      <c r="R18" s="131">
        <f t="shared" si="0"/>
        <v>0.9999998904933749</v>
      </c>
      <c r="S18" s="130" t="s">
        <v>113</v>
      </c>
      <c r="T18" s="130" t="s">
        <v>113</v>
      </c>
      <c r="U18" s="130" t="s">
        <v>113</v>
      </c>
      <c r="V18" s="130" t="s">
        <v>113</v>
      </c>
      <c r="W18" s="132">
        <f t="shared" si="9"/>
        <v>1.1188798540499287</v>
      </c>
      <c r="X18" s="132">
        <f t="shared" si="9"/>
        <v>0.99900271689747555</v>
      </c>
      <c r="Y18" s="132">
        <f t="shared" si="9"/>
        <v>1.1188798540499287</v>
      </c>
      <c r="Z18" s="132">
        <f t="shared" si="9"/>
        <v>0.99900271689747555</v>
      </c>
      <c r="AA18" s="132">
        <f t="shared" si="9"/>
        <v>0.99900271689747555</v>
      </c>
      <c r="AB18" s="132">
        <f t="shared" si="1"/>
        <v>0.99900271689747555</v>
      </c>
      <c r="AC18" s="132">
        <f t="shared" si="1"/>
        <v>0.99900271689747555</v>
      </c>
      <c r="AD18" s="130" t="s">
        <v>113</v>
      </c>
      <c r="AE18" s="130" t="s">
        <v>113</v>
      </c>
      <c r="AF18" s="130" t="s">
        <v>113</v>
      </c>
      <c r="AG18" s="130" t="s">
        <v>113</v>
      </c>
      <c r="AH18" s="133">
        <f t="shared" si="10"/>
        <v>1</v>
      </c>
      <c r="AI18" s="134">
        <f t="shared" si="11"/>
        <v>0</v>
      </c>
      <c r="AJ18" s="134">
        <f t="shared" si="12"/>
        <v>0</v>
      </c>
      <c r="AK18" s="134">
        <f t="shared" si="13"/>
        <v>0.11887985404992873</v>
      </c>
      <c r="AL18" s="134">
        <f t="shared" si="14"/>
        <v>0</v>
      </c>
      <c r="AM18" s="134">
        <f t="shared" si="15"/>
        <v>0</v>
      </c>
      <c r="AN18" s="135">
        <f t="shared" si="16"/>
        <v>0</v>
      </c>
      <c r="AO18" s="134">
        <f t="shared" si="17"/>
        <v>0</v>
      </c>
      <c r="AP18" s="134">
        <f t="shared" si="2"/>
        <v>0</v>
      </c>
      <c r="AQ18" s="136" t="s">
        <v>113</v>
      </c>
      <c r="AR18" s="137">
        <f t="shared" si="3"/>
        <v>0</v>
      </c>
      <c r="AS18" s="137">
        <f t="shared" si="3"/>
        <v>0</v>
      </c>
      <c r="AT18" s="137">
        <f t="shared" si="3"/>
        <v>100</v>
      </c>
      <c r="AU18" s="137">
        <f t="shared" si="3"/>
        <v>0</v>
      </c>
      <c r="AV18" s="137">
        <f t="shared" si="3"/>
        <v>0</v>
      </c>
      <c r="AW18" s="138">
        <f t="shared" si="3"/>
        <v>0</v>
      </c>
      <c r="AX18" s="137">
        <f t="shared" si="3"/>
        <v>0</v>
      </c>
      <c r="AY18" s="137">
        <f t="shared" si="3"/>
        <v>0</v>
      </c>
      <c r="AZ18" s="139" t="s">
        <v>113</v>
      </c>
      <c r="BA18" s="139" t="s">
        <v>113</v>
      </c>
      <c r="BB18" s="139" t="s">
        <v>113</v>
      </c>
      <c r="BC18" s="139" t="s">
        <v>113</v>
      </c>
      <c r="BD18" s="139" t="s">
        <v>113</v>
      </c>
      <c r="BE18" s="139" t="s">
        <v>113</v>
      </c>
      <c r="BF18" s="139" t="s">
        <v>113</v>
      </c>
      <c r="BG18" s="139" t="s">
        <v>113</v>
      </c>
      <c r="BH18" s="140">
        <v>1564890439050</v>
      </c>
      <c r="BI18" s="140">
        <v>301684673207</v>
      </c>
      <c r="BJ18" s="140">
        <v>99694413849</v>
      </c>
      <c r="BK18" s="140">
        <v>1995025058</v>
      </c>
      <c r="BL18" s="141">
        <f t="shared" si="18"/>
        <v>0.79506102882590091</v>
      </c>
      <c r="BM18" s="141">
        <f t="shared" si="4"/>
        <v>0.15327445339021553</v>
      </c>
      <c r="BN18" s="141">
        <f t="shared" si="19"/>
        <v>5.0650921793029463E-2</v>
      </c>
      <c r="BO18" s="141">
        <f t="shared" si="19"/>
        <v>1.0135959908540619E-3</v>
      </c>
      <c r="BP18" s="139" t="s">
        <v>113</v>
      </c>
      <c r="BQ18" s="139" t="s">
        <v>113</v>
      </c>
      <c r="BR18" s="139" t="s">
        <v>113</v>
      </c>
      <c r="BS18" s="131">
        <f t="shared" si="20"/>
        <v>11.004538858746358</v>
      </c>
      <c r="BT18" s="139"/>
      <c r="BU18" s="139"/>
      <c r="BV18" s="139"/>
      <c r="BW18" s="139"/>
      <c r="BX18" s="139"/>
      <c r="BY18" s="139"/>
      <c r="BZ18" s="139"/>
      <c r="CA18" s="139"/>
      <c r="CB18" s="139"/>
      <c r="CC18" s="142" t="s">
        <v>113</v>
      </c>
      <c r="CD18" s="142" t="s">
        <v>113</v>
      </c>
      <c r="CE18" s="142" t="s">
        <v>113</v>
      </c>
      <c r="CF18" s="142" t="s">
        <v>113</v>
      </c>
      <c r="CG18" s="142" t="s">
        <v>113</v>
      </c>
      <c r="CH18" s="142" t="s">
        <v>113</v>
      </c>
      <c r="CI18" s="142" t="s">
        <v>113</v>
      </c>
      <c r="CJ18" s="142"/>
      <c r="CK18" s="139" t="s">
        <v>113</v>
      </c>
      <c r="CL18" s="139" t="s">
        <v>113</v>
      </c>
      <c r="CM18" s="139" t="s">
        <v>113</v>
      </c>
      <c r="CN18" s="139" t="s">
        <v>113</v>
      </c>
      <c r="CO18" s="139" t="s">
        <v>113</v>
      </c>
      <c r="CP18" s="139" t="s">
        <v>113</v>
      </c>
      <c r="CQ18" s="139" t="s">
        <v>113</v>
      </c>
      <c r="CR18" s="139"/>
      <c r="CS18" s="143" t="s">
        <v>113</v>
      </c>
      <c r="CT18" s="143" t="s">
        <v>113</v>
      </c>
      <c r="CU18" s="143" t="s">
        <v>113</v>
      </c>
      <c r="CV18" s="143" t="s">
        <v>113</v>
      </c>
      <c r="CW18" s="143" t="s">
        <v>113</v>
      </c>
      <c r="CX18" s="143" t="s">
        <v>113</v>
      </c>
      <c r="CY18" s="143" t="s">
        <v>113</v>
      </c>
      <c r="CZ18" s="143"/>
      <c r="DA18" s="139" t="s">
        <v>113</v>
      </c>
      <c r="DB18" s="139" t="s">
        <v>113</v>
      </c>
      <c r="DC18" s="139" t="s">
        <v>113</v>
      </c>
      <c r="DD18" s="144">
        <f t="shared" si="21"/>
        <v>5.2000000000000046</v>
      </c>
      <c r="DE18" s="145">
        <v>0.94799999999999995</v>
      </c>
      <c r="DF18" s="1"/>
      <c r="DG18" s="1"/>
      <c r="DH18" s="1"/>
      <c r="DI18" s="1"/>
      <c r="DJ18" s="1"/>
      <c r="DK18" s="1"/>
      <c r="DL18" s="1"/>
      <c r="DM18" s="1"/>
      <c r="DN18" s="1"/>
      <c r="DO18" s="1"/>
      <c r="DP18" s="1"/>
      <c r="DQ18" s="1"/>
      <c r="DR18" s="1"/>
      <c r="DS18" s="1"/>
      <c r="DT18" s="1"/>
      <c r="DU18" s="1"/>
      <c r="DV18" s="1"/>
      <c r="DW18" s="1"/>
      <c r="DX18" s="1"/>
      <c r="DY18" s="1"/>
      <c r="DZ18" s="1"/>
      <c r="EA18" s="146">
        <v>308186443213</v>
      </c>
      <c r="EB18" s="146">
        <v>311583693200</v>
      </c>
      <c r="EC18" s="146">
        <v>311258315164</v>
      </c>
      <c r="ED18" s="147"/>
      <c r="EE18" s="147"/>
      <c r="EF18" s="147"/>
      <c r="EG18" s="129"/>
      <c r="EH18" s="122"/>
      <c r="EI18" s="130" t="s">
        <v>113</v>
      </c>
      <c r="EJ18" s="130" t="s">
        <v>113</v>
      </c>
      <c r="EK18" s="130" t="s">
        <v>113</v>
      </c>
      <c r="EL18" s="130" t="s">
        <v>113</v>
      </c>
      <c r="EM18" s="131">
        <f t="shared" si="5"/>
        <v>11.201574881875418</v>
      </c>
      <c r="EN18" s="146">
        <v>3080152958481</v>
      </c>
      <c r="EO18" s="146">
        <v>3110912644397</v>
      </c>
      <c r="EP18" s="131">
        <f t="shared" si="6"/>
        <v>0.99864150678963259</v>
      </c>
      <c r="EQ18" s="130" t="s">
        <v>113</v>
      </c>
      <c r="ER18" s="130" t="s">
        <v>113</v>
      </c>
      <c r="ES18" s="130" t="s">
        <v>113</v>
      </c>
      <c r="ET18" s="130" t="s">
        <v>113</v>
      </c>
      <c r="EU18" s="131">
        <f t="shared" si="22"/>
        <v>11.162166871288402</v>
      </c>
      <c r="EV18" s="132">
        <f t="shared" si="23"/>
        <v>1.1038355129257604</v>
      </c>
      <c r="EW18" s="132">
        <f t="shared" si="24"/>
        <v>0.99811358117589777</v>
      </c>
      <c r="EX18" s="132"/>
      <c r="EY18" s="148">
        <f t="shared" si="7"/>
        <v>-1.5044341124168303E-2</v>
      </c>
      <c r="EZ18" s="144">
        <f t="shared" si="25"/>
        <v>6.100000000000005</v>
      </c>
      <c r="FA18" s="145">
        <v>0.93899999999999995</v>
      </c>
      <c r="FB18" s="130" t="s">
        <v>113</v>
      </c>
      <c r="FC18" s="130" t="s">
        <v>113</v>
      </c>
      <c r="FD18" s="130" t="s">
        <v>113</v>
      </c>
      <c r="FE18" s="130" t="s">
        <v>113</v>
      </c>
      <c r="FF18" s="130" t="s">
        <v>113</v>
      </c>
      <c r="FG18" s="130" t="s">
        <v>113</v>
      </c>
      <c r="FH18" s="130" t="s">
        <v>113</v>
      </c>
      <c r="FI18" s="130" t="s">
        <v>113</v>
      </c>
      <c r="FJ18" s="1"/>
      <c r="FK18" s="1"/>
      <c r="FL18" s="1"/>
      <c r="FM18" s="1"/>
      <c r="FN18" s="1"/>
      <c r="FO18" s="1"/>
      <c r="FP18" s="1"/>
      <c r="FQ18" s="1"/>
    </row>
    <row r="19" spans="1:173" x14ac:dyDescent="0.3">
      <c r="A19" s="1"/>
      <c r="B19" s="28">
        <v>8</v>
      </c>
      <c r="C19" s="129">
        <v>249627183682</v>
      </c>
      <c r="D19" s="129">
        <v>252375450556</v>
      </c>
      <c r="E19" s="129">
        <v>252124264730</v>
      </c>
      <c r="F19" s="129">
        <v>252375450556</v>
      </c>
      <c r="G19" s="129">
        <v>252124264730</v>
      </c>
      <c r="H19" s="129">
        <v>252124264730</v>
      </c>
      <c r="I19" s="129">
        <v>252124264730</v>
      </c>
      <c r="J19" s="122"/>
      <c r="K19" s="130" t="s">
        <v>113</v>
      </c>
      <c r="L19" s="130" t="s">
        <v>113</v>
      </c>
      <c r="M19" s="130" t="s">
        <v>113</v>
      </c>
      <c r="N19" s="130" t="s">
        <v>113</v>
      </c>
      <c r="O19" s="131">
        <f t="shared" si="8"/>
        <v>13.218518710750956</v>
      </c>
      <c r="P19" s="129">
        <v>2268836500809</v>
      </c>
      <c r="Q19" s="129">
        <v>2291524864371</v>
      </c>
      <c r="R19" s="131">
        <f t="shared" si="0"/>
        <v>0.99999993626291861</v>
      </c>
      <c r="S19" s="130" t="s">
        <v>113</v>
      </c>
      <c r="T19" s="130" t="s">
        <v>113</v>
      </c>
      <c r="U19" s="130" t="s">
        <v>113</v>
      </c>
      <c r="V19" s="130" t="s">
        <v>113</v>
      </c>
      <c r="W19" s="132">
        <f t="shared" si="9"/>
        <v>1.1009486261189956</v>
      </c>
      <c r="X19" s="132">
        <f t="shared" si="9"/>
        <v>1.0003242316500671</v>
      </c>
      <c r="Y19" s="132">
        <f t="shared" si="9"/>
        <v>1.1009486261189956</v>
      </c>
      <c r="Z19" s="132">
        <f t="shared" si="9"/>
        <v>1.0003242316500671</v>
      </c>
      <c r="AA19" s="132">
        <f t="shared" si="9"/>
        <v>1.0003242316500671</v>
      </c>
      <c r="AB19" s="132">
        <f t="shared" si="1"/>
        <v>1.0003242316500671</v>
      </c>
      <c r="AC19" s="132">
        <f t="shared" si="1"/>
        <v>1.0003242316500671</v>
      </c>
      <c r="AD19" s="130" t="s">
        <v>113</v>
      </c>
      <c r="AE19" s="130" t="s">
        <v>113</v>
      </c>
      <c r="AF19" s="130" t="s">
        <v>113</v>
      </c>
      <c r="AG19" s="130" t="s">
        <v>113</v>
      </c>
      <c r="AH19" s="133">
        <f t="shared" si="10"/>
        <v>1</v>
      </c>
      <c r="AI19" s="134">
        <f t="shared" si="11"/>
        <v>3.242316500671194E-4</v>
      </c>
      <c r="AJ19" s="134">
        <f t="shared" si="12"/>
        <v>0</v>
      </c>
      <c r="AK19" s="134">
        <f t="shared" si="13"/>
        <v>0.10062439446892846</v>
      </c>
      <c r="AL19" s="134">
        <f t="shared" si="14"/>
        <v>0</v>
      </c>
      <c r="AM19" s="134">
        <f t="shared" si="15"/>
        <v>0</v>
      </c>
      <c r="AN19" s="135">
        <f t="shared" si="16"/>
        <v>0</v>
      </c>
      <c r="AO19" s="134">
        <f t="shared" si="17"/>
        <v>0</v>
      </c>
      <c r="AP19" s="134">
        <f t="shared" si="2"/>
        <v>3.242316500671194E-4</v>
      </c>
      <c r="AQ19" s="136" t="s">
        <v>113</v>
      </c>
      <c r="AR19" s="137">
        <f t="shared" si="3"/>
        <v>0.32118480709675401</v>
      </c>
      <c r="AS19" s="137">
        <f t="shared" si="3"/>
        <v>0</v>
      </c>
      <c r="AT19" s="137">
        <f t="shared" si="3"/>
        <v>99.678815192903244</v>
      </c>
      <c r="AU19" s="137">
        <f t="shared" si="3"/>
        <v>0</v>
      </c>
      <c r="AV19" s="137">
        <f t="shared" si="3"/>
        <v>0</v>
      </c>
      <c r="AW19" s="138">
        <f t="shared" si="3"/>
        <v>0</v>
      </c>
      <c r="AX19" s="137">
        <f t="shared" si="3"/>
        <v>0</v>
      </c>
      <c r="AY19" s="137">
        <f t="shared" si="3"/>
        <v>0.32118480709675401</v>
      </c>
      <c r="AZ19" s="139" t="s">
        <v>113</v>
      </c>
      <c r="BA19" s="139" t="s">
        <v>113</v>
      </c>
      <c r="BB19" s="139" t="s">
        <v>113</v>
      </c>
      <c r="BC19" s="139" t="s">
        <v>113</v>
      </c>
      <c r="BD19" s="139" t="s">
        <v>113</v>
      </c>
      <c r="BE19" s="139" t="s">
        <v>113</v>
      </c>
      <c r="BF19" s="139" t="s">
        <v>113</v>
      </c>
      <c r="BG19" s="139" t="s">
        <v>113</v>
      </c>
      <c r="BH19" s="140">
        <v>1794132800951</v>
      </c>
      <c r="BI19" s="140">
        <v>383411120989</v>
      </c>
      <c r="BJ19" s="140">
        <v>91292579463</v>
      </c>
      <c r="BK19" s="140">
        <v>0</v>
      </c>
      <c r="BL19" s="141">
        <f t="shared" si="18"/>
        <v>0.79077218646718117</v>
      </c>
      <c r="BM19" s="141">
        <f t="shared" si="4"/>
        <v>0.1689901942039044</v>
      </c>
      <c r="BN19" s="141">
        <f t="shared" si="19"/>
        <v>4.0237619328914453E-2</v>
      </c>
      <c r="BO19" s="141">
        <f t="shared" si="19"/>
        <v>0</v>
      </c>
      <c r="BP19" s="139" t="s">
        <v>113</v>
      </c>
      <c r="BQ19" s="139" t="s">
        <v>113</v>
      </c>
      <c r="BR19" s="139" t="s">
        <v>113</v>
      </c>
      <c r="BS19" s="131">
        <f t="shared" si="20"/>
        <v>12.685032317766783</v>
      </c>
      <c r="BT19" s="139"/>
      <c r="BU19" s="139"/>
      <c r="BV19" s="139"/>
      <c r="BW19" s="139"/>
      <c r="BX19" s="139"/>
      <c r="BY19" s="139"/>
      <c r="BZ19" s="139"/>
      <c r="CA19" s="139"/>
      <c r="CB19" s="139"/>
      <c r="CC19" s="142" t="s">
        <v>113</v>
      </c>
      <c r="CD19" s="142" t="s">
        <v>113</v>
      </c>
      <c r="CE19" s="142" t="s">
        <v>113</v>
      </c>
      <c r="CF19" s="142" t="s">
        <v>113</v>
      </c>
      <c r="CG19" s="142" t="s">
        <v>113</v>
      </c>
      <c r="CH19" s="142" t="s">
        <v>113</v>
      </c>
      <c r="CI19" s="142" t="s">
        <v>113</v>
      </c>
      <c r="CJ19" s="142"/>
      <c r="CK19" s="139" t="s">
        <v>113</v>
      </c>
      <c r="CL19" s="139" t="s">
        <v>113</v>
      </c>
      <c r="CM19" s="139" t="s">
        <v>113</v>
      </c>
      <c r="CN19" s="139" t="s">
        <v>113</v>
      </c>
      <c r="CO19" s="139" t="s">
        <v>113</v>
      </c>
      <c r="CP19" s="139" t="s">
        <v>113</v>
      </c>
      <c r="CQ19" s="139" t="s">
        <v>113</v>
      </c>
      <c r="CR19" s="139"/>
      <c r="CS19" s="143" t="s">
        <v>113</v>
      </c>
      <c r="CT19" s="143" t="s">
        <v>113</v>
      </c>
      <c r="CU19" s="143" t="s">
        <v>113</v>
      </c>
      <c r="CV19" s="143" t="s">
        <v>113</v>
      </c>
      <c r="CW19" s="143" t="s">
        <v>113</v>
      </c>
      <c r="CX19" s="143" t="s">
        <v>113</v>
      </c>
      <c r="CY19" s="143" t="s">
        <v>113</v>
      </c>
      <c r="CZ19" s="143"/>
      <c r="DA19" s="139" t="s">
        <v>113</v>
      </c>
      <c r="DB19" s="139" t="s">
        <v>113</v>
      </c>
      <c r="DC19" s="139" t="s">
        <v>113</v>
      </c>
      <c r="DD19" s="144">
        <f t="shared" si="21"/>
        <v>11.099999999999998</v>
      </c>
      <c r="DE19" s="145">
        <v>0.88900000000000001</v>
      </c>
      <c r="DF19" s="1"/>
      <c r="DG19" s="1"/>
      <c r="DH19" s="1"/>
      <c r="DI19" s="1"/>
      <c r="DJ19" s="1"/>
      <c r="DK19" s="1"/>
      <c r="DL19" s="1"/>
      <c r="DM19" s="1"/>
      <c r="DN19" s="1"/>
      <c r="DO19" s="1"/>
      <c r="DP19" s="1"/>
      <c r="DQ19" s="1"/>
      <c r="DR19" s="1"/>
      <c r="DS19" s="1"/>
      <c r="DT19" s="1"/>
      <c r="DU19" s="1"/>
      <c r="DV19" s="1"/>
      <c r="DW19" s="1"/>
      <c r="DX19" s="1"/>
      <c r="DY19" s="1"/>
      <c r="DZ19" s="1"/>
      <c r="EA19" s="146">
        <v>372569325675</v>
      </c>
      <c r="EB19" s="146">
        <v>376638894927</v>
      </c>
      <c r="EC19" s="146">
        <v>376291298998</v>
      </c>
      <c r="ED19" s="147"/>
      <c r="EE19" s="147"/>
      <c r="EF19" s="147"/>
      <c r="EG19" s="129"/>
      <c r="EH19" s="122"/>
      <c r="EI19" s="130" t="s">
        <v>113</v>
      </c>
      <c r="EJ19" s="130" t="s">
        <v>113</v>
      </c>
      <c r="EK19" s="130" t="s">
        <v>113</v>
      </c>
      <c r="EL19" s="130" t="s">
        <v>113</v>
      </c>
      <c r="EM19" s="131">
        <f t="shared" si="5"/>
        <v>13.54168326396487</v>
      </c>
      <c r="EN19" s="146">
        <v>3394153807088</v>
      </c>
      <c r="EO19" s="146">
        <v>3428071863059</v>
      </c>
      <c r="EP19" s="131">
        <f t="shared" si="6"/>
        <v>0.99930816040714188</v>
      </c>
      <c r="EQ19" s="130" t="s">
        <v>113</v>
      </c>
      <c r="ER19" s="130" t="s">
        <v>113</v>
      </c>
      <c r="ES19" s="130" t="s">
        <v>113</v>
      </c>
      <c r="ET19" s="130" t="s">
        <v>113</v>
      </c>
      <c r="EU19" s="131">
        <f t="shared" si="22"/>
        <v>12.30007460415826</v>
      </c>
      <c r="EV19" s="132">
        <f t="shared" si="23"/>
        <v>1.0930547443678282</v>
      </c>
      <c r="EW19" s="132">
        <f t="shared" si="24"/>
        <v>0.99969317320653894</v>
      </c>
      <c r="EX19" s="132"/>
      <c r="EY19" s="148">
        <f t="shared" si="7"/>
        <v>-7.893881751167342E-3</v>
      </c>
      <c r="EZ19" s="144">
        <f t="shared" si="25"/>
        <v>2.9000000000000026</v>
      </c>
      <c r="FA19" s="145">
        <v>0.97099999999999997</v>
      </c>
      <c r="FB19" s="130" t="s">
        <v>113</v>
      </c>
      <c r="FC19" s="130" t="s">
        <v>113</v>
      </c>
      <c r="FD19" s="130" t="s">
        <v>113</v>
      </c>
      <c r="FE19" s="130" t="s">
        <v>113</v>
      </c>
      <c r="FF19" s="130" t="s">
        <v>113</v>
      </c>
      <c r="FG19" s="130" t="s">
        <v>113</v>
      </c>
      <c r="FH19" s="130" t="s">
        <v>113</v>
      </c>
      <c r="FI19" s="130" t="s">
        <v>113</v>
      </c>
      <c r="FJ19" s="1"/>
      <c r="FK19" s="1"/>
      <c r="FL19" s="1"/>
      <c r="FM19" s="1"/>
      <c r="FN19" s="1"/>
      <c r="FO19" s="1"/>
      <c r="FP19" s="1"/>
      <c r="FQ19" s="1"/>
    </row>
    <row r="20" spans="1:173" x14ac:dyDescent="0.3">
      <c r="A20" s="1"/>
      <c r="B20" s="28">
        <v>9</v>
      </c>
      <c r="C20" s="129">
        <v>301456204562</v>
      </c>
      <c r="D20" s="129">
        <v>304739496361</v>
      </c>
      <c r="E20" s="129">
        <v>304467361654</v>
      </c>
      <c r="F20" s="129">
        <v>304739496361</v>
      </c>
      <c r="G20" s="129">
        <v>304467361654</v>
      </c>
      <c r="H20" s="129">
        <v>304467361654</v>
      </c>
      <c r="I20" s="129">
        <v>304467361654</v>
      </c>
      <c r="J20" s="122"/>
      <c r="K20" s="130" t="s">
        <v>113</v>
      </c>
      <c r="L20" s="130" t="s">
        <v>113</v>
      </c>
      <c r="M20" s="130" t="s">
        <v>113</v>
      </c>
      <c r="N20" s="130" t="s">
        <v>113</v>
      </c>
      <c r="O20" s="131">
        <f t="shared" si="8"/>
        <v>15.963023023770544</v>
      </c>
      <c r="P20" s="129">
        <v>2608658999252</v>
      </c>
      <c r="Q20" s="129">
        <v>2634745587908</v>
      </c>
      <c r="R20" s="131">
        <f t="shared" si="0"/>
        <v>0.99999994876600606</v>
      </c>
      <c r="S20" s="130" t="s">
        <v>113</v>
      </c>
      <c r="T20" s="130" t="s">
        <v>113</v>
      </c>
      <c r="U20" s="130" t="s">
        <v>113</v>
      </c>
      <c r="V20" s="130" t="s">
        <v>113</v>
      </c>
      <c r="W20" s="132">
        <f t="shared" si="9"/>
        <v>1.0891439345183196</v>
      </c>
      <c r="X20" s="132">
        <f t="shared" si="9"/>
        <v>0.99887054925562579</v>
      </c>
      <c r="Y20" s="132">
        <f t="shared" si="9"/>
        <v>1.0891439345183196</v>
      </c>
      <c r="Z20" s="132">
        <f t="shared" si="9"/>
        <v>0.99887054925562579</v>
      </c>
      <c r="AA20" s="132">
        <f t="shared" si="9"/>
        <v>0.99887054925562579</v>
      </c>
      <c r="AB20" s="132">
        <f t="shared" si="1"/>
        <v>0.99887054925562579</v>
      </c>
      <c r="AC20" s="132">
        <f t="shared" si="1"/>
        <v>0.99887054925562579</v>
      </c>
      <c r="AD20" s="130" t="s">
        <v>113</v>
      </c>
      <c r="AE20" s="130" t="s">
        <v>113</v>
      </c>
      <c r="AF20" s="130" t="s">
        <v>113</v>
      </c>
      <c r="AG20" s="130" t="s">
        <v>113</v>
      </c>
      <c r="AH20" s="133">
        <f t="shared" si="10"/>
        <v>1</v>
      </c>
      <c r="AI20" s="134">
        <f t="shared" si="11"/>
        <v>0</v>
      </c>
      <c r="AJ20" s="134">
        <f t="shared" si="12"/>
        <v>0</v>
      </c>
      <c r="AK20" s="134">
        <f t="shared" si="13"/>
        <v>8.914393451831959E-2</v>
      </c>
      <c r="AL20" s="134">
        <f t="shared" si="14"/>
        <v>0</v>
      </c>
      <c r="AM20" s="134">
        <f t="shared" si="15"/>
        <v>0</v>
      </c>
      <c r="AN20" s="135">
        <f t="shared" si="16"/>
        <v>0</v>
      </c>
      <c r="AO20" s="134">
        <f t="shared" si="17"/>
        <v>0</v>
      </c>
      <c r="AP20" s="134">
        <f t="shared" si="2"/>
        <v>0</v>
      </c>
      <c r="AQ20" s="136" t="s">
        <v>113</v>
      </c>
      <c r="AR20" s="137">
        <f t="shared" si="3"/>
        <v>0</v>
      </c>
      <c r="AS20" s="137">
        <f t="shared" si="3"/>
        <v>0</v>
      </c>
      <c r="AT20" s="137">
        <f t="shared" si="3"/>
        <v>100</v>
      </c>
      <c r="AU20" s="137">
        <f t="shared" si="3"/>
        <v>0</v>
      </c>
      <c r="AV20" s="137">
        <f t="shared" si="3"/>
        <v>0</v>
      </c>
      <c r="AW20" s="138">
        <f t="shared" si="3"/>
        <v>0</v>
      </c>
      <c r="AX20" s="137">
        <f t="shared" si="3"/>
        <v>0</v>
      </c>
      <c r="AY20" s="137">
        <f t="shared" si="3"/>
        <v>0</v>
      </c>
      <c r="AZ20" s="139" t="s">
        <v>113</v>
      </c>
      <c r="BA20" s="139" t="s">
        <v>113</v>
      </c>
      <c r="BB20" s="139" t="s">
        <v>113</v>
      </c>
      <c r="BC20" s="139" t="s">
        <v>113</v>
      </c>
      <c r="BD20" s="139" t="s">
        <v>113</v>
      </c>
      <c r="BE20" s="139" t="s">
        <v>113</v>
      </c>
      <c r="BF20" s="139" t="s">
        <v>113</v>
      </c>
      <c r="BG20" s="139" t="s">
        <v>113</v>
      </c>
      <c r="BH20" s="140">
        <v>2027248754616</v>
      </c>
      <c r="BI20" s="140">
        <v>411464735146</v>
      </c>
      <c r="BJ20" s="140">
        <v>168133155619</v>
      </c>
      <c r="BK20" s="140">
        <v>1812354072</v>
      </c>
      <c r="BL20" s="141">
        <f t="shared" si="18"/>
        <v>0.77712294134307558</v>
      </c>
      <c r="BM20" s="141">
        <f t="shared" si="4"/>
        <v>0.15773036461732964</v>
      </c>
      <c r="BN20" s="141">
        <f t="shared" si="19"/>
        <v>6.4451948550674973E-2</v>
      </c>
      <c r="BO20" s="141">
        <f t="shared" si="19"/>
        <v>6.947454889197959E-4</v>
      </c>
      <c r="BP20" s="139" t="s">
        <v>113</v>
      </c>
      <c r="BQ20" s="139" t="s">
        <v>113</v>
      </c>
      <c r="BR20" s="139" t="s">
        <v>113</v>
      </c>
      <c r="BS20" s="131">
        <f t="shared" si="20"/>
        <v>14.584975030040964</v>
      </c>
      <c r="BT20" s="139"/>
      <c r="BU20" s="139"/>
      <c r="BV20" s="139"/>
      <c r="BW20" s="139"/>
      <c r="BX20" s="139"/>
      <c r="BY20" s="139"/>
      <c r="BZ20" s="139"/>
      <c r="CA20" s="139"/>
      <c r="CB20" s="139"/>
      <c r="CC20" s="142" t="s">
        <v>113</v>
      </c>
      <c r="CD20" s="142" t="s">
        <v>113</v>
      </c>
      <c r="CE20" s="142" t="s">
        <v>113</v>
      </c>
      <c r="CF20" s="142" t="s">
        <v>113</v>
      </c>
      <c r="CG20" s="142" t="s">
        <v>113</v>
      </c>
      <c r="CH20" s="142" t="s">
        <v>113</v>
      </c>
      <c r="CI20" s="142" t="s">
        <v>113</v>
      </c>
      <c r="CJ20" s="142"/>
      <c r="CK20" s="139" t="s">
        <v>113</v>
      </c>
      <c r="CL20" s="139" t="s">
        <v>113</v>
      </c>
      <c r="CM20" s="139" t="s">
        <v>113</v>
      </c>
      <c r="CN20" s="139" t="s">
        <v>113</v>
      </c>
      <c r="CO20" s="139" t="s">
        <v>113</v>
      </c>
      <c r="CP20" s="139" t="s">
        <v>113</v>
      </c>
      <c r="CQ20" s="139" t="s">
        <v>113</v>
      </c>
      <c r="CR20" s="139"/>
      <c r="CS20" s="143" t="s">
        <v>113</v>
      </c>
      <c r="CT20" s="143" t="s">
        <v>113</v>
      </c>
      <c r="CU20" s="143" t="s">
        <v>113</v>
      </c>
      <c r="CV20" s="143" t="s">
        <v>113</v>
      </c>
      <c r="CW20" s="143" t="s">
        <v>113</v>
      </c>
      <c r="CX20" s="143" t="s">
        <v>113</v>
      </c>
      <c r="CY20" s="143" t="s">
        <v>113</v>
      </c>
      <c r="CZ20" s="143"/>
      <c r="DA20" s="139" t="s">
        <v>113</v>
      </c>
      <c r="DB20" s="139" t="s">
        <v>113</v>
      </c>
      <c r="DC20" s="139" t="s">
        <v>113</v>
      </c>
      <c r="DD20" s="144">
        <f t="shared" si="21"/>
        <v>3.6000000000000032</v>
      </c>
      <c r="DE20" s="145">
        <v>0.96399999999999997</v>
      </c>
      <c r="DF20" s="1"/>
      <c r="DG20" s="1"/>
      <c r="DH20" s="1"/>
      <c r="DI20" s="1"/>
      <c r="DJ20" s="1"/>
      <c r="DK20" s="1"/>
      <c r="DL20" s="1"/>
      <c r="DM20" s="1"/>
      <c r="DN20" s="1"/>
      <c r="DO20" s="1"/>
      <c r="DP20" s="1"/>
      <c r="DQ20" s="1"/>
      <c r="DR20" s="1"/>
      <c r="DS20" s="1"/>
      <c r="DT20" s="1"/>
      <c r="DU20" s="1"/>
      <c r="DV20" s="1"/>
      <c r="DW20" s="1"/>
      <c r="DX20" s="1"/>
      <c r="DY20" s="1"/>
      <c r="DZ20" s="1"/>
      <c r="EA20" s="146">
        <v>425927337531</v>
      </c>
      <c r="EB20" s="146">
        <v>430436209561</v>
      </c>
      <c r="EC20" s="146">
        <v>430177101592</v>
      </c>
      <c r="ED20" s="147"/>
      <c r="EE20" s="147"/>
      <c r="EF20" s="147"/>
      <c r="EG20" s="129"/>
      <c r="EH20" s="122"/>
      <c r="EI20" s="130" t="s">
        <v>113</v>
      </c>
      <c r="EJ20" s="130" t="s">
        <v>113</v>
      </c>
      <c r="EK20" s="130" t="s">
        <v>113</v>
      </c>
      <c r="EL20" s="130" t="s">
        <v>113</v>
      </c>
      <c r="EM20" s="131">
        <f t="shared" si="5"/>
        <v>15.481073456219013</v>
      </c>
      <c r="EN20" s="146">
        <v>4025194466257</v>
      </c>
      <c r="EO20" s="146">
        <v>4065390590457</v>
      </c>
      <c r="EP20" s="131">
        <f t="shared" si="6"/>
        <v>0.99861322321099788</v>
      </c>
      <c r="EQ20" s="130" t="s">
        <v>113</v>
      </c>
      <c r="ER20" s="130" t="s">
        <v>113</v>
      </c>
      <c r="ES20" s="130" t="s">
        <v>113</v>
      </c>
      <c r="ET20" s="130" t="s">
        <v>113</v>
      </c>
      <c r="EU20" s="131">
        <f t="shared" si="22"/>
        <v>14.586902964684192</v>
      </c>
      <c r="EV20" s="132">
        <f t="shared" si="23"/>
        <v>1.0600713113479259</v>
      </c>
      <c r="EW20" s="132">
        <f t="shared" si="24"/>
        <v>0.99915298795108121</v>
      </c>
      <c r="EX20" s="132"/>
      <c r="EY20" s="148">
        <f t="shared" si="7"/>
        <v>-2.9072623170393719E-2</v>
      </c>
      <c r="EZ20" s="144">
        <f t="shared" si="25"/>
        <v>4.0000000000000036</v>
      </c>
      <c r="FA20" s="145">
        <v>0.96</v>
      </c>
      <c r="FB20" s="130" t="s">
        <v>113</v>
      </c>
      <c r="FC20" s="130" t="s">
        <v>113</v>
      </c>
      <c r="FD20" s="130" t="s">
        <v>113</v>
      </c>
      <c r="FE20" s="130" t="s">
        <v>113</v>
      </c>
      <c r="FF20" s="130" t="s">
        <v>113</v>
      </c>
      <c r="FG20" s="130" t="s">
        <v>113</v>
      </c>
      <c r="FH20" s="130" t="s">
        <v>113</v>
      </c>
      <c r="FI20" s="130" t="s">
        <v>113</v>
      </c>
      <c r="FJ20" s="1"/>
      <c r="FK20" s="1"/>
      <c r="FL20" s="1"/>
      <c r="FM20" s="1"/>
      <c r="FN20" s="1"/>
      <c r="FO20" s="1"/>
      <c r="FP20" s="1"/>
      <c r="FQ20" s="1"/>
    </row>
    <row r="21" spans="1:173" x14ac:dyDescent="0.3">
      <c r="A21" s="1"/>
      <c r="B21" s="33">
        <v>10</v>
      </c>
      <c r="C21" s="129">
        <v>593314487869</v>
      </c>
      <c r="D21" s="129">
        <v>599496536262</v>
      </c>
      <c r="E21" s="129">
        <v>599246865887</v>
      </c>
      <c r="F21" s="129">
        <v>599496536262</v>
      </c>
      <c r="G21" s="129">
        <v>599246865887</v>
      </c>
      <c r="H21" s="129">
        <v>599246865887</v>
      </c>
      <c r="I21" s="149">
        <v>599246865887</v>
      </c>
      <c r="J21" s="122"/>
      <c r="K21" s="130" t="s">
        <v>113</v>
      </c>
      <c r="L21" s="130" t="s">
        <v>113</v>
      </c>
      <c r="M21" s="130" t="s">
        <v>113</v>
      </c>
      <c r="N21" s="130" t="s">
        <v>113</v>
      </c>
      <c r="O21" s="131">
        <f t="shared" si="8"/>
        <v>31.417806921408285</v>
      </c>
      <c r="P21" s="129">
        <v>4588195163641</v>
      </c>
      <c r="Q21" s="129">
        <v>4634077116433</v>
      </c>
      <c r="R21" s="131">
        <f t="shared" si="0"/>
        <v>1.0000000251861652</v>
      </c>
      <c r="S21" s="130" t="s">
        <v>113</v>
      </c>
      <c r="T21" s="130" t="s">
        <v>113</v>
      </c>
      <c r="U21" s="130" t="s">
        <v>113</v>
      </c>
      <c r="V21" s="130" t="s">
        <v>113</v>
      </c>
      <c r="W21" s="132">
        <f t="shared" si="9"/>
        <v>1.0419513367188951</v>
      </c>
      <c r="X21" s="132">
        <f t="shared" si="9"/>
        <v>0.99987072452813297</v>
      </c>
      <c r="Y21" s="132">
        <f t="shared" si="9"/>
        <v>1.0419513367188951</v>
      </c>
      <c r="Z21" s="132">
        <f t="shared" si="9"/>
        <v>0.99987072452813297</v>
      </c>
      <c r="AA21" s="132">
        <f t="shared" si="9"/>
        <v>0.99987072452813297</v>
      </c>
      <c r="AB21" s="132">
        <f t="shared" si="1"/>
        <v>0.99987072452813297</v>
      </c>
      <c r="AC21" s="132">
        <f t="shared" si="1"/>
        <v>0.99987072452813297</v>
      </c>
      <c r="AD21" s="130" t="s">
        <v>113</v>
      </c>
      <c r="AE21" s="130" t="s">
        <v>113</v>
      </c>
      <c r="AF21" s="130" t="s">
        <v>113</v>
      </c>
      <c r="AG21" s="130" t="s">
        <v>113</v>
      </c>
      <c r="AH21" s="133">
        <f t="shared" si="10"/>
        <v>1</v>
      </c>
      <c r="AI21" s="134">
        <f t="shared" si="11"/>
        <v>0</v>
      </c>
      <c r="AJ21" s="134">
        <f t="shared" si="12"/>
        <v>0</v>
      </c>
      <c r="AK21" s="134">
        <f t="shared" si="13"/>
        <v>4.195133671889506E-2</v>
      </c>
      <c r="AL21" s="134">
        <f t="shared" si="14"/>
        <v>0</v>
      </c>
      <c r="AM21" s="134">
        <f t="shared" si="15"/>
        <v>0</v>
      </c>
      <c r="AN21" s="135">
        <f t="shared" si="16"/>
        <v>0</v>
      </c>
      <c r="AO21" s="134">
        <f t="shared" si="17"/>
        <v>0</v>
      </c>
      <c r="AP21" s="134">
        <f t="shared" si="2"/>
        <v>0</v>
      </c>
      <c r="AQ21" s="136" t="s">
        <v>113</v>
      </c>
      <c r="AR21" s="137">
        <f t="shared" si="3"/>
        <v>0</v>
      </c>
      <c r="AS21" s="137">
        <f t="shared" si="3"/>
        <v>0</v>
      </c>
      <c r="AT21" s="137">
        <f t="shared" si="3"/>
        <v>100</v>
      </c>
      <c r="AU21" s="137">
        <f t="shared" si="3"/>
        <v>0</v>
      </c>
      <c r="AV21" s="137">
        <f t="shared" si="3"/>
        <v>0</v>
      </c>
      <c r="AW21" s="138">
        <f t="shared" si="3"/>
        <v>0</v>
      </c>
      <c r="AX21" s="137">
        <f t="shared" si="3"/>
        <v>0</v>
      </c>
      <c r="AY21" s="137">
        <f t="shared" si="3"/>
        <v>0</v>
      </c>
      <c r="AZ21" s="139" t="s">
        <v>113</v>
      </c>
      <c r="BA21" s="139" t="s">
        <v>113</v>
      </c>
      <c r="BB21" s="139" t="s">
        <v>113</v>
      </c>
      <c r="BC21" s="139" t="s">
        <v>113</v>
      </c>
      <c r="BD21" s="139" t="s">
        <v>113</v>
      </c>
      <c r="BE21" s="139" t="s">
        <v>113</v>
      </c>
      <c r="BF21" s="139" t="s">
        <v>113</v>
      </c>
      <c r="BG21" s="139" t="s">
        <v>113</v>
      </c>
      <c r="BH21" s="140">
        <v>3284719572600</v>
      </c>
      <c r="BI21" s="140">
        <v>416662593807</v>
      </c>
      <c r="BJ21" s="140">
        <v>778705003417</v>
      </c>
      <c r="BK21" s="140">
        <v>108107994144</v>
      </c>
      <c r="BL21" s="141">
        <f t="shared" si="18"/>
        <v>0.71590668121433665</v>
      </c>
      <c r="BM21" s="141">
        <f t="shared" si="4"/>
        <v>9.0811872406634617E-2</v>
      </c>
      <c r="BN21" s="141">
        <f t="shared" si="19"/>
        <v>0.16971924157287896</v>
      </c>
      <c r="BO21" s="141">
        <f t="shared" si="19"/>
        <v>2.3562204806149782E-2</v>
      </c>
      <c r="BP21" s="139" t="s">
        <v>113</v>
      </c>
      <c r="BQ21" s="139" t="s">
        <v>113</v>
      </c>
      <c r="BR21" s="139" t="s">
        <v>113</v>
      </c>
      <c r="BS21" s="131">
        <f t="shared" si="20"/>
        <v>25.652533318401062</v>
      </c>
      <c r="BT21" s="139"/>
      <c r="BU21" s="139"/>
      <c r="BV21" s="139"/>
      <c r="BW21" s="139"/>
      <c r="BX21" s="139"/>
      <c r="BY21" s="139"/>
      <c r="BZ21" s="139"/>
      <c r="CA21" s="139"/>
      <c r="CB21" s="139"/>
      <c r="CC21" s="142" t="s">
        <v>113</v>
      </c>
      <c r="CD21" s="142" t="s">
        <v>113</v>
      </c>
      <c r="CE21" s="142" t="s">
        <v>113</v>
      </c>
      <c r="CF21" s="142" t="s">
        <v>113</v>
      </c>
      <c r="CG21" s="142" t="s">
        <v>113</v>
      </c>
      <c r="CH21" s="142" t="s">
        <v>113</v>
      </c>
      <c r="CI21" s="142" t="s">
        <v>113</v>
      </c>
      <c r="CJ21" s="142"/>
      <c r="CK21" s="139" t="s">
        <v>113</v>
      </c>
      <c r="CL21" s="139" t="s">
        <v>113</v>
      </c>
      <c r="CM21" s="139" t="s">
        <v>113</v>
      </c>
      <c r="CN21" s="139" t="s">
        <v>113</v>
      </c>
      <c r="CO21" s="139" t="s">
        <v>113</v>
      </c>
      <c r="CP21" s="139" t="s">
        <v>113</v>
      </c>
      <c r="CQ21" s="139" t="s">
        <v>113</v>
      </c>
      <c r="CR21" s="139"/>
      <c r="CS21" s="143" t="s">
        <v>113</v>
      </c>
      <c r="CT21" s="143" t="s">
        <v>113</v>
      </c>
      <c r="CU21" s="143" t="s">
        <v>113</v>
      </c>
      <c r="CV21" s="143" t="s">
        <v>113</v>
      </c>
      <c r="CW21" s="143" t="s">
        <v>113</v>
      </c>
      <c r="CX21" s="143" t="s">
        <v>113</v>
      </c>
      <c r="CY21" s="143" t="s">
        <v>113</v>
      </c>
      <c r="CZ21" s="143"/>
      <c r="DA21" s="139" t="s">
        <v>113</v>
      </c>
      <c r="DB21" s="139" t="s">
        <v>113</v>
      </c>
      <c r="DC21" s="139" t="s">
        <v>113</v>
      </c>
      <c r="DD21" s="144">
        <f t="shared" si="21"/>
        <v>3.8000000000000034</v>
      </c>
      <c r="DE21" s="145">
        <v>0.96199999999999997</v>
      </c>
      <c r="DF21" s="1"/>
      <c r="DG21" s="1"/>
      <c r="DH21" s="1"/>
      <c r="DI21" s="1"/>
      <c r="DJ21" s="1"/>
      <c r="DK21" s="1"/>
      <c r="DL21" s="1"/>
      <c r="DM21" s="1"/>
      <c r="DN21" s="1"/>
      <c r="DO21" s="1"/>
      <c r="DP21" s="1"/>
      <c r="DQ21" s="1"/>
      <c r="DR21" s="1"/>
      <c r="DS21" s="1"/>
      <c r="DT21" s="1"/>
      <c r="DU21" s="1"/>
      <c r="DV21" s="1"/>
      <c r="DW21" s="1"/>
      <c r="DX21" s="1"/>
      <c r="DY21" s="1"/>
      <c r="DZ21" s="1"/>
      <c r="EA21" s="146">
        <v>852947289236</v>
      </c>
      <c r="EB21" s="146">
        <v>861796364271</v>
      </c>
      <c r="EC21" s="146">
        <v>861472940911</v>
      </c>
      <c r="ED21" s="147"/>
      <c r="EE21" s="147"/>
      <c r="EF21" s="147"/>
      <c r="EG21" s="129"/>
      <c r="EH21" s="122"/>
      <c r="EI21" s="130" t="s">
        <v>113</v>
      </c>
      <c r="EJ21" s="130" t="s">
        <v>113</v>
      </c>
      <c r="EK21" s="130" t="s">
        <v>113</v>
      </c>
      <c r="EL21" s="130" t="s">
        <v>113</v>
      </c>
      <c r="EM21" s="131">
        <f t="shared" si="5"/>
        <v>31.001859884103688</v>
      </c>
      <c r="EN21" s="146">
        <v>6911477154288</v>
      </c>
      <c r="EO21" s="146">
        <v>6980574842546</v>
      </c>
      <c r="EP21" s="131">
        <f t="shared" si="6"/>
        <v>0.99975282729727333</v>
      </c>
      <c r="EQ21" s="130" t="s">
        <v>113</v>
      </c>
      <c r="ER21" s="130" t="s">
        <v>113</v>
      </c>
      <c r="ES21" s="130" t="s">
        <v>113</v>
      </c>
      <c r="ET21" s="130" t="s">
        <v>113</v>
      </c>
      <c r="EU21" s="131">
        <f t="shared" si="22"/>
        <v>25.046503327323649</v>
      </c>
      <c r="EV21" s="132">
        <f t="shared" si="23"/>
        <v>1.0377268252395022</v>
      </c>
      <c r="EW21" s="132">
        <f t="shared" si="24"/>
        <v>0.99979912146779459</v>
      </c>
      <c r="EX21" s="132"/>
      <c r="EY21" s="148">
        <f t="shared" si="7"/>
        <v>-4.2245114793928451E-3</v>
      </c>
      <c r="EZ21" s="144">
        <f t="shared" si="25"/>
        <v>0.9000000000000008</v>
      </c>
      <c r="FA21" s="145">
        <v>0.99099999999999999</v>
      </c>
      <c r="FB21" s="130" t="s">
        <v>113</v>
      </c>
      <c r="FC21" s="130" t="s">
        <v>113</v>
      </c>
      <c r="FD21" s="130" t="s">
        <v>113</v>
      </c>
      <c r="FE21" s="130" t="s">
        <v>113</v>
      </c>
      <c r="FF21" s="130" t="s">
        <v>113</v>
      </c>
      <c r="FG21" s="130" t="s">
        <v>113</v>
      </c>
      <c r="FH21" s="130" t="s">
        <v>113</v>
      </c>
      <c r="FI21" s="130" t="s">
        <v>113</v>
      </c>
      <c r="FJ21" s="1"/>
      <c r="FK21" s="1"/>
      <c r="FL21" s="1"/>
      <c r="FM21" s="1"/>
      <c r="FN21" s="1"/>
      <c r="FO21" s="1"/>
      <c r="FP21" s="1"/>
      <c r="FQ21" s="1"/>
    </row>
    <row r="22" spans="1:173" ht="13.2" customHeight="1" x14ac:dyDescent="0.3">
      <c r="A22" s="1"/>
      <c r="B22" s="34" t="s">
        <v>114</v>
      </c>
      <c r="C22" s="150">
        <v>1888465637825</v>
      </c>
      <c r="D22" s="150">
        <v>1909159558911</v>
      </c>
      <c r="E22" s="150">
        <v>1907319137329</v>
      </c>
      <c r="F22" s="150">
        <v>1909159558911</v>
      </c>
      <c r="G22" s="150">
        <v>1907319137329</v>
      </c>
      <c r="H22" s="150">
        <v>1907319137329</v>
      </c>
      <c r="I22" s="150">
        <v>1907319137329</v>
      </c>
      <c r="J22" s="122"/>
      <c r="K22" s="151">
        <v>1906782410666</v>
      </c>
      <c r="L22" s="151">
        <v>1888520569910</v>
      </c>
      <c r="M22" s="151">
        <v>1890618111904</v>
      </c>
      <c r="N22" s="151">
        <v>1888635295243</v>
      </c>
      <c r="O22" s="152" t="s">
        <v>113</v>
      </c>
      <c r="P22" s="150">
        <v>17885933941463</v>
      </c>
      <c r="Q22" s="150">
        <v>18064793266890</v>
      </c>
      <c r="R22" s="153">
        <f>(Q22/P22-1)*100</f>
        <v>0.99999992179535813</v>
      </c>
      <c r="S22" s="151">
        <v>18012752103564</v>
      </c>
      <c r="T22" s="151">
        <v>17920521190615</v>
      </c>
      <c r="U22" s="151">
        <v>17902239875087</v>
      </c>
      <c r="V22" s="151">
        <v>17887081914173</v>
      </c>
      <c r="W22" s="154">
        <f t="shared" si="9"/>
        <v>1.0958061555302958</v>
      </c>
      <c r="X22" s="154">
        <f t="shared" si="9"/>
        <v>0.99835022680875518</v>
      </c>
      <c r="Y22" s="154">
        <f t="shared" si="9"/>
        <v>1.0958061555302958</v>
      </c>
      <c r="Z22" s="154">
        <f t="shared" si="9"/>
        <v>0.99835022680875518</v>
      </c>
      <c r="AA22" s="154">
        <f t="shared" si="9"/>
        <v>0.99835022680875518</v>
      </c>
      <c r="AB22" s="154">
        <f>IF(I22&lt;&gt;0,((I22-$C22)/ABS($C22)) / ($Q22/$P22-1),AA22)</f>
        <v>0.99835022680875518</v>
      </c>
      <c r="AC22" s="154">
        <f>IF(J22&lt;&gt;0,((J22-$C22)/ABS($C22)) / ($Q22/$P22-1),AB22)</f>
        <v>0.99835022680875518</v>
      </c>
      <c r="AD22" s="155">
        <f>(K22/$C22-1) / (S22/$P22-1)</f>
        <v>1.3679494214177452</v>
      </c>
      <c r="AE22" s="155">
        <f>(L22/$C22-1) / (T22/$P22-1)</f>
        <v>1.5042242873058123E-2</v>
      </c>
      <c r="AF22" s="155">
        <f>(M22/$C22-1) / (U22/$P22-1)</f>
        <v>1.2502440477725676</v>
      </c>
      <c r="AG22" s="155">
        <f>(N22/$C22-1) / (V22/$P22-1)</f>
        <v>1.3997285624545133</v>
      </c>
      <c r="AH22" s="156">
        <f t="shared" si="10"/>
        <v>1</v>
      </c>
      <c r="AI22" s="155">
        <f>IF(W22&gt;1,W22-SUM(AH22,AJ22:AO22),0)</f>
        <v>0</v>
      </c>
      <c r="AJ22" s="155">
        <f t="shared" si="12"/>
        <v>0</v>
      </c>
      <c r="AK22" s="155">
        <f t="shared" si="13"/>
        <v>9.5806155530295811E-2</v>
      </c>
      <c r="AL22" s="155">
        <f t="shared" si="14"/>
        <v>0</v>
      </c>
      <c r="AM22" s="155">
        <f t="shared" si="15"/>
        <v>0</v>
      </c>
      <c r="AN22" s="157">
        <f t="shared" si="16"/>
        <v>0</v>
      </c>
      <c r="AO22" s="155">
        <f t="shared" si="17"/>
        <v>0</v>
      </c>
      <c r="AP22" s="155">
        <f>AI22+AO22</f>
        <v>0</v>
      </c>
      <c r="AQ22" s="136" t="s">
        <v>113</v>
      </c>
      <c r="AR22" s="137">
        <f>AI22/($W22-1)*100</f>
        <v>0</v>
      </c>
      <c r="AS22" s="137">
        <f t="shared" si="3"/>
        <v>0</v>
      </c>
      <c r="AT22" s="137">
        <f t="shared" si="3"/>
        <v>100</v>
      </c>
      <c r="AU22" s="137">
        <f t="shared" si="3"/>
        <v>0</v>
      </c>
      <c r="AV22" s="137">
        <f t="shared" si="3"/>
        <v>0</v>
      </c>
      <c r="AW22" s="138">
        <f t="shared" si="3"/>
        <v>0</v>
      </c>
      <c r="AX22" s="137">
        <f t="shared" si="3"/>
        <v>0</v>
      </c>
      <c r="AY22" s="137">
        <f t="shared" si="3"/>
        <v>0</v>
      </c>
      <c r="AZ22" s="158">
        <v>1.8</v>
      </c>
      <c r="BA22" s="158">
        <v>1.84</v>
      </c>
      <c r="BB22" s="158">
        <v>1.74</v>
      </c>
      <c r="BC22" s="158">
        <v>1.5</v>
      </c>
      <c r="BD22" s="159">
        <f>W22-AZ22</f>
        <v>-0.70419384446970423</v>
      </c>
      <c r="BE22" s="159">
        <f>AD22-BA22</f>
        <v>-0.47205057858225485</v>
      </c>
      <c r="BF22" s="159">
        <f>AF22-BB22</f>
        <v>-0.4897559522274324</v>
      </c>
      <c r="BG22" s="159">
        <f>AG22-BC22</f>
        <v>-0.10027143754548673</v>
      </c>
      <c r="BH22" s="160">
        <v>12681816872422</v>
      </c>
      <c r="BI22" s="140">
        <v>3493313182843</v>
      </c>
      <c r="BJ22" s="140">
        <v>1630593823826</v>
      </c>
      <c r="BK22" s="140">
        <v>114797314447</v>
      </c>
      <c r="BL22" s="141">
        <f t="shared" si="18"/>
        <v>0.70767009148121007</v>
      </c>
      <c r="BM22" s="141">
        <f t="shared" si="4"/>
        <v>0.19493368218010654</v>
      </c>
      <c r="BN22" s="141">
        <f t="shared" si="19"/>
        <v>9.0990312514681732E-2</v>
      </c>
      <c r="BO22" s="141">
        <f t="shared" si="19"/>
        <v>6.4059138240016708E-3</v>
      </c>
      <c r="BP22" s="159">
        <f>(AD22*BL22+AF22*BN22+AG22*BO22)/(BL22+BN22+BO22)</f>
        <v>1.3548989756827889</v>
      </c>
      <c r="BQ22" s="159">
        <f>W22-BP22</f>
        <v>-0.25909282015249313</v>
      </c>
      <c r="BR22" s="159">
        <f>BP22-AZ22</f>
        <v>-0.4451010243172111</v>
      </c>
      <c r="BS22" s="152" t="s">
        <v>113</v>
      </c>
      <c r="BT22" s="161"/>
      <c r="BU22" s="161"/>
      <c r="BV22" s="161"/>
      <c r="BW22" s="161"/>
      <c r="BX22" s="162"/>
      <c r="BY22" s="162"/>
      <c r="BZ22" s="163"/>
      <c r="CA22" s="164"/>
      <c r="CB22" s="165"/>
      <c r="CC22" s="166"/>
      <c r="CD22" s="166"/>
      <c r="CE22" s="166"/>
      <c r="CF22" s="166"/>
      <c r="CG22" s="167"/>
      <c r="CH22" s="167"/>
      <c r="CI22" s="168"/>
      <c r="CJ22" s="169"/>
      <c r="CK22" s="161">
        <f>'[64]3. Inequality and Poverty'!$B$7</f>
        <v>0.34206893088882101</v>
      </c>
      <c r="CL22" s="161">
        <f>'[64]3. Inequality and Poverty'!$B$8</f>
        <v>0.32935565071246697</v>
      </c>
      <c r="CM22" s="161">
        <f>'[64]3. Inequality and Poverty'!$G$7</f>
        <v>0.34206893123267801</v>
      </c>
      <c r="CN22" s="161">
        <f>'[64]3. Inequality and Poverty'!$G$8</f>
        <v>0.329361063496314</v>
      </c>
      <c r="CO22" s="162">
        <f t="shared" ref="CO22" si="26">(CK22-CL22)/CK22</f>
        <v>3.7165842987611455E-2</v>
      </c>
      <c r="CP22" s="162">
        <f>(CM22-CN22)/CM22</f>
        <v>3.7150020291436568E-2</v>
      </c>
      <c r="CQ22" s="163">
        <f>(CP22-CO22)*100</f>
        <v>-1.5822696174887241E-3</v>
      </c>
      <c r="CR22" s="165">
        <f>CN22-CL22</f>
        <v>5.4127838470252598E-6</v>
      </c>
      <c r="CS22" s="170">
        <f>(SUM(P20:P21))/(SUM(P12:P13))</f>
        <v>8.4221604235772052</v>
      </c>
      <c r="CT22" s="170">
        <f>(SUM(P20:P21)-SUM(C20:C21))/(SUM(P12:P13)-SUM(C12:C13))</f>
        <v>7.7637343056146317</v>
      </c>
      <c r="CU22" s="170">
        <f>(SUM(Q20:Q21))/(SUM(Q12:Q13))</f>
        <v>8.4221604600466371</v>
      </c>
      <c r="CV22" s="170">
        <f>(SUM(Q20:Q21)-SUM(D20:D21))/(SUM(Q12:Q13)-SUM(D12:D13))</f>
        <v>7.7634663127865977</v>
      </c>
      <c r="CW22" s="162">
        <f>(CS22-CT22)/CS22</f>
        <v>7.8177817192766716E-2</v>
      </c>
      <c r="CX22" s="162">
        <f>(CU22-CV22)/CU22</f>
        <v>7.8209641146684106E-2</v>
      </c>
      <c r="CY22" s="163">
        <f>(CX22-CW22)*100</f>
        <v>3.1823953917389791E-3</v>
      </c>
      <c r="CZ22" s="165">
        <f>CV22-CT22</f>
        <v>-2.6799282803402491E-4</v>
      </c>
      <c r="DA22" s="171">
        <v>0.1118</v>
      </c>
      <c r="DB22" s="171">
        <v>0.1115</v>
      </c>
      <c r="DC22" s="172">
        <f>DB22-DA22</f>
        <v>-2.9999999999999472E-4</v>
      </c>
      <c r="DD22" s="144">
        <f t="shared" si="21"/>
        <v>25.1</v>
      </c>
      <c r="DE22" s="145">
        <v>0.749</v>
      </c>
      <c r="DF22" s="1"/>
      <c r="DG22" s="1"/>
      <c r="DH22" s="1"/>
      <c r="DI22" s="1"/>
      <c r="DJ22" s="1"/>
      <c r="DK22" s="1"/>
      <c r="DL22" s="1"/>
      <c r="DM22" s="1"/>
      <c r="DN22" s="1"/>
      <c r="DO22" s="1"/>
      <c r="DP22" s="1"/>
      <c r="DQ22" s="1"/>
      <c r="DR22" s="1"/>
      <c r="DS22" s="1"/>
      <c r="DT22" s="1"/>
      <c r="DU22" s="1"/>
      <c r="DV22" s="1"/>
      <c r="DW22" s="1"/>
      <c r="DX22" s="1"/>
      <c r="DY22" s="1"/>
      <c r="DZ22" s="1"/>
      <c r="EA22" s="151">
        <v>2751277802121</v>
      </c>
      <c r="EB22" s="151">
        <v>2781115321216</v>
      </c>
      <c r="EC22" s="151">
        <v>2778705793798</v>
      </c>
      <c r="ED22" s="173"/>
      <c r="EE22" s="173"/>
      <c r="EF22" s="173"/>
      <c r="EG22" s="150"/>
      <c r="EH22" s="123"/>
      <c r="EI22" s="151">
        <v>2777688456232</v>
      </c>
      <c r="EJ22" s="151">
        <v>2751352004342</v>
      </c>
      <c r="EK22" s="151">
        <v>2754422399038</v>
      </c>
      <c r="EL22" s="151">
        <v>2751558231494</v>
      </c>
      <c r="EM22" s="152" t="s">
        <v>113</v>
      </c>
      <c r="EN22" s="151">
        <v>27594579027517</v>
      </c>
      <c r="EO22" s="151">
        <v>27869775486366</v>
      </c>
      <c r="EP22" s="153">
        <f>(EO22/EN22-1)*100</f>
        <v>0.99728449770724037</v>
      </c>
      <c r="EQ22" s="151">
        <v>27782839283391</v>
      </c>
      <c r="ER22" s="151">
        <v>27656648121245</v>
      </c>
      <c r="ES22" s="151">
        <v>27619608732667</v>
      </c>
      <c r="ET22" s="151">
        <v>27597252185705</v>
      </c>
      <c r="EU22" s="152" t="s">
        <v>113</v>
      </c>
      <c r="EV22" s="154">
        <f t="shared" si="23"/>
        <v>1.0874497494580651</v>
      </c>
      <c r="EW22" s="154">
        <f t="shared" si="24"/>
        <v>0.99963279729545951</v>
      </c>
      <c r="EX22" s="174">
        <f>EW22-X22</f>
        <v>1.2825704867043264E-3</v>
      </c>
      <c r="EY22" s="175">
        <f t="shared" si="7"/>
        <v>-8.3564060722307598E-3</v>
      </c>
      <c r="EZ22" s="144">
        <f t="shared" si="25"/>
        <v>10.999999999999998</v>
      </c>
      <c r="FA22" s="176">
        <v>0.89</v>
      </c>
      <c r="FB22" s="155">
        <f>(EI22/$EA22-1) / (EQ22/$EN22-1)</f>
        <v>1.4070510081340377</v>
      </c>
      <c r="FC22" s="155">
        <f>(EJ22/$EA22-1) / (ER22/$EN22-1)</f>
        <v>1.1990321529269293E-2</v>
      </c>
      <c r="FD22" s="155">
        <f>(EK22/$EA22-1) / (ES22/$EN22-1)</f>
        <v>1.2600813374877335</v>
      </c>
      <c r="FE22" s="155">
        <f>(EL22/$EA22-1) / (ET22/$EN22-1)</f>
        <v>1.0521754643043588</v>
      </c>
      <c r="FF22" s="75">
        <f>FB22-AD22</f>
        <v>3.9101586716292491E-2</v>
      </c>
      <c r="FG22" s="75">
        <f>FC22-AE22</f>
        <v>-3.0519213437888298E-3</v>
      </c>
      <c r="FH22" s="75">
        <f>FD22-AF22</f>
        <v>9.8372897151659533E-3</v>
      </c>
      <c r="FI22" s="75">
        <f>FE22-AG22</f>
        <v>-0.34755309815015445</v>
      </c>
      <c r="FJ22" s="1"/>
      <c r="FK22" s="1"/>
      <c r="FL22" s="1"/>
      <c r="FM22" s="1"/>
      <c r="FN22" s="1"/>
      <c r="FO22" s="1"/>
      <c r="FP22" s="1"/>
      <c r="FQ22" s="1"/>
    </row>
    <row r="23" spans="1:173" x14ac:dyDescent="0.3">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c r="ET23" s="1"/>
      <c r="EU23" s="1"/>
      <c r="EV23" s="1"/>
      <c r="EW23" s="1"/>
      <c r="EX23" s="1"/>
      <c r="EY23" s="1"/>
      <c r="EZ23" s="1"/>
      <c r="FA23" s="1"/>
      <c r="FB23" s="1"/>
      <c r="FC23" s="1"/>
      <c r="FD23" s="1"/>
      <c r="FE23" s="1"/>
      <c r="FF23" s="1"/>
      <c r="FG23" s="1"/>
      <c r="FH23" s="1"/>
      <c r="FI23" s="1"/>
      <c r="FJ23" s="1"/>
      <c r="FK23" s="1"/>
      <c r="FL23" s="1"/>
      <c r="FM23" s="1"/>
      <c r="FN23" s="1"/>
      <c r="FO23" s="1"/>
      <c r="FP23" s="1"/>
      <c r="FQ23" s="1"/>
    </row>
    <row r="24" spans="1:173" x14ac:dyDescent="0.3">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c r="EJ24" s="1"/>
      <c r="EK24" s="1"/>
      <c r="EL24" s="1"/>
      <c r="EM24" s="1"/>
      <c r="EN24" s="1"/>
      <c r="EO24" s="1"/>
      <c r="EP24" s="1"/>
      <c r="EQ24" s="1"/>
      <c r="ER24" s="1"/>
      <c r="ES24" s="1"/>
      <c r="ET24" s="1"/>
      <c r="EU24" s="1"/>
      <c r="EV24" s="1"/>
      <c r="EW24" s="1"/>
      <c r="EX24" s="1"/>
      <c r="EY24" s="1"/>
      <c r="EZ24" s="1"/>
      <c r="FA24" s="1"/>
      <c r="FB24" s="1"/>
      <c r="FC24" s="1"/>
      <c r="FD24" s="1"/>
      <c r="FE24" s="1"/>
      <c r="FF24" s="1"/>
      <c r="FG24" s="1"/>
      <c r="FH24" s="1"/>
      <c r="FI24" s="1"/>
      <c r="FJ24" s="1"/>
      <c r="FK24" s="1"/>
      <c r="FL24" s="1"/>
      <c r="FM24" s="1"/>
      <c r="FN24" s="1"/>
      <c r="FO24" s="1"/>
      <c r="FP24" s="1"/>
      <c r="FQ24" s="1"/>
    </row>
    <row r="25" spans="1:173" x14ac:dyDescent="0.3">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Q25" s="1"/>
    </row>
    <row r="26" spans="1:173" x14ac:dyDescent="0.3">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c r="ER26" s="1"/>
      <c r="ES26" s="1"/>
      <c r="ET26" s="1"/>
      <c r="EU26" s="1"/>
      <c r="EV26" s="1"/>
      <c r="EW26" s="1"/>
      <c r="EX26" s="1"/>
      <c r="EY26" s="1"/>
      <c r="EZ26" s="1"/>
      <c r="FA26" s="1"/>
      <c r="FB26" s="1"/>
      <c r="FC26" s="1"/>
      <c r="FD26" s="1"/>
      <c r="FE26" s="1"/>
      <c r="FF26" s="1"/>
      <c r="FG26" s="1"/>
      <c r="FH26" s="1"/>
      <c r="FI26" s="1"/>
      <c r="FJ26" s="1"/>
      <c r="FK26" s="1"/>
      <c r="FL26" s="1"/>
      <c r="FM26" s="1"/>
      <c r="FN26" s="1"/>
      <c r="FO26" s="1"/>
      <c r="FP26" s="1"/>
      <c r="FQ26" s="1"/>
    </row>
    <row r="27" spans="1:173" x14ac:dyDescent="0.3">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c r="CW27" s="1"/>
      <c r="CX27" s="1"/>
      <c r="CY27" s="1"/>
      <c r="CZ27" s="1"/>
      <c r="DA27" s="1"/>
      <c r="DB27" s="1"/>
      <c r="DC27" s="1"/>
      <c r="DD27" s="1"/>
      <c r="DE27" s="1"/>
      <c r="DF27" s="1"/>
      <c r="DG27" s="1"/>
      <c r="DH27" s="1"/>
      <c r="DI27" s="1"/>
      <c r="DJ27" s="1"/>
      <c r="DK27" s="1"/>
      <c r="DL27" s="1"/>
      <c r="DM27" s="1"/>
      <c r="DN27" s="1"/>
      <c r="DO27" s="1"/>
      <c r="DP27" s="1"/>
      <c r="DQ27" s="1"/>
      <c r="DR27" s="1"/>
      <c r="DS27" s="1"/>
      <c r="DT27" s="1"/>
      <c r="DU27" s="1"/>
      <c r="DV27" s="1"/>
      <c r="DW27" s="1"/>
      <c r="DX27" s="1"/>
      <c r="DY27" s="1"/>
      <c r="DZ27" s="1"/>
      <c r="EA27" s="1"/>
      <c r="EB27" s="1"/>
      <c r="EC27" s="1"/>
      <c r="ED27" s="1"/>
      <c r="EE27" s="1"/>
      <c r="EF27" s="1"/>
      <c r="EG27" s="1"/>
      <c r="EH27" s="1"/>
      <c r="EI27" s="1"/>
      <c r="EJ27" s="1"/>
      <c r="EK27" s="1"/>
      <c r="EL27" s="1"/>
      <c r="EM27" s="1"/>
      <c r="EN27" s="1"/>
      <c r="EO27" s="1"/>
      <c r="EP27" s="1"/>
      <c r="EQ27" s="1"/>
      <c r="ER27" s="1"/>
      <c r="ES27" s="1"/>
      <c r="ET27" s="1"/>
      <c r="EU27" s="1"/>
      <c r="EV27" s="1"/>
      <c r="EW27" s="1"/>
      <c r="EX27" s="1"/>
      <c r="EY27" s="1"/>
      <c r="EZ27" s="1"/>
      <c r="FA27" s="1"/>
      <c r="FB27" s="1"/>
      <c r="FC27" s="1"/>
      <c r="FD27" s="1"/>
      <c r="FE27" s="1"/>
      <c r="FF27" s="1"/>
      <c r="FG27" s="1"/>
      <c r="FH27" s="1"/>
      <c r="FI27" s="1"/>
      <c r="FJ27" s="1"/>
      <c r="FK27" s="1"/>
      <c r="FL27" s="1"/>
      <c r="FM27" s="1"/>
      <c r="FN27" s="1"/>
      <c r="FO27" s="1"/>
      <c r="FP27" s="1"/>
      <c r="FQ27" s="1"/>
    </row>
  </sheetData>
  <pageMargins left="0.7" right="0.7" top="0.75" bottom="0.75" header="0.3" footer="0.3"/>
  <pageSetup paperSize="9" orientation="portrait" r:id="rId1"/>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07EF8A-CABA-4B41-A232-E9D8C29A2082}">
  <dimension ref="A1:BN121"/>
  <sheetViews>
    <sheetView zoomScale="55" zoomScaleNormal="55" workbookViewId="0">
      <selection activeCell="D9" sqref="D9"/>
    </sheetView>
  </sheetViews>
  <sheetFormatPr baseColWidth="10" defaultColWidth="8.6640625" defaultRowHeight="14.4" x14ac:dyDescent="0.3"/>
  <cols>
    <col min="1" max="1" width="4.33203125" customWidth="1"/>
    <col min="3" max="3" width="17.33203125" customWidth="1"/>
    <col min="4" max="4" width="16.44140625" customWidth="1"/>
    <col min="5" max="5" width="16.33203125" customWidth="1"/>
    <col min="6" max="6" width="22.33203125" bestFit="1" customWidth="1"/>
    <col min="7" max="7" width="16" customWidth="1"/>
    <col min="8" max="8" width="19" customWidth="1"/>
    <col min="9" max="12" width="17" customWidth="1"/>
    <col min="13" max="13" width="17.33203125" customWidth="1"/>
    <col min="14" max="15" width="16.33203125" customWidth="1"/>
    <col min="16" max="16" width="18.6640625" customWidth="1"/>
    <col min="17" max="20" width="18.33203125" bestFit="1" customWidth="1"/>
    <col min="21" max="33" width="16.33203125" customWidth="1"/>
    <col min="34" max="34" width="14.6640625" customWidth="1"/>
    <col min="35" max="36" width="12.6640625" customWidth="1"/>
    <col min="37" max="37" width="17.33203125" customWidth="1"/>
    <col min="38" max="38" width="12.33203125" customWidth="1"/>
    <col min="39" max="39" width="9.6640625" customWidth="1"/>
    <col min="40" max="42" width="19" customWidth="1"/>
    <col min="43" max="50" width="9.6640625" customWidth="1"/>
    <col min="51" max="59" width="0.5546875" customWidth="1"/>
  </cols>
  <sheetData>
    <row r="1" spans="1:66" ht="15" thickBot="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row>
    <row r="2" spans="1:66" ht="18" customHeight="1" thickBot="1" x14ac:dyDescent="0.35">
      <c r="A2" s="1"/>
      <c r="B2" s="2" t="s">
        <v>654</v>
      </c>
      <c r="C2" s="3"/>
      <c r="D2" s="3"/>
      <c r="E2" s="3"/>
      <c r="F2" s="3"/>
      <c r="G2" s="3"/>
      <c r="H2" s="3"/>
      <c r="I2" s="3"/>
      <c r="J2" s="3"/>
      <c r="K2" s="3"/>
      <c r="L2" s="3"/>
      <c r="M2" s="4"/>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row>
    <row r="3" spans="1:66" ht="18" customHeight="1" x14ac:dyDescent="0.3">
      <c r="A3" s="1"/>
      <c r="B3" s="5" t="s">
        <v>115</v>
      </c>
      <c r="C3" s="6"/>
      <c r="D3" s="6"/>
      <c r="E3" s="6"/>
      <c r="F3" s="6"/>
      <c r="G3" s="6"/>
      <c r="H3" s="6"/>
      <c r="I3" s="6"/>
      <c r="J3" s="6"/>
      <c r="K3" s="6"/>
      <c r="L3" s="6"/>
      <c r="M3" s="7"/>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row>
    <row r="4" spans="1:66" ht="18" customHeight="1" x14ac:dyDescent="0.3">
      <c r="A4" s="1"/>
      <c r="B4" s="99" t="s">
        <v>1</v>
      </c>
      <c r="C4" s="296"/>
      <c r="D4" s="296"/>
      <c r="E4" s="296"/>
      <c r="F4" s="296"/>
      <c r="G4" s="296"/>
      <c r="H4" s="296"/>
      <c r="I4" s="296"/>
      <c r="J4" s="296"/>
      <c r="K4" s="296"/>
      <c r="L4" s="296"/>
      <c r="M4" s="100"/>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row>
    <row r="5" spans="1:66" ht="14.25" customHeight="1" x14ac:dyDescent="0.3">
      <c r="A5" s="1"/>
      <c r="B5" s="293" t="s">
        <v>116</v>
      </c>
      <c r="C5" s="294"/>
      <c r="D5" s="294"/>
      <c r="E5" s="294"/>
      <c r="F5" s="294"/>
      <c r="G5" s="294"/>
      <c r="H5" s="294"/>
      <c r="I5" s="294"/>
      <c r="J5" s="294"/>
      <c r="K5" s="294"/>
      <c r="L5" s="294"/>
      <c r="M5" s="295"/>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row>
    <row r="6" spans="1:66" ht="12.6" customHeight="1" x14ac:dyDescent="0.3">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row>
    <row r="7" spans="1:66" ht="12.6" customHeight="1" x14ac:dyDescent="0.3">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row>
    <row r="8" spans="1:66" ht="17.7" customHeight="1" x14ac:dyDescent="0.3">
      <c r="A8" s="1"/>
      <c r="B8" s="11" t="s">
        <v>2</v>
      </c>
      <c r="C8" s="12" t="s">
        <v>227</v>
      </c>
      <c r="D8" s="12" t="s">
        <v>228</v>
      </c>
      <c r="E8" s="124" t="s">
        <v>230</v>
      </c>
      <c r="F8" s="125"/>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row>
    <row r="9" spans="1:66" ht="10.35" customHeight="1" x14ac:dyDescent="0.3">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row>
    <row r="10" spans="1:66" x14ac:dyDescent="0.3">
      <c r="A10" s="1"/>
      <c r="B10" s="1"/>
      <c r="C10" s="13" t="s">
        <v>6</v>
      </c>
      <c r="D10" s="14"/>
      <c r="E10" s="14"/>
      <c r="F10" s="14"/>
      <c r="G10" s="14"/>
      <c r="H10" s="14"/>
      <c r="I10" s="14"/>
      <c r="J10" s="14"/>
      <c r="K10" s="14"/>
      <c r="L10" s="14"/>
      <c r="M10" s="14"/>
      <c r="N10" s="14"/>
      <c r="O10" s="14"/>
      <c r="P10" s="15" t="s">
        <v>596</v>
      </c>
      <c r="Q10" s="16"/>
      <c r="R10" s="16"/>
      <c r="S10" s="16"/>
      <c r="T10" s="16"/>
      <c r="U10" s="16"/>
      <c r="V10" s="16"/>
      <c r="W10" s="16"/>
      <c r="X10" s="13"/>
      <c r="Y10" s="17"/>
      <c r="Z10" s="17"/>
      <c r="AA10" s="17"/>
      <c r="AB10" s="17"/>
      <c r="AC10" s="17"/>
      <c r="AD10" s="17"/>
      <c r="AE10" s="19"/>
      <c r="AF10" s="16"/>
      <c r="AG10" s="16"/>
      <c r="AH10" s="16"/>
      <c r="AI10" s="16"/>
      <c r="AJ10" s="16"/>
      <c r="AK10" s="1"/>
      <c r="AL10" s="1"/>
      <c r="AM10" s="99" t="s">
        <v>562</v>
      </c>
      <c r="AN10" s="9"/>
      <c r="AO10" s="9"/>
      <c r="AP10" s="9"/>
      <c r="AQ10" s="9"/>
      <c r="AR10" s="9"/>
      <c r="AS10" s="10"/>
      <c r="AT10" s="1"/>
      <c r="AU10" s="1"/>
      <c r="AV10" s="1"/>
      <c r="AW10" s="1"/>
      <c r="AX10" s="1"/>
      <c r="AY10" s="1"/>
      <c r="AZ10" s="1"/>
      <c r="BA10" s="1"/>
      <c r="BB10" s="1"/>
      <c r="BC10" s="1"/>
      <c r="BD10" s="1"/>
      <c r="BE10" s="1"/>
      <c r="BF10" s="1"/>
      <c r="BG10" s="1"/>
      <c r="BH10" s="1"/>
      <c r="BI10" s="1"/>
      <c r="BJ10" s="1"/>
      <c r="BK10" s="1"/>
      <c r="BL10" s="1"/>
      <c r="BM10" s="1"/>
      <c r="BN10" s="1"/>
    </row>
    <row r="11" spans="1:66" ht="78.75" customHeight="1" x14ac:dyDescent="0.3">
      <c r="A11" s="1"/>
      <c r="B11" s="25" t="s">
        <v>20</v>
      </c>
      <c r="C11" s="26" t="s">
        <v>119</v>
      </c>
      <c r="D11" s="27" t="s">
        <v>120</v>
      </c>
      <c r="E11" s="26" t="s">
        <v>121</v>
      </c>
      <c r="F11" s="27" t="s">
        <v>122</v>
      </c>
      <c r="G11" s="27" t="s">
        <v>123</v>
      </c>
      <c r="H11" s="27" t="s">
        <v>124</v>
      </c>
      <c r="I11" s="27" t="s">
        <v>125</v>
      </c>
      <c r="J11" s="27" t="s">
        <v>126</v>
      </c>
      <c r="K11" s="27" t="s">
        <v>127</v>
      </c>
      <c r="L11" s="27"/>
      <c r="M11" s="27"/>
      <c r="N11" s="27"/>
      <c r="O11" s="27"/>
      <c r="P11" s="26" t="s">
        <v>119</v>
      </c>
      <c r="Q11" s="27" t="s">
        <v>120</v>
      </c>
      <c r="R11" s="27" t="s">
        <v>121</v>
      </c>
      <c r="S11" s="27" t="s">
        <v>122</v>
      </c>
      <c r="T11" s="27" t="s">
        <v>123</v>
      </c>
      <c r="U11" s="27" t="s">
        <v>130</v>
      </c>
      <c r="V11" s="27"/>
      <c r="W11" s="27"/>
      <c r="X11" s="27"/>
      <c r="Y11" s="27"/>
      <c r="Z11" s="27"/>
      <c r="AA11" s="27"/>
      <c r="AB11" s="27"/>
      <c r="AC11" s="27"/>
      <c r="AD11" s="27"/>
      <c r="AE11" s="27"/>
      <c r="AF11" s="27"/>
      <c r="AG11" s="27"/>
      <c r="AH11" s="27"/>
      <c r="AI11" s="27"/>
      <c r="AJ11" s="27"/>
      <c r="AK11" s="27" t="s">
        <v>150</v>
      </c>
      <c r="AL11" s="1"/>
      <c r="AM11" s="522" t="s">
        <v>563</v>
      </c>
      <c r="AN11" s="523" t="s">
        <v>568</v>
      </c>
      <c r="AO11" s="523" t="s">
        <v>569</v>
      </c>
      <c r="AP11" s="523" t="s">
        <v>570</v>
      </c>
      <c r="AQ11" s="523" t="s">
        <v>564</v>
      </c>
      <c r="AR11" s="523" t="s">
        <v>565</v>
      </c>
      <c r="AS11" s="523" t="s">
        <v>566</v>
      </c>
      <c r="AT11" s="1"/>
      <c r="AU11" s="1"/>
      <c r="AV11" s="1"/>
      <c r="AW11" s="1"/>
      <c r="AX11" s="1"/>
      <c r="AY11" s="1"/>
      <c r="AZ11" s="1"/>
      <c r="BA11" s="1"/>
      <c r="BB11" s="1"/>
      <c r="BC11" s="1"/>
      <c r="BD11" s="1"/>
      <c r="BE11" s="1"/>
      <c r="BF11" s="1"/>
      <c r="BG11" s="1"/>
      <c r="BH11" s="1"/>
      <c r="BI11" s="1"/>
      <c r="BJ11" s="1"/>
      <c r="BK11" s="1"/>
      <c r="BL11" s="1"/>
      <c r="BM11" s="1"/>
      <c r="BN11" s="1"/>
    </row>
    <row r="12" spans="1:66" x14ac:dyDescent="0.3">
      <c r="A12" s="1"/>
      <c r="B12" s="28">
        <v>1</v>
      </c>
      <c r="C12" s="129">
        <v>11233792202</v>
      </c>
      <c r="D12" s="129">
        <v>12182123882</v>
      </c>
      <c r="E12" s="129">
        <v>13408881644</v>
      </c>
      <c r="F12" s="129">
        <v>12086906725</v>
      </c>
      <c r="G12" s="129">
        <v>16095427771</v>
      </c>
      <c r="H12" s="129">
        <v>16606772956</v>
      </c>
      <c r="I12" s="129">
        <v>15225821611</v>
      </c>
      <c r="J12" s="129">
        <v>15094616236</v>
      </c>
      <c r="K12" s="129">
        <v>15004916738</v>
      </c>
      <c r="L12" s="139"/>
      <c r="M12" s="139"/>
      <c r="N12" s="139"/>
      <c r="O12" s="139"/>
      <c r="P12" s="129">
        <v>245421021531</v>
      </c>
      <c r="Q12" s="129">
        <v>257694282477</v>
      </c>
      <c r="R12" s="129">
        <v>277062373245</v>
      </c>
      <c r="S12" s="129">
        <v>310546929959</v>
      </c>
      <c r="T12" s="129">
        <v>349007820472</v>
      </c>
      <c r="U12" s="209">
        <f t="shared" ref="U12:U22" si="0">T12/P12-1</f>
        <v>0.42207793894263279</v>
      </c>
      <c r="V12" s="139"/>
      <c r="W12" s="209"/>
      <c r="X12" s="132"/>
      <c r="Y12" s="132"/>
      <c r="Z12" s="132"/>
      <c r="AA12" s="132"/>
      <c r="AB12" s="132"/>
      <c r="AC12" s="132"/>
      <c r="AD12" s="132"/>
      <c r="AE12" s="139"/>
      <c r="AF12" s="139"/>
      <c r="AG12" s="139"/>
      <c r="AH12" s="139"/>
      <c r="AI12" s="139"/>
      <c r="AJ12" s="139"/>
      <c r="AK12" s="408">
        <v>15414987527</v>
      </c>
      <c r="AL12" s="1"/>
      <c r="AM12" s="32" cm="1">
        <f t="array" aca="1" ref="AM12" ca="1">INDIRECT("'1"&amp;$C$8&amp;"'!W12")</f>
        <v>1.0066093271628136</v>
      </c>
      <c r="AN12" s="524">
        <f t="shared" ref="AN12:AN21" ca="1" si="1">C12+C12*U12*AM12</f>
        <v>16006666422.877182</v>
      </c>
      <c r="AO12" s="524">
        <f t="shared" ref="AO12:AO21" ca="1" si="2">C12+C12*U$22*AM12</f>
        <v>16777706677.839272</v>
      </c>
      <c r="AP12" s="524">
        <f t="shared" ref="AP12:AP21" ca="1" si="3">C12+C12*AR12*AM12</f>
        <v>16006666422.877182</v>
      </c>
      <c r="AQ12" s="525">
        <f t="shared" ref="AQ12:AQ21" si="4">U12</f>
        <v>0.42207793894263279</v>
      </c>
      <c r="AR12" s="344">
        <f>AQ12</f>
        <v>0.42207793894263279</v>
      </c>
      <c r="AS12" s="41">
        <f>P12/P$22</f>
        <v>1.325412089210583E-2</v>
      </c>
      <c r="AT12" s="1"/>
      <c r="AU12" s="1"/>
      <c r="AV12" s="1"/>
      <c r="AW12" s="1"/>
      <c r="AX12" s="1"/>
      <c r="AY12" s="1"/>
      <c r="AZ12" s="1"/>
      <c r="BA12" s="1"/>
      <c r="BB12" s="1"/>
      <c r="BC12" s="1"/>
      <c r="BD12" s="1"/>
      <c r="BE12" s="1"/>
      <c r="BF12" s="1"/>
      <c r="BG12" s="1"/>
      <c r="BH12" s="1"/>
      <c r="BI12" s="1"/>
      <c r="BJ12" s="1"/>
      <c r="BK12" s="1"/>
      <c r="BL12" s="1"/>
      <c r="BM12" s="1"/>
      <c r="BN12" s="1"/>
    </row>
    <row r="13" spans="1:66" x14ac:dyDescent="0.3">
      <c r="A13" s="1"/>
      <c r="B13" s="28">
        <v>2</v>
      </c>
      <c r="C13" s="129">
        <v>32003583662</v>
      </c>
      <c r="D13" s="129">
        <v>34574089624</v>
      </c>
      <c r="E13" s="129">
        <v>38646866952</v>
      </c>
      <c r="F13" s="129">
        <v>30145355756</v>
      </c>
      <c r="G13" s="129">
        <v>46294194878</v>
      </c>
      <c r="H13" s="129">
        <v>54625203272</v>
      </c>
      <c r="I13" s="129">
        <v>43853410454</v>
      </c>
      <c r="J13" s="129">
        <v>44094584997</v>
      </c>
      <c r="K13" s="129">
        <v>43067846883</v>
      </c>
      <c r="L13" s="139"/>
      <c r="M13" s="139"/>
      <c r="N13" s="139"/>
      <c r="O13" s="139"/>
      <c r="P13" s="129">
        <v>788613161041</v>
      </c>
      <c r="Q13" s="129">
        <v>832028752910</v>
      </c>
      <c r="R13" s="129">
        <v>905938624385</v>
      </c>
      <c r="S13" s="129">
        <v>1058800140731</v>
      </c>
      <c r="T13" s="129">
        <v>1208083843380</v>
      </c>
      <c r="U13" s="209">
        <f t="shared" si="0"/>
        <v>0.53190930999082298</v>
      </c>
      <c r="V13" s="139"/>
      <c r="W13" s="209"/>
      <c r="X13" s="132"/>
      <c r="Y13" s="132"/>
      <c r="Z13" s="132"/>
      <c r="AA13" s="132"/>
      <c r="AB13" s="132"/>
      <c r="AC13" s="132"/>
      <c r="AD13" s="132"/>
      <c r="AE13" s="139"/>
      <c r="AF13" s="139"/>
      <c r="AG13" s="139"/>
      <c r="AH13" s="139"/>
      <c r="AI13" s="139"/>
      <c r="AJ13" s="139"/>
      <c r="AK13" s="408">
        <v>47086778480</v>
      </c>
      <c r="AL13" s="1"/>
      <c r="AM13" s="32" cm="1">
        <f t="array" aca="1" ref="AM13" ca="1">INDIRECT("'1"&amp;$C$8&amp;"'!W13")</f>
        <v>1.1189075985628421</v>
      </c>
      <c r="AN13" s="524">
        <f t="shared" ca="1" si="1"/>
        <v>51050752303.087814</v>
      </c>
      <c r="AO13" s="524">
        <f t="shared" ca="1" si="2"/>
        <v>49559440095.939178</v>
      </c>
      <c r="AP13" s="524">
        <f t="shared" ca="1" si="3"/>
        <v>51050752303.087814</v>
      </c>
      <c r="AQ13" s="525">
        <f t="shared" si="4"/>
        <v>0.53190930999082298</v>
      </c>
      <c r="AR13" s="344">
        <f t="shared" ref="AR13:AR18" si="5">AQ13</f>
        <v>0.53190930999082298</v>
      </c>
      <c r="AS13" s="41">
        <f t="shared" ref="AS13:AS21" si="6">P13/P$22</f>
        <v>4.2589563470718662E-2</v>
      </c>
      <c r="AT13" s="1"/>
      <c r="AU13" s="1"/>
      <c r="AV13" s="1"/>
      <c r="AW13" s="1"/>
      <c r="AX13" s="1"/>
      <c r="AY13" s="1"/>
      <c r="AZ13" s="1"/>
      <c r="BA13" s="1"/>
      <c r="BB13" s="1"/>
      <c r="BC13" s="1"/>
      <c r="BD13" s="1"/>
      <c r="BE13" s="1"/>
      <c r="BF13" s="1"/>
      <c r="BG13" s="1"/>
      <c r="BH13" s="1"/>
      <c r="BI13" s="1"/>
      <c r="BJ13" s="1"/>
      <c r="BK13" s="1"/>
      <c r="BL13" s="1"/>
      <c r="BM13" s="1"/>
      <c r="BN13" s="1"/>
    </row>
    <row r="14" spans="1:66" x14ac:dyDescent="0.3">
      <c r="A14" s="1"/>
      <c r="B14" s="28">
        <v>3</v>
      </c>
      <c r="C14" s="129">
        <v>63297875670</v>
      </c>
      <c r="D14" s="129">
        <v>68604584049</v>
      </c>
      <c r="E14" s="129">
        <v>76855843022</v>
      </c>
      <c r="F14" s="129">
        <v>53408773068</v>
      </c>
      <c r="G14" s="129">
        <v>92936582076</v>
      </c>
      <c r="H14" s="129">
        <v>121821194928</v>
      </c>
      <c r="I14" s="129">
        <v>102965131824</v>
      </c>
      <c r="J14" s="129">
        <v>103472919919</v>
      </c>
      <c r="K14" s="129">
        <v>101190815730</v>
      </c>
      <c r="L14" s="139"/>
      <c r="M14" s="139"/>
      <c r="N14" s="139"/>
      <c r="O14" s="139"/>
      <c r="P14" s="129">
        <v>1091741700450</v>
      </c>
      <c r="Q14" s="129">
        <v>1155588417740</v>
      </c>
      <c r="R14" s="129">
        <v>1261748093958</v>
      </c>
      <c r="S14" s="129">
        <v>1448310172258</v>
      </c>
      <c r="T14" s="129">
        <v>1654324654269</v>
      </c>
      <c r="U14" s="209">
        <f t="shared" si="0"/>
        <v>0.51530774503448162</v>
      </c>
      <c r="V14" s="139"/>
      <c r="W14" s="209"/>
      <c r="X14" s="132"/>
      <c r="Y14" s="132"/>
      <c r="Z14" s="132"/>
      <c r="AA14" s="132"/>
      <c r="AB14" s="132"/>
      <c r="AC14" s="132"/>
      <c r="AD14" s="132"/>
      <c r="AE14" s="139"/>
      <c r="AF14" s="139"/>
      <c r="AG14" s="139"/>
      <c r="AH14" s="139"/>
      <c r="AI14" s="139"/>
      <c r="AJ14" s="139"/>
      <c r="AK14" s="408">
        <v>108678356024</v>
      </c>
      <c r="AL14" s="1"/>
      <c r="AM14" s="32" cm="1">
        <f t="array" aca="1" ref="AM14" ca="1">INDIRECT("'1"&amp;$C$8&amp;"'!W14")</f>
        <v>1.1707202707124909</v>
      </c>
      <c r="AN14" s="524">
        <f t="shared" ca="1" si="1"/>
        <v>101484295502.75186</v>
      </c>
      <c r="AO14" s="524">
        <f t="shared" ca="1" si="2"/>
        <v>99628382670.944901</v>
      </c>
      <c r="AP14" s="524">
        <f t="shared" ca="1" si="3"/>
        <v>101484295502.75186</v>
      </c>
      <c r="AQ14" s="525">
        <f t="shared" si="4"/>
        <v>0.51530774503448162</v>
      </c>
      <c r="AR14" s="344">
        <f t="shared" si="5"/>
        <v>0.51530774503448162</v>
      </c>
      <c r="AS14" s="41">
        <f t="shared" si="6"/>
        <v>5.89602161642446E-2</v>
      </c>
      <c r="AT14" s="1"/>
      <c r="AU14" s="1"/>
      <c r="AV14" s="1"/>
      <c r="AW14" s="1"/>
      <c r="AX14" s="1"/>
      <c r="AY14" s="1"/>
      <c r="AZ14" s="1"/>
      <c r="BA14" s="1"/>
      <c r="BB14" s="1"/>
      <c r="BC14" s="1"/>
      <c r="BD14" s="1"/>
      <c r="BE14" s="1"/>
      <c r="BF14" s="1"/>
      <c r="BG14" s="1"/>
      <c r="BH14" s="1"/>
      <c r="BI14" s="1"/>
      <c r="BJ14" s="1"/>
      <c r="BK14" s="1"/>
      <c r="BL14" s="1"/>
      <c r="BM14" s="1"/>
      <c r="BN14" s="1"/>
    </row>
    <row r="15" spans="1:66" x14ac:dyDescent="0.3">
      <c r="A15" s="1"/>
      <c r="B15" s="28">
        <v>4</v>
      </c>
      <c r="C15" s="129">
        <v>87919034130</v>
      </c>
      <c r="D15" s="129">
        <v>95719043086</v>
      </c>
      <c r="E15" s="129">
        <v>106854788756</v>
      </c>
      <c r="F15" s="129">
        <v>74372457741</v>
      </c>
      <c r="G15" s="129">
        <v>127180234298</v>
      </c>
      <c r="H15" s="129">
        <v>155415386437</v>
      </c>
      <c r="I15" s="129">
        <v>123514790293</v>
      </c>
      <c r="J15" s="129">
        <v>124451868642</v>
      </c>
      <c r="K15" s="129">
        <v>120283743677</v>
      </c>
      <c r="L15" s="139"/>
      <c r="M15" s="139"/>
      <c r="N15" s="139"/>
      <c r="O15" s="139"/>
      <c r="P15" s="129">
        <v>1324864592599</v>
      </c>
      <c r="Q15" s="129">
        <v>1405603708622</v>
      </c>
      <c r="R15" s="129">
        <v>1534462176991</v>
      </c>
      <c r="S15" s="129">
        <v>1762243589278</v>
      </c>
      <c r="T15" s="129">
        <v>2014653552311</v>
      </c>
      <c r="U15" s="209">
        <f t="shared" si="0"/>
        <v>0.52064864859799309</v>
      </c>
      <c r="V15" s="139"/>
      <c r="W15" s="209"/>
      <c r="X15" s="132"/>
      <c r="Y15" s="132"/>
      <c r="Z15" s="132"/>
      <c r="AA15" s="132"/>
      <c r="AB15" s="132"/>
      <c r="AC15" s="132"/>
      <c r="AD15" s="132"/>
      <c r="AE15" s="139"/>
      <c r="AF15" s="139"/>
      <c r="AG15" s="139"/>
      <c r="AH15" s="139"/>
      <c r="AI15" s="139"/>
      <c r="AJ15" s="139"/>
      <c r="AK15" s="408">
        <v>132314965992</v>
      </c>
      <c r="AL15" s="1"/>
      <c r="AM15" s="32" cm="1">
        <f t="array" aca="1" ref="AM15" ca="1">INDIRECT("'1"&amp;$C$8&amp;"'!W15")</f>
        <v>1.204407618899819</v>
      </c>
      <c r="AN15" s="524">
        <f t="shared" ca="1" si="1"/>
        <v>143050704127.31378</v>
      </c>
      <c r="AO15" s="524">
        <f t="shared" ca="1" si="2"/>
        <v>139833165043.85785</v>
      </c>
      <c r="AP15" s="524">
        <f t="shared" ca="1" si="3"/>
        <v>143050704127.31378</v>
      </c>
      <c r="AQ15" s="525">
        <f t="shared" si="4"/>
        <v>0.52064864859799309</v>
      </c>
      <c r="AR15" s="344">
        <f t="shared" si="5"/>
        <v>0.52064864859799309</v>
      </c>
      <c r="AS15" s="41">
        <f t="shared" si="6"/>
        <v>7.1550168630357638E-2</v>
      </c>
      <c r="AT15" s="1"/>
      <c r="AU15" s="1"/>
      <c r="AV15" s="1"/>
      <c r="AW15" s="1"/>
      <c r="AX15" s="1"/>
      <c r="AY15" s="1"/>
      <c r="AZ15" s="1"/>
      <c r="BA15" s="1"/>
      <c r="BB15" s="1"/>
      <c r="BC15" s="1"/>
      <c r="BD15" s="1"/>
      <c r="BE15" s="1"/>
      <c r="BF15" s="1"/>
      <c r="BG15" s="1"/>
      <c r="BH15" s="1"/>
      <c r="BI15" s="1"/>
      <c r="BJ15" s="1"/>
      <c r="BK15" s="1"/>
      <c r="BL15" s="1"/>
      <c r="BM15" s="1"/>
      <c r="BN15" s="1"/>
    </row>
    <row r="16" spans="1:66" x14ac:dyDescent="0.3">
      <c r="A16" s="1"/>
      <c r="B16" s="28">
        <v>5</v>
      </c>
      <c r="C16" s="129">
        <v>144445924222</v>
      </c>
      <c r="D16" s="129">
        <v>156609461900</v>
      </c>
      <c r="E16" s="129">
        <v>174406193039</v>
      </c>
      <c r="F16" s="129">
        <v>127392235187</v>
      </c>
      <c r="G16" s="129">
        <v>211796943587</v>
      </c>
      <c r="H16" s="129">
        <v>237698112996</v>
      </c>
      <c r="I16" s="129">
        <v>207865215448</v>
      </c>
      <c r="J16" s="129">
        <v>208651075217</v>
      </c>
      <c r="K16" s="129">
        <v>204933898553</v>
      </c>
      <c r="L16" s="139"/>
      <c r="M16" s="139"/>
      <c r="N16" s="139"/>
      <c r="O16" s="139"/>
      <c r="P16" s="129">
        <v>1568199215165</v>
      </c>
      <c r="Q16" s="129">
        <v>1669882427618</v>
      </c>
      <c r="R16" s="129">
        <v>1826530565053</v>
      </c>
      <c r="S16" s="129">
        <v>2040817742787</v>
      </c>
      <c r="T16" s="129">
        <v>2333174343249</v>
      </c>
      <c r="U16" s="209">
        <f t="shared" si="0"/>
        <v>0.48780481503015682</v>
      </c>
      <c r="V16" s="139"/>
      <c r="W16" s="209"/>
      <c r="X16" s="132"/>
      <c r="Y16" s="132"/>
      <c r="Z16" s="132"/>
      <c r="AA16" s="132"/>
      <c r="AB16" s="132"/>
      <c r="AC16" s="132"/>
      <c r="AD16" s="132"/>
      <c r="AE16" s="139"/>
      <c r="AF16" s="139"/>
      <c r="AG16" s="139"/>
      <c r="AH16" s="139"/>
      <c r="AI16" s="139"/>
      <c r="AJ16" s="139"/>
      <c r="AK16" s="408">
        <v>215467702644</v>
      </c>
      <c r="AL16" s="1"/>
      <c r="AM16" s="32" cm="1">
        <f t="array" aca="1" ref="AM16" ca="1">INDIRECT("'1"&amp;$C$8&amp;"'!W16")</f>
        <v>1.1721479017149541</v>
      </c>
      <c r="AN16" s="524">
        <f t="shared" ca="1" si="1"/>
        <v>227037126717.11578</v>
      </c>
      <c r="AO16" s="524">
        <f t="shared" ca="1" si="2"/>
        <v>227453339722.04611</v>
      </c>
      <c r="AP16" s="524">
        <f t="shared" ca="1" si="3"/>
        <v>227037126717.11578</v>
      </c>
      <c r="AQ16" s="525">
        <f t="shared" si="4"/>
        <v>0.48780481503015682</v>
      </c>
      <c r="AR16" s="344">
        <f t="shared" si="5"/>
        <v>0.48780481503015682</v>
      </c>
      <c r="AS16" s="41">
        <f t="shared" si="6"/>
        <v>8.4691612197844879E-2</v>
      </c>
      <c r="AT16" s="1"/>
      <c r="AU16" s="1"/>
      <c r="AV16" s="1"/>
      <c r="AW16" s="1"/>
      <c r="AX16" s="1"/>
      <c r="AY16" s="1"/>
      <c r="AZ16" s="1"/>
      <c r="BA16" s="1"/>
      <c r="BB16" s="1"/>
      <c r="BC16" s="1"/>
      <c r="BD16" s="1"/>
      <c r="BE16" s="1"/>
      <c r="BF16" s="1"/>
      <c r="BG16" s="1"/>
      <c r="BH16" s="1"/>
      <c r="BI16" s="1"/>
      <c r="BJ16" s="1"/>
      <c r="BK16" s="1"/>
      <c r="BL16" s="1"/>
      <c r="BM16" s="1"/>
      <c r="BN16" s="1"/>
    </row>
    <row r="17" spans="1:66" x14ac:dyDescent="0.3">
      <c r="A17" s="1"/>
      <c r="B17" s="28">
        <v>6</v>
      </c>
      <c r="C17" s="129">
        <v>191512698191</v>
      </c>
      <c r="D17" s="129">
        <v>208222564201</v>
      </c>
      <c r="E17" s="129">
        <v>229488809901</v>
      </c>
      <c r="F17" s="129">
        <v>153953142528</v>
      </c>
      <c r="G17" s="129">
        <v>270906447793</v>
      </c>
      <c r="H17" s="129">
        <v>309871365561</v>
      </c>
      <c r="I17" s="129">
        <v>264702191871</v>
      </c>
      <c r="J17" s="129">
        <v>265547571359</v>
      </c>
      <c r="K17" s="129">
        <v>261685328089</v>
      </c>
      <c r="L17" s="139"/>
      <c r="M17" s="139"/>
      <c r="N17" s="139"/>
      <c r="O17" s="139"/>
      <c r="P17" s="129">
        <v>1859650407424</v>
      </c>
      <c r="Q17" s="129">
        <v>1990088737319</v>
      </c>
      <c r="R17" s="129">
        <v>2172624271985</v>
      </c>
      <c r="S17" s="129">
        <v>2429375032385</v>
      </c>
      <c r="T17" s="129">
        <v>2781424392037</v>
      </c>
      <c r="U17" s="209">
        <f t="shared" si="0"/>
        <v>0.49567057385255953</v>
      </c>
      <c r="V17" s="139"/>
      <c r="W17" s="209"/>
      <c r="X17" s="132"/>
      <c r="Y17" s="132"/>
      <c r="Z17" s="132"/>
      <c r="AA17" s="132"/>
      <c r="AB17" s="132"/>
      <c r="AC17" s="132"/>
      <c r="AD17" s="132"/>
      <c r="AE17" s="139"/>
      <c r="AF17" s="139"/>
      <c r="AG17" s="139"/>
      <c r="AH17" s="139"/>
      <c r="AI17" s="139"/>
      <c r="AJ17" s="139"/>
      <c r="AK17" s="408">
        <v>272664357568</v>
      </c>
      <c r="AL17" s="1"/>
      <c r="AM17" s="32" cm="1">
        <f t="array" aca="1" ref="AM17" ca="1">INDIRECT("'1"&amp;$C$8&amp;"'!W17")</f>
        <v>1.110735953572292</v>
      </c>
      <c r="AN17" s="524">
        <f t="shared" ca="1" si="1"/>
        <v>296951762213.32776</v>
      </c>
      <c r="AO17" s="524">
        <f t="shared" ca="1" si="2"/>
        <v>295801479001.0304</v>
      </c>
      <c r="AP17" s="524">
        <f t="shared" ca="1" si="3"/>
        <v>296951762213.32776</v>
      </c>
      <c r="AQ17" s="525">
        <f t="shared" si="4"/>
        <v>0.49567057385255953</v>
      </c>
      <c r="AR17" s="344">
        <f t="shared" si="5"/>
        <v>0.49567057385255953</v>
      </c>
      <c r="AS17" s="41">
        <f t="shared" si="6"/>
        <v>0.1004316222110508</v>
      </c>
      <c r="AT17" s="1"/>
      <c r="AU17" s="1"/>
      <c r="AV17" s="1"/>
      <c r="AW17" s="1"/>
      <c r="AX17" s="1"/>
      <c r="AY17" s="1"/>
      <c r="AZ17" s="1"/>
      <c r="BA17" s="1"/>
      <c r="BB17" s="1"/>
      <c r="BC17" s="1"/>
      <c r="BD17" s="1"/>
      <c r="BE17" s="1"/>
      <c r="BF17" s="1"/>
      <c r="BG17" s="1"/>
      <c r="BH17" s="1"/>
      <c r="BI17" s="1"/>
      <c r="BJ17" s="1"/>
      <c r="BK17" s="1"/>
      <c r="BL17" s="1"/>
      <c r="BM17" s="1"/>
      <c r="BN17" s="1"/>
    </row>
    <row r="18" spans="1:66" x14ac:dyDescent="0.3">
      <c r="A18" s="1"/>
      <c r="B18" s="28">
        <v>7</v>
      </c>
      <c r="C18" s="129">
        <v>222118781007</v>
      </c>
      <c r="D18" s="129">
        <v>242491187481</v>
      </c>
      <c r="E18" s="129">
        <v>266852207322</v>
      </c>
      <c r="F18" s="129">
        <v>180618518790</v>
      </c>
      <c r="G18" s="129">
        <v>315710821016</v>
      </c>
      <c r="H18" s="129">
        <v>351415121074</v>
      </c>
      <c r="I18" s="129">
        <v>298169273953</v>
      </c>
      <c r="J18" s="129">
        <v>299227485624</v>
      </c>
      <c r="K18" s="129">
        <v>294547356303</v>
      </c>
      <c r="L18" s="139"/>
      <c r="M18" s="139"/>
      <c r="N18" s="139"/>
      <c r="O18" s="139"/>
      <c r="P18" s="129">
        <v>2037361222670</v>
      </c>
      <c r="Q18" s="129">
        <v>2189622067833</v>
      </c>
      <c r="R18" s="129">
        <v>2384915249828</v>
      </c>
      <c r="S18" s="129">
        <v>2641960324808</v>
      </c>
      <c r="T18" s="129">
        <v>3023045185949</v>
      </c>
      <c r="U18" s="209">
        <f t="shared" si="0"/>
        <v>0.48380422298763626</v>
      </c>
      <c r="V18" s="139"/>
      <c r="W18" s="209"/>
      <c r="X18" s="132"/>
      <c r="Y18" s="132"/>
      <c r="Z18" s="132"/>
      <c r="AA18" s="132"/>
      <c r="AB18" s="132"/>
      <c r="AC18" s="132"/>
      <c r="AD18" s="132"/>
      <c r="AE18" s="139"/>
      <c r="AF18" s="139"/>
      <c r="AG18" s="139"/>
      <c r="AH18" s="139"/>
      <c r="AI18" s="139"/>
      <c r="AJ18" s="139"/>
      <c r="AK18" s="408">
        <v>308181691213</v>
      </c>
      <c r="AL18" s="1"/>
      <c r="AM18" s="32" cm="1">
        <f t="array" aca="1" ref="AM18" ca="1">INDIRECT("'1"&amp;$C$8&amp;"'!W18")</f>
        <v>1.1188798540499287</v>
      </c>
      <c r="AN18" s="524">
        <f t="shared" ca="1" si="1"/>
        <v>342355852644.92493</v>
      </c>
      <c r="AO18" s="524">
        <f t="shared" ca="1" si="2"/>
        <v>343961034046.63641</v>
      </c>
      <c r="AP18" s="524">
        <f t="shared" ca="1" si="3"/>
        <v>342355852644.92493</v>
      </c>
      <c r="AQ18" s="525">
        <f t="shared" si="4"/>
        <v>0.48380422298763626</v>
      </c>
      <c r="AR18" s="344">
        <f t="shared" si="5"/>
        <v>0.48380422298763626</v>
      </c>
      <c r="AS18" s="41">
        <f t="shared" si="6"/>
        <v>0.11002900964922364</v>
      </c>
      <c r="AT18" s="1"/>
      <c r="AU18" s="1"/>
      <c r="AV18" s="1"/>
      <c r="AW18" s="1"/>
      <c r="AX18" s="1"/>
      <c r="AY18" s="1"/>
      <c r="AZ18" s="1"/>
      <c r="BA18" s="1"/>
      <c r="BB18" s="1"/>
      <c r="BC18" s="1"/>
      <c r="BD18" s="1"/>
      <c r="BE18" s="1"/>
      <c r="BF18" s="1"/>
      <c r="BG18" s="1"/>
      <c r="BH18" s="1"/>
      <c r="BI18" s="1"/>
      <c r="BJ18" s="1"/>
      <c r="BK18" s="1"/>
      <c r="BL18" s="1"/>
      <c r="BM18" s="1"/>
      <c r="BN18" s="1"/>
    </row>
    <row r="19" spans="1:66" x14ac:dyDescent="0.3">
      <c r="A19" s="1"/>
      <c r="B19" s="28">
        <v>8</v>
      </c>
      <c r="C19" s="129">
        <v>252375450556</v>
      </c>
      <c r="D19" s="129">
        <v>274732739132</v>
      </c>
      <c r="E19" s="129">
        <v>302272555371</v>
      </c>
      <c r="F19" s="129">
        <v>209446227706</v>
      </c>
      <c r="G19" s="129">
        <v>359248999983</v>
      </c>
      <c r="H19" s="129">
        <v>424554531570</v>
      </c>
      <c r="I19" s="129">
        <v>361889321973</v>
      </c>
      <c r="J19" s="129">
        <v>363011394652</v>
      </c>
      <c r="K19" s="129">
        <v>358094272632</v>
      </c>
      <c r="L19" s="139"/>
      <c r="M19" s="139"/>
      <c r="N19" s="139"/>
      <c r="O19" s="139"/>
      <c r="P19" s="129">
        <v>2312438118419</v>
      </c>
      <c r="Q19" s="129">
        <v>2481335359764</v>
      </c>
      <c r="R19" s="129">
        <v>2705682169063</v>
      </c>
      <c r="S19" s="129">
        <v>3005814502522</v>
      </c>
      <c r="T19" s="129">
        <v>3441382241440</v>
      </c>
      <c r="U19" s="209">
        <f t="shared" si="0"/>
        <v>0.48820511737319583</v>
      </c>
      <c r="V19" s="139"/>
      <c r="W19" s="209"/>
      <c r="X19" s="132"/>
      <c r="Y19" s="132"/>
      <c r="Z19" s="132"/>
      <c r="AA19" s="132"/>
      <c r="AB19" s="132"/>
      <c r="AC19" s="132"/>
      <c r="AD19" s="132"/>
      <c r="AE19" s="139"/>
      <c r="AF19" s="139"/>
      <c r="AG19" s="139"/>
      <c r="AH19" s="139"/>
      <c r="AI19" s="139"/>
      <c r="AJ19" s="139"/>
      <c r="AK19" s="408">
        <v>372564449355</v>
      </c>
      <c r="AL19" s="1"/>
      <c r="AM19" s="32" cm="1">
        <f t="array" aca="1" ref="AM19" ca="1">INDIRECT("'1"&amp;$C$8&amp;"'!W19")</f>
        <v>1.1009486261189956</v>
      </c>
      <c r="AN19" s="524">
        <f t="shared" ca="1" si="1"/>
        <v>388024416822.78961</v>
      </c>
      <c r="AO19" s="524">
        <f t="shared" ca="1" si="2"/>
        <v>388596225504.90308</v>
      </c>
      <c r="AP19" s="524">
        <f t="shared" ca="1" si="3"/>
        <v>374951149244.07916</v>
      </c>
      <c r="AQ19" s="525">
        <f t="shared" si="4"/>
        <v>0.48820511737319583</v>
      </c>
      <c r="AR19" s="526">
        <f>U19-AP31*AS21/SUM(AS19:AS20)</f>
        <v>0.44115399484445661</v>
      </c>
      <c r="AS19" s="41">
        <f t="shared" si="6"/>
        <v>0.12488471519611752</v>
      </c>
      <c r="AT19" s="1"/>
      <c r="AU19" s="1"/>
      <c r="AV19" s="1"/>
      <c r="AW19" s="1"/>
      <c r="AX19" s="1"/>
      <c r="AY19" s="1"/>
      <c r="AZ19" s="1"/>
      <c r="BA19" s="1"/>
      <c r="BB19" s="1"/>
      <c r="BC19" s="1"/>
      <c r="BD19" s="1"/>
      <c r="BE19" s="1"/>
      <c r="BF19" s="1"/>
      <c r="BG19" s="1"/>
      <c r="BH19" s="1"/>
      <c r="BI19" s="1"/>
      <c r="BJ19" s="1"/>
      <c r="BK19" s="1"/>
      <c r="BL19" s="1"/>
      <c r="BM19" s="1"/>
      <c r="BN19" s="1"/>
    </row>
    <row r="20" spans="1:66" x14ac:dyDescent="0.3">
      <c r="A20" s="1"/>
      <c r="B20" s="28">
        <v>9</v>
      </c>
      <c r="C20" s="129">
        <v>304737929430</v>
      </c>
      <c r="D20" s="129">
        <v>330280255066</v>
      </c>
      <c r="E20" s="129">
        <v>363728322777</v>
      </c>
      <c r="F20" s="129">
        <v>265294121137</v>
      </c>
      <c r="G20" s="129">
        <v>436178844128</v>
      </c>
      <c r="H20" s="129">
        <v>469848048879</v>
      </c>
      <c r="I20" s="129">
        <v>417640041243</v>
      </c>
      <c r="J20" s="129">
        <v>418528981197</v>
      </c>
      <c r="K20" s="129">
        <v>414353526160</v>
      </c>
      <c r="L20" s="139"/>
      <c r="M20" s="139"/>
      <c r="N20" s="139"/>
      <c r="O20" s="139"/>
      <c r="P20" s="129">
        <v>2633785490785</v>
      </c>
      <c r="Q20" s="129">
        <v>2822705116645</v>
      </c>
      <c r="R20" s="129">
        <v>3083767598102</v>
      </c>
      <c r="S20" s="129">
        <v>3415607325857</v>
      </c>
      <c r="T20" s="129">
        <v>3910882563686</v>
      </c>
      <c r="U20" s="209">
        <f t="shared" si="0"/>
        <v>0.48489031372116842</v>
      </c>
      <c r="V20" s="139"/>
      <c r="W20" s="209"/>
      <c r="X20" s="132"/>
      <c r="Y20" s="132"/>
      <c r="Z20" s="132"/>
      <c r="AA20" s="132"/>
      <c r="AB20" s="132"/>
      <c r="AC20" s="132"/>
      <c r="AD20" s="132"/>
      <c r="AE20" s="139"/>
      <c r="AF20" s="139"/>
      <c r="AG20" s="139"/>
      <c r="AH20" s="139"/>
      <c r="AI20" s="139"/>
      <c r="AJ20" s="139"/>
      <c r="AK20" s="408">
        <v>425923409931</v>
      </c>
      <c r="AL20" s="1"/>
      <c r="AM20" s="32" cm="1">
        <f t="array" aca="1" ref="AM20" ca="1">INDIRECT("'1"&amp;$C$8&amp;"'!W20")</f>
        <v>1.0891439345183196</v>
      </c>
      <c r="AN20" s="524">
        <f t="shared" ca="1" si="1"/>
        <v>465674705890.05615</v>
      </c>
      <c r="AO20" s="524">
        <f t="shared" ca="1" si="2"/>
        <v>467457944233.16357</v>
      </c>
      <c r="AP20" s="524">
        <f t="shared" ca="1" si="3"/>
        <v>450058275175.05377</v>
      </c>
      <c r="AQ20" s="525">
        <f t="shared" si="4"/>
        <v>0.48489031372116842</v>
      </c>
      <c r="AR20" s="526">
        <f>U20-AP31*AS21/SUM(AS19:AS20)</f>
        <v>0.4378391911924292</v>
      </c>
      <c r="AS20" s="41">
        <f t="shared" si="6"/>
        <v>0.14223928773896516</v>
      </c>
      <c r="AT20" s="1"/>
      <c r="AU20" s="1"/>
      <c r="AV20" s="1"/>
      <c r="AW20" s="1"/>
      <c r="AX20" s="1"/>
      <c r="AY20" s="1"/>
      <c r="AZ20" s="1"/>
      <c r="BA20" s="1"/>
      <c r="BB20" s="1"/>
      <c r="BC20" s="1"/>
      <c r="BD20" s="1"/>
      <c r="BE20" s="1"/>
      <c r="BF20" s="1"/>
      <c r="BG20" s="1"/>
      <c r="BH20" s="1"/>
      <c r="BI20" s="1"/>
      <c r="BJ20" s="1"/>
      <c r="BK20" s="1"/>
      <c r="BL20" s="1"/>
      <c r="BM20" s="1"/>
      <c r="BN20" s="1"/>
    </row>
    <row r="21" spans="1:66" x14ac:dyDescent="0.3">
      <c r="A21" s="1"/>
      <c r="B21" s="33">
        <v>10</v>
      </c>
      <c r="C21" s="129">
        <v>599496167934</v>
      </c>
      <c r="D21" s="129">
        <v>639145618414</v>
      </c>
      <c r="E21" s="129">
        <v>706653303834</v>
      </c>
      <c r="F21" s="129">
        <v>651035817081</v>
      </c>
      <c r="G21" s="129">
        <v>874929306591</v>
      </c>
      <c r="H21" s="129">
        <v>904156585523</v>
      </c>
      <c r="I21" s="129">
        <v>843071201409</v>
      </c>
      <c r="J21" s="129">
        <v>844096980378</v>
      </c>
      <c r="K21" s="129">
        <v>839491471948</v>
      </c>
      <c r="L21" s="139"/>
      <c r="M21" s="139"/>
      <c r="N21" s="139"/>
      <c r="O21" s="139"/>
      <c r="P21" s="129">
        <v>4654507461824</v>
      </c>
      <c r="Q21" s="129">
        <v>4937739842687</v>
      </c>
      <c r="R21" s="129">
        <v>5435242690018</v>
      </c>
      <c r="S21" s="129">
        <v>5991281294792</v>
      </c>
      <c r="T21" s="129">
        <v>6878600430724</v>
      </c>
      <c r="U21" s="209">
        <f t="shared" si="0"/>
        <v>0.47783637412591595</v>
      </c>
      <c r="V21" s="139"/>
      <c r="W21" s="209"/>
      <c r="X21" s="132"/>
      <c r="Y21" s="132"/>
      <c r="Z21" s="132"/>
      <c r="AA21" s="132"/>
      <c r="AB21" s="132"/>
      <c r="AC21" s="132"/>
      <c r="AD21" s="132"/>
      <c r="AE21" s="139"/>
      <c r="AF21" s="139"/>
      <c r="AG21" s="139"/>
      <c r="AH21" s="139"/>
      <c r="AI21" s="139"/>
      <c r="AJ21" s="139"/>
      <c r="AK21" s="408">
        <v>852943946900</v>
      </c>
      <c r="AL21" s="1"/>
      <c r="AM21" s="32" cm="1">
        <f t="array" aca="1" ref="AM21" ca="1">INDIRECT("'1"&amp;$C$8&amp;"'!W21")</f>
        <v>1.0419513367188951</v>
      </c>
      <c r="AN21" s="524">
        <f t="shared" ca="1" si="1"/>
        <v>897974668144.03076</v>
      </c>
      <c r="AO21" s="524">
        <f t="shared" ca="1" si="2"/>
        <v>905736955530.44055</v>
      </c>
      <c r="AP21" s="524">
        <f t="shared" ca="1" si="3"/>
        <v>929206959820.86511</v>
      </c>
      <c r="AQ21" s="525">
        <f t="shared" si="4"/>
        <v>0.47783637412591595</v>
      </c>
      <c r="AR21" s="527">
        <f>U21+AP31</f>
        <v>0.527836374125916</v>
      </c>
      <c r="AS21" s="41">
        <f t="shared" si="6"/>
        <v>0.25136968384931724</v>
      </c>
      <c r="AT21" s="1"/>
      <c r="AU21" s="1"/>
      <c r="AV21" s="1"/>
      <c r="AW21" s="1"/>
      <c r="AX21" s="1"/>
      <c r="AY21" s="1"/>
      <c r="AZ21" s="1"/>
      <c r="BA21" s="1"/>
      <c r="BB21" s="1"/>
      <c r="BC21" s="1"/>
      <c r="BD21" s="1"/>
      <c r="BE21" s="1"/>
      <c r="BF21" s="1"/>
      <c r="BG21" s="1"/>
      <c r="BH21" s="1"/>
      <c r="BI21" s="1"/>
      <c r="BJ21" s="1"/>
      <c r="BK21" s="1"/>
      <c r="BL21" s="1"/>
      <c r="BM21" s="1"/>
      <c r="BN21" s="1"/>
    </row>
    <row r="22" spans="1:66" ht="13.2" customHeight="1" x14ac:dyDescent="0.3">
      <c r="A22" s="1"/>
      <c r="B22" s="34" t="s">
        <v>114</v>
      </c>
      <c r="C22" s="150">
        <v>1909141237004</v>
      </c>
      <c r="D22" s="150">
        <v>2062561666836</v>
      </c>
      <c r="E22" s="150">
        <v>2279167772617</v>
      </c>
      <c r="F22" s="150">
        <v>1757753555720</v>
      </c>
      <c r="G22" s="150">
        <v>2751277802121</v>
      </c>
      <c r="H22" s="150">
        <v>3046012323195</v>
      </c>
      <c r="I22" s="150">
        <v>2678896400079</v>
      </c>
      <c r="J22" s="150">
        <v>2686177478221</v>
      </c>
      <c r="K22" s="150">
        <v>2652653176713</v>
      </c>
      <c r="L22" s="139"/>
      <c r="M22" s="139"/>
      <c r="N22" s="139"/>
      <c r="O22" s="139"/>
      <c r="P22" s="150">
        <v>18516582391909</v>
      </c>
      <c r="Q22" s="150">
        <v>19742288713615</v>
      </c>
      <c r="R22" s="150">
        <v>21587973812628</v>
      </c>
      <c r="S22" s="150">
        <v>24104757055377</v>
      </c>
      <c r="T22" s="150">
        <v>27594579027517</v>
      </c>
      <c r="U22" s="210">
        <f t="shared" si="0"/>
        <v>0.49026307573770844</v>
      </c>
      <c r="V22" s="139"/>
      <c r="W22" s="210"/>
      <c r="X22" s="154"/>
      <c r="Y22" s="154"/>
      <c r="Z22" s="154"/>
      <c r="AA22" s="154"/>
      <c r="AB22" s="154"/>
      <c r="AC22" s="154"/>
      <c r="AD22" s="154"/>
      <c r="AE22" s="161"/>
      <c r="AF22" s="161"/>
      <c r="AG22" s="161"/>
      <c r="AH22" s="161"/>
      <c r="AI22" s="162"/>
      <c r="AJ22" s="162"/>
      <c r="AK22" s="409">
        <v>2751240645633</v>
      </c>
      <c r="AL22" s="1"/>
      <c r="AM22" s="534" cm="1">
        <f t="array" aca="1" ref="AM22" ca="1">INDIRECT("'1"&amp;$C$8&amp;"'!W22")</f>
        <v>1.0958061555302958</v>
      </c>
      <c r="AN22" s="528">
        <f ca="1">SUM(AN12:AN21)</f>
        <v>2929610950788.2754</v>
      </c>
      <c r="AO22" s="528">
        <f ca="1">SUM(AO12:AO21)</f>
        <v>2934805672526.8013</v>
      </c>
      <c r="AP22" s="528">
        <f ca="1">SUM(AP12:AP21)</f>
        <v>2932153544171.397</v>
      </c>
      <c r="AQ22" s="529">
        <f>SUMPRODUCT(AQ12:AQ21,AS12:AS21)</f>
        <v>0.4902630757377624</v>
      </c>
      <c r="AR22" s="529">
        <f>SUMPRODUCT(AR12:AR21,AS12:AS21)</f>
        <v>0.4902630757377624</v>
      </c>
      <c r="AS22" s="530"/>
      <c r="AT22" s="1"/>
      <c r="AU22" s="1"/>
      <c r="AV22" s="1"/>
      <c r="AW22" s="1"/>
      <c r="AX22" s="1"/>
      <c r="AY22" s="1"/>
      <c r="AZ22" s="1"/>
      <c r="BA22" s="1"/>
      <c r="BB22" s="1"/>
      <c r="BC22" s="1"/>
      <c r="BD22" s="1"/>
      <c r="BE22" s="1"/>
      <c r="BF22" s="1"/>
      <c r="BG22" s="1"/>
      <c r="BH22" s="1"/>
      <c r="BI22" s="1"/>
      <c r="BJ22" s="1"/>
      <c r="BK22" s="1"/>
      <c r="BL22" s="1"/>
      <c r="BM22" s="1"/>
      <c r="BN22" s="1"/>
    </row>
    <row r="23" spans="1:66" ht="12.6" customHeight="1" x14ac:dyDescent="0.3">
      <c r="A23" s="1"/>
      <c r="B23" s="1"/>
      <c r="C23" s="1"/>
      <c r="D23" s="1"/>
      <c r="E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531"/>
      <c r="AO23" s="531"/>
      <c r="AP23" s="1"/>
      <c r="AQ23" s="1"/>
      <c r="AR23" s="525">
        <f>U22</f>
        <v>0.49026307573770844</v>
      </c>
      <c r="AS23" s="1"/>
      <c r="AT23" s="1"/>
      <c r="AU23" s="1"/>
      <c r="AV23" s="1"/>
      <c r="AW23" s="1"/>
      <c r="AX23" s="1"/>
      <c r="AY23" s="1"/>
      <c r="AZ23" s="1"/>
      <c r="BA23" s="1"/>
      <c r="BB23" s="1"/>
      <c r="BC23" s="1"/>
      <c r="BD23" s="1"/>
      <c r="BE23" s="1"/>
      <c r="BF23" s="1"/>
      <c r="BG23" s="1"/>
      <c r="BH23" s="1"/>
      <c r="BI23" s="1"/>
      <c r="BJ23" s="1"/>
      <c r="BK23" s="1"/>
      <c r="BL23" s="1"/>
      <c r="BM23" s="1"/>
      <c r="BN23" s="1"/>
    </row>
    <row r="24" spans="1:66" ht="13.95" customHeight="1" x14ac:dyDescent="0.3">
      <c r="A24" s="1"/>
      <c r="B24" s="1"/>
      <c r="C24" s="1"/>
      <c r="D24" s="1"/>
      <c r="E24" s="1"/>
      <c r="F24" s="1"/>
      <c r="G24" s="11" t="s">
        <v>151</v>
      </c>
      <c r="H24" s="212">
        <f>U22</f>
        <v>0.49026307573770844</v>
      </c>
      <c r="I24" s="1"/>
      <c r="J24" s="1"/>
      <c r="K24" s="11" t="s">
        <v>151</v>
      </c>
      <c r="L24" s="212"/>
      <c r="M24" s="1"/>
      <c r="O24" s="1"/>
      <c r="P24" s="1"/>
      <c r="Q24" s="1"/>
      <c r="R24" s="1"/>
      <c r="S24" s="1"/>
      <c r="T24" s="1"/>
      <c r="U24" s="1"/>
      <c r="V24" s="1"/>
      <c r="W24" s="1"/>
      <c r="X24" s="1"/>
      <c r="Y24" s="55"/>
      <c r="Z24" s="55"/>
      <c r="AA24" s="55"/>
      <c r="AB24" s="55"/>
      <c r="AC24" s="55"/>
      <c r="AD24" s="55"/>
      <c r="AE24" s="55"/>
      <c r="AF24" s="55"/>
      <c r="AG24" s="55"/>
      <c r="AH24" s="1"/>
      <c r="AI24" s="1"/>
      <c r="AJ24" s="1"/>
      <c r="AK24" s="1"/>
      <c r="AL24" s="1"/>
      <c r="AM24" s="1"/>
      <c r="AN24" s="531">
        <f ca="1">AN22/G22-1</f>
        <v>6.4818299529693313E-2</v>
      </c>
      <c r="AO24" s="531"/>
      <c r="AP24" s="1"/>
      <c r="AQ24" s="1"/>
      <c r="AR24" s="532" t="str">
        <f>IF(AR23-AR22&lt;0.0000000001,"ok","wrong")</f>
        <v>ok</v>
      </c>
      <c r="AS24" s="1"/>
      <c r="AT24" s="1"/>
      <c r="AU24" s="1"/>
      <c r="AV24" s="1"/>
      <c r="AW24" s="1"/>
      <c r="AX24" s="1"/>
      <c r="AY24" s="1"/>
      <c r="AZ24" s="1"/>
      <c r="BA24" s="1"/>
      <c r="BB24" s="1"/>
      <c r="BC24" s="1"/>
      <c r="BD24" s="1"/>
      <c r="BE24" s="1"/>
      <c r="BF24" s="1"/>
      <c r="BG24" s="1"/>
      <c r="BH24" s="1"/>
      <c r="BI24" s="1"/>
      <c r="BJ24" s="1"/>
      <c r="BK24" s="1"/>
      <c r="BL24" s="1"/>
      <c r="BM24" s="1"/>
      <c r="BN24" s="1"/>
    </row>
    <row r="25" spans="1:66" ht="13.95" customHeight="1" x14ac:dyDescent="0.3">
      <c r="A25" s="1"/>
      <c r="B25" s="1"/>
      <c r="C25" s="1"/>
      <c r="D25" s="1"/>
      <c r="E25" s="1"/>
      <c r="F25" s="1"/>
      <c r="G25" s="11" t="s">
        <v>152</v>
      </c>
      <c r="H25" s="213">
        <v>0.296485</v>
      </c>
      <c r="I25" s="1"/>
      <c r="J25" s="1"/>
      <c r="K25" s="11" t="s">
        <v>152</v>
      </c>
      <c r="L25" s="139"/>
      <c r="M25" s="1"/>
      <c r="N25" s="1"/>
      <c r="O25" s="1"/>
      <c r="P25" s="1"/>
      <c r="Q25" s="1"/>
      <c r="R25" s="1"/>
      <c r="S25" s="1"/>
      <c r="T25" s="1"/>
      <c r="U25" s="1"/>
      <c r="V25" s="1"/>
      <c r="W25" s="1"/>
      <c r="X25" s="1"/>
      <c r="Y25" s="55"/>
      <c r="Z25" s="55"/>
      <c r="AA25" s="55"/>
      <c r="AB25" s="55"/>
      <c r="AC25" s="55"/>
      <c r="AD25" s="55"/>
      <c r="AE25" s="55"/>
      <c r="AF25" s="55"/>
      <c r="AG25" s="55"/>
      <c r="AH25" s="1"/>
      <c r="AI25" s="1"/>
      <c r="AJ25" s="1"/>
      <c r="AK25" s="1"/>
      <c r="AL25" s="1"/>
      <c r="AM25" s="1"/>
      <c r="AN25" s="1"/>
      <c r="AO25" s="531"/>
      <c r="AP25" s="1"/>
      <c r="AQ25" s="1"/>
      <c r="AR25" s="532" t="str">
        <f>IF(AQ22-AR22&lt;0.0000000001,"ok","wrong")</f>
        <v>ok</v>
      </c>
      <c r="AS25" s="1"/>
      <c r="AT25" s="1"/>
      <c r="AU25" s="1"/>
      <c r="AV25" s="1"/>
      <c r="AW25" s="1"/>
      <c r="AX25" s="1"/>
      <c r="AY25" s="1"/>
      <c r="AZ25" s="1"/>
      <c r="BA25" s="1"/>
      <c r="BB25" s="1"/>
      <c r="BC25" s="1"/>
      <c r="BD25" s="1"/>
      <c r="BE25" s="1"/>
      <c r="BF25" s="1"/>
      <c r="BG25" s="1"/>
      <c r="BH25" s="1"/>
      <c r="BI25" s="1"/>
      <c r="BJ25" s="1"/>
      <c r="BK25" s="1"/>
      <c r="BL25" s="1"/>
      <c r="BM25" s="1"/>
      <c r="BN25" s="1"/>
    </row>
    <row r="26" spans="1:66" ht="13.95" customHeight="1" x14ac:dyDescent="0.3">
      <c r="A26" s="1"/>
      <c r="B26" s="1"/>
      <c r="C26" s="1"/>
      <c r="D26" s="1"/>
      <c r="E26" s="1"/>
      <c r="F26" s="1"/>
      <c r="G26" s="11" t="s">
        <v>153</v>
      </c>
      <c r="H26" s="213">
        <v>0.467111</v>
      </c>
      <c r="I26" s="1"/>
      <c r="J26" s="1"/>
      <c r="K26" s="11" t="s">
        <v>153</v>
      </c>
      <c r="L26" s="139"/>
      <c r="M26" s="1"/>
      <c r="N26" s="1"/>
      <c r="O26" s="1"/>
      <c r="P26" s="1"/>
      <c r="Q26" s="1"/>
      <c r="R26" s="1"/>
      <c r="S26" s="1"/>
      <c r="T26" s="1"/>
      <c r="U26" s="1"/>
      <c r="V26" s="1"/>
      <c r="W26" s="1"/>
      <c r="X26" s="1"/>
      <c r="Y26" s="55"/>
      <c r="Z26" s="55"/>
      <c r="AA26" s="55"/>
      <c r="AB26" s="55"/>
      <c r="AC26" s="55"/>
      <c r="AD26" s="55"/>
      <c r="AE26" s="55"/>
      <c r="AF26" s="55"/>
      <c r="AG26" s="55"/>
      <c r="AH26" s="1"/>
      <c r="AI26" s="1"/>
      <c r="AJ26" s="1"/>
      <c r="AK26" s="1"/>
      <c r="AL26" s="1"/>
      <c r="AM26" s="8" t="s">
        <v>571</v>
      </c>
      <c r="AN26" s="533"/>
      <c r="AO26" s="535">
        <f ca="1">AO22/$AN22-1</f>
        <v>1.773178017759669E-3</v>
      </c>
      <c r="AP26" s="536">
        <f ca="1">AP22/$AN22-1</f>
        <v>8.6789455181324193E-4</v>
      </c>
      <c r="AQ26" s="1"/>
      <c r="AR26" s="1"/>
      <c r="AS26" s="1"/>
      <c r="AT26" s="1"/>
      <c r="AU26" s="1"/>
      <c r="AV26" s="1"/>
      <c r="AW26" s="1"/>
      <c r="AX26" s="1"/>
      <c r="AY26" s="1"/>
      <c r="AZ26" s="1"/>
      <c r="BA26" s="1"/>
      <c r="BB26" s="1"/>
      <c r="BC26" s="1"/>
      <c r="BD26" s="1"/>
      <c r="BE26" s="1"/>
      <c r="BF26" s="1"/>
      <c r="BG26" s="1"/>
      <c r="BH26" s="1"/>
      <c r="BI26" s="1"/>
      <c r="BJ26" s="1"/>
      <c r="BK26" s="1"/>
      <c r="BL26" s="1"/>
      <c r="BM26" s="1"/>
      <c r="BN26" s="1"/>
    </row>
    <row r="27" spans="1:66" ht="9" customHeight="1" x14ac:dyDescent="0.3">
      <c r="A27" s="1"/>
      <c r="B27" s="1"/>
      <c r="C27" s="1"/>
      <c r="D27" s="1"/>
      <c r="E27" s="1"/>
      <c r="F27" s="1"/>
      <c r="G27" s="1"/>
      <c r="H27" s="1"/>
      <c r="I27" s="1"/>
      <c r="J27" s="1"/>
      <c r="K27" s="1"/>
      <c r="L27" s="1"/>
      <c r="M27" s="1"/>
      <c r="N27" s="1"/>
      <c r="O27" s="1"/>
      <c r="P27" s="1"/>
      <c r="Q27" s="1"/>
      <c r="R27" s="1"/>
      <c r="S27" s="1"/>
      <c r="T27" s="55"/>
      <c r="U27" s="55"/>
      <c r="V27" s="55"/>
      <c r="W27" s="55"/>
      <c r="X27" s="55"/>
      <c r="Y27" s="55"/>
      <c r="Z27" s="55"/>
      <c r="AA27" s="55"/>
      <c r="AB27" s="55"/>
      <c r="AC27" s="55"/>
      <c r="AD27" s="55"/>
      <c r="AE27" s="55"/>
      <c r="AF27" s="55"/>
      <c r="AG27" s="55"/>
      <c r="AH27" s="1"/>
      <c r="AI27" s="1"/>
      <c r="AJ27" s="1"/>
      <c r="AK27" s="1"/>
      <c r="AL27" s="1"/>
      <c r="AM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row>
    <row r="28" spans="1:66" ht="12" customHeight="1" thickBot="1" x14ac:dyDescent="0.35">
      <c r="A28" s="214"/>
      <c r="B28" s="214"/>
      <c r="C28" s="214"/>
      <c r="D28" s="214"/>
      <c r="E28" s="214"/>
      <c r="F28" s="214"/>
      <c r="G28" s="214"/>
      <c r="H28" s="214"/>
      <c r="I28" s="214"/>
      <c r="J28" s="214"/>
      <c r="K28" s="214"/>
      <c r="L28" s="214"/>
      <c r="M28" s="214"/>
      <c r="N28" s="214"/>
      <c r="O28" s="214"/>
      <c r="P28" s="214"/>
      <c r="Q28" s="214"/>
      <c r="R28" s="214"/>
      <c r="S28" s="214"/>
      <c r="T28" s="215"/>
      <c r="U28" s="215"/>
      <c r="V28" s="215"/>
      <c r="W28" s="215"/>
      <c r="X28" s="215"/>
      <c r="Y28" s="215"/>
      <c r="Z28" s="215"/>
      <c r="AA28" s="214"/>
      <c r="AB28" s="214"/>
      <c r="AC28" s="214"/>
      <c r="AD28" s="214"/>
      <c r="AE28" s="214"/>
      <c r="AF28" s="214"/>
      <c r="AG28" s="214"/>
      <c r="AH28" s="214"/>
      <c r="AI28" s="214"/>
      <c r="AJ28" s="1"/>
      <c r="AK28" s="1"/>
      <c r="AL28" s="1"/>
      <c r="AM28" s="8" t="s">
        <v>572</v>
      </c>
      <c r="AN28" s="8"/>
      <c r="AO28" s="535">
        <f ca="1">(AO22-$AN22)/($W$37*1000000)</f>
        <v>9.5767777259724556E-3</v>
      </c>
      <c r="AP28" s="536">
        <f ca="1">(AP22-$AN22)/($W$37*1000000)</f>
        <v>4.68742175294909E-3</v>
      </c>
      <c r="AQ28" s="1"/>
      <c r="AR28" s="1"/>
      <c r="AS28" s="1"/>
      <c r="AT28" s="1"/>
      <c r="AU28" s="1"/>
      <c r="AV28" s="1"/>
      <c r="AW28" s="1"/>
      <c r="AX28" s="1"/>
      <c r="AY28" s="1"/>
      <c r="AZ28" s="1"/>
      <c r="BA28" s="1"/>
      <c r="BB28" s="1"/>
      <c r="BC28" s="1"/>
      <c r="BD28" s="1"/>
      <c r="BE28" s="1"/>
      <c r="BF28" s="1"/>
      <c r="BG28" s="1"/>
      <c r="BH28" s="1"/>
      <c r="BI28" s="1"/>
      <c r="BJ28" s="1"/>
      <c r="BK28" s="1"/>
      <c r="BL28" s="1"/>
      <c r="BM28" s="1"/>
      <c r="BN28" s="1"/>
    </row>
    <row r="29" spans="1:66" ht="12" customHeight="1" thickBot="1" x14ac:dyDescent="0.35">
      <c r="A29" s="214"/>
      <c r="B29" s="216" t="s">
        <v>154</v>
      </c>
      <c r="C29" s="217"/>
      <c r="D29" s="217"/>
      <c r="E29" s="217"/>
      <c r="F29" s="217"/>
      <c r="G29" s="217"/>
      <c r="H29" s="217"/>
      <c r="I29" s="217"/>
      <c r="J29" s="217"/>
      <c r="K29" s="217"/>
      <c r="L29" s="217"/>
      <c r="M29" s="217"/>
      <c r="N29" s="217"/>
      <c r="O29" s="217"/>
      <c r="P29" s="217"/>
      <c r="Q29" s="217"/>
      <c r="R29" s="217"/>
      <c r="S29" s="217"/>
      <c r="T29" s="218"/>
      <c r="U29" s="218"/>
      <c r="V29" s="219"/>
      <c r="W29" s="215"/>
      <c r="X29" s="215"/>
      <c r="Y29" s="215"/>
      <c r="Z29" s="215"/>
      <c r="AA29" s="214"/>
      <c r="AB29" s="214"/>
      <c r="AC29" s="214"/>
      <c r="AD29" s="214"/>
      <c r="AE29" s="214"/>
      <c r="AF29" s="214"/>
      <c r="AG29" s="214"/>
      <c r="AH29" s="214"/>
      <c r="AI29" s="214"/>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row>
    <row r="30" spans="1:66" ht="21.6" customHeight="1" thickBot="1" x14ac:dyDescent="0.35">
      <c r="A30" s="214"/>
      <c r="B30" s="220"/>
      <c r="C30" s="214"/>
      <c r="D30" s="214"/>
      <c r="E30" s="214"/>
      <c r="F30" s="214"/>
      <c r="G30" s="214"/>
      <c r="H30" s="214"/>
      <c r="I30" s="214"/>
      <c r="J30" s="214"/>
      <c r="K30" s="214"/>
      <c r="L30" s="214"/>
      <c r="M30" s="214"/>
      <c r="N30" s="214"/>
      <c r="O30" s="214"/>
      <c r="P30" s="214"/>
      <c r="Q30" s="214"/>
      <c r="R30" s="214"/>
      <c r="S30" s="214"/>
      <c r="T30" s="214"/>
      <c r="U30" s="214"/>
      <c r="V30" s="214"/>
      <c r="W30" s="214"/>
      <c r="X30" s="214"/>
      <c r="Y30" s="214"/>
      <c r="Z30" s="214"/>
      <c r="AA30" s="214"/>
      <c r="AB30" s="214"/>
      <c r="AC30" s="216" t="s">
        <v>158</v>
      </c>
      <c r="AD30" s="221"/>
      <c r="AE30" s="214"/>
      <c r="AF30" s="214"/>
      <c r="AG30" s="214"/>
      <c r="AH30" s="214"/>
      <c r="AI30" s="214"/>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row>
    <row r="31" spans="1:66" ht="21" customHeight="1" thickBot="1" x14ac:dyDescent="0.35">
      <c r="A31" s="214"/>
      <c r="B31" s="216" t="s">
        <v>159</v>
      </c>
      <c r="C31" s="221"/>
      <c r="D31" s="223"/>
      <c r="E31" s="222" t="s">
        <v>160</v>
      </c>
      <c r="F31" s="222" t="s">
        <v>160</v>
      </c>
      <c r="G31" s="223"/>
      <c r="H31" s="224" t="s">
        <v>161</v>
      </c>
      <c r="I31" s="222"/>
      <c r="J31" s="222"/>
      <c r="K31" s="222"/>
      <c r="L31" s="222"/>
      <c r="M31" s="223"/>
      <c r="N31" s="216" t="s">
        <v>162</v>
      </c>
      <c r="O31" s="221"/>
      <c r="P31" s="222" t="s">
        <v>163</v>
      </c>
      <c r="Q31" s="222"/>
      <c r="R31" s="222"/>
      <c r="S31" s="223"/>
      <c r="T31" s="224" t="s">
        <v>164</v>
      </c>
      <c r="U31" s="222"/>
      <c r="V31" s="222"/>
      <c r="W31" s="223"/>
      <c r="X31" s="225" t="s">
        <v>165</v>
      </c>
      <c r="Y31" s="222"/>
      <c r="Z31" s="222"/>
      <c r="AA31" s="223"/>
      <c r="AB31" s="214"/>
      <c r="AC31" s="347" t="s">
        <v>163</v>
      </c>
      <c r="AD31" s="348"/>
      <c r="AE31" s="223"/>
      <c r="AF31" s="224" t="s">
        <v>164</v>
      </c>
      <c r="AG31" s="222"/>
      <c r="AH31" s="223"/>
      <c r="AI31" s="214"/>
      <c r="AJ31" s="1"/>
      <c r="AK31" s="1"/>
      <c r="AL31" s="1"/>
      <c r="AM31" s="1"/>
      <c r="AN31" s="1"/>
      <c r="AO31" s="8" t="s">
        <v>567</v>
      </c>
      <c r="AP31" s="10">
        <v>0.05</v>
      </c>
      <c r="AQ31" s="1"/>
      <c r="AR31" s="1"/>
      <c r="AS31" s="1"/>
      <c r="AT31" s="1"/>
      <c r="AU31" s="1"/>
      <c r="AV31" s="1"/>
      <c r="AW31" s="1"/>
      <c r="AX31" s="1"/>
      <c r="AY31" s="1"/>
      <c r="AZ31" s="1"/>
      <c r="BA31" s="1"/>
      <c r="BB31" s="1"/>
      <c r="BC31" s="1"/>
      <c r="BD31" s="1"/>
      <c r="BE31" s="1"/>
      <c r="BF31" s="1"/>
      <c r="BG31" s="1"/>
      <c r="BH31" s="1"/>
      <c r="BI31" s="1"/>
      <c r="BJ31" s="1"/>
      <c r="BK31" s="1"/>
      <c r="BL31" s="1"/>
      <c r="BM31" s="1"/>
      <c r="BN31" s="1"/>
    </row>
    <row r="32" spans="1:66" ht="51" customHeight="1" x14ac:dyDescent="0.3">
      <c r="A32" s="214"/>
      <c r="B32" s="226"/>
      <c r="C32" s="227" t="s">
        <v>166</v>
      </c>
      <c r="D32" s="228" t="s">
        <v>231</v>
      </c>
      <c r="E32" s="228" t="s">
        <v>168</v>
      </c>
      <c r="F32" s="410" t="s">
        <v>232</v>
      </c>
      <c r="G32" s="228" t="s">
        <v>170</v>
      </c>
      <c r="H32" s="228" t="s">
        <v>171</v>
      </c>
      <c r="I32" s="229" t="s">
        <v>172</v>
      </c>
      <c r="J32" s="229" t="s">
        <v>173</v>
      </c>
      <c r="K32" s="230" t="s">
        <v>174</v>
      </c>
      <c r="L32" s="229" t="s">
        <v>175</v>
      </c>
      <c r="M32" s="411" t="s">
        <v>176</v>
      </c>
      <c r="N32" s="227"/>
      <c r="O32" s="227" t="s">
        <v>177</v>
      </c>
      <c r="P32" s="231" t="s">
        <v>178</v>
      </c>
      <c r="Q32" s="231" t="s">
        <v>179</v>
      </c>
      <c r="R32" s="231" t="s">
        <v>180</v>
      </c>
      <c r="S32" s="231" t="s">
        <v>181</v>
      </c>
      <c r="T32" s="231" t="s">
        <v>182</v>
      </c>
      <c r="U32" s="231" t="s">
        <v>183</v>
      </c>
      <c r="V32" s="231" t="s">
        <v>184</v>
      </c>
      <c r="W32" s="231" t="s">
        <v>185</v>
      </c>
      <c r="X32" s="231" t="s">
        <v>186</v>
      </c>
      <c r="Y32" s="231" t="s">
        <v>187</v>
      </c>
      <c r="Z32" s="231" t="s">
        <v>188</v>
      </c>
      <c r="AA32" s="231" t="s">
        <v>189</v>
      </c>
      <c r="AB32" s="214"/>
      <c r="AC32" s="231" t="s">
        <v>178</v>
      </c>
      <c r="AD32" s="231" t="s">
        <v>179</v>
      </c>
      <c r="AE32" s="231" t="s">
        <v>180</v>
      </c>
      <c r="AF32" s="231" t="s">
        <v>182</v>
      </c>
      <c r="AG32" s="231" t="s">
        <v>183</v>
      </c>
      <c r="AH32" s="231" t="s">
        <v>184</v>
      </c>
      <c r="AI32" s="214"/>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row>
    <row r="33" spans="1:66" ht="15.6" customHeight="1" x14ac:dyDescent="0.3">
      <c r="A33" s="214"/>
      <c r="B33" s="232">
        <v>2019</v>
      </c>
      <c r="C33" s="233">
        <f>C22</f>
        <v>1909141237004</v>
      </c>
      <c r="D33" s="146">
        <v>47940496</v>
      </c>
      <c r="E33" s="259">
        <f>(F33/1000000/D33)*100</f>
        <v>5.0574469484003668</v>
      </c>
      <c r="F33" s="146">
        <v>2424565152000</v>
      </c>
      <c r="G33" s="234">
        <f>F33/C33</f>
        <v>1.2699768382798386</v>
      </c>
      <c r="H33" s="235">
        <f>C33*G33</f>
        <v>2424565152000</v>
      </c>
      <c r="I33" s="235" t="s">
        <v>113</v>
      </c>
      <c r="J33" s="235" t="s">
        <v>113</v>
      </c>
      <c r="K33" s="235" t="s">
        <v>113</v>
      </c>
      <c r="L33" s="235" t="s">
        <v>113</v>
      </c>
      <c r="M33" s="214"/>
      <c r="N33" s="232">
        <v>2019</v>
      </c>
      <c r="O33" s="236">
        <f>G33</f>
        <v>1.2699768382798386</v>
      </c>
      <c r="P33" s="237"/>
      <c r="Q33" s="237"/>
      <c r="R33" s="237"/>
      <c r="S33" s="237"/>
      <c r="T33" s="237"/>
      <c r="U33" s="237"/>
      <c r="V33" s="238"/>
      <c r="W33" s="238"/>
      <c r="X33" s="238"/>
      <c r="Y33" s="238"/>
      <c r="Z33" s="238"/>
      <c r="AA33" s="238"/>
      <c r="AB33" s="214"/>
      <c r="AC33" s="237"/>
      <c r="AD33" s="237"/>
      <c r="AE33" s="237"/>
      <c r="AF33" s="237"/>
      <c r="AG33" s="237"/>
      <c r="AH33" s="238"/>
      <c r="AI33" s="214"/>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row>
    <row r="34" spans="1:66" s="51" customFormat="1" ht="15.6" customHeight="1" x14ac:dyDescent="0.3">
      <c r="A34" s="239"/>
      <c r="B34" s="240">
        <v>2020</v>
      </c>
      <c r="C34" s="241">
        <f>D22</f>
        <v>2062561666836</v>
      </c>
      <c r="D34" s="146">
        <v>48807766</v>
      </c>
      <c r="E34" s="259">
        <f t="shared" ref="E34:E36" si="7">(F34/1000000/D34)*100</f>
        <v>5.1789755671259368</v>
      </c>
      <c r="F34" s="146">
        <v>2527742276000</v>
      </c>
      <c r="G34" s="234">
        <f>F34/C34</f>
        <v>1.2255353702357874</v>
      </c>
      <c r="H34" s="242">
        <f>C34*G34</f>
        <v>2527742276000</v>
      </c>
      <c r="I34" s="243"/>
      <c r="J34" s="243"/>
      <c r="K34" s="243"/>
      <c r="L34" s="243"/>
      <c r="M34" s="214"/>
      <c r="N34" s="240">
        <v>2020</v>
      </c>
      <c r="O34" s="244"/>
      <c r="P34" s="245"/>
      <c r="Q34" s="245"/>
      <c r="R34" s="245"/>
      <c r="S34" s="245"/>
      <c r="T34" s="245"/>
      <c r="U34" s="245"/>
      <c r="V34" s="245"/>
      <c r="W34" s="245"/>
      <c r="X34" s="245"/>
      <c r="Y34" s="245"/>
      <c r="Z34" s="245"/>
      <c r="AA34" s="245"/>
      <c r="AB34" s="239"/>
      <c r="AC34" s="245"/>
      <c r="AD34" s="245"/>
      <c r="AE34" s="245"/>
      <c r="AF34" s="245"/>
      <c r="AG34" s="245"/>
      <c r="AH34" s="245"/>
      <c r="AI34" s="239"/>
      <c r="AJ34" s="47"/>
      <c r="AK34" s="47"/>
      <c r="AL34" s="47"/>
      <c r="AM34" s="47"/>
      <c r="AN34" s="47"/>
      <c r="AO34" s="47"/>
      <c r="AP34" s="47"/>
      <c r="AQ34" s="47"/>
      <c r="AR34" s="47"/>
      <c r="AS34" s="47"/>
      <c r="AT34" s="47"/>
      <c r="AU34" s="47"/>
      <c r="AV34" s="47"/>
      <c r="AW34" s="47"/>
      <c r="AX34" s="47"/>
      <c r="AY34" s="47"/>
      <c r="AZ34" s="47"/>
      <c r="BA34" s="47"/>
      <c r="BB34" s="47"/>
      <c r="BC34" s="47"/>
      <c r="BD34" s="47"/>
      <c r="BE34" s="47"/>
      <c r="BF34" s="47"/>
      <c r="BG34" s="47"/>
      <c r="BH34" s="47"/>
      <c r="BI34" s="47"/>
      <c r="BJ34" s="47"/>
      <c r="BK34" s="47"/>
      <c r="BL34" s="47"/>
      <c r="BM34" s="47"/>
      <c r="BN34" s="47"/>
    </row>
    <row r="35" spans="1:66" ht="15.6" customHeight="1" x14ac:dyDescent="0.3">
      <c r="A35" s="214"/>
      <c r="B35" s="232">
        <v>2021</v>
      </c>
      <c r="C35" s="241">
        <f>E22</f>
        <v>2279167772617</v>
      </c>
      <c r="D35" s="146">
        <v>55556986</v>
      </c>
      <c r="E35" s="259">
        <f t="shared" si="7"/>
        <v>5.1993210934804859</v>
      </c>
      <c r="F35" s="146">
        <v>2888586092000</v>
      </c>
      <c r="G35" s="234">
        <f>F35/C35</f>
        <v>1.2673863357953898</v>
      </c>
      <c r="H35" s="242">
        <f>C35*G35</f>
        <v>2888586092000</v>
      </c>
      <c r="I35" s="243"/>
      <c r="J35" s="243"/>
      <c r="K35" s="243"/>
      <c r="L35" s="243"/>
      <c r="M35" s="214"/>
      <c r="N35" s="232">
        <v>2021</v>
      </c>
      <c r="O35" s="244"/>
      <c r="P35" s="246"/>
      <c r="Q35" s="246"/>
      <c r="R35" s="246"/>
      <c r="S35" s="246"/>
      <c r="T35" s="246"/>
      <c r="U35" s="246"/>
      <c r="V35" s="247"/>
      <c r="W35" s="247"/>
      <c r="X35" s="247"/>
      <c r="Y35" s="247"/>
      <c r="Z35" s="247"/>
      <c r="AA35" s="247"/>
      <c r="AB35" s="214"/>
      <c r="AC35" s="246"/>
      <c r="AD35" s="246"/>
      <c r="AE35" s="246"/>
      <c r="AF35" s="246"/>
      <c r="AG35" s="246"/>
      <c r="AH35" s="247"/>
      <c r="AI35" s="214"/>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row>
    <row r="36" spans="1:66" ht="15.6" customHeight="1" x14ac:dyDescent="0.3">
      <c r="A36" s="214"/>
      <c r="B36" s="240">
        <v>2022</v>
      </c>
      <c r="C36" s="248">
        <f>F22</f>
        <v>1757753555720</v>
      </c>
      <c r="D36" s="146">
        <v>66165628</v>
      </c>
      <c r="E36" s="259">
        <f t="shared" si="7"/>
        <v>4.2106288165027328</v>
      </c>
      <c r="F36" s="146">
        <v>2785988999188.0005</v>
      </c>
      <c r="G36" s="234">
        <f>F36/C36</f>
        <v>1.5849713346458407</v>
      </c>
      <c r="H36" s="242">
        <f>C36*G36</f>
        <v>2785988999188.0005</v>
      </c>
      <c r="I36" s="249"/>
      <c r="J36" s="249"/>
      <c r="K36" s="249"/>
      <c r="L36" s="249"/>
      <c r="M36" s="214"/>
      <c r="N36" s="240">
        <v>2022</v>
      </c>
      <c r="O36" s="250"/>
      <c r="P36" s="225"/>
      <c r="Q36" s="225"/>
      <c r="R36" s="225"/>
      <c r="S36" s="225"/>
      <c r="T36" s="225"/>
      <c r="U36" s="225"/>
      <c r="V36" s="225"/>
      <c r="W36" s="225"/>
      <c r="X36" s="225"/>
      <c r="Y36" s="225"/>
      <c r="Z36" s="225"/>
      <c r="AA36" s="225"/>
      <c r="AB36" s="214"/>
      <c r="AC36" s="225"/>
      <c r="AD36" s="225"/>
      <c r="AE36" s="225"/>
      <c r="AF36" s="225"/>
      <c r="AG36" s="225"/>
      <c r="AH36" s="225"/>
      <c r="AI36" s="214"/>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row>
    <row r="37" spans="1:66" ht="15.6" customHeight="1" x14ac:dyDescent="0.3">
      <c r="A37" s="214"/>
      <c r="B37" s="232">
        <v>2023</v>
      </c>
      <c r="C37" s="251">
        <f>G22</f>
        <v>2751277802121</v>
      </c>
      <c r="D37" s="146">
        <v>75086595</v>
      </c>
      <c r="E37" s="259">
        <f>(F37/1000000/D37)*100</f>
        <v>5.3222833288977878</v>
      </c>
      <c r="F37" s="146">
        <v>3996321327922</v>
      </c>
      <c r="G37" s="234">
        <f>F37/C37</f>
        <v>1.4525328285065136</v>
      </c>
      <c r="H37" s="242">
        <f>C37*G37</f>
        <v>3996321327922</v>
      </c>
      <c r="I37" s="235">
        <f>H22*$G37</f>
        <v>4424432895476.1299</v>
      </c>
      <c r="J37" s="235">
        <f>I22*$G37</f>
        <v>3891184965282.6665</v>
      </c>
      <c r="K37" s="235">
        <f>J22*$G37</f>
        <v>3901760970310.8428</v>
      </c>
      <c r="L37" s="235">
        <f>K22*$G37</f>
        <v>3853065821817.7227</v>
      </c>
      <c r="M37" s="412">
        <f>AK22*$G37</f>
        <v>3996267356903.3882</v>
      </c>
      <c r="N37" s="232">
        <v>2023</v>
      </c>
      <c r="O37" s="252">
        <f>G37</f>
        <v>1.4525328285065136</v>
      </c>
      <c r="P37" s="253">
        <f>($H37-J37)/1000000</f>
        <v>105136.3626393335</v>
      </c>
      <c r="Q37" s="253">
        <f>($H37-K37)/1000000</f>
        <v>94560.357611157233</v>
      </c>
      <c r="R37" s="253">
        <f>($H37-L37)/1000000</f>
        <v>143255.50610427733</v>
      </c>
      <c r="S37" s="253">
        <f>AVERAGE(P37:R37)</f>
        <v>114317.40878492268</v>
      </c>
      <c r="T37" s="253">
        <f t="shared" ref="T37:V37" si="8">($I37-J37)/1000000</f>
        <v>533247.93019346334</v>
      </c>
      <c r="U37" s="253">
        <f t="shared" si="8"/>
        <v>522671.9251652871</v>
      </c>
      <c r="V37" s="253">
        <f t="shared" si="8"/>
        <v>571367.0736584072</v>
      </c>
      <c r="W37" s="253">
        <f>AVERAGE(T37:V37)</f>
        <v>542428.97633905255</v>
      </c>
      <c r="X37" s="254">
        <f>(T37-P37)/T37</f>
        <v>0.80283774828494914</v>
      </c>
      <c r="Y37" s="254">
        <f>(U37-Q37)/U37</f>
        <v>0.81908276863875185</v>
      </c>
      <c r="Z37" s="254">
        <f>(V37-R37)/V37</f>
        <v>0.74927588111259824</v>
      </c>
      <c r="AA37" s="254">
        <f>AVERAGE(X37:Z37)</f>
        <v>0.79039879934543311</v>
      </c>
      <c r="AB37" s="214"/>
      <c r="AC37" s="351">
        <f>P37/$D37</f>
        <v>1.4002014958773067E-3</v>
      </c>
      <c r="AD37" s="351">
        <f>Q37/$D37</f>
        <v>1.2593507218053666E-3</v>
      </c>
      <c r="AE37" s="351">
        <f>R37/$D37</f>
        <v>1.9078705873435508E-3</v>
      </c>
      <c r="AF37" s="351">
        <f>T37/$D37</f>
        <v>7.1017726958249117E-3</v>
      </c>
      <c r="AG37" s="351">
        <f>U37/$D37</f>
        <v>6.9609219217529718E-3</v>
      </c>
      <c r="AH37" s="351">
        <f>V37/$D37</f>
        <v>7.6094417872911565E-3</v>
      </c>
      <c r="AI37" s="214"/>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row>
    <row r="38" spans="1:66" ht="15.6" customHeight="1" x14ac:dyDescent="0.3">
      <c r="A38" s="214"/>
      <c r="B38" s="240">
        <v>2024</v>
      </c>
      <c r="C38" s="255"/>
      <c r="D38" s="256"/>
      <c r="E38" s="256"/>
      <c r="F38" s="256"/>
      <c r="G38" s="257"/>
      <c r="H38" s="256"/>
      <c r="I38" s="249"/>
      <c r="J38" s="249"/>
      <c r="K38" s="249"/>
      <c r="L38" s="249"/>
      <c r="M38" s="214"/>
      <c r="N38" s="240">
        <v>2024</v>
      </c>
      <c r="O38" s="250"/>
      <c r="P38" s="225"/>
      <c r="Q38" s="225"/>
      <c r="R38" s="225"/>
      <c r="S38" s="225"/>
      <c r="T38" s="258"/>
      <c r="U38" s="258"/>
      <c r="V38" s="258"/>
      <c r="W38" s="258"/>
      <c r="X38" s="225"/>
      <c r="Y38" s="225"/>
      <c r="Z38" s="225"/>
      <c r="AA38" s="225"/>
      <c r="AB38" s="214"/>
      <c r="AC38" s="353"/>
      <c r="AD38" s="353"/>
      <c r="AE38" s="353"/>
      <c r="AF38" s="354"/>
      <c r="AG38" s="354"/>
      <c r="AH38" s="354"/>
      <c r="AI38" s="214"/>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row>
    <row r="39" spans="1:66" ht="15.6" customHeight="1" x14ac:dyDescent="0.3">
      <c r="A39" s="214"/>
      <c r="B39" s="232">
        <v>2025</v>
      </c>
      <c r="C39" s="255"/>
      <c r="D39" s="256"/>
      <c r="E39" s="256"/>
      <c r="F39" s="256"/>
      <c r="G39" s="257"/>
      <c r="H39" s="256"/>
      <c r="I39" s="249"/>
      <c r="J39" s="249"/>
      <c r="K39" s="249"/>
      <c r="L39" s="249"/>
      <c r="M39" s="214"/>
      <c r="N39" s="232">
        <v>2025</v>
      </c>
      <c r="O39" s="250"/>
      <c r="P39" s="225"/>
      <c r="Q39" s="225"/>
      <c r="R39" s="225"/>
      <c r="S39" s="225"/>
      <c r="T39" s="258"/>
      <c r="U39" s="258"/>
      <c r="V39" s="258"/>
      <c r="W39" s="258"/>
      <c r="X39" s="225"/>
      <c r="Y39" s="225"/>
      <c r="Z39" s="225"/>
      <c r="AA39" s="225"/>
      <c r="AB39" s="214"/>
      <c r="AC39" s="353"/>
      <c r="AD39" s="353"/>
      <c r="AE39" s="353"/>
      <c r="AF39" s="354"/>
      <c r="AG39" s="354"/>
      <c r="AH39" s="354"/>
      <c r="AI39" s="214"/>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row>
    <row r="40" spans="1:66" ht="15.6" customHeight="1" x14ac:dyDescent="0.3">
      <c r="A40" s="214"/>
      <c r="B40" s="240">
        <v>2026</v>
      </c>
      <c r="C40" s="251"/>
      <c r="D40" s="256"/>
      <c r="E40" s="256"/>
      <c r="F40" s="256"/>
      <c r="G40" s="259"/>
      <c r="H40" s="256"/>
      <c r="I40" s="235"/>
      <c r="J40" s="235"/>
      <c r="K40" s="235"/>
      <c r="L40" s="235"/>
      <c r="M40" s="214"/>
      <c r="N40" s="240">
        <v>2026</v>
      </c>
      <c r="O40" s="252"/>
      <c r="P40" s="225"/>
      <c r="Q40" s="225"/>
      <c r="R40" s="225"/>
      <c r="S40" s="225"/>
      <c r="T40" s="253"/>
      <c r="U40" s="253"/>
      <c r="V40" s="253"/>
      <c r="W40" s="253"/>
      <c r="X40" s="225"/>
      <c r="Y40" s="225"/>
      <c r="Z40" s="225"/>
      <c r="AA40" s="225"/>
      <c r="AB40" s="214"/>
      <c r="AC40" s="353"/>
      <c r="AD40" s="353"/>
      <c r="AE40" s="353"/>
      <c r="AF40" s="351"/>
      <c r="AG40" s="351"/>
      <c r="AH40" s="351"/>
      <c r="AI40" s="214"/>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row>
    <row r="41" spans="1:66" ht="12.6" customHeight="1" x14ac:dyDescent="0.3">
      <c r="A41" s="214"/>
      <c r="B41" s="214"/>
      <c r="C41" s="214"/>
      <c r="D41" s="214"/>
      <c r="E41" s="214"/>
      <c r="F41" s="214"/>
      <c r="G41" s="214"/>
      <c r="H41" s="214"/>
      <c r="I41" s="260"/>
      <c r="J41" s="214"/>
      <c r="K41" s="214"/>
      <c r="L41" s="214"/>
      <c r="M41" s="214"/>
      <c r="N41" s="214"/>
      <c r="O41" s="214"/>
      <c r="P41" s="214"/>
      <c r="Q41" s="214"/>
      <c r="R41" s="214"/>
      <c r="S41" s="214"/>
      <c r="T41" s="260"/>
      <c r="U41" s="214"/>
      <c r="V41" s="214"/>
      <c r="W41" s="214"/>
      <c r="X41" s="413" t="s">
        <v>190</v>
      </c>
      <c r="Y41" s="414"/>
      <c r="Z41" s="414"/>
      <c r="AA41" s="415"/>
      <c r="AB41" s="214"/>
      <c r="AC41" s="214"/>
      <c r="AD41" s="214"/>
      <c r="AE41" s="214"/>
      <c r="AF41" s="260"/>
      <c r="AG41" s="214"/>
      <c r="AH41" s="214"/>
      <c r="AI41" s="214"/>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row>
    <row r="42" spans="1:66" ht="12.6" customHeight="1" x14ac:dyDescent="0.3">
      <c r="A42" s="214"/>
      <c r="B42" s="214"/>
      <c r="C42" s="214"/>
      <c r="D42" s="214"/>
      <c r="E42" s="214"/>
      <c r="F42" s="214"/>
      <c r="G42" s="214"/>
      <c r="H42" s="214"/>
      <c r="I42" s="214"/>
      <c r="J42" s="214"/>
      <c r="K42" s="214"/>
      <c r="L42" s="214"/>
      <c r="M42" s="214"/>
      <c r="N42" s="214"/>
      <c r="O42" s="214"/>
      <c r="P42" s="214"/>
      <c r="Q42" s="214"/>
      <c r="R42" s="214"/>
      <c r="S42" s="214"/>
      <c r="T42" s="214"/>
      <c r="U42" s="214"/>
      <c r="V42" s="214"/>
      <c r="W42" s="416">
        <v>2023</v>
      </c>
      <c r="X42" s="417">
        <f>(($M37-$H37)/1000000)/T37</f>
        <v>-1.0121186704322626E-4</v>
      </c>
      <c r="Y42" s="417">
        <f t="shared" ref="Y42:Z42" si="9">(($M37-$H37)/1000000)/U37</f>
        <v>-1.0325983855886058E-4</v>
      </c>
      <c r="Z42" s="417">
        <f t="shared" si="9"/>
        <v>-9.4459448400211938E-5</v>
      </c>
      <c r="AA42" s="417">
        <f>AVERAGE(X42:Z42)</f>
        <v>-9.9643718000766259E-5</v>
      </c>
      <c r="AB42" s="214"/>
      <c r="AC42" s="214"/>
      <c r="AD42" s="214"/>
      <c r="AE42" s="214"/>
      <c r="AF42" s="214"/>
      <c r="AG42" s="214"/>
      <c r="AH42" s="214"/>
      <c r="AI42" s="214"/>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row>
    <row r="43" spans="1:66" ht="12.6" customHeight="1" thickBot="1" x14ac:dyDescent="0.35">
      <c r="A43" s="214"/>
      <c r="B43" s="214"/>
      <c r="C43" s="214"/>
      <c r="D43" s="214"/>
      <c r="E43" s="214"/>
      <c r="F43" s="214"/>
      <c r="G43" s="214"/>
      <c r="H43" s="214"/>
      <c r="I43" s="214"/>
      <c r="J43" s="214"/>
      <c r="K43" s="214"/>
      <c r="L43" s="214"/>
      <c r="M43" s="214"/>
      <c r="N43" s="214"/>
      <c r="O43" s="214"/>
      <c r="P43" s="214"/>
      <c r="Q43" s="214"/>
      <c r="R43" s="214"/>
      <c r="S43" s="214"/>
      <c r="T43" s="214"/>
      <c r="U43" s="214"/>
      <c r="V43" s="214"/>
      <c r="W43" s="214"/>
      <c r="X43" s="214"/>
      <c r="Y43" s="214"/>
      <c r="Z43" s="214"/>
      <c r="AA43" s="214"/>
      <c r="AB43" s="214"/>
      <c r="AC43" s="214"/>
      <c r="AD43" s="214"/>
      <c r="AE43" s="214"/>
      <c r="AF43" s="214"/>
      <c r="AG43" s="214"/>
      <c r="AH43" s="214"/>
      <c r="AI43" s="214"/>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row>
    <row r="44" spans="1:66" ht="18" customHeight="1" thickBot="1" x14ac:dyDescent="0.35">
      <c r="A44" s="214"/>
      <c r="B44" s="216" t="s">
        <v>191</v>
      </c>
      <c r="C44" s="221"/>
      <c r="D44" s="222" t="s">
        <v>160</v>
      </c>
      <c r="E44" s="223"/>
      <c r="F44" s="224" t="s">
        <v>161</v>
      </c>
      <c r="G44" s="222"/>
      <c r="H44" s="222"/>
      <c r="I44" s="222"/>
      <c r="J44" s="223"/>
      <c r="K44" s="214"/>
      <c r="L44" s="214"/>
      <c r="M44" s="214"/>
      <c r="N44" s="214"/>
      <c r="O44" s="214"/>
      <c r="P44" s="214"/>
      <c r="Q44" s="214"/>
      <c r="R44" s="214"/>
      <c r="S44" s="214"/>
      <c r="T44" s="214"/>
      <c r="U44" s="216" t="s">
        <v>192</v>
      </c>
      <c r="V44" s="221"/>
      <c r="W44" s="222" t="s">
        <v>160</v>
      </c>
      <c r="X44" s="223"/>
      <c r="Y44" s="224" t="s">
        <v>161</v>
      </c>
      <c r="Z44" s="222"/>
      <c r="AA44" s="222"/>
      <c r="AB44" s="222"/>
      <c r="AC44" s="223"/>
      <c r="AD44" s="214"/>
      <c r="AE44" s="214"/>
      <c r="AF44" s="214"/>
      <c r="AG44" s="214"/>
      <c r="AH44" s="214"/>
      <c r="AI44" s="214"/>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row>
    <row r="45" spans="1:66" ht="42" customHeight="1" x14ac:dyDescent="0.3">
      <c r="A45" s="214"/>
      <c r="B45" s="227"/>
      <c r="C45" s="231" t="s">
        <v>193</v>
      </c>
      <c r="D45" s="228" t="s">
        <v>194</v>
      </c>
      <c r="E45" s="228" t="s">
        <v>170</v>
      </c>
      <c r="F45" s="229" t="s">
        <v>195</v>
      </c>
      <c r="G45" s="229" t="s">
        <v>196</v>
      </c>
      <c r="H45" s="261" t="s">
        <v>197</v>
      </c>
      <c r="I45" s="261" t="s">
        <v>198</v>
      </c>
      <c r="J45" s="261" t="s">
        <v>199</v>
      </c>
      <c r="K45" s="411" t="s">
        <v>176</v>
      </c>
      <c r="L45" s="214"/>
      <c r="M45" s="214"/>
      <c r="N45" s="214"/>
      <c r="O45" s="214"/>
      <c r="P45" s="214"/>
      <c r="Q45" s="214"/>
      <c r="R45" s="214"/>
      <c r="S45" s="214"/>
      <c r="T45" s="214"/>
      <c r="U45" s="227"/>
      <c r="V45" s="231" t="s">
        <v>193</v>
      </c>
      <c r="W45" s="228" t="s">
        <v>194</v>
      </c>
      <c r="X45" s="228" t="s">
        <v>170</v>
      </c>
      <c r="Y45" s="229" t="s">
        <v>195</v>
      </c>
      <c r="Z45" s="229" t="s">
        <v>196</v>
      </c>
      <c r="AA45" s="261" t="s">
        <v>197</v>
      </c>
      <c r="AB45" s="261" t="s">
        <v>198</v>
      </c>
      <c r="AC45" s="261" t="s">
        <v>199</v>
      </c>
      <c r="AD45" s="214"/>
      <c r="AE45" s="214"/>
      <c r="AF45" s="214"/>
      <c r="AG45" s="214"/>
      <c r="AH45" s="214"/>
      <c r="AI45" s="214"/>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row>
    <row r="46" spans="1:66" ht="15" customHeight="1" x14ac:dyDescent="0.3">
      <c r="A46" s="214"/>
      <c r="B46" s="232">
        <v>2019</v>
      </c>
      <c r="C46" s="262">
        <f>C33/1000000</f>
        <v>1909141.237004</v>
      </c>
      <c r="D46" s="263">
        <f>F33/1000000</f>
        <v>2424565.1519999998</v>
      </c>
      <c r="E46" s="264"/>
      <c r="F46" s="262">
        <f>H33/1000000</f>
        <v>2424565.1519999998</v>
      </c>
      <c r="G46" s="264"/>
      <c r="H46" s="264"/>
      <c r="I46" s="264"/>
      <c r="J46" s="264"/>
      <c r="K46" s="214"/>
      <c r="L46" s="214"/>
      <c r="M46" s="214"/>
      <c r="N46" s="214"/>
      <c r="O46" s="214"/>
      <c r="P46" s="214"/>
      <c r="Q46" s="214"/>
      <c r="R46" s="214"/>
      <c r="S46" s="214"/>
      <c r="T46" s="214"/>
      <c r="U46" s="232">
        <v>2019</v>
      </c>
      <c r="V46" s="355">
        <f>C33/1000000/D33</f>
        <v>3.9823143194096279E-2</v>
      </c>
      <c r="W46" s="355">
        <f>F33/(D33*1000000)</f>
        <v>5.0574469484003667E-2</v>
      </c>
      <c r="X46" s="264"/>
      <c r="Y46" s="355">
        <f>H33/($D33*1000000)</f>
        <v>5.0574469484003667E-2</v>
      </c>
      <c r="Z46" s="355"/>
      <c r="AA46" s="355"/>
      <c r="AB46" s="355"/>
      <c r="AC46" s="355"/>
      <c r="AD46" s="214"/>
      <c r="AE46" s="214"/>
      <c r="AF46" s="214"/>
      <c r="AG46" s="214"/>
      <c r="AH46" s="214"/>
      <c r="AI46" s="214"/>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row>
    <row r="47" spans="1:66" ht="15" customHeight="1" x14ac:dyDescent="0.3">
      <c r="A47" s="214"/>
      <c r="B47" s="240">
        <v>2020</v>
      </c>
      <c r="C47" s="262">
        <f t="shared" ref="C47:C49" si="10">C34/1000000</f>
        <v>2062561.666836</v>
      </c>
      <c r="D47" s="263">
        <f>F34/1000000</f>
        <v>2527742.2760000001</v>
      </c>
      <c r="E47" s="264"/>
      <c r="F47" s="264"/>
      <c r="G47" s="264"/>
      <c r="H47" s="264"/>
      <c r="I47" s="264"/>
      <c r="J47" s="264"/>
      <c r="K47" s="214"/>
      <c r="L47" s="214"/>
      <c r="M47" s="214"/>
      <c r="N47" s="214"/>
      <c r="O47" s="214"/>
      <c r="P47" s="214"/>
      <c r="Q47" s="214"/>
      <c r="R47" s="214"/>
      <c r="S47" s="214"/>
      <c r="T47" s="214"/>
      <c r="U47" s="240">
        <v>2020</v>
      </c>
      <c r="V47" s="355">
        <f t="shared" ref="V47:V50" si="11">C34/1000000/D34</f>
        <v>4.2258882876057058E-2</v>
      </c>
      <c r="W47" s="355">
        <f t="shared" ref="W47:W50" si="12">F34/(D34*1000000)</f>
        <v>5.1789755671259367E-2</v>
      </c>
      <c r="X47" s="264"/>
      <c r="Y47" s="355"/>
      <c r="Z47" s="355"/>
      <c r="AA47" s="355"/>
      <c r="AB47" s="355"/>
      <c r="AC47" s="355"/>
      <c r="AD47" s="214"/>
      <c r="AE47" s="214"/>
      <c r="AF47" s="214"/>
      <c r="AG47" s="214"/>
      <c r="AH47" s="214"/>
      <c r="AI47" s="214"/>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row>
    <row r="48" spans="1:66" ht="15" customHeight="1" x14ac:dyDescent="0.3">
      <c r="A48" s="214"/>
      <c r="B48" s="232">
        <v>2021</v>
      </c>
      <c r="C48" s="262">
        <f t="shared" si="10"/>
        <v>2279167.7726170002</v>
      </c>
      <c r="D48" s="263">
        <f>F35/1000000</f>
        <v>2888586.0920000002</v>
      </c>
      <c r="E48" s="264"/>
      <c r="F48" s="264"/>
      <c r="G48" s="264"/>
      <c r="H48" s="264"/>
      <c r="I48" s="264"/>
      <c r="J48" s="264"/>
      <c r="K48" s="214"/>
      <c r="L48" s="214"/>
      <c r="M48" s="214"/>
      <c r="N48" s="214"/>
      <c r="O48" s="214"/>
      <c r="P48" s="214"/>
      <c r="Q48" s="214"/>
      <c r="R48" s="214"/>
      <c r="S48" s="214"/>
      <c r="T48" s="214"/>
      <c r="U48" s="232">
        <v>2021</v>
      </c>
      <c r="V48" s="355">
        <f t="shared" si="11"/>
        <v>4.102396362209066E-2</v>
      </c>
      <c r="W48" s="355">
        <f t="shared" si="12"/>
        <v>5.199321093480485E-2</v>
      </c>
      <c r="X48" s="264"/>
      <c r="Y48" s="355"/>
      <c r="Z48" s="355"/>
      <c r="AA48" s="355"/>
      <c r="AB48" s="355"/>
      <c r="AC48" s="355"/>
      <c r="AD48" s="214"/>
      <c r="AE48" s="214"/>
      <c r="AF48" s="214"/>
      <c r="AG48" s="214"/>
      <c r="AH48" s="214"/>
      <c r="AI48" s="214"/>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row>
    <row r="49" spans="1:66" ht="15" customHeight="1" x14ac:dyDescent="0.3">
      <c r="A49" s="214"/>
      <c r="B49" s="240">
        <v>2022</v>
      </c>
      <c r="C49" s="262">
        <f t="shared" si="10"/>
        <v>1757753.5557200001</v>
      </c>
      <c r="D49" s="263">
        <f>F36/1000000</f>
        <v>2785988.9991880003</v>
      </c>
      <c r="E49" s="264"/>
      <c r="F49" s="264"/>
      <c r="G49" s="264"/>
      <c r="H49" s="264"/>
      <c r="I49" s="264"/>
      <c r="J49" s="264"/>
      <c r="K49" s="214"/>
      <c r="L49" s="214"/>
      <c r="M49" s="214"/>
      <c r="N49" s="214"/>
      <c r="O49" s="214"/>
      <c r="P49" s="214"/>
      <c r="Q49" s="214"/>
      <c r="R49" s="214"/>
      <c r="S49" s="214"/>
      <c r="T49" s="214"/>
      <c r="U49" s="240">
        <v>2022</v>
      </c>
      <c r="V49" s="355">
        <f t="shared" si="11"/>
        <v>2.6565961948097887E-2</v>
      </c>
      <c r="W49" s="355">
        <f t="shared" si="12"/>
        <v>4.2106288165027324E-2</v>
      </c>
      <c r="X49" s="264"/>
      <c r="Y49" s="355"/>
      <c r="Z49" s="355"/>
      <c r="AA49" s="355"/>
      <c r="AB49" s="355"/>
      <c r="AC49" s="355"/>
      <c r="AD49" s="214"/>
      <c r="AE49" s="214"/>
      <c r="AF49" s="214"/>
      <c r="AG49" s="214"/>
      <c r="AH49" s="214"/>
      <c r="AI49" s="214"/>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row>
    <row r="50" spans="1:66" ht="15" customHeight="1" x14ac:dyDescent="0.3">
      <c r="A50" s="214"/>
      <c r="B50" s="232">
        <v>2023</v>
      </c>
      <c r="C50" s="262">
        <f>C37/1000000</f>
        <v>2751277.8021209999</v>
      </c>
      <c r="D50" s="263">
        <f>F37/1000000</f>
        <v>3996321.3279220001</v>
      </c>
      <c r="E50" s="264"/>
      <c r="F50" s="262">
        <f t="shared" ref="F50:K50" si="13">H37/1000000</f>
        <v>3996321.3279220001</v>
      </c>
      <c r="G50" s="262">
        <f t="shared" si="13"/>
        <v>4424432.8954761298</v>
      </c>
      <c r="H50" s="262">
        <f t="shared" si="13"/>
        <v>3891184.9652826665</v>
      </c>
      <c r="I50" s="262">
        <f t="shared" si="13"/>
        <v>3901760.9703108426</v>
      </c>
      <c r="J50" s="262">
        <f t="shared" si="13"/>
        <v>3853065.8218177226</v>
      </c>
      <c r="K50" s="418">
        <f t="shared" si="13"/>
        <v>3996267.3569033882</v>
      </c>
      <c r="L50" s="214"/>
      <c r="M50" s="214"/>
      <c r="N50" s="214"/>
      <c r="O50" s="214"/>
      <c r="P50" s="214"/>
      <c r="Q50" s="214"/>
      <c r="R50" s="214"/>
      <c r="S50" s="214"/>
      <c r="T50" s="214"/>
      <c r="U50" s="232">
        <v>2023</v>
      </c>
      <c r="V50" s="355">
        <f t="shared" si="11"/>
        <v>3.664139787029895E-2</v>
      </c>
      <c r="W50" s="355">
        <f t="shared" si="12"/>
        <v>5.322283328897788E-2</v>
      </c>
      <c r="X50" s="264"/>
      <c r="Y50" s="355">
        <f>H37/($D37*1000000)</f>
        <v>5.322283328897788E-2</v>
      </c>
      <c r="Z50" s="355">
        <f t="shared" ref="Z50:AC50" si="14">I37/($D37*1000000)</f>
        <v>5.8924404488925483E-2</v>
      </c>
      <c r="AA50" s="355">
        <f t="shared" si="14"/>
        <v>5.1822631793100572E-2</v>
      </c>
      <c r="AB50" s="355">
        <f t="shared" si="14"/>
        <v>5.1963482567172516E-2</v>
      </c>
      <c r="AC50" s="355">
        <f t="shared" si="14"/>
        <v>5.1314962701634326E-2</v>
      </c>
      <c r="AD50" s="214"/>
      <c r="AE50" s="214"/>
      <c r="AF50" s="214"/>
      <c r="AG50" s="214"/>
      <c r="AH50" s="214"/>
      <c r="AI50" s="214"/>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row>
    <row r="51" spans="1:66" ht="15" customHeight="1" x14ac:dyDescent="0.3">
      <c r="A51" s="214"/>
      <c r="B51" s="240">
        <v>2024</v>
      </c>
      <c r="C51" s="264"/>
      <c r="D51" s="264"/>
      <c r="E51" s="264"/>
      <c r="F51" s="264"/>
      <c r="G51" s="264"/>
      <c r="H51" s="264"/>
      <c r="I51" s="264"/>
      <c r="J51" s="264"/>
      <c r="K51" s="214"/>
      <c r="L51" s="214"/>
      <c r="M51" s="214"/>
      <c r="N51" s="214"/>
      <c r="O51" s="214"/>
      <c r="P51" s="214"/>
      <c r="Q51" s="214"/>
      <c r="R51" s="214"/>
      <c r="S51" s="214"/>
      <c r="T51" s="214"/>
      <c r="U51" s="240">
        <v>2024</v>
      </c>
      <c r="V51" s="264"/>
      <c r="W51" s="264"/>
      <c r="X51" s="264"/>
      <c r="Y51" s="355"/>
      <c r="Z51" s="355"/>
      <c r="AA51" s="355"/>
      <c r="AB51" s="355"/>
      <c r="AC51" s="355"/>
      <c r="AD51" s="214"/>
      <c r="AE51" s="214"/>
      <c r="AF51" s="214"/>
      <c r="AG51" s="214"/>
      <c r="AH51" s="214"/>
      <c r="AI51" s="214"/>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row>
    <row r="52" spans="1:66" ht="15" customHeight="1" x14ac:dyDescent="0.3">
      <c r="A52" s="214"/>
      <c r="B52" s="232">
        <v>2025</v>
      </c>
      <c r="C52" s="264"/>
      <c r="D52" s="264"/>
      <c r="E52" s="264"/>
      <c r="F52" s="264"/>
      <c r="G52" s="264"/>
      <c r="H52" s="264"/>
      <c r="I52" s="264"/>
      <c r="J52" s="264"/>
      <c r="K52" s="214"/>
      <c r="L52" s="214"/>
      <c r="M52" s="214"/>
      <c r="N52" s="214"/>
      <c r="O52" s="214"/>
      <c r="P52" s="214"/>
      <c r="Q52" s="214"/>
      <c r="R52" s="214"/>
      <c r="S52" s="214"/>
      <c r="T52" s="214"/>
      <c r="U52" s="232">
        <v>2025</v>
      </c>
      <c r="V52" s="264"/>
      <c r="W52" s="264"/>
      <c r="X52" s="264"/>
      <c r="Y52" s="355"/>
      <c r="Z52" s="355"/>
      <c r="AA52" s="355"/>
      <c r="AB52" s="355"/>
      <c r="AC52" s="355"/>
      <c r="AD52" s="214"/>
      <c r="AE52" s="214"/>
      <c r="AF52" s="214"/>
      <c r="AG52" s="214"/>
      <c r="AH52" s="214"/>
      <c r="AI52" s="214"/>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row>
    <row r="53" spans="1:66" ht="15" customHeight="1" x14ac:dyDescent="0.3">
      <c r="A53" s="214"/>
      <c r="B53" s="240">
        <v>2026</v>
      </c>
      <c r="C53" s="262"/>
      <c r="D53" s="264"/>
      <c r="E53" s="264"/>
      <c r="F53" s="264"/>
      <c r="G53" s="262"/>
      <c r="H53" s="262"/>
      <c r="I53" s="262"/>
      <c r="J53" s="262"/>
      <c r="K53" s="214"/>
      <c r="L53" s="214"/>
      <c r="M53" s="214"/>
      <c r="N53" s="214"/>
      <c r="O53" s="214"/>
      <c r="P53" s="214"/>
      <c r="Q53" s="214"/>
      <c r="R53" s="214"/>
      <c r="S53" s="214"/>
      <c r="T53" s="214"/>
      <c r="U53" s="240">
        <v>2026</v>
      </c>
      <c r="V53" s="262"/>
      <c r="W53" s="264"/>
      <c r="X53" s="264"/>
      <c r="Y53" s="355"/>
      <c r="Z53" s="355"/>
      <c r="AA53" s="355"/>
      <c r="AB53" s="355"/>
      <c r="AC53" s="355"/>
      <c r="AD53" s="214"/>
      <c r="AE53" s="214"/>
      <c r="AF53" s="214"/>
      <c r="AG53" s="214"/>
      <c r="AH53" s="214"/>
      <c r="AI53" s="214"/>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row>
    <row r="54" spans="1:66" ht="12.6" customHeight="1" x14ac:dyDescent="0.3">
      <c r="A54" s="214"/>
      <c r="B54" s="214"/>
      <c r="C54" s="214"/>
      <c r="D54" s="214"/>
      <c r="E54" s="214"/>
      <c r="F54" s="214"/>
      <c r="G54" s="214"/>
      <c r="H54" s="214"/>
      <c r="I54" s="214"/>
      <c r="J54" s="214"/>
      <c r="K54" s="214"/>
      <c r="L54" s="214"/>
      <c r="M54" s="214"/>
      <c r="N54" s="214"/>
      <c r="O54" s="214"/>
      <c r="P54" s="214"/>
      <c r="Q54" s="214"/>
      <c r="R54" s="214"/>
      <c r="S54" s="214"/>
      <c r="T54" s="214"/>
      <c r="U54" s="214"/>
      <c r="V54" s="214"/>
      <c r="W54" s="214"/>
      <c r="X54" s="214"/>
      <c r="Y54" s="214"/>
      <c r="Z54" s="214"/>
      <c r="AA54" s="214"/>
      <c r="AB54" s="214"/>
      <c r="AC54" s="214"/>
      <c r="AD54" s="214"/>
      <c r="AE54" s="214"/>
      <c r="AF54" s="214"/>
      <c r="AG54" s="214"/>
      <c r="AH54" s="214"/>
      <c r="AI54" s="214"/>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row>
    <row r="55" spans="1:66" ht="12.6" customHeight="1" x14ac:dyDescent="0.3">
      <c r="A55" s="214"/>
      <c r="B55" s="214"/>
      <c r="C55" s="214"/>
      <c r="D55" s="214"/>
      <c r="E55" s="214"/>
      <c r="F55" s="214"/>
      <c r="G55" s="214"/>
      <c r="H55" s="214"/>
      <c r="I55" s="214"/>
      <c r="J55" s="214"/>
      <c r="K55" s="214"/>
      <c r="L55" s="214"/>
      <c r="M55" s="214"/>
      <c r="N55" s="214"/>
      <c r="O55" s="214"/>
      <c r="P55" s="214"/>
      <c r="Q55" s="214"/>
      <c r="R55" s="214"/>
      <c r="S55" s="214"/>
      <c r="T55" s="214"/>
      <c r="U55" s="214"/>
      <c r="V55" s="214"/>
      <c r="W55" s="214"/>
      <c r="X55" s="214"/>
      <c r="Y55" s="214"/>
      <c r="Z55" s="214"/>
      <c r="AA55" s="214"/>
      <c r="AB55" s="214"/>
      <c r="AC55" s="214"/>
      <c r="AD55" s="214"/>
      <c r="AE55" s="214"/>
      <c r="AF55" s="214"/>
      <c r="AG55" s="214"/>
      <c r="AH55" s="214"/>
      <c r="AI55" s="214"/>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row>
    <row r="56" spans="1:66" ht="12.6" customHeight="1" x14ac:dyDescent="0.3">
      <c r="A56" s="214"/>
      <c r="B56" s="214"/>
      <c r="C56" s="214"/>
      <c r="D56" s="214"/>
      <c r="E56" s="214"/>
      <c r="F56" s="214"/>
      <c r="G56" s="214"/>
      <c r="H56" s="214"/>
      <c r="I56" s="214"/>
      <c r="J56" s="214"/>
      <c r="K56" s="214"/>
      <c r="L56" s="214"/>
      <c r="M56" s="214"/>
      <c r="N56" s="214"/>
      <c r="O56" s="214"/>
      <c r="P56" s="214"/>
      <c r="Q56" s="214"/>
      <c r="R56" s="214"/>
      <c r="S56" s="214"/>
      <c r="T56" s="214"/>
      <c r="U56" s="214"/>
      <c r="V56" s="214"/>
      <c r="W56" s="214"/>
      <c r="X56" s="214"/>
      <c r="Y56" s="214"/>
      <c r="Z56" s="214"/>
      <c r="AA56" s="214"/>
      <c r="AB56" s="214"/>
      <c r="AC56" s="214"/>
      <c r="AD56" s="214"/>
      <c r="AE56" s="214"/>
      <c r="AF56" s="214"/>
      <c r="AG56" s="214"/>
      <c r="AH56" s="214"/>
      <c r="AI56" s="214"/>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row>
    <row r="57" spans="1:66" ht="12.6" customHeight="1" x14ac:dyDescent="0.3">
      <c r="A57" s="214"/>
      <c r="B57" s="214"/>
      <c r="C57" s="214"/>
      <c r="D57" s="214"/>
      <c r="E57" s="214"/>
      <c r="F57" s="214"/>
      <c r="G57" s="214"/>
      <c r="H57" s="214"/>
      <c r="I57" s="214"/>
      <c r="J57" s="214"/>
      <c r="K57" s="214"/>
      <c r="L57" s="214"/>
      <c r="M57" s="214"/>
      <c r="N57" s="214"/>
      <c r="O57" s="214"/>
      <c r="P57" s="214"/>
      <c r="Q57" s="214"/>
      <c r="R57" s="214"/>
      <c r="S57" s="214"/>
      <c r="T57" s="214"/>
      <c r="U57" s="214"/>
      <c r="V57" s="214"/>
      <c r="W57" s="214"/>
      <c r="X57" s="214"/>
      <c r="Y57" s="214"/>
      <c r="Z57" s="214"/>
      <c r="AA57" s="214"/>
      <c r="AB57" s="214"/>
      <c r="AC57" s="214"/>
      <c r="AD57" s="214"/>
      <c r="AE57" s="214"/>
      <c r="AF57" s="214"/>
      <c r="AG57" s="214"/>
      <c r="AH57" s="214"/>
      <c r="AI57" s="214"/>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row>
    <row r="58" spans="1:66" ht="12.6" customHeight="1" x14ac:dyDescent="0.3">
      <c r="A58" s="214"/>
      <c r="B58" s="214"/>
      <c r="C58" s="214"/>
      <c r="D58" s="214"/>
      <c r="E58" s="214"/>
      <c r="F58" s="214"/>
      <c r="G58" s="214"/>
      <c r="H58" s="214"/>
      <c r="I58" s="214"/>
      <c r="J58" s="214"/>
      <c r="K58" s="214"/>
      <c r="L58" s="214"/>
      <c r="M58" s="214"/>
      <c r="N58" s="214"/>
      <c r="O58" s="214"/>
      <c r="P58" s="214"/>
      <c r="Q58" s="214"/>
      <c r="R58" s="214"/>
      <c r="S58" s="214"/>
      <c r="T58" s="214"/>
      <c r="U58" s="214"/>
      <c r="V58" s="214"/>
      <c r="W58" s="214"/>
      <c r="X58" s="214"/>
      <c r="Y58" s="214"/>
      <c r="Z58" s="214"/>
      <c r="AA58" s="214"/>
      <c r="AB58" s="214"/>
      <c r="AC58" s="214"/>
      <c r="AD58" s="214"/>
      <c r="AE58" s="214"/>
      <c r="AF58" s="214"/>
      <c r="AG58" s="214"/>
      <c r="AH58" s="214"/>
      <c r="AI58" s="214"/>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row>
    <row r="59" spans="1:66" ht="12.6"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row>
    <row r="60" spans="1:66" ht="12" customHeight="1" thickBot="1" x14ac:dyDescent="0.35">
      <c r="A60" s="98"/>
      <c r="B60" s="98"/>
      <c r="C60" s="98"/>
      <c r="D60" s="98"/>
      <c r="E60" s="98"/>
      <c r="F60" s="98"/>
      <c r="G60" s="98"/>
      <c r="H60" s="98"/>
      <c r="I60" s="98"/>
      <c r="J60" s="98"/>
      <c r="K60" s="98"/>
      <c r="L60" s="98"/>
      <c r="M60" s="98"/>
      <c r="N60" s="98"/>
      <c r="O60" s="98"/>
      <c r="P60" s="98"/>
      <c r="Q60" s="98"/>
      <c r="R60" s="98"/>
      <c r="S60" s="98"/>
      <c r="T60" s="265"/>
      <c r="U60" s="265"/>
      <c r="V60" s="265"/>
      <c r="W60" s="265"/>
      <c r="X60" s="55"/>
      <c r="Y60" s="55"/>
      <c r="Z60" s="55"/>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row>
    <row r="61" spans="1:66" ht="12" customHeight="1" thickBot="1" x14ac:dyDescent="0.35">
      <c r="A61" s="98"/>
      <c r="B61" s="266" t="s">
        <v>200</v>
      </c>
      <c r="C61" s="267"/>
      <c r="D61" s="267"/>
      <c r="E61" s="267"/>
      <c r="F61" s="267"/>
      <c r="G61" s="267"/>
      <c r="H61" s="267"/>
      <c r="I61" s="267"/>
      <c r="J61" s="267"/>
      <c r="K61" s="267"/>
      <c r="L61" s="267"/>
      <c r="M61" s="267"/>
      <c r="N61" s="267"/>
      <c r="O61" s="267"/>
      <c r="P61" s="267"/>
      <c r="Q61" s="267"/>
      <c r="R61" s="267"/>
      <c r="S61" s="267"/>
      <c r="T61" s="268"/>
      <c r="U61" s="268"/>
      <c r="V61" s="269"/>
      <c r="W61" s="265"/>
      <c r="X61" s="55"/>
      <c r="Y61" s="55"/>
      <c r="Z61" s="55"/>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row>
    <row r="62" spans="1:66" ht="21.6" customHeight="1" x14ac:dyDescent="0.3">
      <c r="A62" s="98"/>
      <c r="B62" s="270"/>
      <c r="C62" s="98"/>
      <c r="D62" s="98"/>
      <c r="E62" s="98"/>
      <c r="F62" s="98"/>
      <c r="G62" s="98"/>
      <c r="H62" s="98"/>
      <c r="I62" s="98"/>
      <c r="J62" s="98"/>
      <c r="K62" s="98"/>
      <c r="L62" s="98"/>
      <c r="M62" s="98"/>
      <c r="N62" s="98"/>
      <c r="O62" s="98"/>
      <c r="P62" s="98"/>
      <c r="Q62" s="98"/>
      <c r="R62" s="98"/>
      <c r="S62" s="98"/>
      <c r="T62" s="98"/>
      <c r="U62" s="98"/>
      <c r="V62" s="98"/>
      <c r="W62" s="98"/>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row>
    <row r="63" spans="1:66" ht="21" customHeight="1" x14ac:dyDescent="0.3">
      <c r="A63" s="98"/>
      <c r="B63" s="98"/>
      <c r="C63" s="98"/>
      <c r="D63" s="98"/>
      <c r="E63" s="98"/>
      <c r="F63" s="98"/>
      <c r="G63" s="98"/>
      <c r="H63" s="98"/>
      <c r="I63" s="98"/>
      <c r="J63" s="98"/>
      <c r="K63" s="98"/>
      <c r="L63" s="98"/>
      <c r="M63" s="98"/>
      <c r="N63" s="98"/>
      <c r="O63" s="98"/>
      <c r="P63" s="98"/>
      <c r="Q63" s="98"/>
      <c r="R63" s="98"/>
      <c r="S63" s="98"/>
      <c r="T63" s="98"/>
      <c r="U63" s="98"/>
      <c r="V63" s="98"/>
      <c r="W63" s="98"/>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row>
    <row r="64" spans="1:66" ht="42.6" customHeight="1" x14ac:dyDescent="0.3">
      <c r="A64" s="98"/>
      <c r="B64" s="356" t="s">
        <v>201</v>
      </c>
      <c r="C64" s="271" t="s">
        <v>202</v>
      </c>
      <c r="D64" s="272" t="s">
        <v>172</v>
      </c>
      <c r="E64" s="272" t="s">
        <v>173</v>
      </c>
      <c r="F64" s="273" t="s">
        <v>174</v>
      </c>
      <c r="G64" s="272" t="s">
        <v>175</v>
      </c>
      <c r="H64" s="274"/>
      <c r="I64" s="274"/>
      <c r="J64" s="274"/>
      <c r="K64" s="274"/>
      <c r="L64" s="274"/>
      <c r="M64" s="274"/>
      <c r="N64" s="274"/>
      <c r="O64" s="274"/>
      <c r="P64" s="274"/>
      <c r="Q64" s="274"/>
      <c r="R64" s="274"/>
      <c r="S64" s="274"/>
      <c r="T64" s="274"/>
      <c r="U64" s="274"/>
      <c r="V64" s="274"/>
      <c r="W64" s="98"/>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row>
    <row r="65" spans="1:66" ht="15.6" customHeight="1" x14ac:dyDescent="0.3">
      <c r="A65" s="98"/>
      <c r="B65" s="275">
        <v>2019</v>
      </c>
      <c r="C65" s="357">
        <f>C22/P22*100</f>
        <v>10.310440645019989</v>
      </c>
      <c r="D65" s="276"/>
      <c r="E65" s="276"/>
      <c r="F65" s="276"/>
      <c r="G65" s="276"/>
      <c r="H65" s="277"/>
      <c r="I65" s="277"/>
      <c r="J65" s="277"/>
      <c r="K65" s="277"/>
      <c r="L65" s="277"/>
      <c r="M65" s="277"/>
      <c r="N65" s="277"/>
      <c r="O65" s="277"/>
      <c r="P65" s="277"/>
      <c r="Q65" s="277"/>
      <c r="R65" s="277"/>
      <c r="S65" s="277"/>
      <c r="T65" s="277"/>
      <c r="U65" s="277"/>
      <c r="V65" s="277"/>
      <c r="W65" s="278"/>
      <c r="X65" s="44"/>
      <c r="Y65" s="44"/>
      <c r="Z65" s="44"/>
      <c r="AA65" s="46"/>
      <c r="AB65" s="46"/>
      <c r="AC65" s="46"/>
      <c r="AD65" s="46"/>
      <c r="AE65" s="46"/>
      <c r="AF65" s="46"/>
      <c r="AG65" s="44"/>
      <c r="AH65" s="44"/>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row>
    <row r="66" spans="1:66" s="51" customFormat="1" ht="15.6" customHeight="1" x14ac:dyDescent="0.3">
      <c r="A66" s="279"/>
      <c r="B66" s="280">
        <v>2020</v>
      </c>
      <c r="C66" s="357">
        <f>D22/Q22*100</f>
        <v>10.447429357132147</v>
      </c>
      <c r="D66" s="276"/>
      <c r="E66" s="276"/>
      <c r="F66" s="276"/>
      <c r="G66" s="276"/>
      <c r="H66" s="281"/>
      <c r="I66" s="281"/>
      <c r="J66" s="281"/>
      <c r="K66" s="281"/>
      <c r="L66" s="281"/>
      <c r="M66" s="281"/>
      <c r="N66" s="281"/>
      <c r="O66" s="281"/>
      <c r="P66" s="281"/>
      <c r="Q66" s="281"/>
      <c r="R66" s="281"/>
      <c r="S66" s="281"/>
      <c r="T66" s="281"/>
      <c r="U66" s="281"/>
      <c r="V66" s="281"/>
      <c r="W66" s="282"/>
      <c r="X66" s="48"/>
      <c r="Y66" s="48"/>
      <c r="Z66" s="48"/>
      <c r="AA66" s="48"/>
      <c r="AB66" s="48"/>
      <c r="AC66" s="48"/>
      <c r="AD66" s="48"/>
      <c r="AE66" s="48"/>
      <c r="AF66" s="48"/>
      <c r="AG66" s="48"/>
      <c r="AH66" s="48"/>
      <c r="AI66" s="47"/>
      <c r="AJ66" s="47"/>
      <c r="AK66" s="47"/>
      <c r="AL66" s="47"/>
      <c r="AM66" s="47"/>
      <c r="AN66" s="47"/>
      <c r="AO66" s="47"/>
      <c r="AP66" s="47"/>
      <c r="AQ66" s="47"/>
      <c r="AR66" s="47"/>
      <c r="AS66" s="47"/>
      <c r="AT66" s="47"/>
      <c r="AU66" s="47"/>
      <c r="AV66" s="47"/>
      <c r="AW66" s="47"/>
      <c r="AX66" s="47"/>
      <c r="AY66" s="47"/>
      <c r="AZ66" s="47"/>
      <c r="BA66" s="47"/>
      <c r="BB66" s="47"/>
      <c r="BC66" s="47"/>
      <c r="BD66" s="47"/>
      <c r="BE66" s="47"/>
      <c r="BF66" s="47"/>
      <c r="BG66" s="47"/>
      <c r="BH66" s="47"/>
      <c r="BI66" s="47"/>
      <c r="BJ66" s="47"/>
      <c r="BK66" s="47"/>
      <c r="BL66" s="47"/>
      <c r="BM66" s="47"/>
      <c r="BN66" s="47"/>
    </row>
    <row r="67" spans="1:66" ht="15.6" customHeight="1" x14ac:dyDescent="0.3">
      <c r="A67" s="98"/>
      <c r="B67" s="275">
        <v>2021</v>
      </c>
      <c r="C67" s="357">
        <f>E22/R22*100</f>
        <v>10.557580773438723</v>
      </c>
      <c r="D67" s="276"/>
      <c r="E67" s="276"/>
      <c r="F67" s="276"/>
      <c r="G67" s="276"/>
      <c r="H67" s="281"/>
      <c r="I67" s="281"/>
      <c r="J67" s="281"/>
      <c r="K67" s="281"/>
      <c r="L67" s="281"/>
      <c r="M67" s="281"/>
      <c r="N67" s="281"/>
      <c r="O67" s="281"/>
      <c r="P67" s="281"/>
      <c r="Q67" s="281"/>
      <c r="R67" s="281"/>
      <c r="S67" s="281"/>
      <c r="T67" s="281"/>
      <c r="U67" s="281"/>
      <c r="V67" s="281"/>
      <c r="W67" s="283"/>
      <c r="X67" s="52"/>
      <c r="Y67" s="52"/>
      <c r="Z67" s="52"/>
      <c r="AA67" s="43"/>
      <c r="AB67" s="43"/>
      <c r="AC67" s="43"/>
      <c r="AD67" s="43"/>
      <c r="AE67" s="43"/>
      <c r="AF67" s="43"/>
      <c r="AG67" s="43"/>
      <c r="AH67" s="43"/>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row>
    <row r="68" spans="1:66" ht="15.6" customHeight="1" x14ac:dyDescent="0.3">
      <c r="A68" s="98"/>
      <c r="B68" s="280">
        <v>2022</v>
      </c>
      <c r="C68" s="357">
        <f>F22/S22*100</f>
        <v>7.2921438356828476</v>
      </c>
      <c r="D68" s="276"/>
      <c r="E68" s="276"/>
      <c r="F68" s="276"/>
      <c r="G68" s="276"/>
      <c r="H68" s="284"/>
      <c r="I68" s="284"/>
      <c r="J68" s="284"/>
      <c r="K68" s="284"/>
      <c r="L68" s="284"/>
      <c r="M68" s="284"/>
      <c r="N68" s="284"/>
      <c r="O68" s="284"/>
      <c r="P68" s="284"/>
      <c r="Q68" s="284"/>
      <c r="R68" s="284"/>
      <c r="S68" s="284"/>
      <c r="T68" s="284"/>
      <c r="U68" s="284"/>
      <c r="V68" s="284"/>
      <c r="W68" s="98"/>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row>
    <row r="69" spans="1:66" ht="15.6" customHeight="1" x14ac:dyDescent="0.3">
      <c r="A69" s="98"/>
      <c r="B69" s="275">
        <v>2023</v>
      </c>
      <c r="C69" s="357">
        <f>G22/$T22*100</f>
        <v>9.9703561318237792</v>
      </c>
      <c r="D69" s="357">
        <f>H22/$T22*100</f>
        <v>11.038444616812422</v>
      </c>
      <c r="E69" s="357">
        <f>I22/$T22*100</f>
        <v>9.7080531556855245</v>
      </c>
      <c r="F69" s="357">
        <f>J22/$T22*100</f>
        <v>9.7344390561000207</v>
      </c>
      <c r="G69" s="357">
        <f>K22/$T22*100</f>
        <v>9.6129503337151991</v>
      </c>
      <c r="H69" s="277"/>
      <c r="I69" s="277"/>
      <c r="J69" s="277"/>
      <c r="K69" s="277"/>
      <c r="L69" s="277"/>
      <c r="M69" s="277"/>
      <c r="N69" s="277"/>
      <c r="O69" s="277"/>
      <c r="P69" s="277"/>
      <c r="Q69" s="277"/>
      <c r="R69" s="277"/>
      <c r="S69" s="277"/>
      <c r="T69" s="277"/>
      <c r="U69" s="277"/>
      <c r="V69" s="277"/>
      <c r="W69" s="98"/>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row>
    <row r="70" spans="1:66" ht="15.6" customHeight="1" x14ac:dyDescent="0.3">
      <c r="A70" s="98"/>
      <c r="B70" s="280">
        <v>2024</v>
      </c>
      <c r="C70" s="276"/>
      <c r="D70" s="358"/>
      <c r="E70" s="357"/>
      <c r="F70" s="357"/>
      <c r="G70" s="357"/>
      <c r="H70" s="284"/>
      <c r="I70" s="284"/>
      <c r="J70" s="284"/>
      <c r="K70" s="284"/>
      <c r="L70" s="284"/>
      <c r="M70" s="284"/>
      <c r="N70" s="284"/>
      <c r="O70" s="284"/>
      <c r="P70" s="284"/>
      <c r="Q70" s="284"/>
      <c r="R70" s="284"/>
      <c r="S70" s="284"/>
      <c r="T70" s="284"/>
      <c r="U70" s="284"/>
      <c r="V70" s="284"/>
      <c r="W70" s="98"/>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row>
    <row r="71" spans="1:66" ht="15.6" customHeight="1" x14ac:dyDescent="0.3">
      <c r="A71" s="98"/>
      <c r="B71" s="275">
        <v>2025</v>
      </c>
      <c r="C71" s="276"/>
      <c r="D71" s="358"/>
      <c r="E71" s="357"/>
      <c r="F71" s="357"/>
      <c r="G71" s="357"/>
      <c r="H71" s="284"/>
      <c r="I71" s="284"/>
      <c r="J71" s="284"/>
      <c r="K71" s="284"/>
      <c r="L71" s="284"/>
      <c r="M71" s="284"/>
      <c r="N71" s="284"/>
      <c r="O71" s="284"/>
      <c r="P71" s="284"/>
      <c r="Q71" s="284"/>
      <c r="R71" s="284"/>
      <c r="S71" s="284"/>
      <c r="T71" s="284"/>
      <c r="U71" s="284"/>
      <c r="V71" s="284"/>
      <c r="W71" s="98"/>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row>
    <row r="72" spans="1:66" ht="15.6" customHeight="1" x14ac:dyDescent="0.3">
      <c r="A72" s="98"/>
      <c r="B72" s="280">
        <v>2026</v>
      </c>
      <c r="C72" s="276"/>
      <c r="D72" s="357"/>
      <c r="E72" s="357"/>
      <c r="F72" s="357"/>
      <c r="G72" s="357"/>
      <c r="H72" s="277"/>
      <c r="I72" s="277"/>
      <c r="J72" s="277"/>
      <c r="K72" s="277"/>
      <c r="L72" s="277"/>
      <c r="M72" s="277"/>
      <c r="N72" s="277"/>
      <c r="O72" s="277"/>
      <c r="P72" s="277"/>
      <c r="Q72" s="277"/>
      <c r="R72" s="277"/>
      <c r="S72" s="277"/>
      <c r="T72" s="277"/>
      <c r="U72" s="277"/>
      <c r="V72" s="277"/>
      <c r="W72" s="98"/>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row>
    <row r="73" spans="1:66" ht="12.6" customHeight="1" x14ac:dyDescent="0.3">
      <c r="A73" s="98"/>
      <c r="B73" s="98"/>
      <c r="C73" s="98"/>
      <c r="D73" s="98"/>
      <c r="E73" s="98"/>
      <c r="F73" s="98"/>
      <c r="G73" s="98"/>
      <c r="H73" s="98"/>
      <c r="I73" s="98"/>
      <c r="J73" s="98"/>
      <c r="K73" s="98"/>
      <c r="L73" s="98"/>
      <c r="M73" s="98"/>
      <c r="N73" s="98"/>
      <c r="O73" s="98"/>
      <c r="P73" s="98"/>
      <c r="Q73" s="98"/>
      <c r="R73" s="98"/>
      <c r="S73" s="98"/>
      <c r="T73" s="98"/>
      <c r="U73" s="98"/>
      <c r="V73" s="98"/>
      <c r="W73" s="98"/>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row>
    <row r="74" spans="1:66" ht="12.6" customHeight="1" x14ac:dyDescent="0.3">
      <c r="A74" s="98"/>
      <c r="B74" s="98"/>
      <c r="C74" s="285"/>
      <c r="D74" s="98"/>
      <c r="E74" s="98"/>
      <c r="F74" s="98"/>
      <c r="G74" s="98"/>
      <c r="H74" s="98"/>
      <c r="I74" s="98"/>
      <c r="J74" s="98"/>
      <c r="K74" s="98"/>
      <c r="L74" s="98"/>
      <c r="M74" s="98"/>
      <c r="N74" s="98"/>
      <c r="O74" s="98"/>
      <c r="P74" s="98"/>
      <c r="Q74" s="98"/>
      <c r="R74" s="98"/>
      <c r="S74" s="98"/>
      <c r="T74" s="98"/>
      <c r="U74" s="98"/>
      <c r="V74" s="98"/>
      <c r="W74" s="98"/>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row>
    <row r="75" spans="1:66" ht="12.6" customHeight="1" x14ac:dyDescent="0.3">
      <c r="A75" s="98"/>
      <c r="B75" s="98"/>
      <c r="C75" s="98"/>
      <c r="D75" s="98"/>
      <c r="E75" s="98"/>
      <c r="F75" s="98"/>
      <c r="G75" s="98"/>
      <c r="H75" s="98"/>
      <c r="I75" s="98"/>
      <c r="J75" s="98"/>
      <c r="K75" s="98"/>
      <c r="L75" s="98"/>
      <c r="M75" s="98"/>
      <c r="N75" s="98"/>
      <c r="O75" s="98"/>
      <c r="P75" s="98"/>
      <c r="Q75" s="98"/>
      <c r="R75" s="98"/>
      <c r="S75" s="98"/>
      <c r="T75" s="98"/>
      <c r="U75" s="98"/>
      <c r="V75" s="98"/>
      <c r="W75" s="98"/>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row>
    <row r="76" spans="1:66" ht="18" customHeight="1" x14ac:dyDescent="0.3">
      <c r="A76" s="98"/>
      <c r="B76" s="98"/>
      <c r="C76" s="98"/>
      <c r="D76" s="98"/>
      <c r="E76" s="98"/>
      <c r="F76" s="98"/>
      <c r="G76" s="98"/>
      <c r="H76" s="98"/>
      <c r="I76" s="98"/>
      <c r="J76" s="98"/>
      <c r="K76" s="98"/>
      <c r="L76" s="98"/>
      <c r="M76" s="98"/>
      <c r="N76" s="98"/>
      <c r="O76" s="98"/>
      <c r="P76" s="98"/>
      <c r="Q76" s="98"/>
      <c r="R76" s="98"/>
      <c r="S76" s="98"/>
      <c r="T76" s="98"/>
      <c r="U76" s="98"/>
      <c r="V76" s="98"/>
      <c r="W76" s="98"/>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row>
    <row r="77" spans="1:66" ht="42" customHeight="1" x14ac:dyDescent="0.3">
      <c r="A77" s="98"/>
      <c r="B77" s="356" t="s">
        <v>203</v>
      </c>
      <c r="C77" s="271" t="s">
        <v>202</v>
      </c>
      <c r="D77" s="272" t="s">
        <v>172</v>
      </c>
      <c r="E77" s="272" t="s">
        <v>173</v>
      </c>
      <c r="F77" s="273" t="s">
        <v>174</v>
      </c>
      <c r="G77" s="272" t="s">
        <v>175</v>
      </c>
      <c r="H77" s="98"/>
      <c r="I77" s="98"/>
      <c r="J77" s="98"/>
      <c r="K77" s="98"/>
      <c r="L77" s="98"/>
      <c r="M77" s="98"/>
      <c r="N77" s="98"/>
      <c r="O77" s="98"/>
      <c r="P77" s="98"/>
      <c r="Q77" s="98"/>
      <c r="R77" s="98"/>
      <c r="S77" s="98"/>
      <c r="T77" s="98"/>
      <c r="U77" s="98"/>
      <c r="V77" s="98"/>
      <c r="W77" s="98"/>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row>
    <row r="78" spans="1:66" ht="15.6" customHeight="1" x14ac:dyDescent="0.3">
      <c r="A78" s="98"/>
      <c r="B78" s="275">
        <v>2019</v>
      </c>
      <c r="C78" s="357">
        <f>C65</f>
        <v>10.310440645019989</v>
      </c>
      <c r="D78" s="276"/>
      <c r="E78" s="276"/>
      <c r="F78" s="276"/>
      <c r="G78" s="276"/>
      <c r="H78" s="98"/>
      <c r="I78" s="98"/>
      <c r="J78" s="98"/>
      <c r="K78" s="98"/>
      <c r="L78" s="98"/>
      <c r="M78" s="98"/>
      <c r="N78" s="98"/>
      <c r="O78" s="98"/>
      <c r="P78" s="98"/>
      <c r="Q78" s="98"/>
      <c r="R78" s="98"/>
      <c r="S78" s="98"/>
      <c r="T78" s="98"/>
      <c r="U78" s="98"/>
      <c r="V78" s="98"/>
      <c r="W78" s="98"/>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row>
    <row r="79" spans="1:66" s="1" customFormat="1" ht="15" customHeight="1" x14ac:dyDescent="0.3">
      <c r="A79" s="98"/>
      <c r="B79" s="280">
        <v>2020</v>
      </c>
      <c r="C79" s="357">
        <f>C66</f>
        <v>10.447429357132147</v>
      </c>
      <c r="D79" s="276"/>
      <c r="E79" s="276"/>
      <c r="F79" s="276"/>
      <c r="G79" s="276"/>
      <c r="H79" s="98"/>
      <c r="I79" s="98"/>
      <c r="J79" s="98"/>
      <c r="K79" s="98"/>
      <c r="L79" s="98"/>
      <c r="M79" s="98"/>
      <c r="N79" s="98"/>
      <c r="O79" s="98"/>
      <c r="P79" s="98"/>
      <c r="Q79" s="98"/>
      <c r="R79" s="98"/>
      <c r="S79" s="98"/>
      <c r="T79" s="98"/>
      <c r="U79" s="98"/>
      <c r="V79" s="98"/>
      <c r="W79" s="98"/>
    </row>
    <row r="80" spans="1:66" s="1" customFormat="1" ht="15" customHeight="1" x14ac:dyDescent="0.3">
      <c r="A80" s="98"/>
      <c r="B80" s="275">
        <v>2021</v>
      </c>
      <c r="C80" s="357">
        <f>C67</f>
        <v>10.557580773438723</v>
      </c>
      <c r="D80" s="276"/>
      <c r="E80" s="276"/>
      <c r="F80" s="276"/>
      <c r="G80" s="276"/>
      <c r="H80" s="98"/>
      <c r="I80" s="98"/>
      <c r="J80" s="98"/>
      <c r="K80" s="98"/>
      <c r="L80" s="98"/>
      <c r="M80" s="98"/>
      <c r="N80" s="98"/>
      <c r="O80" s="98"/>
      <c r="P80" s="98"/>
      <c r="Q80" s="98"/>
      <c r="R80" s="98"/>
      <c r="S80" s="98"/>
      <c r="T80" s="98"/>
      <c r="U80" s="98"/>
      <c r="V80" s="98"/>
      <c r="W80" s="98"/>
    </row>
    <row r="81" spans="1:23" s="1" customFormat="1" ht="15" customHeight="1" x14ac:dyDescent="0.3">
      <c r="A81" s="98"/>
      <c r="B81" s="280">
        <v>2022</v>
      </c>
      <c r="C81" s="357">
        <f>C68</f>
        <v>7.2921438356828476</v>
      </c>
      <c r="D81" s="276"/>
      <c r="E81" s="276"/>
      <c r="F81" s="276"/>
      <c r="G81" s="276"/>
      <c r="H81" s="98"/>
      <c r="I81" s="98"/>
      <c r="J81" s="98"/>
      <c r="K81" s="98"/>
      <c r="L81" s="98"/>
      <c r="M81" s="98"/>
      <c r="N81" s="98"/>
      <c r="O81" s="98"/>
      <c r="P81" s="98"/>
      <c r="Q81" s="98"/>
      <c r="R81" s="98"/>
      <c r="S81" s="98"/>
      <c r="T81" s="98"/>
      <c r="U81" s="98"/>
      <c r="V81" s="98"/>
      <c r="W81" s="98"/>
    </row>
    <row r="82" spans="1:23" s="1" customFormat="1" ht="15" customHeight="1" x14ac:dyDescent="0.3">
      <c r="A82" s="98"/>
      <c r="B82" s="275">
        <v>2023</v>
      </c>
      <c r="C82" s="357">
        <f>C69</f>
        <v>9.9703561318237792</v>
      </c>
      <c r="D82" s="357">
        <f>D69</f>
        <v>11.038444616812422</v>
      </c>
      <c r="E82" s="357">
        <f>E69</f>
        <v>9.7080531556855245</v>
      </c>
      <c r="F82" s="357">
        <f>F69</f>
        <v>9.7344390561000207</v>
      </c>
      <c r="G82" s="357">
        <f>G69</f>
        <v>9.6129503337151991</v>
      </c>
      <c r="H82" s="98"/>
      <c r="I82" s="98"/>
      <c r="J82" s="98"/>
      <c r="K82" s="98"/>
      <c r="L82" s="98"/>
      <c r="M82" s="98"/>
      <c r="N82" s="98"/>
      <c r="O82" s="98"/>
      <c r="P82" s="98"/>
      <c r="Q82" s="98"/>
      <c r="R82" s="98"/>
      <c r="S82" s="98"/>
      <c r="T82" s="98"/>
      <c r="U82" s="98"/>
      <c r="V82" s="98"/>
      <c r="W82" s="98"/>
    </row>
    <row r="83" spans="1:23" s="1" customFormat="1" ht="15" customHeight="1" x14ac:dyDescent="0.3">
      <c r="A83" s="98"/>
      <c r="B83" s="280">
        <v>2024</v>
      </c>
      <c r="C83" s="357"/>
      <c r="D83" s="358"/>
      <c r="E83" s="358"/>
      <c r="F83" s="358"/>
      <c r="G83" s="358"/>
      <c r="H83" s="98"/>
      <c r="I83" s="98"/>
      <c r="J83" s="98"/>
      <c r="K83" s="98"/>
      <c r="L83" s="98"/>
      <c r="M83" s="98"/>
      <c r="N83" s="98"/>
      <c r="O83" s="98"/>
      <c r="P83" s="98"/>
      <c r="Q83" s="98"/>
      <c r="R83" s="98"/>
      <c r="S83" s="98"/>
      <c r="T83" s="98"/>
      <c r="U83" s="98"/>
      <c r="V83" s="98"/>
      <c r="W83" s="98"/>
    </row>
    <row r="84" spans="1:23" s="1" customFormat="1" ht="15" customHeight="1" x14ac:dyDescent="0.3">
      <c r="A84" s="98"/>
      <c r="B84" s="275">
        <v>2025</v>
      </c>
      <c r="C84" s="357"/>
      <c r="D84" s="358"/>
      <c r="E84" s="358"/>
      <c r="F84" s="358"/>
      <c r="G84" s="358"/>
      <c r="H84" s="98"/>
      <c r="I84" s="98"/>
      <c r="J84" s="98"/>
      <c r="K84" s="98"/>
      <c r="L84" s="98"/>
      <c r="M84" s="98"/>
      <c r="N84" s="98"/>
      <c r="O84" s="98"/>
      <c r="P84" s="98"/>
      <c r="Q84" s="98"/>
      <c r="R84" s="98"/>
      <c r="S84" s="98"/>
      <c r="T84" s="98"/>
      <c r="U84" s="98"/>
      <c r="V84" s="98"/>
      <c r="W84" s="98"/>
    </row>
    <row r="85" spans="1:23" s="1" customFormat="1" ht="15" customHeight="1" x14ac:dyDescent="0.3">
      <c r="A85" s="98"/>
      <c r="B85" s="280">
        <v>2026</v>
      </c>
      <c r="C85" s="357"/>
      <c r="D85" s="357"/>
      <c r="E85" s="357"/>
      <c r="F85" s="357"/>
      <c r="G85" s="357"/>
      <c r="H85" s="98"/>
      <c r="I85" s="98"/>
      <c r="J85" s="98"/>
      <c r="K85" s="98"/>
      <c r="L85" s="98"/>
      <c r="M85" s="98"/>
      <c r="N85" s="98"/>
      <c r="O85" s="98"/>
      <c r="P85" s="98"/>
      <c r="Q85" s="98"/>
      <c r="R85" s="98"/>
      <c r="S85" s="98"/>
      <c r="T85" s="98"/>
      <c r="U85" s="98"/>
      <c r="V85" s="98"/>
      <c r="W85" s="98"/>
    </row>
    <row r="86" spans="1:23" s="1" customFormat="1" ht="12.6" customHeight="1" x14ac:dyDescent="0.3">
      <c r="A86" s="98"/>
      <c r="B86" s="98"/>
      <c r="C86" s="98"/>
      <c r="D86" s="285"/>
      <c r="E86" s="98"/>
      <c r="F86" s="98"/>
      <c r="G86" s="98"/>
      <c r="H86" s="98"/>
      <c r="I86" s="98"/>
      <c r="J86" s="98"/>
      <c r="K86" s="98"/>
      <c r="L86" s="98"/>
      <c r="M86" s="98"/>
      <c r="N86" s="98"/>
      <c r="O86" s="98"/>
      <c r="P86" s="98"/>
      <c r="Q86" s="98"/>
      <c r="R86" s="98"/>
      <c r="S86" s="98"/>
      <c r="T86" s="98"/>
      <c r="U86" s="98"/>
      <c r="V86" s="98"/>
      <c r="W86" s="98"/>
    </row>
    <row r="87" spans="1:23" s="1" customFormat="1" ht="12.6" customHeight="1" x14ac:dyDescent="0.3">
      <c r="A87" s="98"/>
      <c r="B87" s="98"/>
      <c r="C87" s="98"/>
      <c r="D87" s="98"/>
      <c r="E87" s="98"/>
      <c r="F87" s="98"/>
      <c r="G87" s="98"/>
      <c r="H87" s="98"/>
      <c r="I87" s="98"/>
      <c r="J87" s="98"/>
      <c r="K87" s="98"/>
      <c r="L87" s="98"/>
      <c r="M87" s="98"/>
      <c r="N87" s="98"/>
      <c r="O87" s="98"/>
      <c r="P87" s="98"/>
      <c r="Q87" s="98"/>
      <c r="R87" s="98"/>
      <c r="S87" s="98"/>
      <c r="T87" s="98"/>
      <c r="U87" s="98"/>
      <c r="V87" s="98"/>
      <c r="W87" s="98"/>
    </row>
    <row r="88" spans="1:23" s="1" customFormat="1" ht="12.6" customHeight="1" x14ac:dyDescent="0.3">
      <c r="A88" s="98"/>
      <c r="B88" s="98"/>
      <c r="C88" s="98"/>
      <c r="D88" s="98"/>
      <c r="E88" s="98"/>
      <c r="F88" s="98"/>
      <c r="G88" s="98"/>
      <c r="H88" s="98"/>
      <c r="I88" s="98"/>
      <c r="J88" s="98"/>
      <c r="K88" s="98"/>
      <c r="L88" s="98"/>
      <c r="M88" s="98"/>
      <c r="N88" s="98"/>
      <c r="O88" s="98"/>
      <c r="P88" s="98"/>
      <c r="Q88" s="98"/>
      <c r="R88" s="98"/>
      <c r="S88" s="98"/>
      <c r="T88" s="98"/>
      <c r="U88" s="98"/>
      <c r="V88" s="98"/>
      <c r="W88" s="98"/>
    </row>
    <row r="89" spans="1:23" s="1" customFormat="1" ht="12.6" customHeight="1" x14ac:dyDescent="0.3"/>
    <row r="90" spans="1:23" s="1" customFormat="1" ht="12.6" customHeight="1" x14ac:dyDescent="0.3"/>
    <row r="91" spans="1:23" s="1" customFormat="1" x14ac:dyDescent="0.3"/>
    <row r="92" spans="1:23" s="1" customFormat="1" x14ac:dyDescent="0.3"/>
    <row r="93" spans="1:23" s="1" customFormat="1" x14ac:dyDescent="0.3"/>
    <row r="94" spans="1:23" s="1" customFormat="1" x14ac:dyDescent="0.3"/>
    <row r="95" spans="1:23" s="1" customFormat="1" x14ac:dyDescent="0.3"/>
    <row r="96" spans="1:23" s="1" customFormat="1" x14ac:dyDescent="0.3"/>
    <row r="97" s="1" customFormat="1" x14ac:dyDescent="0.3"/>
    <row r="98" s="1" customFormat="1" x14ac:dyDescent="0.3"/>
    <row r="99" s="1" customFormat="1" x14ac:dyDescent="0.3"/>
    <row r="100" s="1" customFormat="1" x14ac:dyDescent="0.3"/>
    <row r="101" s="1" customFormat="1" x14ac:dyDescent="0.3"/>
    <row r="102" s="1" customFormat="1" x14ac:dyDescent="0.3"/>
    <row r="103" s="1" customFormat="1" x14ac:dyDescent="0.3"/>
    <row r="104" s="1" customFormat="1" x14ac:dyDescent="0.3"/>
    <row r="105" s="1" customFormat="1" x14ac:dyDescent="0.3"/>
    <row r="106" s="1" customFormat="1" x14ac:dyDescent="0.3"/>
    <row r="107" s="1" customFormat="1" x14ac:dyDescent="0.3"/>
    <row r="108" s="1" customFormat="1" x14ac:dyDescent="0.3"/>
    <row r="109" s="1" customFormat="1" x14ac:dyDescent="0.3"/>
    <row r="110" s="1" customFormat="1" x14ac:dyDescent="0.3"/>
    <row r="111" s="1" customFormat="1" x14ac:dyDescent="0.3"/>
    <row r="112" s="1" customFormat="1" x14ac:dyDescent="0.3"/>
    <row r="113" s="1" customFormat="1" x14ac:dyDescent="0.3"/>
    <row r="114" s="1" customFormat="1" x14ac:dyDescent="0.3"/>
    <row r="115" s="1" customFormat="1" x14ac:dyDescent="0.3"/>
    <row r="116" s="1" customFormat="1" x14ac:dyDescent="0.3"/>
    <row r="117" s="1" customFormat="1" x14ac:dyDescent="0.3"/>
    <row r="118" s="1" customFormat="1" x14ac:dyDescent="0.3"/>
    <row r="119" s="1" customFormat="1" x14ac:dyDescent="0.3"/>
    <row r="120" s="1" customFormat="1" x14ac:dyDescent="0.3"/>
    <row r="121" s="1" customFormat="1" x14ac:dyDescent="0.3"/>
  </sheetData>
  <pageMargins left="0.7" right="0.7" top="0.75" bottom="0.75" header="0.3" footer="0.3"/>
  <pageSetup paperSize="9" orientation="portrait" r:id="rId1"/>
  <drawing r:id="rId2"/>
  <legacyDrawing r:id="rId3"/>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201B43-B06E-4638-9601-BF5B94E507EB}">
  <sheetPr>
    <pageSetUpPr autoPageBreaks="0"/>
  </sheetPr>
  <dimension ref="A1:FQ27"/>
  <sheetViews>
    <sheetView zoomScale="70" zoomScaleNormal="70" workbookViewId="0">
      <selection activeCell="D8" sqref="D8"/>
    </sheetView>
  </sheetViews>
  <sheetFormatPr baseColWidth="10" defaultColWidth="8.88671875" defaultRowHeight="14.4" x14ac:dyDescent="0.3"/>
  <cols>
    <col min="1" max="1" width="4.109375" customWidth="1"/>
    <col min="3" max="3" width="15.88671875" customWidth="1"/>
    <col min="4" max="7" width="14.5546875" customWidth="1"/>
    <col min="8" max="15" width="18" customWidth="1"/>
    <col min="16" max="17" width="18.5546875" customWidth="1"/>
    <col min="18" max="18" width="15.109375" customWidth="1"/>
    <col min="19" max="22" width="18" customWidth="1"/>
    <col min="23" max="31" width="14.88671875" customWidth="1"/>
    <col min="32" max="32" width="15.109375" customWidth="1"/>
    <col min="33" max="33" width="14.88671875" customWidth="1"/>
    <col min="34" max="41" width="13.5546875" customWidth="1"/>
    <col min="42" max="42" width="15.5546875" customWidth="1"/>
    <col min="43" max="43" width="13" customWidth="1"/>
    <col min="44" max="44" width="11.109375" customWidth="1"/>
    <col min="45" max="45" width="12.44140625" customWidth="1"/>
    <col min="46" max="50" width="11.109375" customWidth="1"/>
    <col min="51" max="51" width="13.44140625" customWidth="1"/>
    <col min="56" max="56" width="9.5546875" customWidth="1"/>
    <col min="60" max="63" width="17.88671875" customWidth="1"/>
    <col min="68" max="68" width="11.44140625" bestFit="1" customWidth="1"/>
    <col min="69" max="69" width="13.5546875" customWidth="1"/>
    <col min="70" max="70" width="13.88671875" customWidth="1"/>
    <col min="71" max="71" width="12.44140625" customWidth="1"/>
    <col min="72" max="77" width="12.5546875" customWidth="1"/>
    <col min="78" max="80" width="11.109375" customWidth="1"/>
    <col min="81" max="85" width="11.5546875" hidden="1" customWidth="1"/>
    <col min="86" max="86" width="13.44140625" hidden="1" customWidth="1"/>
    <col min="87" max="88" width="11.5546875" hidden="1" customWidth="1"/>
    <col min="89" max="94" width="12.5546875" customWidth="1"/>
    <col min="95" max="96" width="11.109375" customWidth="1"/>
    <col min="97" max="104" width="11.5546875" customWidth="1"/>
    <col min="105" max="108" width="13.44140625" customWidth="1"/>
    <col min="110" max="130" width="0.5546875" customWidth="1"/>
    <col min="131" max="132" width="15.5546875" customWidth="1"/>
    <col min="133" max="133" width="15.44140625" customWidth="1"/>
    <col min="134" max="134" width="14.5546875" customWidth="1"/>
    <col min="135" max="135" width="16.5546875" customWidth="1"/>
    <col min="136" max="138" width="18" customWidth="1"/>
    <col min="139" max="142" width="17.44140625" customWidth="1"/>
    <col min="143" max="143" width="11" customWidth="1"/>
    <col min="144" max="145" width="19.88671875" customWidth="1"/>
    <col min="146" max="146" width="9.44140625" customWidth="1"/>
    <col min="147" max="150" width="18.5546875" customWidth="1"/>
    <col min="153" max="153" width="10.88671875" customWidth="1"/>
    <col min="156" max="157" width="11.44140625" customWidth="1"/>
    <col min="158" max="161" width="9.5546875" customWidth="1"/>
    <col min="162" max="165" width="11.5546875" customWidth="1"/>
  </cols>
  <sheetData>
    <row r="1" spans="1:173" ht="15" thickBot="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ht="18" customHeight="1" thickBot="1" x14ac:dyDescent="0.35">
      <c r="A2" s="1"/>
      <c r="B2" s="2" t="s">
        <v>579</v>
      </c>
      <c r="C2" s="3"/>
      <c r="D2" s="3"/>
      <c r="E2" s="3"/>
      <c r="F2" s="3"/>
      <c r="G2" s="3"/>
      <c r="H2" s="4"/>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18" customHeight="1" x14ac:dyDescent="0.3">
      <c r="A3" s="1"/>
      <c r="B3" s="5" t="s">
        <v>0</v>
      </c>
      <c r="C3" s="6"/>
      <c r="D3" s="6"/>
      <c r="E3" s="6"/>
      <c r="F3" s="6"/>
      <c r="G3" s="6"/>
      <c r="H3" s="7"/>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18" customHeight="1" x14ac:dyDescent="0.3">
      <c r="A4" s="1"/>
      <c r="B4" s="8" t="s">
        <v>1</v>
      </c>
      <c r="C4" s="9"/>
      <c r="D4" s="9"/>
      <c r="E4" s="9"/>
      <c r="F4" s="9"/>
      <c r="G4" s="9"/>
      <c r="H4" s="10"/>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12.6" customHeight="1" x14ac:dyDescent="0.3">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row>
    <row r="6" spans="1:173" ht="12.6" customHeight="1" x14ac:dyDescent="0.3">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row>
    <row r="7" spans="1:173" ht="12.6" customHeight="1" x14ac:dyDescent="0.3">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c r="EU7" s="1"/>
      <c r="EV7" s="1"/>
      <c r="EW7" s="1"/>
      <c r="EX7" s="1"/>
      <c r="EY7" s="1"/>
      <c r="EZ7" s="1"/>
      <c r="FA7" s="1"/>
      <c r="FB7" s="1"/>
      <c r="FC7" s="1"/>
      <c r="FD7" s="1"/>
      <c r="FE7" s="1"/>
      <c r="FF7" s="1"/>
      <c r="FG7" s="1"/>
      <c r="FH7" s="1"/>
      <c r="FI7" s="1"/>
      <c r="FJ7" s="1"/>
      <c r="FK7" s="1"/>
      <c r="FL7" s="1"/>
      <c r="FM7" s="1"/>
      <c r="FN7" s="1"/>
      <c r="FO7" s="1"/>
      <c r="FP7" s="1"/>
      <c r="FQ7" s="1"/>
    </row>
    <row r="8" spans="1:173" ht="17.399999999999999" customHeight="1" x14ac:dyDescent="0.3">
      <c r="A8" s="1"/>
      <c r="B8" s="11" t="s">
        <v>2</v>
      </c>
      <c r="C8" s="12" t="s">
        <v>233</v>
      </c>
      <c r="D8" s="12" t="s">
        <v>660</v>
      </c>
      <c r="E8" s="124" t="s">
        <v>544</v>
      </c>
      <c r="F8" s="125"/>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56"/>
      <c r="CD8" s="56"/>
      <c r="CE8" s="56"/>
      <c r="CF8" s="56"/>
      <c r="CG8" s="56"/>
      <c r="CH8" s="56"/>
      <c r="CI8" s="56"/>
      <c r="CJ8" s="56"/>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row>
    <row r="9" spans="1:173" ht="10.35" customHeight="1" x14ac:dyDescent="0.3">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56"/>
      <c r="CD9" s="56"/>
      <c r="CE9" s="56"/>
      <c r="CF9" s="56"/>
      <c r="CG9" s="56"/>
      <c r="CH9" s="56"/>
      <c r="CI9" s="56"/>
      <c r="CJ9" s="56"/>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row>
    <row r="10" spans="1:173" x14ac:dyDescent="0.3">
      <c r="A10" s="1"/>
      <c r="B10" s="1"/>
      <c r="C10" s="13" t="s">
        <v>6</v>
      </c>
      <c r="D10" s="14"/>
      <c r="E10" s="14"/>
      <c r="F10" s="14"/>
      <c r="G10" s="14"/>
      <c r="H10" s="14"/>
      <c r="I10" s="14"/>
      <c r="J10" s="14"/>
      <c r="K10" s="14"/>
      <c r="L10" s="14"/>
      <c r="M10" s="14"/>
      <c r="N10" s="14"/>
      <c r="O10" s="14"/>
      <c r="P10" s="15" t="s">
        <v>580</v>
      </c>
      <c r="Q10" s="16"/>
      <c r="R10" s="16"/>
      <c r="S10" s="16"/>
      <c r="T10" s="16"/>
      <c r="U10" s="16"/>
      <c r="V10" s="16"/>
      <c r="W10" s="13" t="s">
        <v>628</v>
      </c>
      <c r="X10" s="17"/>
      <c r="Y10" s="17"/>
      <c r="Z10" s="17"/>
      <c r="AA10" s="17"/>
      <c r="AB10" s="17"/>
      <c r="AC10" s="17"/>
      <c r="AD10" s="13" t="s">
        <v>629</v>
      </c>
      <c r="AE10" s="17"/>
      <c r="AF10" s="17"/>
      <c r="AG10" s="18"/>
      <c r="AH10" s="19" t="s">
        <v>630</v>
      </c>
      <c r="AI10" s="20"/>
      <c r="AJ10" s="16"/>
      <c r="AK10" s="16"/>
      <c r="AL10" s="16"/>
      <c r="AM10" s="16"/>
      <c r="AN10" s="16"/>
      <c r="AO10" s="16"/>
      <c r="AP10" s="21"/>
      <c r="AQ10" s="19" t="s">
        <v>9</v>
      </c>
      <c r="AR10" s="16"/>
      <c r="AS10" s="16"/>
      <c r="AT10" s="16"/>
      <c r="AU10" s="16"/>
      <c r="AV10" s="16"/>
      <c r="AW10" s="16"/>
      <c r="AX10" s="16"/>
      <c r="AY10" s="21"/>
      <c r="AZ10" s="22" t="s">
        <v>10</v>
      </c>
      <c r="BA10" s="23"/>
      <c r="BB10" s="23"/>
      <c r="BC10" s="23"/>
      <c r="BD10" s="23"/>
      <c r="BE10" s="23"/>
      <c r="BF10" s="23"/>
      <c r="BG10" s="23"/>
      <c r="BH10" s="23"/>
      <c r="BI10" s="23"/>
      <c r="BJ10" s="23"/>
      <c r="BK10" s="23"/>
      <c r="BL10" s="23"/>
      <c r="BM10" s="23"/>
      <c r="BN10" s="23"/>
      <c r="BO10" s="23"/>
      <c r="BP10" s="23"/>
      <c r="BQ10" s="23"/>
      <c r="BR10" s="24"/>
      <c r="BS10" s="11"/>
      <c r="BT10" s="19"/>
      <c r="BU10" s="16"/>
      <c r="BV10" s="16"/>
      <c r="BW10" s="16"/>
      <c r="BX10" s="16"/>
      <c r="BY10" s="16"/>
      <c r="BZ10" s="16"/>
      <c r="CA10" s="16"/>
      <c r="CB10" s="16"/>
      <c r="CC10" s="58" t="s">
        <v>12</v>
      </c>
      <c r="CD10" s="59"/>
      <c r="CE10" s="59"/>
      <c r="CF10" s="59"/>
      <c r="CG10" s="59"/>
      <c r="CH10" s="59"/>
      <c r="CI10" s="59"/>
      <c r="CJ10" s="59"/>
      <c r="CK10" s="19" t="s">
        <v>581</v>
      </c>
      <c r="CL10" s="16"/>
      <c r="CM10" s="16"/>
      <c r="CN10" s="16"/>
      <c r="CO10" s="16"/>
      <c r="CP10" s="16"/>
      <c r="CQ10" s="16"/>
      <c r="CR10" s="16"/>
      <c r="CS10" s="19" t="s">
        <v>582</v>
      </c>
      <c r="CT10" s="127"/>
      <c r="CU10" s="59"/>
      <c r="CV10" s="59"/>
      <c r="CW10" s="59"/>
      <c r="CX10" s="59"/>
      <c r="CY10" s="59"/>
      <c r="CZ10" s="59"/>
      <c r="DA10" s="15" t="s">
        <v>15</v>
      </c>
      <c r="DB10" s="60"/>
      <c r="DC10" s="60"/>
      <c r="DD10" s="8" t="s">
        <v>16</v>
      </c>
      <c r="DE10" s="10"/>
      <c r="DF10" s="1"/>
      <c r="DG10" s="1"/>
      <c r="DH10" s="1"/>
      <c r="DI10" s="1"/>
      <c r="DJ10" s="1"/>
      <c r="DK10" s="1"/>
      <c r="DL10" s="1"/>
      <c r="DM10" s="1"/>
      <c r="DN10" s="1"/>
      <c r="DO10" s="1"/>
      <c r="DP10" s="1"/>
      <c r="DQ10" s="1"/>
      <c r="DR10" s="1"/>
      <c r="DS10" s="1"/>
      <c r="DT10" s="1"/>
      <c r="DU10" s="1"/>
      <c r="DV10" s="1"/>
      <c r="DW10" s="1"/>
      <c r="DX10" s="1"/>
      <c r="DY10" s="1"/>
      <c r="DZ10" s="1"/>
      <c r="EA10" s="13" t="s">
        <v>17</v>
      </c>
      <c r="EB10" s="14"/>
      <c r="EC10" s="14"/>
      <c r="ED10" s="14"/>
      <c r="EE10" s="14"/>
      <c r="EF10" s="14"/>
      <c r="EG10" s="14"/>
      <c r="EH10" s="14"/>
      <c r="EI10" s="14"/>
      <c r="EJ10" s="14"/>
      <c r="EK10" s="14"/>
      <c r="EL10" s="14"/>
      <c r="EM10" s="14"/>
      <c r="EN10" s="15" t="s">
        <v>583</v>
      </c>
      <c r="EO10" s="16"/>
      <c r="EP10" s="16"/>
      <c r="EQ10" s="16"/>
      <c r="ER10" s="16"/>
      <c r="ES10" s="16"/>
      <c r="ET10" s="16"/>
      <c r="EU10" s="16"/>
      <c r="EV10" s="13" t="s">
        <v>631</v>
      </c>
      <c r="EW10" s="14"/>
      <c r="EX10" s="14"/>
      <c r="EY10" s="61"/>
      <c r="EZ10" s="62" t="s">
        <v>19</v>
      </c>
      <c r="FA10" s="10"/>
      <c r="FB10" s="14" t="s">
        <v>632</v>
      </c>
      <c r="FC10" s="17"/>
      <c r="FD10" s="17"/>
      <c r="FE10" s="17"/>
      <c r="FF10" s="17"/>
      <c r="FG10" s="17"/>
      <c r="FH10" s="17"/>
      <c r="FI10" s="18"/>
      <c r="FJ10" s="1"/>
      <c r="FK10" s="1"/>
      <c r="FL10" s="1"/>
      <c r="FM10" s="1"/>
      <c r="FN10" s="1"/>
      <c r="FO10" s="1"/>
      <c r="FP10" s="1"/>
      <c r="FQ10" s="1"/>
    </row>
    <row r="11" spans="1:173" ht="78.75" customHeight="1" x14ac:dyDescent="0.3">
      <c r="A11" s="1"/>
      <c r="B11" s="25" t="s">
        <v>20</v>
      </c>
      <c r="C11" s="26" t="s">
        <v>21</v>
      </c>
      <c r="D11" s="27" t="s">
        <v>22</v>
      </c>
      <c r="E11" s="27" t="s">
        <v>23</v>
      </c>
      <c r="F11" s="27" t="s">
        <v>24</v>
      </c>
      <c r="G11" s="27" t="s">
        <v>36</v>
      </c>
      <c r="H11" s="27" t="s">
        <v>26</v>
      </c>
      <c r="I11" s="27" t="s">
        <v>27</v>
      </c>
      <c r="J11" s="121"/>
      <c r="K11" s="27" t="s">
        <v>29</v>
      </c>
      <c r="L11" s="27" t="s">
        <v>30</v>
      </c>
      <c r="M11" s="27" t="s">
        <v>31</v>
      </c>
      <c r="N11" s="27" t="s">
        <v>32</v>
      </c>
      <c r="O11" s="27" t="s">
        <v>33</v>
      </c>
      <c r="P11" s="26" t="s">
        <v>21</v>
      </c>
      <c r="Q11" s="27" t="s">
        <v>22</v>
      </c>
      <c r="R11" s="27" t="s">
        <v>34</v>
      </c>
      <c r="S11" s="27" t="s">
        <v>29</v>
      </c>
      <c r="T11" s="27" t="s">
        <v>30</v>
      </c>
      <c r="U11" s="27" t="s">
        <v>31</v>
      </c>
      <c r="V11" s="27" t="s">
        <v>32</v>
      </c>
      <c r="W11" s="27" t="s">
        <v>22</v>
      </c>
      <c r="X11" s="27" t="s">
        <v>23</v>
      </c>
      <c r="Y11" s="27" t="s">
        <v>35</v>
      </c>
      <c r="Z11" s="27" t="s">
        <v>36</v>
      </c>
      <c r="AA11" s="27" t="s">
        <v>26</v>
      </c>
      <c r="AB11" s="27" t="s">
        <v>27</v>
      </c>
      <c r="AC11" s="27" t="s">
        <v>28</v>
      </c>
      <c r="AD11" s="27" t="s">
        <v>29</v>
      </c>
      <c r="AE11" s="27" t="s">
        <v>30</v>
      </c>
      <c r="AF11" s="27" t="s">
        <v>31</v>
      </c>
      <c r="AG11" s="27" t="s">
        <v>32</v>
      </c>
      <c r="AH11" s="27" t="s">
        <v>37</v>
      </c>
      <c r="AI11" s="27" t="s">
        <v>38</v>
      </c>
      <c r="AJ11" s="27" t="s">
        <v>39</v>
      </c>
      <c r="AK11" s="27" t="s">
        <v>40</v>
      </c>
      <c r="AL11" s="27" t="s">
        <v>41</v>
      </c>
      <c r="AM11" s="27" t="s">
        <v>42</v>
      </c>
      <c r="AN11" s="121" t="s">
        <v>43</v>
      </c>
      <c r="AO11" s="27" t="s">
        <v>44</v>
      </c>
      <c r="AP11" s="27" t="s">
        <v>45</v>
      </c>
      <c r="AQ11" s="27" t="s">
        <v>37</v>
      </c>
      <c r="AR11" s="27" t="s">
        <v>38</v>
      </c>
      <c r="AS11" s="27" t="s">
        <v>39</v>
      </c>
      <c r="AT11" s="27" t="s">
        <v>40</v>
      </c>
      <c r="AU11" s="27" t="s">
        <v>41</v>
      </c>
      <c r="AV11" s="27" t="s">
        <v>42</v>
      </c>
      <c r="AW11" s="121"/>
      <c r="AX11" s="27" t="s">
        <v>44</v>
      </c>
      <c r="AY11" s="27" t="s">
        <v>45</v>
      </c>
      <c r="AZ11" s="27" t="s">
        <v>633</v>
      </c>
      <c r="BA11" s="27" t="s">
        <v>634</v>
      </c>
      <c r="BB11" s="27" t="s">
        <v>635</v>
      </c>
      <c r="BC11" s="27" t="s">
        <v>636</v>
      </c>
      <c r="BD11" s="27" t="s">
        <v>46</v>
      </c>
      <c r="BE11" s="27" t="s">
        <v>47</v>
      </c>
      <c r="BF11" s="27" t="s">
        <v>48</v>
      </c>
      <c r="BG11" s="27" t="s">
        <v>49</v>
      </c>
      <c r="BH11" s="27" t="s">
        <v>50</v>
      </c>
      <c r="BI11" s="27" t="s">
        <v>51</v>
      </c>
      <c r="BJ11" s="27" t="s">
        <v>52</v>
      </c>
      <c r="BK11" s="27" t="s">
        <v>53</v>
      </c>
      <c r="BL11" s="27" t="s">
        <v>54</v>
      </c>
      <c r="BM11" s="27" t="s">
        <v>55</v>
      </c>
      <c r="BN11" s="27" t="s">
        <v>56</v>
      </c>
      <c r="BO11" s="27" t="s">
        <v>57</v>
      </c>
      <c r="BP11" s="27" t="s">
        <v>637</v>
      </c>
      <c r="BQ11" s="27" t="s">
        <v>638</v>
      </c>
      <c r="BR11" s="27" t="s">
        <v>273</v>
      </c>
      <c r="BS11" s="27" t="s">
        <v>584</v>
      </c>
      <c r="BT11" s="27"/>
      <c r="BU11" s="27"/>
      <c r="BV11" s="27"/>
      <c r="BW11" s="27"/>
      <c r="BX11" s="27"/>
      <c r="BY11" s="27"/>
      <c r="BZ11" s="27"/>
      <c r="CA11" s="27"/>
      <c r="CB11" s="27"/>
      <c r="CC11" s="63" t="s">
        <v>68</v>
      </c>
      <c r="CD11" s="63" t="s">
        <v>69</v>
      </c>
      <c r="CE11" s="63" t="s">
        <v>70</v>
      </c>
      <c r="CF11" s="63" t="s">
        <v>71</v>
      </c>
      <c r="CG11" s="63" t="s">
        <v>72</v>
      </c>
      <c r="CH11" s="63" t="s">
        <v>73</v>
      </c>
      <c r="CI11" s="63" t="s">
        <v>74</v>
      </c>
      <c r="CJ11" s="63" t="s">
        <v>75</v>
      </c>
      <c r="CK11" s="27" t="s">
        <v>585</v>
      </c>
      <c r="CL11" s="27" t="s">
        <v>586</v>
      </c>
      <c r="CM11" s="27" t="s">
        <v>587</v>
      </c>
      <c r="CN11" s="27" t="s">
        <v>588</v>
      </c>
      <c r="CO11" s="27" t="s">
        <v>80</v>
      </c>
      <c r="CP11" s="27" t="s">
        <v>81</v>
      </c>
      <c r="CQ11" s="27" t="s">
        <v>82</v>
      </c>
      <c r="CR11" s="27" t="s">
        <v>589</v>
      </c>
      <c r="CS11" s="128" t="s">
        <v>590</v>
      </c>
      <c r="CT11" s="128" t="s">
        <v>591</v>
      </c>
      <c r="CU11" s="128" t="s">
        <v>592</v>
      </c>
      <c r="CV11" s="128" t="s">
        <v>593</v>
      </c>
      <c r="CW11" s="128" t="s">
        <v>88</v>
      </c>
      <c r="CX11" s="128" t="s">
        <v>89</v>
      </c>
      <c r="CY11" s="128" t="s">
        <v>90</v>
      </c>
      <c r="CZ11" s="128" t="s">
        <v>91</v>
      </c>
      <c r="DA11" s="64" t="s">
        <v>92</v>
      </c>
      <c r="DB11" s="64" t="s">
        <v>93</v>
      </c>
      <c r="DC11" s="64" t="s">
        <v>94</v>
      </c>
      <c r="DD11" s="64" t="s">
        <v>95</v>
      </c>
      <c r="DE11" s="64" t="s">
        <v>96</v>
      </c>
      <c r="DF11" s="1"/>
      <c r="DG11" s="1"/>
      <c r="DH11" s="1"/>
      <c r="DI11" s="1"/>
      <c r="DJ11" s="1"/>
      <c r="DK11" s="1"/>
      <c r="DL11" s="1"/>
      <c r="DM11" s="1"/>
      <c r="DN11" s="1"/>
      <c r="DO11" s="1"/>
      <c r="DP11" s="1"/>
      <c r="DQ11" s="1"/>
      <c r="DR11" s="1"/>
      <c r="DS11" s="1"/>
      <c r="DT11" s="1"/>
      <c r="DU11" s="1"/>
      <c r="DV11" s="1"/>
      <c r="DW11" s="1"/>
      <c r="DX11" s="1"/>
      <c r="DY11" s="1"/>
      <c r="DZ11" s="1"/>
      <c r="EA11" s="26" t="s">
        <v>97</v>
      </c>
      <c r="EB11" s="27" t="s">
        <v>98</v>
      </c>
      <c r="EC11" s="27" t="s">
        <v>99</v>
      </c>
      <c r="ED11" s="27" t="s">
        <v>100</v>
      </c>
      <c r="EE11" s="27" t="s">
        <v>101</v>
      </c>
      <c r="EF11" s="27" t="s">
        <v>102</v>
      </c>
      <c r="EG11" s="27" t="s">
        <v>103</v>
      </c>
      <c r="EH11" s="121"/>
      <c r="EI11" s="27" t="s">
        <v>104</v>
      </c>
      <c r="EJ11" s="27" t="s">
        <v>105</v>
      </c>
      <c r="EK11" s="27" t="s">
        <v>106</v>
      </c>
      <c r="EL11" s="27" t="s">
        <v>107</v>
      </c>
      <c r="EM11" s="27" t="s">
        <v>33</v>
      </c>
      <c r="EN11" s="27" t="s">
        <v>97</v>
      </c>
      <c r="EO11" s="27" t="s">
        <v>98</v>
      </c>
      <c r="EP11" s="27" t="s">
        <v>108</v>
      </c>
      <c r="EQ11" s="27" t="s">
        <v>104</v>
      </c>
      <c r="ER11" s="27" t="s">
        <v>105</v>
      </c>
      <c r="ES11" s="27" t="s">
        <v>106</v>
      </c>
      <c r="ET11" s="27" t="s">
        <v>107</v>
      </c>
      <c r="EU11" s="27" t="s">
        <v>594</v>
      </c>
      <c r="EV11" s="64" t="s">
        <v>639</v>
      </c>
      <c r="EW11" s="27" t="s">
        <v>99</v>
      </c>
      <c r="EX11" s="64" t="s">
        <v>110</v>
      </c>
      <c r="EY11" s="64" t="s">
        <v>640</v>
      </c>
      <c r="EZ11" s="64" t="s">
        <v>111</v>
      </c>
      <c r="FA11" s="64" t="s">
        <v>112</v>
      </c>
      <c r="FB11" s="27" t="s">
        <v>641</v>
      </c>
      <c r="FC11" s="27" t="s">
        <v>642</v>
      </c>
      <c r="FD11" s="27" t="s">
        <v>643</v>
      </c>
      <c r="FE11" s="27" t="s">
        <v>644</v>
      </c>
      <c r="FF11" s="27" t="s">
        <v>645</v>
      </c>
      <c r="FG11" s="27" t="s">
        <v>646</v>
      </c>
      <c r="FH11" s="27" t="s">
        <v>647</v>
      </c>
      <c r="FI11" s="27" t="s">
        <v>648</v>
      </c>
      <c r="FJ11" s="1"/>
      <c r="FK11" s="1"/>
      <c r="FL11" s="1"/>
      <c r="FM11" s="1"/>
      <c r="FN11" s="1"/>
      <c r="FO11" s="1"/>
      <c r="FP11" s="1"/>
      <c r="FQ11" s="1"/>
    </row>
    <row r="12" spans="1:173" x14ac:dyDescent="0.3">
      <c r="A12" s="1"/>
      <c r="B12" s="28">
        <v>1</v>
      </c>
      <c r="C12" s="462">
        <v>4544824.2012</v>
      </c>
      <c r="D12" s="462">
        <v>4907478.7739999993</v>
      </c>
      <c r="E12" s="462">
        <v>4520253.4476000005</v>
      </c>
      <c r="F12" s="462">
        <v>4907478.7739999993</v>
      </c>
      <c r="G12" s="462">
        <v>4598160.3336000005</v>
      </c>
      <c r="H12" s="462">
        <v>4536956.9100000011</v>
      </c>
      <c r="I12" s="462">
        <v>4520253.4476000005</v>
      </c>
      <c r="J12" s="121"/>
      <c r="K12" s="495" t="s">
        <v>113</v>
      </c>
      <c r="L12" s="495" t="s">
        <v>113</v>
      </c>
      <c r="M12" s="495" t="s">
        <v>113</v>
      </c>
      <c r="N12" s="495" t="s">
        <v>113</v>
      </c>
      <c r="O12" s="496">
        <f>C12/C$22*100</f>
        <v>2.1025287951837595E-2</v>
      </c>
      <c r="P12" s="462">
        <v>875983810.70279968</v>
      </c>
      <c r="Q12" s="462">
        <v>884676949.62479973</v>
      </c>
      <c r="R12" s="496">
        <f t="shared" ref="R12:R21" si="0">(Q12/P12-1)*100</f>
        <v>0.99238579706462104</v>
      </c>
      <c r="S12" s="495" t="s">
        <v>113</v>
      </c>
      <c r="T12" s="495" t="s">
        <v>113</v>
      </c>
      <c r="U12" s="495" t="s">
        <v>113</v>
      </c>
      <c r="V12" s="495" t="s">
        <v>113</v>
      </c>
      <c r="W12" s="465">
        <f>IF(D12&lt;&gt;0,((D12-$C12)/ABS($C12)) / ($Q12/$P12-1),0)</f>
        <v>8.0407309226227213</v>
      </c>
      <c r="X12" s="465">
        <f>IF(E12&lt;&gt;0,((E12-$C12)/ABS($C12)) / ($Q12/$P12-1),0)</f>
        <v>-0.5447796142160205</v>
      </c>
      <c r="Y12" s="465">
        <f t="shared" ref="Y12:AA22" si="1">IF(F12&lt;&gt;0,MAX(((F12-$C12)/ABS($C12)) / ($Q12/$P12-1),0),0)</f>
        <v>8.0407309226227213</v>
      </c>
      <c r="Z12" s="465">
        <f t="shared" si="1"/>
        <v>1.1825619232389954</v>
      </c>
      <c r="AA12" s="465">
        <f t="shared" si="1"/>
        <v>0</v>
      </c>
      <c r="AB12" s="465">
        <f>IF(I12&lt;&gt;0,MAX(((I12-$C12)/ABS($C12)) / ($Q12/$P12-1),0),AA12)</f>
        <v>0</v>
      </c>
      <c r="AC12" s="465">
        <f>IF(J12&lt;&gt;0,MAX(((J12-$C12)/ABS($C12)) / ($Q12/$P12-1),0),AB12)</f>
        <v>0</v>
      </c>
      <c r="AD12" s="495" t="s">
        <v>113</v>
      </c>
      <c r="AE12" s="495" t="s">
        <v>113</v>
      </c>
      <c r="AF12" s="495" t="s">
        <v>113</v>
      </c>
      <c r="AG12" s="495" t="s">
        <v>113</v>
      </c>
      <c r="AH12" s="497">
        <f t="shared" ref="AH12:AH22" si="2">MIN(W12,1)</f>
        <v>1</v>
      </c>
      <c r="AI12" s="498">
        <f>IF(W12&gt;1,MAX(W12-SUM(AH12,AJ12:AO12),0),0)</f>
        <v>0</v>
      </c>
      <c r="AJ12" s="498">
        <f t="shared" ref="AJ12:AJ22" si="3">IF(W12&gt;1,MIN($W12-Y12,W12-AH12),0)</f>
        <v>0</v>
      </c>
      <c r="AK12" s="498">
        <f t="shared" ref="AK12:AK20" si="4">IF(W12&gt;1,MAX(MIN(Y12-Z12,W12-AH12-AJ12),0),0)</f>
        <v>6.858168999383726</v>
      </c>
      <c r="AL12" s="498">
        <f>IF(W12&gt;1,MAX(MIN(Z12-AA12,W12-AH12-AJ12-AK12),0),0)</f>
        <v>0.18256192323899523</v>
      </c>
      <c r="AM12" s="498">
        <f>IF(I12&lt;&gt;0,IF(W12&gt;1,MAX(MIN(AA12-AB12,W12-AH12-AJ12-AK12-AL12),0),0),0)</f>
        <v>0</v>
      </c>
      <c r="AN12" s="499">
        <f t="shared" ref="AN12:AN13" si="5">IF(J12&lt;&gt;0,IF(W12&gt;1,MAX(MIN(AB12-AC12,W12-AH12-AJ12-AK12-AL12-AM12),0),0),0)</f>
        <v>0</v>
      </c>
      <c r="AO12" s="498">
        <f>IF(W12&gt;1,MAX(0,MIN(W12-AH12-AJ12-AK12-AL12-AM12,W12-AH12-AJ12-AK12-AL12-AM12-X12+1)),0)</f>
        <v>0</v>
      </c>
      <c r="AP12" s="498">
        <f t="shared" ref="AP12:AP22" si="6">AI12+AO12</f>
        <v>0</v>
      </c>
      <c r="AQ12" s="500" t="s">
        <v>113</v>
      </c>
      <c r="AR12" s="501">
        <f t="shared" ref="AR12:AY22" si="7">AI12/($W12-1)*100</f>
        <v>0</v>
      </c>
      <c r="AS12" s="501">
        <f t="shared" si="7"/>
        <v>0</v>
      </c>
      <c r="AT12" s="501">
        <f t="shared" si="7"/>
        <v>97.407060073089838</v>
      </c>
      <c r="AU12" s="501">
        <f t="shared" si="7"/>
        <v>2.5929399269101685</v>
      </c>
      <c r="AV12" s="501">
        <f t="shared" si="7"/>
        <v>0</v>
      </c>
      <c r="AW12" s="502">
        <f t="shared" si="7"/>
        <v>0</v>
      </c>
      <c r="AX12" s="501">
        <f t="shared" si="7"/>
        <v>0</v>
      </c>
      <c r="AY12" s="501">
        <f t="shared" si="7"/>
        <v>0</v>
      </c>
      <c r="AZ12" s="463" t="s">
        <v>113</v>
      </c>
      <c r="BA12" s="463" t="s">
        <v>113</v>
      </c>
      <c r="BB12" s="463" t="s">
        <v>113</v>
      </c>
      <c r="BC12" s="463" t="s">
        <v>113</v>
      </c>
      <c r="BD12" s="463" t="s">
        <v>113</v>
      </c>
      <c r="BE12" s="463" t="s">
        <v>113</v>
      </c>
      <c r="BF12" s="463" t="s">
        <v>113</v>
      </c>
      <c r="BG12" s="463" t="s">
        <v>113</v>
      </c>
      <c r="BH12" s="462">
        <v>514095098.75160003</v>
      </c>
      <c r="BI12" s="462">
        <v>260561242.66440004</v>
      </c>
      <c r="BJ12" s="462">
        <v>93843673.932000011</v>
      </c>
      <c r="BK12" s="462">
        <v>7483642.2659999989</v>
      </c>
      <c r="BL12" s="503">
        <f>BH12/SUM($BH12:$BK12)</f>
        <v>0.58687749969204861</v>
      </c>
      <c r="BM12" s="503">
        <f t="shared" ref="BM12:BO12" si="8">BI12/SUM($BH12:$BK12)</f>
        <v>0.29744989007456535</v>
      </c>
      <c r="BN12" s="503">
        <f t="shared" si="8"/>
        <v>0.10712948023209809</v>
      </c>
      <c r="BO12" s="503">
        <f t="shared" si="8"/>
        <v>8.5431300012878148E-3</v>
      </c>
      <c r="BP12" s="463" t="s">
        <v>113</v>
      </c>
      <c r="BQ12" s="463" t="s">
        <v>113</v>
      </c>
      <c r="BR12" s="463" t="s">
        <v>113</v>
      </c>
      <c r="BS12" s="496">
        <f>P12/P$22*100</f>
        <v>0.79346237579541912</v>
      </c>
      <c r="BT12" s="463"/>
      <c r="BU12" s="463"/>
      <c r="BV12" s="463"/>
      <c r="BW12" s="463"/>
      <c r="BX12" s="463"/>
      <c r="BY12" s="463"/>
      <c r="BZ12" s="463"/>
      <c r="CA12" s="463"/>
      <c r="CB12" s="463"/>
      <c r="CC12" s="466" t="s">
        <v>113</v>
      </c>
      <c r="CD12" s="466" t="s">
        <v>113</v>
      </c>
      <c r="CE12" s="466" t="s">
        <v>113</v>
      </c>
      <c r="CF12" s="466" t="s">
        <v>113</v>
      </c>
      <c r="CG12" s="466" t="s">
        <v>113</v>
      </c>
      <c r="CH12" s="466" t="s">
        <v>113</v>
      </c>
      <c r="CI12" s="466" t="s">
        <v>113</v>
      </c>
      <c r="CJ12" s="466"/>
      <c r="CK12" s="463" t="s">
        <v>113</v>
      </c>
      <c r="CL12" s="463" t="s">
        <v>113</v>
      </c>
      <c r="CM12" s="463" t="s">
        <v>113</v>
      </c>
      <c r="CN12" s="463" t="s">
        <v>113</v>
      </c>
      <c r="CO12" s="463" t="s">
        <v>113</v>
      </c>
      <c r="CP12" s="463" t="s">
        <v>113</v>
      </c>
      <c r="CQ12" s="463" t="s">
        <v>113</v>
      </c>
      <c r="CR12" s="463"/>
      <c r="CS12" s="467" t="s">
        <v>113</v>
      </c>
      <c r="CT12" s="467" t="s">
        <v>113</v>
      </c>
      <c r="CU12" s="467" t="s">
        <v>113</v>
      </c>
      <c r="CV12" s="467" t="s">
        <v>113</v>
      </c>
      <c r="CW12" s="467" t="s">
        <v>113</v>
      </c>
      <c r="CX12" s="467" t="s">
        <v>113</v>
      </c>
      <c r="CY12" s="467" t="s">
        <v>113</v>
      </c>
      <c r="CZ12" s="467"/>
      <c r="DA12" s="463" t="s">
        <v>113</v>
      </c>
      <c r="DB12" s="463" t="s">
        <v>113</v>
      </c>
      <c r="DC12" s="463" t="s">
        <v>113</v>
      </c>
      <c r="DD12" s="468">
        <f>(1-DE12)*100</f>
        <v>83.76192003752638</v>
      </c>
      <c r="DE12" s="469">
        <v>0.16238079962473612</v>
      </c>
      <c r="DF12" s="1"/>
      <c r="DG12" s="1"/>
      <c r="DH12" s="1"/>
      <c r="DI12" s="1"/>
      <c r="DJ12" s="1"/>
      <c r="DK12" s="1"/>
      <c r="DL12" s="1"/>
      <c r="DM12" s="1"/>
      <c r="DN12" s="1"/>
      <c r="DO12" s="1"/>
      <c r="DP12" s="1"/>
      <c r="DQ12" s="1"/>
      <c r="DR12" s="1"/>
      <c r="DS12" s="1"/>
      <c r="DT12" s="1"/>
      <c r="DU12" s="1"/>
      <c r="DV12" s="1"/>
      <c r="DW12" s="1"/>
      <c r="DX12" s="1"/>
      <c r="DY12" s="1"/>
      <c r="DZ12" s="1"/>
      <c r="EA12" s="484">
        <v>4155920.2656000014</v>
      </c>
      <c r="EB12" s="484">
        <v>4512638.9868000019</v>
      </c>
      <c r="EC12" s="484">
        <v>4124605.6440000022</v>
      </c>
      <c r="ED12" s="484">
        <v>4512638.9868000019</v>
      </c>
      <c r="EE12" s="484">
        <v>4181180.0604000017</v>
      </c>
      <c r="EF12" s="484">
        <v>4148508.1080000019</v>
      </c>
      <c r="EG12" s="484">
        <v>4124605.6440000022</v>
      </c>
      <c r="EH12" s="504"/>
      <c r="EI12" s="495" t="s">
        <v>113</v>
      </c>
      <c r="EJ12" s="495" t="s">
        <v>113</v>
      </c>
      <c r="EK12" s="495" t="s">
        <v>113</v>
      </c>
      <c r="EL12" s="495" t="s">
        <v>113</v>
      </c>
      <c r="EM12" s="496">
        <f t="shared" ref="EM12:EM21" si="9">EA12/EA$22*100</f>
        <v>1.6205876395625891E-2</v>
      </c>
      <c r="EN12" s="484">
        <v>1005810502.3271997</v>
      </c>
      <c r="EO12" s="484">
        <v>1015795949.0483994</v>
      </c>
      <c r="EP12" s="496">
        <f t="shared" ref="EP12:EP21" si="10">(EO12/EN12-1)*100</f>
        <v>0.9927761440247318</v>
      </c>
      <c r="EQ12" s="495" t="s">
        <v>113</v>
      </c>
      <c r="ER12" s="495" t="s">
        <v>113</v>
      </c>
      <c r="ES12" s="495" t="s">
        <v>113</v>
      </c>
      <c r="ET12" s="495" t="s">
        <v>113</v>
      </c>
      <c r="EU12" s="496">
        <f>EN12/EN$22*100</f>
        <v>0.79301237870557684</v>
      </c>
      <c r="EV12" s="465">
        <f>((EB12-$EA12)/ABS($EA12)) / ($EO12/$EN12-1)</f>
        <v>8.645843360719951</v>
      </c>
      <c r="EW12" s="465">
        <f>IF(EC12&lt;&gt;0,((EC12-$EA12)/ABS($EA12)) / ($EO12/$EN12-1),0)</f>
        <v>-0.75897702353001928</v>
      </c>
      <c r="EX12" s="505">
        <f t="shared" ref="EX12:EX21" si="11">EW12-X12</f>
        <v>-0.21419740931399878</v>
      </c>
      <c r="EY12" s="506">
        <f t="shared" ref="EY12:EY22" si="12">EV12-W12</f>
        <v>0.6051124380972297</v>
      </c>
      <c r="EZ12" s="468">
        <f>(1-FA12)*100</f>
        <v>82.936700437478521</v>
      </c>
      <c r="FA12" s="469">
        <v>0.17063299562521475</v>
      </c>
      <c r="FB12" s="495" t="s">
        <v>113</v>
      </c>
      <c r="FC12" s="495" t="s">
        <v>113</v>
      </c>
      <c r="FD12" s="495" t="s">
        <v>113</v>
      </c>
      <c r="FE12" s="495" t="s">
        <v>113</v>
      </c>
      <c r="FF12" s="495" t="s">
        <v>113</v>
      </c>
      <c r="FG12" s="495" t="s">
        <v>113</v>
      </c>
      <c r="FH12" s="495" t="s">
        <v>113</v>
      </c>
      <c r="FI12" s="495" t="s">
        <v>113</v>
      </c>
      <c r="FJ12" s="1"/>
      <c r="FK12" s="1"/>
      <c r="FL12" s="1"/>
      <c r="FM12" s="1"/>
      <c r="FN12" s="1"/>
      <c r="FO12" s="1"/>
      <c r="FP12" s="1"/>
      <c r="FQ12" s="1"/>
    </row>
    <row r="13" spans="1:173" x14ac:dyDescent="0.3">
      <c r="A13" s="1"/>
      <c r="B13" s="28">
        <v>2</v>
      </c>
      <c r="C13" s="462">
        <v>61363480.09679997</v>
      </c>
      <c r="D13" s="462">
        <v>64310547.022799969</v>
      </c>
      <c r="E13" s="462">
        <v>61921849.396799996</v>
      </c>
      <c r="F13" s="462">
        <v>64247345.607599974</v>
      </c>
      <c r="G13" s="462">
        <v>62305582.670399979</v>
      </c>
      <c r="H13" s="462">
        <v>61951622.75999999</v>
      </c>
      <c r="I13" s="462">
        <v>61921849.396799996</v>
      </c>
      <c r="J13" s="121"/>
      <c r="K13" s="495" t="s">
        <v>113</v>
      </c>
      <c r="L13" s="495" t="s">
        <v>113</v>
      </c>
      <c r="M13" s="495" t="s">
        <v>113</v>
      </c>
      <c r="N13" s="495" t="s">
        <v>113</v>
      </c>
      <c r="O13" s="496">
        <f t="shared" ref="O13:O21" si="13">C13/C$22*100</f>
        <v>0.28388003180000193</v>
      </c>
      <c r="P13" s="462">
        <v>3261063755.0220013</v>
      </c>
      <c r="Q13" s="462">
        <v>3293446337.5235996</v>
      </c>
      <c r="R13" s="496">
        <f t="shared" si="0"/>
        <v>0.99300672830235914</v>
      </c>
      <c r="S13" s="495" t="s">
        <v>113</v>
      </c>
      <c r="T13" s="495" t="s">
        <v>113</v>
      </c>
      <c r="U13" s="495" t="s">
        <v>113</v>
      </c>
      <c r="V13" s="495" t="s">
        <v>113</v>
      </c>
      <c r="W13" s="465">
        <f t="shared" ref="W13:X22" si="14">IF(D13&lt;&gt;0,((D13-$C13)/ABS($C13)) / ($Q13/$P13-1),0)</f>
        <v>4.8364625097589817</v>
      </c>
      <c r="X13" s="465">
        <f t="shared" si="14"/>
        <v>0.91634572741647202</v>
      </c>
      <c r="Y13" s="465">
        <f t="shared" si="1"/>
        <v>4.7327420029453249</v>
      </c>
      <c r="Z13" s="465">
        <f t="shared" si="1"/>
        <v>1.5460944362564155</v>
      </c>
      <c r="AA13" s="465">
        <f t="shared" si="1"/>
        <v>0.96520710672069254</v>
      </c>
      <c r="AB13" s="465">
        <f t="shared" ref="AB13:AC22" si="15">IF(I13&lt;&gt;0,MAX(((I13-$C13)/ABS($C13)) / ($Q13/$P13-1),0),AA13)</f>
        <v>0.91634572741647202</v>
      </c>
      <c r="AC13" s="465">
        <f t="shared" si="15"/>
        <v>0.91634572741647202</v>
      </c>
      <c r="AD13" s="495" t="s">
        <v>113</v>
      </c>
      <c r="AE13" s="495" t="s">
        <v>113</v>
      </c>
      <c r="AF13" s="495" t="s">
        <v>113</v>
      </c>
      <c r="AG13" s="495" t="s">
        <v>113</v>
      </c>
      <c r="AH13" s="497">
        <f t="shared" si="2"/>
        <v>1</v>
      </c>
      <c r="AI13" s="498">
        <f t="shared" ref="AI13:AI22" si="16">IF(W13&gt;1,MAX(W13-SUM(AH13,AJ13:AO13),0),0)</f>
        <v>0</v>
      </c>
      <c r="AJ13" s="498">
        <f t="shared" si="3"/>
        <v>0.10372050681365685</v>
      </c>
      <c r="AK13" s="498">
        <f t="shared" si="4"/>
        <v>3.1866475666889094</v>
      </c>
      <c r="AL13" s="498">
        <f t="shared" ref="AL13:AL22" si="17">IF(W13&gt;1,MAX(MIN(Z13-AA13,W13-AH13-AJ13-AK13),0),0)</f>
        <v>0.54609443625641552</v>
      </c>
      <c r="AM13" s="498">
        <f t="shared" ref="AM13:AM22" si="18">IF(I13&lt;&gt;0,IF(W13&gt;1,MAX(MIN(AA13-AB13,W13-AH13-AJ13-AK13-AL13),0),0),0)</f>
        <v>0</v>
      </c>
      <c r="AN13" s="499">
        <f t="shared" si="5"/>
        <v>0</v>
      </c>
      <c r="AO13" s="498">
        <f t="shared" ref="AO13:AO22" si="19">IF(W13&gt;1,MAX(0,MIN(W13-AH13-AJ13-AK13-AL13-AM13,W13-AH13-AJ13-AK13-AL13-AM13-X13+1)),0)</f>
        <v>0</v>
      </c>
      <c r="AP13" s="498">
        <f t="shared" si="6"/>
        <v>0</v>
      </c>
      <c r="AQ13" s="500" t="s">
        <v>113</v>
      </c>
      <c r="AR13" s="501">
        <f t="shared" si="7"/>
        <v>0</v>
      </c>
      <c r="AS13" s="501">
        <f t="shared" si="7"/>
        <v>2.703545428889722</v>
      </c>
      <c r="AT13" s="501">
        <f t="shared" si="7"/>
        <v>83.06213233109645</v>
      </c>
      <c r="AU13" s="501">
        <f t="shared" si="7"/>
        <v>14.23432224001383</v>
      </c>
      <c r="AV13" s="501">
        <f t="shared" si="7"/>
        <v>0</v>
      </c>
      <c r="AW13" s="502">
        <f t="shared" si="7"/>
        <v>0</v>
      </c>
      <c r="AX13" s="501">
        <f t="shared" si="7"/>
        <v>0</v>
      </c>
      <c r="AY13" s="501">
        <f t="shared" si="7"/>
        <v>0</v>
      </c>
      <c r="AZ13" s="463" t="s">
        <v>113</v>
      </c>
      <c r="BA13" s="463" t="s">
        <v>113</v>
      </c>
      <c r="BB13" s="463" t="s">
        <v>113</v>
      </c>
      <c r="BC13" s="463" t="s">
        <v>113</v>
      </c>
      <c r="BD13" s="463" t="s">
        <v>113</v>
      </c>
      <c r="BE13" s="463" t="s">
        <v>113</v>
      </c>
      <c r="BF13" s="463" t="s">
        <v>113</v>
      </c>
      <c r="BG13" s="463" t="s">
        <v>113</v>
      </c>
      <c r="BH13" s="462">
        <v>1387480572.8340001</v>
      </c>
      <c r="BI13" s="462">
        <v>1663804479.4655993</v>
      </c>
      <c r="BJ13" s="462">
        <v>189820788.84119999</v>
      </c>
      <c r="BK13" s="462">
        <v>19957635.18</v>
      </c>
      <c r="BL13" s="503">
        <f t="shared" ref="BL13:BL22" si="20">BH13/SUM($BH13:$BK13)</f>
        <v>0.42546874138107393</v>
      </c>
      <c r="BM13" s="503">
        <f t="shared" ref="BM13:BM22" si="21">BI13/SUM($BH13:$BK13)</f>
        <v>0.51020303393258037</v>
      </c>
      <c r="BN13" s="503">
        <f t="shared" ref="BN13:BO22" si="22">BJ13/SUM($BH13:$BK13)</f>
        <v>5.8208247162168034E-2</v>
      </c>
      <c r="BO13" s="503">
        <f t="shared" si="22"/>
        <v>6.1199775241776722E-3</v>
      </c>
      <c r="BP13" s="463" t="s">
        <v>113</v>
      </c>
      <c r="BQ13" s="463" t="s">
        <v>113</v>
      </c>
      <c r="BR13" s="463" t="s">
        <v>113</v>
      </c>
      <c r="BS13" s="496">
        <f t="shared" ref="BS13:BS21" si="23">P13/P$22*100</f>
        <v>2.9538575520067174</v>
      </c>
      <c r="BT13" s="463"/>
      <c r="BU13" s="463"/>
      <c r="BV13" s="463"/>
      <c r="BW13" s="463"/>
      <c r="BX13" s="463"/>
      <c r="BY13" s="463"/>
      <c r="BZ13" s="463"/>
      <c r="CA13" s="463"/>
      <c r="CB13" s="463"/>
      <c r="CC13" s="466" t="s">
        <v>113</v>
      </c>
      <c r="CD13" s="466" t="s">
        <v>113</v>
      </c>
      <c r="CE13" s="466" t="s">
        <v>113</v>
      </c>
      <c r="CF13" s="466" t="s">
        <v>113</v>
      </c>
      <c r="CG13" s="466" t="s">
        <v>113</v>
      </c>
      <c r="CH13" s="466" t="s">
        <v>113</v>
      </c>
      <c r="CI13" s="466" t="s">
        <v>113</v>
      </c>
      <c r="CJ13" s="466"/>
      <c r="CK13" s="463" t="s">
        <v>113</v>
      </c>
      <c r="CL13" s="463" t="s">
        <v>113</v>
      </c>
      <c r="CM13" s="463" t="s">
        <v>113</v>
      </c>
      <c r="CN13" s="463" t="s">
        <v>113</v>
      </c>
      <c r="CO13" s="463" t="s">
        <v>113</v>
      </c>
      <c r="CP13" s="463" t="s">
        <v>113</v>
      </c>
      <c r="CQ13" s="463" t="s">
        <v>113</v>
      </c>
      <c r="CR13" s="463"/>
      <c r="CS13" s="467" t="s">
        <v>113</v>
      </c>
      <c r="CT13" s="467" t="s">
        <v>113</v>
      </c>
      <c r="CU13" s="467" t="s">
        <v>113</v>
      </c>
      <c r="CV13" s="467" t="s">
        <v>113</v>
      </c>
      <c r="CW13" s="467" t="s">
        <v>113</v>
      </c>
      <c r="CX13" s="467" t="s">
        <v>113</v>
      </c>
      <c r="CY13" s="467" t="s">
        <v>113</v>
      </c>
      <c r="CZ13" s="467"/>
      <c r="DA13" s="463" t="s">
        <v>113</v>
      </c>
      <c r="DB13" s="463" t="s">
        <v>113</v>
      </c>
      <c r="DC13" s="463" t="s">
        <v>113</v>
      </c>
      <c r="DD13" s="468">
        <f t="shared" ref="DD13:DD22" si="24">(1-DE13)*100</f>
        <v>52.988985897209261</v>
      </c>
      <c r="DE13" s="469">
        <v>0.47011014102790738</v>
      </c>
      <c r="DF13" s="1"/>
      <c r="DG13" s="1"/>
      <c r="DH13" s="1"/>
      <c r="DI13" s="1"/>
      <c r="DJ13" s="1"/>
      <c r="DK13" s="1"/>
      <c r="DL13" s="1"/>
      <c r="DM13" s="1"/>
      <c r="DN13" s="1"/>
      <c r="DO13" s="1"/>
      <c r="DP13" s="1"/>
      <c r="DQ13" s="1"/>
      <c r="DR13" s="1"/>
      <c r="DS13" s="1"/>
      <c r="DT13" s="1"/>
      <c r="DU13" s="1"/>
      <c r="DV13" s="1"/>
      <c r="DW13" s="1"/>
      <c r="DX13" s="1"/>
      <c r="DY13" s="1"/>
      <c r="DZ13" s="1"/>
      <c r="EA13" s="484">
        <v>64064192.33160001</v>
      </c>
      <c r="EB13" s="484">
        <v>67022190.340800047</v>
      </c>
      <c r="EC13" s="484">
        <v>64701937.602000006</v>
      </c>
      <c r="ED13" s="484">
        <v>66967345.876800053</v>
      </c>
      <c r="EE13" s="484">
        <v>64990326.657600001</v>
      </c>
      <c r="EF13" s="484">
        <v>64748508.034800023</v>
      </c>
      <c r="EG13" s="484">
        <v>64701937.602000006</v>
      </c>
      <c r="EH13" s="504"/>
      <c r="EI13" s="495" t="s">
        <v>113</v>
      </c>
      <c r="EJ13" s="495" t="s">
        <v>113</v>
      </c>
      <c r="EK13" s="495" t="s">
        <v>113</v>
      </c>
      <c r="EL13" s="495" t="s">
        <v>113</v>
      </c>
      <c r="EM13" s="496">
        <f t="shared" si="9"/>
        <v>0.24981624188153756</v>
      </c>
      <c r="EN13" s="484">
        <v>3684546419.7168016</v>
      </c>
      <c r="EO13" s="484">
        <v>3721103601.0588007</v>
      </c>
      <c r="EP13" s="496">
        <f t="shared" si="10"/>
        <v>0.99217589297759812</v>
      </c>
      <c r="EQ13" s="495" t="s">
        <v>113</v>
      </c>
      <c r="ER13" s="495" t="s">
        <v>113</v>
      </c>
      <c r="ES13" s="495" t="s">
        <v>113</v>
      </c>
      <c r="ET13" s="495" t="s">
        <v>113</v>
      </c>
      <c r="EU13" s="496">
        <f t="shared" ref="EU13:EU21" si="25">EN13/EN$22*100</f>
        <v>2.9050113455667801</v>
      </c>
      <c r="EV13" s="465">
        <f t="shared" ref="EV13:EV22" si="26">((EB13-$EA13)/ABS($EA13)) / ($EO13/$EN13-1)</f>
        <v>4.6536514398671773</v>
      </c>
      <c r="EW13" s="465">
        <f t="shared" ref="EW13:EW22" si="27">IF(EC13&lt;&gt;0,((EC13-$EA13)/ABS($EA13)) / ($EO13/$EN13-1),0)</f>
        <v>1.0033286657512139</v>
      </c>
      <c r="EX13" s="505">
        <f t="shared" si="11"/>
        <v>8.6982938334741911E-2</v>
      </c>
      <c r="EY13" s="506">
        <f t="shared" si="12"/>
        <v>-0.1828110698918044</v>
      </c>
      <c r="EZ13" s="468">
        <f t="shared" ref="EZ13:EZ22" si="28">(1-FA13)*100</f>
        <v>52.118780028561495</v>
      </c>
      <c r="FA13" s="469">
        <v>0.47881219971438505</v>
      </c>
      <c r="FB13" s="495" t="s">
        <v>113</v>
      </c>
      <c r="FC13" s="495" t="s">
        <v>113</v>
      </c>
      <c r="FD13" s="495" t="s">
        <v>113</v>
      </c>
      <c r="FE13" s="495" t="s">
        <v>113</v>
      </c>
      <c r="FF13" s="495" t="s">
        <v>113</v>
      </c>
      <c r="FG13" s="495" t="s">
        <v>113</v>
      </c>
      <c r="FH13" s="495" t="s">
        <v>113</v>
      </c>
      <c r="FI13" s="495" t="s">
        <v>113</v>
      </c>
      <c r="FJ13" s="1"/>
      <c r="FK13" s="1"/>
      <c r="FL13" s="1"/>
      <c r="FM13" s="1"/>
      <c r="FN13" s="1"/>
      <c r="FO13" s="1"/>
      <c r="FP13" s="1"/>
      <c r="FQ13" s="1"/>
    </row>
    <row r="14" spans="1:173" x14ac:dyDescent="0.3">
      <c r="A14" s="1"/>
      <c r="B14" s="28">
        <v>3</v>
      </c>
      <c r="C14" s="462">
        <v>92601166.188000053</v>
      </c>
      <c r="D14" s="462">
        <v>96093629.89320001</v>
      </c>
      <c r="E14" s="462">
        <v>93415596.754800022</v>
      </c>
      <c r="F14" s="462">
        <v>95795167.842000008</v>
      </c>
      <c r="G14" s="462">
        <v>93735611.812800005</v>
      </c>
      <c r="H14" s="462">
        <v>93436883.438400015</v>
      </c>
      <c r="I14" s="462">
        <v>93415596.754800022</v>
      </c>
      <c r="J14" s="121"/>
      <c r="K14" s="495" t="s">
        <v>113</v>
      </c>
      <c r="L14" s="495" t="s">
        <v>113</v>
      </c>
      <c r="M14" s="495" t="s">
        <v>113</v>
      </c>
      <c r="N14" s="495" t="s">
        <v>113</v>
      </c>
      <c r="O14" s="496">
        <f t="shared" si="13"/>
        <v>0.42839196800276635</v>
      </c>
      <c r="P14" s="462">
        <v>5537198588.7755966</v>
      </c>
      <c r="Q14" s="462">
        <v>5592042634.5023937</v>
      </c>
      <c r="R14" s="496">
        <f t="shared" si="0"/>
        <v>0.99046557293378523</v>
      </c>
      <c r="S14" s="495" t="s">
        <v>113</v>
      </c>
      <c r="T14" s="495" t="s">
        <v>113</v>
      </c>
      <c r="U14" s="495" t="s">
        <v>113</v>
      </c>
      <c r="V14" s="495" t="s">
        <v>113</v>
      </c>
      <c r="W14" s="465">
        <f t="shared" si="14"/>
        <v>3.8078169319602013</v>
      </c>
      <c r="X14" s="465">
        <f t="shared" si="14"/>
        <v>0.88796985851261923</v>
      </c>
      <c r="Y14" s="465">
        <f t="shared" si="1"/>
        <v>3.4824051458864291</v>
      </c>
      <c r="Z14" s="465">
        <f t="shared" si="1"/>
        <v>1.2368807876427461</v>
      </c>
      <c r="AA14" s="465">
        <f t="shared" si="1"/>
        <v>0.91117863062287785</v>
      </c>
      <c r="AB14" s="465">
        <f t="shared" si="15"/>
        <v>0.88796985851261923</v>
      </c>
      <c r="AC14" s="465">
        <f t="shared" si="15"/>
        <v>0.88796985851261923</v>
      </c>
      <c r="AD14" s="495" t="s">
        <v>113</v>
      </c>
      <c r="AE14" s="495" t="s">
        <v>113</v>
      </c>
      <c r="AF14" s="495" t="s">
        <v>113</v>
      </c>
      <c r="AG14" s="495" t="s">
        <v>113</v>
      </c>
      <c r="AH14" s="497">
        <f t="shared" si="2"/>
        <v>1</v>
      </c>
      <c r="AI14" s="498">
        <f t="shared" si="16"/>
        <v>0</v>
      </c>
      <c r="AJ14" s="498">
        <f t="shared" si="3"/>
        <v>0.32541178607377219</v>
      </c>
      <c r="AK14" s="498">
        <f t="shared" si="4"/>
        <v>2.2455243582436832</v>
      </c>
      <c r="AL14" s="498">
        <f t="shared" si="17"/>
        <v>0.23688078764274589</v>
      </c>
      <c r="AM14" s="498">
        <f t="shared" si="18"/>
        <v>0</v>
      </c>
      <c r="AN14" s="499">
        <f>IF(J14&lt;&gt;0,IF(W14&gt;1,MAX(MIN(AB14-AC14,W14-AH14-AJ14-AK14-AL14-AM14),0),0),0)</f>
        <v>0</v>
      </c>
      <c r="AO14" s="498">
        <f t="shared" si="19"/>
        <v>0</v>
      </c>
      <c r="AP14" s="498">
        <f t="shared" si="6"/>
        <v>0</v>
      </c>
      <c r="AQ14" s="500" t="s">
        <v>113</v>
      </c>
      <c r="AR14" s="501">
        <f t="shared" si="7"/>
        <v>0</v>
      </c>
      <c r="AS14" s="501">
        <f t="shared" si="7"/>
        <v>11.589494399358678</v>
      </c>
      <c r="AT14" s="501">
        <f t="shared" si="7"/>
        <v>79.97403009732659</v>
      </c>
      <c r="AU14" s="501">
        <f t="shared" si="7"/>
        <v>8.4364755033147407</v>
      </c>
      <c r="AV14" s="501">
        <f t="shared" si="7"/>
        <v>0</v>
      </c>
      <c r="AW14" s="502">
        <f t="shared" si="7"/>
        <v>0</v>
      </c>
      <c r="AX14" s="501">
        <f t="shared" si="7"/>
        <v>0</v>
      </c>
      <c r="AY14" s="501">
        <f t="shared" si="7"/>
        <v>0</v>
      </c>
      <c r="AZ14" s="463" t="s">
        <v>113</v>
      </c>
      <c r="BA14" s="463" t="s">
        <v>113</v>
      </c>
      <c r="BB14" s="463" t="s">
        <v>113</v>
      </c>
      <c r="BC14" s="463" t="s">
        <v>113</v>
      </c>
      <c r="BD14" s="463" t="s">
        <v>113</v>
      </c>
      <c r="BE14" s="463" t="s">
        <v>113</v>
      </c>
      <c r="BF14" s="463" t="s">
        <v>113</v>
      </c>
      <c r="BG14" s="463" t="s">
        <v>113</v>
      </c>
      <c r="BH14" s="462">
        <v>1491256641.7728004</v>
      </c>
      <c r="BI14" s="462">
        <v>3689797469.8859968</v>
      </c>
      <c r="BJ14" s="462">
        <v>299998651.03439999</v>
      </c>
      <c r="BK14" s="462">
        <v>56145760.169999987</v>
      </c>
      <c r="BL14" s="503">
        <f t="shared" si="20"/>
        <v>0.26931608747914193</v>
      </c>
      <c r="BM14" s="503">
        <f t="shared" si="21"/>
        <v>0.66636539301431097</v>
      </c>
      <c r="BN14" s="503">
        <f t="shared" si="22"/>
        <v>5.4178778274916441E-2</v>
      </c>
      <c r="BO14" s="503">
        <f t="shared" si="22"/>
        <v>1.0139741231630596E-2</v>
      </c>
      <c r="BP14" s="463" t="s">
        <v>113</v>
      </c>
      <c r="BQ14" s="463" t="s">
        <v>113</v>
      </c>
      <c r="BR14" s="463" t="s">
        <v>113</v>
      </c>
      <c r="BS14" s="496">
        <f t="shared" si="23"/>
        <v>5.0155707146870503</v>
      </c>
      <c r="BT14" s="463"/>
      <c r="BU14" s="463"/>
      <c r="BV14" s="463"/>
      <c r="BW14" s="463"/>
      <c r="BX14" s="463"/>
      <c r="BY14" s="463"/>
      <c r="BZ14" s="463"/>
      <c r="CA14" s="463"/>
      <c r="CB14" s="463"/>
      <c r="CC14" s="466" t="s">
        <v>113</v>
      </c>
      <c r="CD14" s="466" t="s">
        <v>113</v>
      </c>
      <c r="CE14" s="466" t="s">
        <v>113</v>
      </c>
      <c r="CF14" s="466" t="s">
        <v>113</v>
      </c>
      <c r="CG14" s="466" t="s">
        <v>113</v>
      </c>
      <c r="CH14" s="466" t="s">
        <v>113</v>
      </c>
      <c r="CI14" s="466" t="s">
        <v>113</v>
      </c>
      <c r="CJ14" s="466"/>
      <c r="CK14" s="463" t="s">
        <v>113</v>
      </c>
      <c r="CL14" s="463" t="s">
        <v>113</v>
      </c>
      <c r="CM14" s="463" t="s">
        <v>113</v>
      </c>
      <c r="CN14" s="463" t="s">
        <v>113</v>
      </c>
      <c r="CO14" s="463" t="s">
        <v>113</v>
      </c>
      <c r="CP14" s="463" t="s">
        <v>113</v>
      </c>
      <c r="CQ14" s="463" t="s">
        <v>113</v>
      </c>
      <c r="CR14" s="463"/>
      <c r="CS14" s="467" t="s">
        <v>113</v>
      </c>
      <c r="CT14" s="467" t="s">
        <v>113</v>
      </c>
      <c r="CU14" s="467" t="s">
        <v>113</v>
      </c>
      <c r="CV14" s="467" t="s">
        <v>113</v>
      </c>
      <c r="CW14" s="467" t="s">
        <v>113</v>
      </c>
      <c r="CX14" s="467" t="s">
        <v>113</v>
      </c>
      <c r="CY14" s="467" t="s">
        <v>113</v>
      </c>
      <c r="CZ14" s="467"/>
      <c r="DA14" s="463" t="s">
        <v>113</v>
      </c>
      <c r="DB14" s="463" t="s">
        <v>113</v>
      </c>
      <c r="DC14" s="463" t="s">
        <v>113</v>
      </c>
      <c r="DD14" s="468">
        <f t="shared" si="24"/>
        <v>74.562263144815404</v>
      </c>
      <c r="DE14" s="469">
        <v>0.25437736855184589</v>
      </c>
      <c r="DF14" s="1"/>
      <c r="DG14" s="1"/>
      <c r="DH14" s="1"/>
      <c r="DI14" s="1"/>
      <c r="DJ14" s="1"/>
      <c r="DK14" s="1"/>
      <c r="DL14" s="1"/>
      <c r="DM14" s="1"/>
      <c r="DN14" s="1"/>
      <c r="DO14" s="1"/>
      <c r="DP14" s="1"/>
      <c r="DQ14" s="1"/>
      <c r="DR14" s="1"/>
      <c r="DS14" s="1"/>
      <c r="DT14" s="1"/>
      <c r="DU14" s="1"/>
      <c r="DV14" s="1"/>
      <c r="DW14" s="1"/>
      <c r="DX14" s="1"/>
      <c r="DY14" s="1"/>
      <c r="DZ14" s="1"/>
      <c r="EA14" s="484">
        <v>113330432.85960007</v>
      </c>
      <c r="EB14" s="484">
        <v>118068751.8924</v>
      </c>
      <c r="EC14" s="484">
        <v>114336421.73399994</v>
      </c>
      <c r="ED14" s="484">
        <v>117037605.22919999</v>
      </c>
      <c r="EE14" s="484">
        <v>114744184.98600006</v>
      </c>
      <c r="EF14" s="484">
        <v>114375805.24919996</v>
      </c>
      <c r="EG14" s="484">
        <v>114336421.73399994</v>
      </c>
      <c r="EH14" s="504"/>
      <c r="EI14" s="495" t="s">
        <v>113</v>
      </c>
      <c r="EJ14" s="495" t="s">
        <v>113</v>
      </c>
      <c r="EK14" s="495" t="s">
        <v>113</v>
      </c>
      <c r="EL14" s="495" t="s">
        <v>113</v>
      </c>
      <c r="EM14" s="496">
        <f t="shared" si="9"/>
        <v>0.44192835025921751</v>
      </c>
      <c r="EN14" s="484">
        <v>6241388469.7236023</v>
      </c>
      <c r="EO14" s="484">
        <v>6303206598.0047913</v>
      </c>
      <c r="EP14" s="496">
        <f t="shared" si="10"/>
        <v>0.99045474546348711</v>
      </c>
      <c r="EQ14" s="495" t="s">
        <v>113</v>
      </c>
      <c r="ER14" s="495" t="s">
        <v>113</v>
      </c>
      <c r="ES14" s="495" t="s">
        <v>113</v>
      </c>
      <c r="ET14" s="495" t="s">
        <v>113</v>
      </c>
      <c r="EU14" s="496">
        <f t="shared" si="25"/>
        <v>4.9209053846118564</v>
      </c>
      <c r="EV14" s="465">
        <f t="shared" si="26"/>
        <v>4.2212698311217904</v>
      </c>
      <c r="EW14" s="465">
        <f t="shared" si="27"/>
        <v>0.89621455553173346</v>
      </c>
      <c r="EX14" s="505">
        <f t="shared" si="11"/>
        <v>8.2446970191142332E-3</v>
      </c>
      <c r="EY14" s="506">
        <f t="shared" si="12"/>
        <v>0.41345289916158912</v>
      </c>
      <c r="EZ14" s="468">
        <f t="shared" si="28"/>
        <v>70.505450693078231</v>
      </c>
      <c r="FA14" s="469">
        <v>0.29494549306921763</v>
      </c>
      <c r="FB14" s="495" t="s">
        <v>113</v>
      </c>
      <c r="FC14" s="495" t="s">
        <v>113</v>
      </c>
      <c r="FD14" s="495" t="s">
        <v>113</v>
      </c>
      <c r="FE14" s="495" t="s">
        <v>113</v>
      </c>
      <c r="FF14" s="495" t="s">
        <v>113</v>
      </c>
      <c r="FG14" s="495" t="s">
        <v>113</v>
      </c>
      <c r="FH14" s="495" t="s">
        <v>113</v>
      </c>
      <c r="FI14" s="495" t="s">
        <v>113</v>
      </c>
      <c r="FJ14" s="1"/>
      <c r="FK14" s="1"/>
      <c r="FL14" s="1"/>
      <c r="FM14" s="1"/>
      <c r="FN14" s="1"/>
      <c r="FO14" s="1"/>
      <c r="FP14" s="1"/>
      <c r="FQ14" s="1"/>
    </row>
    <row r="15" spans="1:173" x14ac:dyDescent="0.3">
      <c r="A15" s="1"/>
      <c r="B15" s="28">
        <v>4</v>
      </c>
      <c r="C15" s="462">
        <v>219818146.75800002</v>
      </c>
      <c r="D15" s="462">
        <v>227767184.95679998</v>
      </c>
      <c r="E15" s="462">
        <v>221836323.9576</v>
      </c>
      <c r="F15" s="462">
        <v>226223881.47600004</v>
      </c>
      <c r="G15" s="462">
        <v>222438872.42520002</v>
      </c>
      <c r="H15" s="462">
        <v>221871328.36319995</v>
      </c>
      <c r="I15" s="462">
        <v>221836323.9576</v>
      </c>
      <c r="J15" s="121"/>
      <c r="K15" s="495" t="s">
        <v>113</v>
      </c>
      <c r="L15" s="495" t="s">
        <v>113</v>
      </c>
      <c r="M15" s="495" t="s">
        <v>113</v>
      </c>
      <c r="N15" s="495" t="s">
        <v>113</v>
      </c>
      <c r="O15" s="496">
        <f t="shared" si="13"/>
        <v>1.0169237858322304</v>
      </c>
      <c r="P15" s="462">
        <v>6075083146.2467947</v>
      </c>
      <c r="Q15" s="462">
        <v>6135126754.3848</v>
      </c>
      <c r="R15" s="496">
        <f t="shared" si="0"/>
        <v>0.98835862312600664</v>
      </c>
      <c r="S15" s="495" t="s">
        <v>113</v>
      </c>
      <c r="T15" s="495" t="s">
        <v>113</v>
      </c>
      <c r="U15" s="495" t="s">
        <v>113</v>
      </c>
      <c r="V15" s="495" t="s">
        <v>113</v>
      </c>
      <c r="W15" s="465">
        <f t="shared" si="14"/>
        <v>3.6587815984593366</v>
      </c>
      <c r="X15" s="465">
        <f t="shared" si="14"/>
        <v>0.92892616888434998</v>
      </c>
      <c r="Y15" s="465">
        <f t="shared" si="1"/>
        <v>2.9484302030865583</v>
      </c>
      <c r="Z15" s="465">
        <f t="shared" si="1"/>
        <v>1.2062670484095779</v>
      </c>
      <c r="AA15" s="465">
        <f t="shared" si="1"/>
        <v>0.94503798919154702</v>
      </c>
      <c r="AB15" s="465">
        <f t="shared" si="15"/>
        <v>0.92892616888434998</v>
      </c>
      <c r="AC15" s="465">
        <f t="shared" si="15"/>
        <v>0.92892616888434998</v>
      </c>
      <c r="AD15" s="495" t="s">
        <v>113</v>
      </c>
      <c r="AE15" s="495" t="s">
        <v>113</v>
      </c>
      <c r="AF15" s="495" t="s">
        <v>113</v>
      </c>
      <c r="AG15" s="495" t="s">
        <v>113</v>
      </c>
      <c r="AH15" s="497">
        <f t="shared" si="2"/>
        <v>1</v>
      </c>
      <c r="AI15" s="498">
        <f t="shared" si="16"/>
        <v>0</v>
      </c>
      <c r="AJ15" s="498">
        <f t="shared" si="3"/>
        <v>0.71035139537277825</v>
      </c>
      <c r="AK15" s="498">
        <f t="shared" si="4"/>
        <v>1.7421631546769805</v>
      </c>
      <c r="AL15" s="498">
        <f t="shared" si="17"/>
        <v>0.20626704840957788</v>
      </c>
      <c r="AM15" s="498">
        <f t="shared" si="18"/>
        <v>0</v>
      </c>
      <c r="AN15" s="499">
        <f t="shared" ref="AN15:AN22" si="29">IF(J15&lt;&gt;0,IF(W15&gt;1,MAX(MIN(AB15-AC15,W15-AH15-AJ15-AK15-AL15-AM15),0),0),0)</f>
        <v>0</v>
      </c>
      <c r="AO15" s="498">
        <f t="shared" si="19"/>
        <v>0</v>
      </c>
      <c r="AP15" s="498">
        <f t="shared" si="6"/>
        <v>0</v>
      </c>
      <c r="AQ15" s="500" t="s">
        <v>113</v>
      </c>
      <c r="AR15" s="501">
        <f t="shared" si="7"/>
        <v>0</v>
      </c>
      <c r="AS15" s="501">
        <f t="shared" si="7"/>
        <v>26.717177363661609</v>
      </c>
      <c r="AT15" s="501">
        <f t="shared" si="7"/>
        <v>65.524868822866011</v>
      </c>
      <c r="AU15" s="501">
        <f t="shared" si="7"/>
        <v>7.7579538134723753</v>
      </c>
      <c r="AV15" s="501">
        <f t="shared" si="7"/>
        <v>0</v>
      </c>
      <c r="AW15" s="502">
        <f t="shared" si="7"/>
        <v>0</v>
      </c>
      <c r="AX15" s="501">
        <f t="shared" si="7"/>
        <v>0</v>
      </c>
      <c r="AY15" s="501">
        <f t="shared" si="7"/>
        <v>0</v>
      </c>
      <c r="AZ15" s="463" t="s">
        <v>113</v>
      </c>
      <c r="BA15" s="463" t="s">
        <v>113</v>
      </c>
      <c r="BB15" s="463" t="s">
        <v>113</v>
      </c>
      <c r="BC15" s="463" t="s">
        <v>113</v>
      </c>
      <c r="BD15" s="463" t="s">
        <v>113</v>
      </c>
      <c r="BE15" s="463" t="s">
        <v>113</v>
      </c>
      <c r="BF15" s="463" t="s">
        <v>113</v>
      </c>
      <c r="BG15" s="463" t="s">
        <v>113</v>
      </c>
      <c r="BH15" s="462">
        <v>2517135911.2416</v>
      </c>
      <c r="BI15" s="462">
        <v>3156904608.986402</v>
      </c>
      <c r="BJ15" s="462">
        <v>339527381.7972002</v>
      </c>
      <c r="BK15" s="462">
        <v>61515087.316799998</v>
      </c>
      <c r="BL15" s="503">
        <f t="shared" si="20"/>
        <v>0.41433769969194001</v>
      </c>
      <c r="BM15" s="503">
        <f t="shared" si="21"/>
        <v>0.51964798086294606</v>
      </c>
      <c r="BN15" s="503">
        <f t="shared" si="22"/>
        <v>5.5888517472577719E-2</v>
      </c>
      <c r="BO15" s="503">
        <f t="shared" si="22"/>
        <v>1.0125801972536139E-2</v>
      </c>
      <c r="BP15" s="463" t="s">
        <v>113</v>
      </c>
      <c r="BQ15" s="463" t="s">
        <v>113</v>
      </c>
      <c r="BR15" s="463" t="s">
        <v>113</v>
      </c>
      <c r="BS15" s="496">
        <f t="shared" si="23"/>
        <v>5.5027842381109036</v>
      </c>
      <c r="BT15" s="463"/>
      <c r="BU15" s="463"/>
      <c r="BV15" s="463"/>
      <c r="BW15" s="463"/>
      <c r="BX15" s="463"/>
      <c r="BY15" s="463"/>
      <c r="BZ15" s="463"/>
      <c r="CA15" s="463"/>
      <c r="CB15" s="463"/>
      <c r="CC15" s="466" t="s">
        <v>113</v>
      </c>
      <c r="CD15" s="466" t="s">
        <v>113</v>
      </c>
      <c r="CE15" s="466" t="s">
        <v>113</v>
      </c>
      <c r="CF15" s="466" t="s">
        <v>113</v>
      </c>
      <c r="CG15" s="466" t="s">
        <v>113</v>
      </c>
      <c r="CH15" s="466" t="s">
        <v>113</v>
      </c>
      <c r="CI15" s="466" t="s">
        <v>113</v>
      </c>
      <c r="CJ15" s="466"/>
      <c r="CK15" s="463" t="s">
        <v>113</v>
      </c>
      <c r="CL15" s="463" t="s">
        <v>113</v>
      </c>
      <c r="CM15" s="463" t="s">
        <v>113</v>
      </c>
      <c r="CN15" s="463" t="s">
        <v>113</v>
      </c>
      <c r="CO15" s="463" t="s">
        <v>113</v>
      </c>
      <c r="CP15" s="463" t="s">
        <v>113</v>
      </c>
      <c r="CQ15" s="463" t="s">
        <v>113</v>
      </c>
      <c r="CR15" s="463"/>
      <c r="CS15" s="467" t="s">
        <v>113</v>
      </c>
      <c r="CT15" s="467" t="s">
        <v>113</v>
      </c>
      <c r="CU15" s="467" t="s">
        <v>113</v>
      </c>
      <c r="CV15" s="467" t="s">
        <v>113</v>
      </c>
      <c r="CW15" s="467" t="s">
        <v>113</v>
      </c>
      <c r="CX15" s="467" t="s">
        <v>113</v>
      </c>
      <c r="CY15" s="467" t="s">
        <v>113</v>
      </c>
      <c r="CZ15" s="467"/>
      <c r="DA15" s="463" t="s">
        <v>113</v>
      </c>
      <c r="DB15" s="463" t="s">
        <v>113</v>
      </c>
      <c r="DC15" s="463" t="s">
        <v>113</v>
      </c>
      <c r="DD15" s="468">
        <f t="shared" si="24"/>
        <v>47.018997510327701</v>
      </c>
      <c r="DE15" s="469">
        <v>0.52981002489672302</v>
      </c>
      <c r="DF15" s="1"/>
      <c r="DG15" s="1"/>
      <c r="DH15" s="1"/>
      <c r="DI15" s="1"/>
      <c r="DJ15" s="1"/>
      <c r="DK15" s="1"/>
      <c r="DL15" s="1"/>
      <c r="DM15" s="1"/>
      <c r="DN15" s="1"/>
      <c r="DO15" s="1"/>
      <c r="DP15" s="1"/>
      <c r="DQ15" s="1"/>
      <c r="DR15" s="1"/>
      <c r="DS15" s="1"/>
      <c r="DT15" s="1"/>
      <c r="DU15" s="1"/>
      <c r="DV15" s="1"/>
      <c r="DW15" s="1"/>
      <c r="DX15" s="1"/>
      <c r="DY15" s="1"/>
      <c r="DZ15" s="1"/>
      <c r="EA15" s="484">
        <v>262787163.26039985</v>
      </c>
      <c r="EB15" s="484">
        <v>272122806.86640006</v>
      </c>
      <c r="EC15" s="484">
        <v>265341513.21359977</v>
      </c>
      <c r="ED15" s="484">
        <v>270367333.18680006</v>
      </c>
      <c r="EE15" s="484">
        <v>265925883.07319993</v>
      </c>
      <c r="EF15" s="484">
        <v>265395893.39519978</v>
      </c>
      <c r="EG15" s="484">
        <v>265341513.21359977</v>
      </c>
      <c r="EH15" s="504"/>
      <c r="EI15" s="495" t="s">
        <v>113</v>
      </c>
      <c r="EJ15" s="495" t="s">
        <v>113</v>
      </c>
      <c r="EK15" s="495" t="s">
        <v>113</v>
      </c>
      <c r="EL15" s="495" t="s">
        <v>113</v>
      </c>
      <c r="EM15" s="496">
        <f t="shared" si="9"/>
        <v>1.0247300270426054</v>
      </c>
      <c r="EN15" s="484">
        <v>6754728304.0463963</v>
      </c>
      <c r="EO15" s="484">
        <v>6821739085.6571989</v>
      </c>
      <c r="EP15" s="496">
        <f t="shared" si="10"/>
        <v>0.99205739438343876</v>
      </c>
      <c r="EQ15" s="495" t="s">
        <v>113</v>
      </c>
      <c r="ER15" s="495" t="s">
        <v>113</v>
      </c>
      <c r="ES15" s="495" t="s">
        <v>113</v>
      </c>
      <c r="ET15" s="495" t="s">
        <v>113</v>
      </c>
      <c r="EU15" s="496">
        <f t="shared" si="25"/>
        <v>5.3256385248592002</v>
      </c>
      <c r="EV15" s="465">
        <f t="shared" si="26"/>
        <v>3.5809917344030113</v>
      </c>
      <c r="EW15" s="465">
        <f t="shared" si="27"/>
        <v>0.97980454859080157</v>
      </c>
      <c r="EX15" s="505">
        <f t="shared" si="11"/>
        <v>5.0878379706451593E-2</v>
      </c>
      <c r="EY15" s="506">
        <f t="shared" si="12"/>
        <v>-7.7789864056325264E-2</v>
      </c>
      <c r="EZ15" s="468">
        <f t="shared" si="28"/>
        <v>45.400391607493837</v>
      </c>
      <c r="FA15" s="469">
        <v>0.5459960839250616</v>
      </c>
      <c r="FB15" s="495" t="s">
        <v>113</v>
      </c>
      <c r="FC15" s="495" t="s">
        <v>113</v>
      </c>
      <c r="FD15" s="495" t="s">
        <v>113</v>
      </c>
      <c r="FE15" s="495" t="s">
        <v>113</v>
      </c>
      <c r="FF15" s="495" t="s">
        <v>113</v>
      </c>
      <c r="FG15" s="495" t="s">
        <v>113</v>
      </c>
      <c r="FH15" s="495" t="s">
        <v>113</v>
      </c>
      <c r="FI15" s="495" t="s">
        <v>113</v>
      </c>
      <c r="FJ15" s="1"/>
      <c r="FK15" s="1"/>
      <c r="FL15" s="1"/>
      <c r="FM15" s="1"/>
      <c r="FN15" s="1"/>
      <c r="FO15" s="1"/>
      <c r="FP15" s="1"/>
      <c r="FQ15" s="1"/>
    </row>
    <row r="16" spans="1:173" x14ac:dyDescent="0.3">
      <c r="A16" s="1"/>
      <c r="B16" s="28">
        <v>5</v>
      </c>
      <c r="C16" s="462">
        <v>608549068.85519981</v>
      </c>
      <c r="D16" s="462">
        <v>626806435.77960014</v>
      </c>
      <c r="E16" s="462">
        <v>614497961.78039968</v>
      </c>
      <c r="F16" s="462">
        <v>622871269.57200003</v>
      </c>
      <c r="G16" s="462">
        <v>615706282.40999961</v>
      </c>
      <c r="H16" s="462">
        <v>614566058.5751996</v>
      </c>
      <c r="I16" s="462">
        <v>614497961.78039968</v>
      </c>
      <c r="J16" s="121"/>
      <c r="K16" s="495" t="s">
        <v>113</v>
      </c>
      <c r="L16" s="495" t="s">
        <v>113</v>
      </c>
      <c r="M16" s="495" t="s">
        <v>113</v>
      </c>
      <c r="N16" s="495" t="s">
        <v>113</v>
      </c>
      <c r="O16" s="496">
        <f t="shared" si="13"/>
        <v>2.8152726792215401</v>
      </c>
      <c r="P16" s="462">
        <v>7484924177.5632057</v>
      </c>
      <c r="Q16" s="462">
        <v>7559213451.4175987</v>
      </c>
      <c r="R16" s="496">
        <f t="shared" si="0"/>
        <v>0.99251872286272302</v>
      </c>
      <c r="S16" s="495" t="s">
        <v>113</v>
      </c>
      <c r="T16" s="495" t="s">
        <v>113</v>
      </c>
      <c r="U16" s="495" t="s">
        <v>113</v>
      </c>
      <c r="V16" s="495" t="s">
        <v>113</v>
      </c>
      <c r="W16" s="465">
        <f t="shared" si="14"/>
        <v>3.0227611618913155</v>
      </c>
      <c r="X16" s="465">
        <f t="shared" si="14"/>
        <v>0.98492200792173124</v>
      </c>
      <c r="Y16" s="465">
        <f t="shared" si="1"/>
        <v>2.3712396348729023</v>
      </c>
      <c r="Z16" s="465">
        <f t="shared" si="1"/>
        <v>1.1849763030120783</v>
      </c>
      <c r="AA16" s="465">
        <f t="shared" si="1"/>
        <v>0.99619637992853971</v>
      </c>
      <c r="AB16" s="465">
        <f t="shared" si="15"/>
        <v>0.98492200792173124</v>
      </c>
      <c r="AC16" s="465">
        <f t="shared" si="15"/>
        <v>0.98492200792173124</v>
      </c>
      <c r="AD16" s="495" t="s">
        <v>113</v>
      </c>
      <c r="AE16" s="495" t="s">
        <v>113</v>
      </c>
      <c r="AF16" s="495" t="s">
        <v>113</v>
      </c>
      <c r="AG16" s="495" t="s">
        <v>113</v>
      </c>
      <c r="AH16" s="497">
        <f t="shared" si="2"/>
        <v>1</v>
      </c>
      <c r="AI16" s="498">
        <f t="shared" si="16"/>
        <v>0</v>
      </c>
      <c r="AJ16" s="498">
        <f t="shared" si="3"/>
        <v>0.65152152701841315</v>
      </c>
      <c r="AK16" s="498">
        <f t="shared" si="4"/>
        <v>1.186263331860824</v>
      </c>
      <c r="AL16" s="498">
        <f t="shared" si="17"/>
        <v>0.18497630301207835</v>
      </c>
      <c r="AM16" s="498">
        <f t="shared" si="18"/>
        <v>0</v>
      </c>
      <c r="AN16" s="499">
        <f t="shared" si="29"/>
        <v>0</v>
      </c>
      <c r="AO16" s="498">
        <f t="shared" si="19"/>
        <v>0</v>
      </c>
      <c r="AP16" s="498">
        <f t="shared" si="6"/>
        <v>0</v>
      </c>
      <c r="AQ16" s="500" t="s">
        <v>113</v>
      </c>
      <c r="AR16" s="501">
        <f t="shared" si="7"/>
        <v>0</v>
      </c>
      <c r="AS16" s="501">
        <f t="shared" si="7"/>
        <v>32.209513376716686</v>
      </c>
      <c r="AT16" s="501">
        <f t="shared" si="7"/>
        <v>58.645743956822258</v>
      </c>
      <c r="AU16" s="501">
        <f t="shared" si="7"/>
        <v>9.1447426664610472</v>
      </c>
      <c r="AV16" s="501">
        <f t="shared" si="7"/>
        <v>0</v>
      </c>
      <c r="AW16" s="502">
        <f t="shared" si="7"/>
        <v>0</v>
      </c>
      <c r="AX16" s="501">
        <f t="shared" si="7"/>
        <v>0</v>
      </c>
      <c r="AY16" s="501">
        <f t="shared" si="7"/>
        <v>0</v>
      </c>
      <c r="AZ16" s="463" t="s">
        <v>113</v>
      </c>
      <c r="BA16" s="463" t="s">
        <v>113</v>
      </c>
      <c r="BB16" s="463" t="s">
        <v>113</v>
      </c>
      <c r="BC16" s="463" t="s">
        <v>113</v>
      </c>
      <c r="BD16" s="463" t="s">
        <v>113</v>
      </c>
      <c r="BE16" s="463" t="s">
        <v>113</v>
      </c>
      <c r="BF16" s="463" t="s">
        <v>113</v>
      </c>
      <c r="BG16" s="463" t="s">
        <v>113</v>
      </c>
      <c r="BH16" s="462">
        <v>5057564284.1904049</v>
      </c>
      <c r="BI16" s="462">
        <v>1608564262.2359996</v>
      </c>
      <c r="BJ16" s="462">
        <v>635064677.04239964</v>
      </c>
      <c r="BK16" s="462">
        <v>183730769.88959998</v>
      </c>
      <c r="BL16" s="503">
        <f t="shared" si="20"/>
        <v>0.67570015255707772</v>
      </c>
      <c r="BM16" s="503">
        <f t="shared" si="21"/>
        <v>0.21490722733635326</v>
      </c>
      <c r="BN16" s="503">
        <f t="shared" si="22"/>
        <v>8.4845841802256294E-2</v>
      </c>
      <c r="BO16" s="503">
        <f t="shared" si="22"/>
        <v>2.4546778304312743E-2</v>
      </c>
      <c r="BP16" s="463" t="s">
        <v>113</v>
      </c>
      <c r="BQ16" s="463" t="s">
        <v>113</v>
      </c>
      <c r="BR16" s="463" t="s">
        <v>113</v>
      </c>
      <c r="BS16" s="496">
        <f t="shared" si="23"/>
        <v>6.7798121928908994</v>
      </c>
      <c r="BT16" s="463"/>
      <c r="BU16" s="463"/>
      <c r="BV16" s="463"/>
      <c r="BW16" s="463"/>
      <c r="BX16" s="463"/>
      <c r="BY16" s="463"/>
      <c r="BZ16" s="463"/>
      <c r="CA16" s="463"/>
      <c r="CB16" s="463"/>
      <c r="CC16" s="466" t="s">
        <v>113</v>
      </c>
      <c r="CD16" s="466" t="s">
        <v>113</v>
      </c>
      <c r="CE16" s="466" t="s">
        <v>113</v>
      </c>
      <c r="CF16" s="466" t="s">
        <v>113</v>
      </c>
      <c r="CG16" s="466" t="s">
        <v>113</v>
      </c>
      <c r="CH16" s="466" t="s">
        <v>113</v>
      </c>
      <c r="CI16" s="466" t="s">
        <v>113</v>
      </c>
      <c r="CJ16" s="466"/>
      <c r="CK16" s="463" t="s">
        <v>113</v>
      </c>
      <c r="CL16" s="463" t="s">
        <v>113</v>
      </c>
      <c r="CM16" s="463" t="s">
        <v>113</v>
      </c>
      <c r="CN16" s="463" t="s">
        <v>113</v>
      </c>
      <c r="CO16" s="463" t="s">
        <v>113</v>
      </c>
      <c r="CP16" s="463" t="s">
        <v>113</v>
      </c>
      <c r="CQ16" s="463" t="s">
        <v>113</v>
      </c>
      <c r="CR16" s="463"/>
      <c r="CS16" s="467" t="s">
        <v>113</v>
      </c>
      <c r="CT16" s="467" t="s">
        <v>113</v>
      </c>
      <c r="CU16" s="467" t="s">
        <v>113</v>
      </c>
      <c r="CV16" s="467" t="s">
        <v>113</v>
      </c>
      <c r="CW16" s="467" t="s">
        <v>113</v>
      </c>
      <c r="CX16" s="467" t="s">
        <v>113</v>
      </c>
      <c r="CY16" s="467" t="s">
        <v>113</v>
      </c>
      <c r="CZ16" s="467"/>
      <c r="DA16" s="463" t="s">
        <v>113</v>
      </c>
      <c r="DB16" s="463" t="s">
        <v>113</v>
      </c>
      <c r="DC16" s="463" t="s">
        <v>113</v>
      </c>
      <c r="DD16" s="468">
        <f t="shared" si="24"/>
        <v>5.9287975233374146</v>
      </c>
      <c r="DE16" s="469">
        <v>0.94071202476662585</v>
      </c>
      <c r="DF16" s="1"/>
      <c r="DG16" s="1"/>
      <c r="DH16" s="1"/>
      <c r="DI16" s="1"/>
      <c r="DJ16" s="1"/>
      <c r="DK16" s="1"/>
      <c r="DL16" s="1"/>
      <c r="DM16" s="1"/>
      <c r="DN16" s="1"/>
      <c r="DO16" s="1"/>
      <c r="DP16" s="1"/>
      <c r="DQ16" s="1"/>
      <c r="DR16" s="1"/>
      <c r="DS16" s="1"/>
      <c r="DT16" s="1"/>
      <c r="DU16" s="1"/>
      <c r="DV16" s="1"/>
      <c r="DW16" s="1"/>
      <c r="DX16" s="1"/>
      <c r="DY16" s="1"/>
      <c r="DZ16" s="1"/>
      <c r="EA16" s="484">
        <v>727126313.12040031</v>
      </c>
      <c r="EB16" s="484">
        <v>749007959.50559974</v>
      </c>
      <c r="EC16" s="484">
        <v>734396801.71800089</v>
      </c>
      <c r="ED16" s="484">
        <v>744246480.2531997</v>
      </c>
      <c r="EE16" s="484">
        <v>735693055.62720025</v>
      </c>
      <c r="EF16" s="484">
        <v>734474885.78880095</v>
      </c>
      <c r="EG16" s="484">
        <v>734396801.71800089</v>
      </c>
      <c r="EH16" s="504"/>
      <c r="EI16" s="495" t="s">
        <v>113</v>
      </c>
      <c r="EJ16" s="495" t="s">
        <v>113</v>
      </c>
      <c r="EK16" s="495" t="s">
        <v>113</v>
      </c>
      <c r="EL16" s="495" t="s">
        <v>113</v>
      </c>
      <c r="EM16" s="496">
        <f t="shared" si="9"/>
        <v>2.8354054941752183</v>
      </c>
      <c r="EN16" s="484">
        <v>8508769994.9688034</v>
      </c>
      <c r="EO16" s="484">
        <v>8593357125.552</v>
      </c>
      <c r="EP16" s="496">
        <f t="shared" si="10"/>
        <v>0.99411701847873513</v>
      </c>
      <c r="EQ16" s="495" t="s">
        <v>113</v>
      </c>
      <c r="ER16" s="495" t="s">
        <v>113</v>
      </c>
      <c r="ES16" s="495" t="s">
        <v>113</v>
      </c>
      <c r="ET16" s="495" t="s">
        <v>113</v>
      </c>
      <c r="EU16" s="496">
        <f t="shared" si="25"/>
        <v>6.7085797155196181</v>
      </c>
      <c r="EV16" s="465">
        <f t="shared" si="26"/>
        <v>3.0271408286570249</v>
      </c>
      <c r="EW16" s="465">
        <f t="shared" si="27"/>
        <v>1.0058106456271334</v>
      </c>
      <c r="EX16" s="505">
        <f t="shared" si="11"/>
        <v>2.0888637705402169E-2</v>
      </c>
      <c r="EY16" s="506">
        <f t="shared" si="12"/>
        <v>4.3796667657094446E-3</v>
      </c>
      <c r="EZ16" s="468">
        <f t="shared" si="28"/>
        <v>1.4211703124487163</v>
      </c>
      <c r="FA16" s="469">
        <v>0.98578829687551284</v>
      </c>
      <c r="FB16" s="495" t="s">
        <v>113</v>
      </c>
      <c r="FC16" s="495" t="s">
        <v>113</v>
      </c>
      <c r="FD16" s="495" t="s">
        <v>113</v>
      </c>
      <c r="FE16" s="495" t="s">
        <v>113</v>
      </c>
      <c r="FF16" s="495" t="s">
        <v>113</v>
      </c>
      <c r="FG16" s="495" t="s">
        <v>113</v>
      </c>
      <c r="FH16" s="495" t="s">
        <v>113</v>
      </c>
      <c r="FI16" s="495" t="s">
        <v>113</v>
      </c>
      <c r="FJ16" s="1"/>
      <c r="FK16" s="1"/>
      <c r="FL16" s="1"/>
      <c r="FM16" s="1"/>
      <c r="FN16" s="1"/>
      <c r="FO16" s="1"/>
      <c r="FP16" s="1"/>
      <c r="FQ16" s="1"/>
    </row>
    <row r="17" spans="1:173" x14ac:dyDescent="0.3">
      <c r="A17" s="1"/>
      <c r="B17" s="28">
        <v>6</v>
      </c>
      <c r="C17" s="462">
        <v>1122719077.3068004</v>
      </c>
      <c r="D17" s="462">
        <v>1151122854.5039992</v>
      </c>
      <c r="E17" s="462">
        <v>1134026516.0027997</v>
      </c>
      <c r="F17" s="462">
        <v>1144354427.5440006</v>
      </c>
      <c r="G17" s="462">
        <v>1135623698.4468</v>
      </c>
      <c r="H17" s="462">
        <v>1134005541.9083996</v>
      </c>
      <c r="I17" s="462">
        <v>1134026516.0027997</v>
      </c>
      <c r="J17" s="121"/>
      <c r="K17" s="495" t="s">
        <v>113</v>
      </c>
      <c r="L17" s="495" t="s">
        <v>113</v>
      </c>
      <c r="M17" s="495" t="s">
        <v>113</v>
      </c>
      <c r="N17" s="495" t="s">
        <v>113</v>
      </c>
      <c r="O17" s="496">
        <f t="shared" si="13"/>
        <v>5.1939284875230545</v>
      </c>
      <c r="P17" s="462">
        <v>9405740924.8199997</v>
      </c>
      <c r="Q17" s="462">
        <v>9499494252.3108025</v>
      </c>
      <c r="R17" s="496">
        <f t="shared" si="0"/>
        <v>0.99676706216098587</v>
      </c>
      <c r="S17" s="495" t="s">
        <v>113</v>
      </c>
      <c r="T17" s="495" t="s">
        <v>113</v>
      </c>
      <c r="U17" s="495" t="s">
        <v>113</v>
      </c>
      <c r="V17" s="495" t="s">
        <v>113</v>
      </c>
      <c r="W17" s="465">
        <f t="shared" si="14"/>
        <v>2.5381151220467291</v>
      </c>
      <c r="X17" s="465">
        <f t="shared" si="14"/>
        <v>1.010414246903848</v>
      </c>
      <c r="Y17" s="465">
        <f t="shared" si="1"/>
        <v>1.9332995476823656</v>
      </c>
      <c r="Z17" s="465">
        <f t="shared" si="1"/>
        <v>1.1531358604991113</v>
      </c>
      <c r="AA17" s="465">
        <f t="shared" si="1"/>
        <v>1.0085400360973518</v>
      </c>
      <c r="AB17" s="465">
        <f t="shared" si="15"/>
        <v>1.010414246903848</v>
      </c>
      <c r="AC17" s="465">
        <f t="shared" si="15"/>
        <v>1.010414246903848</v>
      </c>
      <c r="AD17" s="495" t="s">
        <v>113</v>
      </c>
      <c r="AE17" s="495" t="s">
        <v>113</v>
      </c>
      <c r="AF17" s="495" t="s">
        <v>113</v>
      </c>
      <c r="AG17" s="495" t="s">
        <v>113</v>
      </c>
      <c r="AH17" s="497">
        <f t="shared" si="2"/>
        <v>1</v>
      </c>
      <c r="AI17" s="498">
        <f t="shared" si="16"/>
        <v>8.5400360973517664E-3</v>
      </c>
      <c r="AJ17" s="498">
        <f t="shared" si="3"/>
        <v>0.60481557436436351</v>
      </c>
      <c r="AK17" s="498">
        <f t="shared" si="4"/>
        <v>0.78016368718325424</v>
      </c>
      <c r="AL17" s="498">
        <f t="shared" si="17"/>
        <v>0.14459582440175955</v>
      </c>
      <c r="AM17" s="498">
        <f t="shared" si="18"/>
        <v>0</v>
      </c>
      <c r="AN17" s="499">
        <f t="shared" si="29"/>
        <v>0</v>
      </c>
      <c r="AO17" s="498">
        <f t="shared" si="19"/>
        <v>0</v>
      </c>
      <c r="AP17" s="498">
        <f t="shared" si="6"/>
        <v>8.5400360973517664E-3</v>
      </c>
      <c r="AQ17" s="500" t="s">
        <v>113</v>
      </c>
      <c r="AR17" s="501">
        <f t="shared" si="7"/>
        <v>0.55522736724594235</v>
      </c>
      <c r="AS17" s="501">
        <f t="shared" si="7"/>
        <v>39.32186646468643</v>
      </c>
      <c r="AT17" s="501">
        <f t="shared" si="7"/>
        <v>50.722060787303825</v>
      </c>
      <c r="AU17" s="501">
        <f t="shared" si="7"/>
        <v>9.4008453807638084</v>
      </c>
      <c r="AV17" s="501">
        <f t="shared" si="7"/>
        <v>0</v>
      </c>
      <c r="AW17" s="502">
        <f t="shared" si="7"/>
        <v>0</v>
      </c>
      <c r="AX17" s="501">
        <f t="shared" si="7"/>
        <v>0</v>
      </c>
      <c r="AY17" s="501">
        <f t="shared" si="7"/>
        <v>0.55522736724594235</v>
      </c>
      <c r="AZ17" s="463" t="s">
        <v>113</v>
      </c>
      <c r="BA17" s="463" t="s">
        <v>113</v>
      </c>
      <c r="BB17" s="463" t="s">
        <v>113</v>
      </c>
      <c r="BC17" s="463" t="s">
        <v>113</v>
      </c>
      <c r="BD17" s="463" t="s">
        <v>113</v>
      </c>
      <c r="BE17" s="463" t="s">
        <v>113</v>
      </c>
      <c r="BF17" s="463" t="s">
        <v>113</v>
      </c>
      <c r="BG17" s="463" t="s">
        <v>113</v>
      </c>
      <c r="BH17" s="462">
        <v>7030431237.9599991</v>
      </c>
      <c r="BI17" s="462">
        <v>1161946452.7811997</v>
      </c>
      <c r="BJ17" s="462">
        <v>1070612244.1704004</v>
      </c>
      <c r="BK17" s="462">
        <v>142750557.72119999</v>
      </c>
      <c r="BL17" s="503">
        <f t="shared" si="20"/>
        <v>0.74746174886142158</v>
      </c>
      <c r="BM17" s="503">
        <f t="shared" si="21"/>
        <v>0.12353588254867477</v>
      </c>
      <c r="BN17" s="503">
        <f t="shared" si="22"/>
        <v>0.11382540747418826</v>
      </c>
      <c r="BO17" s="503">
        <f t="shared" si="22"/>
        <v>1.5176961115715636E-2</v>
      </c>
      <c r="BP17" s="463" t="s">
        <v>113</v>
      </c>
      <c r="BQ17" s="463" t="s">
        <v>113</v>
      </c>
      <c r="BR17" s="463" t="s">
        <v>113</v>
      </c>
      <c r="BS17" s="496">
        <f t="shared" si="23"/>
        <v>8.5196797579355383</v>
      </c>
      <c r="BT17" s="463"/>
      <c r="BU17" s="463"/>
      <c r="BV17" s="463"/>
      <c r="BW17" s="463"/>
      <c r="BX17" s="463"/>
      <c r="BY17" s="463"/>
      <c r="BZ17" s="463"/>
      <c r="CA17" s="463"/>
      <c r="CB17" s="463"/>
      <c r="CC17" s="466" t="s">
        <v>113</v>
      </c>
      <c r="CD17" s="466" t="s">
        <v>113</v>
      </c>
      <c r="CE17" s="466" t="s">
        <v>113</v>
      </c>
      <c r="CF17" s="466" t="s">
        <v>113</v>
      </c>
      <c r="CG17" s="466" t="s">
        <v>113</v>
      </c>
      <c r="CH17" s="466" t="s">
        <v>113</v>
      </c>
      <c r="CI17" s="466" t="s">
        <v>113</v>
      </c>
      <c r="CJ17" s="466"/>
      <c r="CK17" s="463" t="s">
        <v>113</v>
      </c>
      <c r="CL17" s="463" t="s">
        <v>113</v>
      </c>
      <c r="CM17" s="463" t="s">
        <v>113</v>
      </c>
      <c r="CN17" s="463" t="s">
        <v>113</v>
      </c>
      <c r="CO17" s="463" t="s">
        <v>113</v>
      </c>
      <c r="CP17" s="463" t="s">
        <v>113</v>
      </c>
      <c r="CQ17" s="463" t="s">
        <v>113</v>
      </c>
      <c r="CR17" s="463"/>
      <c r="CS17" s="467" t="s">
        <v>113</v>
      </c>
      <c r="CT17" s="467" t="s">
        <v>113</v>
      </c>
      <c r="CU17" s="467" t="s">
        <v>113</v>
      </c>
      <c r="CV17" s="467" t="s">
        <v>113</v>
      </c>
      <c r="CW17" s="467" t="s">
        <v>113</v>
      </c>
      <c r="CX17" s="467" t="s">
        <v>113</v>
      </c>
      <c r="CY17" s="467" t="s">
        <v>113</v>
      </c>
      <c r="CZ17" s="467"/>
      <c r="DA17" s="463" t="s">
        <v>113</v>
      </c>
      <c r="DB17" s="463" t="s">
        <v>113</v>
      </c>
      <c r="DC17" s="463" t="s">
        <v>113</v>
      </c>
      <c r="DD17" s="468">
        <f t="shared" si="24"/>
        <v>0</v>
      </c>
      <c r="DE17" s="469">
        <v>1</v>
      </c>
      <c r="DF17" s="1"/>
      <c r="DG17" s="1"/>
      <c r="DH17" s="1"/>
      <c r="DI17" s="1"/>
      <c r="DJ17" s="1"/>
      <c r="DK17" s="1"/>
      <c r="DL17" s="1"/>
      <c r="DM17" s="1"/>
      <c r="DN17" s="1"/>
      <c r="DO17" s="1"/>
      <c r="DP17" s="1"/>
      <c r="DQ17" s="1"/>
      <c r="DR17" s="1"/>
      <c r="DS17" s="1"/>
      <c r="DT17" s="1"/>
      <c r="DU17" s="1"/>
      <c r="DV17" s="1"/>
      <c r="DW17" s="1"/>
      <c r="DX17" s="1"/>
      <c r="DY17" s="1"/>
      <c r="DZ17" s="1"/>
      <c r="EA17" s="484">
        <v>1349527929.1824007</v>
      </c>
      <c r="EB17" s="484">
        <v>1382212873.0619993</v>
      </c>
      <c r="EC17" s="484">
        <v>1363063749.8532</v>
      </c>
      <c r="ED17" s="484">
        <v>1375257148.7291994</v>
      </c>
      <c r="EE17" s="484">
        <v>1364974944.3132007</v>
      </c>
      <c r="EF17" s="484">
        <v>1363090419.1667998</v>
      </c>
      <c r="EG17" s="484">
        <v>1363063749.8532</v>
      </c>
      <c r="EH17" s="504"/>
      <c r="EI17" s="495" t="s">
        <v>113</v>
      </c>
      <c r="EJ17" s="495" t="s">
        <v>113</v>
      </c>
      <c r="EK17" s="495" t="s">
        <v>113</v>
      </c>
      <c r="EL17" s="495" t="s">
        <v>113</v>
      </c>
      <c r="EM17" s="496">
        <f t="shared" si="9"/>
        <v>5.2624404259636304</v>
      </c>
      <c r="EN17" s="484">
        <v>10803698868.796803</v>
      </c>
      <c r="EO17" s="484">
        <v>10910805410.821211</v>
      </c>
      <c r="EP17" s="496">
        <f t="shared" si="10"/>
        <v>0.99138770272237942</v>
      </c>
      <c r="EQ17" s="495" t="s">
        <v>113</v>
      </c>
      <c r="ER17" s="495" t="s">
        <v>113</v>
      </c>
      <c r="ES17" s="495" t="s">
        <v>113</v>
      </c>
      <c r="ET17" s="495" t="s">
        <v>113</v>
      </c>
      <c r="EU17" s="496">
        <f t="shared" si="25"/>
        <v>8.5179732354556617</v>
      </c>
      <c r="EV17" s="465">
        <f t="shared" si="26"/>
        <v>2.4429936555365868</v>
      </c>
      <c r="EW17" s="465">
        <f t="shared" si="27"/>
        <v>1.0117173259668344</v>
      </c>
      <c r="EX17" s="505">
        <f t="shared" si="11"/>
        <v>1.3030790629864342E-3</v>
      </c>
      <c r="EY17" s="506">
        <f t="shared" si="12"/>
        <v>-9.5121466510142305E-2</v>
      </c>
      <c r="EZ17" s="468">
        <f t="shared" si="28"/>
        <v>0</v>
      </c>
      <c r="FA17" s="469">
        <v>1</v>
      </c>
      <c r="FB17" s="495" t="s">
        <v>113</v>
      </c>
      <c r="FC17" s="495" t="s">
        <v>113</v>
      </c>
      <c r="FD17" s="495" t="s">
        <v>113</v>
      </c>
      <c r="FE17" s="495" t="s">
        <v>113</v>
      </c>
      <c r="FF17" s="495" t="s">
        <v>113</v>
      </c>
      <c r="FG17" s="495" t="s">
        <v>113</v>
      </c>
      <c r="FH17" s="495" t="s">
        <v>113</v>
      </c>
      <c r="FI17" s="495" t="s">
        <v>113</v>
      </c>
      <c r="FJ17" s="1"/>
      <c r="FK17" s="1"/>
      <c r="FL17" s="1"/>
      <c r="FM17" s="1"/>
      <c r="FN17" s="1"/>
      <c r="FO17" s="1"/>
      <c r="FP17" s="1"/>
      <c r="FQ17" s="1"/>
    </row>
    <row r="18" spans="1:173" x14ac:dyDescent="0.3">
      <c r="A18" s="1"/>
      <c r="B18" s="28">
        <v>7</v>
      </c>
      <c r="C18" s="462">
        <v>1784735604.5700006</v>
      </c>
      <c r="D18" s="462">
        <v>1826496266.9676018</v>
      </c>
      <c r="E18" s="462">
        <v>1802935922.0832</v>
      </c>
      <c r="F18" s="462">
        <v>1815019332.5064001</v>
      </c>
      <c r="G18" s="462">
        <v>1804940978.7491999</v>
      </c>
      <c r="H18" s="462">
        <v>1802893600.5839992</v>
      </c>
      <c r="I18" s="462">
        <v>1802935922.0832</v>
      </c>
      <c r="J18" s="121"/>
      <c r="K18" s="495" t="s">
        <v>113</v>
      </c>
      <c r="L18" s="495" t="s">
        <v>113</v>
      </c>
      <c r="M18" s="495" t="s">
        <v>113</v>
      </c>
      <c r="N18" s="495" t="s">
        <v>113</v>
      </c>
      <c r="O18" s="496">
        <f t="shared" si="13"/>
        <v>8.2565525843823302</v>
      </c>
      <c r="P18" s="462">
        <v>11818940495.298</v>
      </c>
      <c r="Q18" s="462">
        <v>11936825429.331606</v>
      </c>
      <c r="R18" s="496">
        <f t="shared" si="0"/>
        <v>0.99742387298171753</v>
      </c>
      <c r="S18" s="495" t="s">
        <v>113</v>
      </c>
      <c r="T18" s="495" t="s">
        <v>113</v>
      </c>
      <c r="U18" s="495" t="s">
        <v>113</v>
      </c>
      <c r="V18" s="495" t="s">
        <v>113</v>
      </c>
      <c r="W18" s="465">
        <f t="shared" si="14"/>
        <v>2.3459228873241842</v>
      </c>
      <c r="X18" s="465">
        <f t="shared" si="14"/>
        <v>1.0224105404332411</v>
      </c>
      <c r="Y18" s="465">
        <f t="shared" si="1"/>
        <v>1.7012012358208968</v>
      </c>
      <c r="Z18" s="465">
        <f t="shared" si="1"/>
        <v>1.1350454473790959</v>
      </c>
      <c r="AA18" s="465">
        <f t="shared" si="1"/>
        <v>1.0200331123010957</v>
      </c>
      <c r="AB18" s="465">
        <f t="shared" si="15"/>
        <v>1.0224105404332411</v>
      </c>
      <c r="AC18" s="465">
        <f t="shared" si="15"/>
        <v>1.0224105404332411</v>
      </c>
      <c r="AD18" s="495" t="s">
        <v>113</v>
      </c>
      <c r="AE18" s="495" t="s">
        <v>113</v>
      </c>
      <c r="AF18" s="495" t="s">
        <v>113</v>
      </c>
      <c r="AG18" s="495" t="s">
        <v>113</v>
      </c>
      <c r="AH18" s="497">
        <f t="shared" si="2"/>
        <v>1</v>
      </c>
      <c r="AI18" s="498">
        <f t="shared" si="16"/>
        <v>2.0033112301095723E-2</v>
      </c>
      <c r="AJ18" s="498">
        <f t="shared" si="3"/>
        <v>0.64472165150328742</v>
      </c>
      <c r="AK18" s="498">
        <f t="shared" si="4"/>
        <v>0.56615578844180092</v>
      </c>
      <c r="AL18" s="498">
        <f t="shared" si="17"/>
        <v>0.11501233507800013</v>
      </c>
      <c r="AM18" s="498">
        <f t="shared" si="18"/>
        <v>0</v>
      </c>
      <c r="AN18" s="499">
        <f t="shared" si="29"/>
        <v>0</v>
      </c>
      <c r="AO18" s="498">
        <f t="shared" si="19"/>
        <v>0</v>
      </c>
      <c r="AP18" s="498">
        <f t="shared" si="6"/>
        <v>2.0033112301095723E-2</v>
      </c>
      <c r="AQ18" s="500" t="s">
        <v>113</v>
      </c>
      <c r="AR18" s="501">
        <f t="shared" si="7"/>
        <v>1.4884294256206128</v>
      </c>
      <c r="AS18" s="501">
        <f t="shared" si="7"/>
        <v>47.901826885866548</v>
      </c>
      <c r="AT18" s="501">
        <f t="shared" si="7"/>
        <v>42.064504123811254</v>
      </c>
      <c r="AU18" s="501">
        <f t="shared" si="7"/>
        <v>8.5452395647015855</v>
      </c>
      <c r="AV18" s="501">
        <f t="shared" si="7"/>
        <v>0</v>
      </c>
      <c r="AW18" s="502">
        <f t="shared" si="7"/>
        <v>0</v>
      </c>
      <c r="AX18" s="501">
        <f t="shared" si="7"/>
        <v>0</v>
      </c>
      <c r="AY18" s="501">
        <f t="shared" si="7"/>
        <v>1.4884294256206128</v>
      </c>
      <c r="AZ18" s="463" t="s">
        <v>113</v>
      </c>
      <c r="BA18" s="463" t="s">
        <v>113</v>
      </c>
      <c r="BB18" s="463" t="s">
        <v>113</v>
      </c>
      <c r="BC18" s="463" t="s">
        <v>113</v>
      </c>
      <c r="BD18" s="463" t="s">
        <v>113</v>
      </c>
      <c r="BE18" s="463" t="s">
        <v>113</v>
      </c>
      <c r="BF18" s="463" t="s">
        <v>113</v>
      </c>
      <c r="BG18" s="463" t="s">
        <v>113</v>
      </c>
      <c r="BH18" s="462">
        <v>9270677294.7371941</v>
      </c>
      <c r="BI18" s="462">
        <v>1150684632.0983999</v>
      </c>
      <c r="BJ18" s="462">
        <v>1126830406.6163998</v>
      </c>
      <c r="BK18" s="462">
        <v>270749317.44959998</v>
      </c>
      <c r="BL18" s="503">
        <f t="shared" si="20"/>
        <v>0.78439149363513372</v>
      </c>
      <c r="BM18" s="503">
        <f t="shared" si="21"/>
        <v>9.7359363138121699E-2</v>
      </c>
      <c r="BN18" s="503">
        <f t="shared" si="22"/>
        <v>9.5341058438209725E-2</v>
      </c>
      <c r="BO18" s="503">
        <f t="shared" si="22"/>
        <v>2.2908084788534868E-2</v>
      </c>
      <c r="BP18" s="463" t="s">
        <v>113</v>
      </c>
      <c r="BQ18" s="463" t="s">
        <v>113</v>
      </c>
      <c r="BR18" s="463" t="s">
        <v>113</v>
      </c>
      <c r="BS18" s="496">
        <f t="shared" si="23"/>
        <v>10.705545570825088</v>
      </c>
      <c r="BT18" s="463"/>
      <c r="BU18" s="463"/>
      <c r="BV18" s="463"/>
      <c r="BW18" s="463"/>
      <c r="BX18" s="463"/>
      <c r="BY18" s="463"/>
      <c r="BZ18" s="463"/>
      <c r="CA18" s="463"/>
      <c r="CB18" s="463"/>
      <c r="CC18" s="466" t="s">
        <v>113</v>
      </c>
      <c r="CD18" s="466" t="s">
        <v>113</v>
      </c>
      <c r="CE18" s="466" t="s">
        <v>113</v>
      </c>
      <c r="CF18" s="466" t="s">
        <v>113</v>
      </c>
      <c r="CG18" s="466" t="s">
        <v>113</v>
      </c>
      <c r="CH18" s="466" t="s">
        <v>113</v>
      </c>
      <c r="CI18" s="466" t="s">
        <v>113</v>
      </c>
      <c r="CJ18" s="466"/>
      <c r="CK18" s="463" t="s">
        <v>113</v>
      </c>
      <c r="CL18" s="463" t="s">
        <v>113</v>
      </c>
      <c r="CM18" s="463" t="s">
        <v>113</v>
      </c>
      <c r="CN18" s="463" t="s">
        <v>113</v>
      </c>
      <c r="CO18" s="463" t="s">
        <v>113</v>
      </c>
      <c r="CP18" s="463" t="s">
        <v>113</v>
      </c>
      <c r="CQ18" s="463" t="s">
        <v>113</v>
      </c>
      <c r="CR18" s="463"/>
      <c r="CS18" s="467" t="s">
        <v>113</v>
      </c>
      <c r="CT18" s="467" t="s">
        <v>113</v>
      </c>
      <c r="CU18" s="467" t="s">
        <v>113</v>
      </c>
      <c r="CV18" s="467" t="s">
        <v>113</v>
      </c>
      <c r="CW18" s="467" t="s">
        <v>113</v>
      </c>
      <c r="CX18" s="467" t="s">
        <v>113</v>
      </c>
      <c r="CY18" s="467" t="s">
        <v>113</v>
      </c>
      <c r="CZ18" s="467"/>
      <c r="DA18" s="463" t="s">
        <v>113</v>
      </c>
      <c r="DB18" s="463" t="s">
        <v>113</v>
      </c>
      <c r="DC18" s="463" t="s">
        <v>113</v>
      </c>
      <c r="DD18" s="468">
        <f t="shared" si="24"/>
        <v>0</v>
      </c>
      <c r="DE18" s="469">
        <v>1</v>
      </c>
      <c r="DF18" s="1"/>
      <c r="DG18" s="1"/>
      <c r="DH18" s="1"/>
      <c r="DI18" s="1"/>
      <c r="DJ18" s="1"/>
      <c r="DK18" s="1"/>
      <c r="DL18" s="1"/>
      <c r="DM18" s="1"/>
      <c r="DN18" s="1"/>
      <c r="DO18" s="1"/>
      <c r="DP18" s="1"/>
      <c r="DQ18" s="1"/>
      <c r="DR18" s="1"/>
      <c r="DS18" s="1"/>
      <c r="DT18" s="1"/>
      <c r="DU18" s="1"/>
      <c r="DV18" s="1"/>
      <c r="DW18" s="1"/>
      <c r="DX18" s="1"/>
      <c r="DY18" s="1"/>
      <c r="DZ18" s="1"/>
      <c r="EA18" s="484">
        <v>2106518179.6943994</v>
      </c>
      <c r="EB18" s="484">
        <v>2155175872.6259995</v>
      </c>
      <c r="EC18" s="484">
        <v>2128203556.4975991</v>
      </c>
      <c r="ED18" s="484">
        <v>2142194784.9155996</v>
      </c>
      <c r="EE18" s="484">
        <v>2130797531.3520021</v>
      </c>
      <c r="EF18" s="484">
        <v>2128188185.8307984</v>
      </c>
      <c r="EG18" s="484">
        <v>2128203556.4975991</v>
      </c>
      <c r="EH18" s="504"/>
      <c r="EI18" s="495" t="s">
        <v>113</v>
      </c>
      <c r="EJ18" s="495" t="s">
        <v>113</v>
      </c>
      <c r="EK18" s="495" t="s">
        <v>113</v>
      </c>
      <c r="EL18" s="495" t="s">
        <v>113</v>
      </c>
      <c r="EM18" s="496">
        <f t="shared" si="9"/>
        <v>8.2142993762027086</v>
      </c>
      <c r="EN18" s="484">
        <v>13534599120.012001</v>
      </c>
      <c r="EO18" s="484">
        <v>13669611096.357599</v>
      </c>
      <c r="EP18" s="496">
        <f t="shared" si="10"/>
        <v>0.99753214076339081</v>
      </c>
      <c r="EQ18" s="495" t="s">
        <v>113</v>
      </c>
      <c r="ER18" s="495" t="s">
        <v>113</v>
      </c>
      <c r="ES18" s="495" t="s">
        <v>113</v>
      </c>
      <c r="ET18" s="495" t="s">
        <v>113</v>
      </c>
      <c r="EU18" s="496">
        <f t="shared" si="25"/>
        <v>10.671100190496462</v>
      </c>
      <c r="EV18" s="465">
        <f t="shared" si="26"/>
        <v>2.3155779434154495</v>
      </c>
      <c r="EW18" s="465">
        <f t="shared" si="27"/>
        <v>1.031988513938183</v>
      </c>
      <c r="EX18" s="505">
        <f t="shared" si="11"/>
        <v>9.577973504941939E-3</v>
      </c>
      <c r="EY18" s="506">
        <f t="shared" si="12"/>
        <v>-3.0344943908734656E-2</v>
      </c>
      <c r="EZ18" s="468">
        <f t="shared" si="28"/>
        <v>0</v>
      </c>
      <c r="FA18" s="469">
        <v>1</v>
      </c>
      <c r="FB18" s="495" t="s">
        <v>113</v>
      </c>
      <c r="FC18" s="495" t="s">
        <v>113</v>
      </c>
      <c r="FD18" s="495" t="s">
        <v>113</v>
      </c>
      <c r="FE18" s="495" t="s">
        <v>113</v>
      </c>
      <c r="FF18" s="495" t="s">
        <v>113</v>
      </c>
      <c r="FG18" s="495" t="s">
        <v>113</v>
      </c>
      <c r="FH18" s="495" t="s">
        <v>113</v>
      </c>
      <c r="FI18" s="495" t="s">
        <v>113</v>
      </c>
      <c r="FJ18" s="1"/>
      <c r="FK18" s="1"/>
      <c r="FL18" s="1"/>
      <c r="FM18" s="1"/>
      <c r="FN18" s="1"/>
      <c r="FO18" s="1"/>
      <c r="FP18" s="1"/>
      <c r="FQ18" s="1"/>
    </row>
    <row r="19" spans="1:173" x14ac:dyDescent="0.3">
      <c r="A19" s="1"/>
      <c r="B19" s="28">
        <v>8</v>
      </c>
      <c r="C19" s="462">
        <v>2864168606.6123996</v>
      </c>
      <c r="D19" s="462">
        <v>2922907300.0595984</v>
      </c>
      <c r="E19" s="462">
        <v>2893421263.108798</v>
      </c>
      <c r="F19" s="462">
        <v>2906339454.960001</v>
      </c>
      <c r="G19" s="462">
        <v>2896037633.4216022</v>
      </c>
      <c r="H19" s="462">
        <v>2893221317.5824003</v>
      </c>
      <c r="I19" s="462">
        <v>2893421263.108798</v>
      </c>
      <c r="J19" s="121"/>
      <c r="K19" s="495" t="s">
        <v>113</v>
      </c>
      <c r="L19" s="495" t="s">
        <v>113</v>
      </c>
      <c r="M19" s="495" t="s">
        <v>113</v>
      </c>
      <c r="N19" s="495" t="s">
        <v>113</v>
      </c>
      <c r="O19" s="496">
        <f t="shared" si="13"/>
        <v>13.250230818771577</v>
      </c>
      <c r="P19" s="462">
        <v>14600492814.736811</v>
      </c>
      <c r="Q19" s="462">
        <v>14746414536.099592</v>
      </c>
      <c r="R19" s="496">
        <f t="shared" si="0"/>
        <v>0.9994301097528524</v>
      </c>
      <c r="S19" s="495" t="s">
        <v>113</v>
      </c>
      <c r="T19" s="495" t="s">
        <v>113</v>
      </c>
      <c r="U19" s="495" t="s">
        <v>113</v>
      </c>
      <c r="V19" s="495" t="s">
        <v>113</v>
      </c>
      <c r="W19" s="465">
        <f t="shared" si="14"/>
        <v>2.0519807042005245</v>
      </c>
      <c r="X19" s="465">
        <f t="shared" si="14"/>
        <v>1.021913889371304</v>
      </c>
      <c r="Y19" s="465">
        <f t="shared" si="1"/>
        <v>1.4731987044763128</v>
      </c>
      <c r="Z19" s="465">
        <f t="shared" si="1"/>
        <v>1.1133143118499449</v>
      </c>
      <c r="AA19" s="465">
        <f t="shared" si="1"/>
        <v>1.0149289815025562</v>
      </c>
      <c r="AB19" s="465">
        <f t="shared" si="15"/>
        <v>1.021913889371304</v>
      </c>
      <c r="AC19" s="465">
        <f t="shared" si="15"/>
        <v>1.021913889371304</v>
      </c>
      <c r="AD19" s="495" t="s">
        <v>113</v>
      </c>
      <c r="AE19" s="495" t="s">
        <v>113</v>
      </c>
      <c r="AF19" s="495" t="s">
        <v>113</v>
      </c>
      <c r="AG19" s="495" t="s">
        <v>113</v>
      </c>
      <c r="AH19" s="497">
        <f t="shared" si="2"/>
        <v>1</v>
      </c>
      <c r="AI19" s="498">
        <f t="shared" si="16"/>
        <v>1.4928981502556393E-2</v>
      </c>
      <c r="AJ19" s="498">
        <f t="shared" si="3"/>
        <v>0.57878199972421163</v>
      </c>
      <c r="AK19" s="498">
        <f t="shared" si="4"/>
        <v>0.35988439262636795</v>
      </c>
      <c r="AL19" s="498">
        <f t="shared" si="17"/>
        <v>9.8385330347388722E-2</v>
      </c>
      <c r="AM19" s="498">
        <f t="shared" si="18"/>
        <v>0</v>
      </c>
      <c r="AN19" s="499">
        <f t="shared" si="29"/>
        <v>0</v>
      </c>
      <c r="AO19" s="498">
        <f t="shared" si="19"/>
        <v>0</v>
      </c>
      <c r="AP19" s="498">
        <f t="shared" si="6"/>
        <v>1.4928981502556393E-2</v>
      </c>
      <c r="AQ19" s="500" t="s">
        <v>113</v>
      </c>
      <c r="AR19" s="501">
        <f t="shared" si="7"/>
        <v>1.41913073528302</v>
      </c>
      <c r="AS19" s="501">
        <f t="shared" si="7"/>
        <v>55.01830950065473</v>
      </c>
      <c r="AT19" s="501">
        <f t="shared" si="7"/>
        <v>34.210170508770872</v>
      </c>
      <c r="AU19" s="501">
        <f t="shared" si="7"/>
        <v>9.3523892552914063</v>
      </c>
      <c r="AV19" s="501">
        <f t="shared" si="7"/>
        <v>0</v>
      </c>
      <c r="AW19" s="502">
        <f t="shared" si="7"/>
        <v>0</v>
      </c>
      <c r="AX19" s="501">
        <f t="shared" si="7"/>
        <v>0</v>
      </c>
      <c r="AY19" s="501">
        <f t="shared" si="7"/>
        <v>1.41913073528302</v>
      </c>
      <c r="AZ19" s="463" t="s">
        <v>113</v>
      </c>
      <c r="BA19" s="463" t="s">
        <v>113</v>
      </c>
      <c r="BB19" s="463" t="s">
        <v>113</v>
      </c>
      <c r="BC19" s="463" t="s">
        <v>113</v>
      </c>
      <c r="BD19" s="463" t="s">
        <v>113</v>
      </c>
      <c r="BE19" s="463" t="s">
        <v>113</v>
      </c>
      <c r="BF19" s="463" t="s">
        <v>113</v>
      </c>
      <c r="BG19" s="463" t="s">
        <v>113</v>
      </c>
      <c r="BH19" s="462">
        <v>11700967107.807596</v>
      </c>
      <c r="BI19" s="462">
        <v>916980147.63600039</v>
      </c>
      <c r="BJ19" s="462">
        <v>1747802990.5679994</v>
      </c>
      <c r="BK19" s="462">
        <v>234743341.57800001</v>
      </c>
      <c r="BL19" s="503">
        <f t="shared" si="20"/>
        <v>0.8014090097442601</v>
      </c>
      <c r="BM19" s="503">
        <f t="shared" si="21"/>
        <v>6.2804736164223426E-2</v>
      </c>
      <c r="BN19" s="503">
        <f t="shared" si="22"/>
        <v>0.11970848657155196</v>
      </c>
      <c r="BO19" s="503">
        <f t="shared" si="22"/>
        <v>1.6077767519964644E-2</v>
      </c>
      <c r="BP19" s="463" t="s">
        <v>113</v>
      </c>
      <c r="BQ19" s="463" t="s">
        <v>113</v>
      </c>
      <c r="BR19" s="463" t="s">
        <v>113</v>
      </c>
      <c r="BS19" s="496">
        <f t="shared" si="23"/>
        <v>13.225063722662231</v>
      </c>
      <c r="BT19" s="463"/>
      <c r="BU19" s="463"/>
      <c r="BV19" s="463"/>
      <c r="BW19" s="463"/>
      <c r="BX19" s="463"/>
      <c r="BY19" s="463"/>
      <c r="BZ19" s="463"/>
      <c r="CA19" s="463"/>
      <c r="CB19" s="463"/>
      <c r="CC19" s="466" t="s">
        <v>113</v>
      </c>
      <c r="CD19" s="466" t="s">
        <v>113</v>
      </c>
      <c r="CE19" s="466" t="s">
        <v>113</v>
      </c>
      <c r="CF19" s="466" t="s">
        <v>113</v>
      </c>
      <c r="CG19" s="466" t="s">
        <v>113</v>
      </c>
      <c r="CH19" s="466" t="s">
        <v>113</v>
      </c>
      <c r="CI19" s="466" t="s">
        <v>113</v>
      </c>
      <c r="CJ19" s="466"/>
      <c r="CK19" s="463" t="s">
        <v>113</v>
      </c>
      <c r="CL19" s="463" t="s">
        <v>113</v>
      </c>
      <c r="CM19" s="463" t="s">
        <v>113</v>
      </c>
      <c r="CN19" s="463" t="s">
        <v>113</v>
      </c>
      <c r="CO19" s="463" t="s">
        <v>113</v>
      </c>
      <c r="CP19" s="463" t="s">
        <v>113</v>
      </c>
      <c r="CQ19" s="463" t="s">
        <v>113</v>
      </c>
      <c r="CR19" s="463"/>
      <c r="CS19" s="467" t="s">
        <v>113</v>
      </c>
      <c r="CT19" s="467" t="s">
        <v>113</v>
      </c>
      <c r="CU19" s="467" t="s">
        <v>113</v>
      </c>
      <c r="CV19" s="467" t="s">
        <v>113</v>
      </c>
      <c r="CW19" s="467" t="s">
        <v>113</v>
      </c>
      <c r="CX19" s="467" t="s">
        <v>113</v>
      </c>
      <c r="CY19" s="467" t="s">
        <v>113</v>
      </c>
      <c r="CZ19" s="467"/>
      <c r="DA19" s="463" t="s">
        <v>113</v>
      </c>
      <c r="DB19" s="463" t="s">
        <v>113</v>
      </c>
      <c r="DC19" s="463" t="s">
        <v>113</v>
      </c>
      <c r="DD19" s="468">
        <f t="shared" si="24"/>
        <v>0</v>
      </c>
      <c r="DE19" s="469">
        <v>1</v>
      </c>
      <c r="DF19" s="1"/>
      <c r="DG19" s="1"/>
      <c r="DH19" s="1"/>
      <c r="DI19" s="1"/>
      <c r="DJ19" s="1"/>
      <c r="DK19" s="1"/>
      <c r="DL19" s="1"/>
      <c r="DM19" s="1"/>
      <c r="DN19" s="1"/>
      <c r="DO19" s="1"/>
      <c r="DP19" s="1"/>
      <c r="DQ19" s="1"/>
      <c r="DR19" s="1"/>
      <c r="DS19" s="1"/>
      <c r="DT19" s="1"/>
      <c r="DU19" s="1"/>
      <c r="DV19" s="1"/>
      <c r="DW19" s="1"/>
      <c r="DX19" s="1"/>
      <c r="DY19" s="1"/>
      <c r="DZ19" s="1"/>
      <c r="EA19" s="484">
        <v>3411859923.4511967</v>
      </c>
      <c r="EB19" s="484">
        <v>3480741125.8668036</v>
      </c>
      <c r="EC19" s="484">
        <v>3446892446.3327999</v>
      </c>
      <c r="ED19" s="484">
        <v>3462072370.0680017</v>
      </c>
      <c r="EE19" s="484">
        <v>3450571926.3120022</v>
      </c>
      <c r="EF19" s="484">
        <v>3446771175.6024017</v>
      </c>
      <c r="EG19" s="484">
        <v>3446892446.3327999</v>
      </c>
      <c r="EH19" s="504"/>
      <c r="EI19" s="495" t="s">
        <v>113</v>
      </c>
      <c r="EJ19" s="495" t="s">
        <v>113</v>
      </c>
      <c r="EK19" s="495" t="s">
        <v>113</v>
      </c>
      <c r="EL19" s="495" t="s">
        <v>113</v>
      </c>
      <c r="EM19" s="496">
        <f t="shared" si="9"/>
        <v>13.304437204032121</v>
      </c>
      <c r="EN19" s="484">
        <v>16830750779.641188</v>
      </c>
      <c r="EO19" s="484">
        <v>16998987181.058392</v>
      </c>
      <c r="EP19" s="496">
        <f t="shared" si="10"/>
        <v>0.99957752104977704</v>
      </c>
      <c r="EQ19" s="495" t="s">
        <v>113</v>
      </c>
      <c r="ER19" s="495" t="s">
        <v>113</v>
      </c>
      <c r="ES19" s="495" t="s">
        <v>113</v>
      </c>
      <c r="ET19" s="495" t="s">
        <v>113</v>
      </c>
      <c r="EU19" s="496">
        <f t="shared" si="25"/>
        <v>13.269888990304155</v>
      </c>
      <c r="EV19" s="465">
        <f t="shared" si="26"/>
        <v>2.0197287438367382</v>
      </c>
      <c r="EW19" s="465">
        <f t="shared" si="27"/>
        <v>1.0272206487652791</v>
      </c>
      <c r="EX19" s="505">
        <f t="shared" si="11"/>
        <v>5.306759393975069E-3</v>
      </c>
      <c r="EY19" s="506">
        <f t="shared" si="12"/>
        <v>-3.2251960363786303E-2</v>
      </c>
      <c r="EZ19" s="468">
        <f t="shared" si="28"/>
        <v>0</v>
      </c>
      <c r="FA19" s="469">
        <v>1</v>
      </c>
      <c r="FB19" s="495" t="s">
        <v>113</v>
      </c>
      <c r="FC19" s="495" t="s">
        <v>113</v>
      </c>
      <c r="FD19" s="495" t="s">
        <v>113</v>
      </c>
      <c r="FE19" s="495" t="s">
        <v>113</v>
      </c>
      <c r="FF19" s="495" t="s">
        <v>113</v>
      </c>
      <c r="FG19" s="495" t="s">
        <v>113</v>
      </c>
      <c r="FH19" s="495" t="s">
        <v>113</v>
      </c>
      <c r="FI19" s="495" t="s">
        <v>113</v>
      </c>
      <c r="FJ19" s="1"/>
      <c r="FK19" s="1"/>
      <c r="FL19" s="1"/>
      <c r="FM19" s="1"/>
      <c r="FN19" s="1"/>
      <c r="FO19" s="1"/>
      <c r="FP19" s="1"/>
      <c r="FQ19" s="1"/>
    </row>
    <row r="20" spans="1:173" x14ac:dyDescent="0.3">
      <c r="A20" s="1"/>
      <c r="B20" s="28">
        <v>9</v>
      </c>
      <c r="C20" s="462">
        <v>4267717283.806797</v>
      </c>
      <c r="D20" s="462">
        <v>4347211998.1151991</v>
      </c>
      <c r="E20" s="462">
        <v>4311719153.3640022</v>
      </c>
      <c r="F20" s="462">
        <v>4326497999.7359982</v>
      </c>
      <c r="G20" s="462">
        <v>4315189809.5340004</v>
      </c>
      <c r="H20" s="462">
        <v>4311325894.8216038</v>
      </c>
      <c r="I20" s="462">
        <v>4311719153.3640022</v>
      </c>
      <c r="J20" s="121"/>
      <c r="K20" s="495" t="s">
        <v>113</v>
      </c>
      <c r="L20" s="495" t="s">
        <v>113</v>
      </c>
      <c r="M20" s="495" t="s">
        <v>113</v>
      </c>
      <c r="N20" s="495" t="s">
        <v>113</v>
      </c>
      <c r="O20" s="496">
        <f t="shared" si="13"/>
        <v>19.743334575049154</v>
      </c>
      <c r="P20" s="462">
        <v>18621121932.307213</v>
      </c>
      <c r="Q20" s="462">
        <v>18807262789.861191</v>
      </c>
      <c r="R20" s="496">
        <f t="shared" si="0"/>
        <v>0.99962214001203531</v>
      </c>
      <c r="S20" s="495" t="s">
        <v>113</v>
      </c>
      <c r="T20" s="495" t="s">
        <v>113</v>
      </c>
      <c r="U20" s="495" t="s">
        <v>113</v>
      </c>
      <c r="V20" s="495" t="s">
        <v>113</v>
      </c>
      <c r="W20" s="465">
        <f t="shared" si="14"/>
        <v>1.8634028040315309</v>
      </c>
      <c r="X20" s="465">
        <f t="shared" si="14"/>
        <v>1.0314296721343106</v>
      </c>
      <c r="Y20" s="465">
        <f t="shared" si="1"/>
        <v>1.3778545132009792</v>
      </c>
      <c r="Z20" s="465">
        <f t="shared" si="1"/>
        <v>1.1127838916603296</v>
      </c>
      <c r="AA20" s="465">
        <f t="shared" si="1"/>
        <v>1.0222114608734747</v>
      </c>
      <c r="AB20" s="465">
        <f t="shared" si="15"/>
        <v>1.0314296721343106</v>
      </c>
      <c r="AC20" s="465">
        <f t="shared" si="15"/>
        <v>1.0314296721343106</v>
      </c>
      <c r="AD20" s="495" t="s">
        <v>113</v>
      </c>
      <c r="AE20" s="495" t="s">
        <v>113</v>
      </c>
      <c r="AF20" s="495" t="s">
        <v>113</v>
      </c>
      <c r="AG20" s="495" t="s">
        <v>113</v>
      </c>
      <c r="AH20" s="497">
        <f t="shared" si="2"/>
        <v>1</v>
      </c>
      <c r="AI20" s="498">
        <f t="shared" si="16"/>
        <v>2.2211460873474698E-2</v>
      </c>
      <c r="AJ20" s="498">
        <f t="shared" si="3"/>
        <v>0.48554829083055173</v>
      </c>
      <c r="AK20" s="498">
        <f t="shared" si="4"/>
        <v>0.26507062154064953</v>
      </c>
      <c r="AL20" s="498">
        <f t="shared" si="17"/>
        <v>9.0572430786854952E-2</v>
      </c>
      <c r="AM20" s="498">
        <f t="shared" si="18"/>
        <v>0</v>
      </c>
      <c r="AN20" s="499">
        <f t="shared" si="29"/>
        <v>0</v>
      </c>
      <c r="AO20" s="498">
        <f t="shared" si="19"/>
        <v>0</v>
      </c>
      <c r="AP20" s="498">
        <f t="shared" si="6"/>
        <v>2.2211460873474698E-2</v>
      </c>
      <c r="AQ20" s="500" t="s">
        <v>113</v>
      </c>
      <c r="AR20" s="501">
        <f t="shared" si="7"/>
        <v>2.5725490778766975</v>
      </c>
      <c r="AS20" s="501">
        <f t="shared" si="7"/>
        <v>56.236589522683531</v>
      </c>
      <c r="AT20" s="501">
        <f t="shared" si="7"/>
        <v>30.700690373362434</v>
      </c>
      <c r="AU20" s="501">
        <f t="shared" si="7"/>
        <v>10.490171026077338</v>
      </c>
      <c r="AV20" s="501">
        <f t="shared" si="7"/>
        <v>0</v>
      </c>
      <c r="AW20" s="502">
        <f t="shared" si="7"/>
        <v>0</v>
      </c>
      <c r="AX20" s="501">
        <f t="shared" si="7"/>
        <v>0</v>
      </c>
      <c r="AY20" s="501">
        <f t="shared" si="7"/>
        <v>2.5725490778766975</v>
      </c>
      <c r="AZ20" s="463" t="s">
        <v>113</v>
      </c>
      <c r="BA20" s="463" t="s">
        <v>113</v>
      </c>
      <c r="BB20" s="463" t="s">
        <v>113</v>
      </c>
      <c r="BC20" s="463" t="s">
        <v>113</v>
      </c>
      <c r="BD20" s="463" t="s">
        <v>113</v>
      </c>
      <c r="BE20" s="463" t="s">
        <v>113</v>
      </c>
      <c r="BF20" s="463" t="s">
        <v>113</v>
      </c>
      <c r="BG20" s="463" t="s">
        <v>113</v>
      </c>
      <c r="BH20" s="462">
        <v>16351039638.516018</v>
      </c>
      <c r="BI20" s="462">
        <v>746954282.28599977</v>
      </c>
      <c r="BJ20" s="462">
        <v>1183305296.7311995</v>
      </c>
      <c r="BK20" s="462">
        <v>339822572.21999997</v>
      </c>
      <c r="BL20" s="503">
        <f t="shared" si="20"/>
        <v>0.8780910099365562</v>
      </c>
      <c r="BM20" s="503">
        <f t="shared" si="21"/>
        <v>4.0113280538073261E-2</v>
      </c>
      <c r="BN20" s="503">
        <f t="shared" si="22"/>
        <v>6.3546402310861075E-2</v>
      </c>
      <c r="BO20" s="503">
        <f t="shared" si="22"/>
        <v>1.8249307214509312E-2</v>
      </c>
      <c r="BP20" s="463" t="s">
        <v>113</v>
      </c>
      <c r="BQ20" s="463" t="s">
        <v>113</v>
      </c>
      <c r="BR20" s="463" t="s">
        <v>113</v>
      </c>
      <c r="BS20" s="496">
        <f t="shared" si="23"/>
        <v>16.86693231982289</v>
      </c>
      <c r="BT20" s="463"/>
      <c r="BU20" s="463"/>
      <c r="BV20" s="463"/>
      <c r="BW20" s="463"/>
      <c r="BX20" s="463"/>
      <c r="BY20" s="463"/>
      <c r="BZ20" s="463"/>
      <c r="CA20" s="463"/>
      <c r="CB20" s="463"/>
      <c r="CC20" s="466" t="s">
        <v>113</v>
      </c>
      <c r="CD20" s="466" t="s">
        <v>113</v>
      </c>
      <c r="CE20" s="466" t="s">
        <v>113</v>
      </c>
      <c r="CF20" s="466" t="s">
        <v>113</v>
      </c>
      <c r="CG20" s="466" t="s">
        <v>113</v>
      </c>
      <c r="CH20" s="466" t="s">
        <v>113</v>
      </c>
      <c r="CI20" s="466" t="s">
        <v>113</v>
      </c>
      <c r="CJ20" s="466"/>
      <c r="CK20" s="463" t="s">
        <v>113</v>
      </c>
      <c r="CL20" s="463" t="s">
        <v>113</v>
      </c>
      <c r="CM20" s="463" t="s">
        <v>113</v>
      </c>
      <c r="CN20" s="463" t="s">
        <v>113</v>
      </c>
      <c r="CO20" s="463" t="s">
        <v>113</v>
      </c>
      <c r="CP20" s="463" t="s">
        <v>113</v>
      </c>
      <c r="CQ20" s="463" t="s">
        <v>113</v>
      </c>
      <c r="CR20" s="463"/>
      <c r="CS20" s="467" t="s">
        <v>113</v>
      </c>
      <c r="CT20" s="467" t="s">
        <v>113</v>
      </c>
      <c r="CU20" s="467" t="s">
        <v>113</v>
      </c>
      <c r="CV20" s="467" t="s">
        <v>113</v>
      </c>
      <c r="CW20" s="467" t="s">
        <v>113</v>
      </c>
      <c r="CX20" s="467" t="s">
        <v>113</v>
      </c>
      <c r="CY20" s="467" t="s">
        <v>113</v>
      </c>
      <c r="CZ20" s="467"/>
      <c r="DA20" s="463" t="s">
        <v>113</v>
      </c>
      <c r="DB20" s="463" t="s">
        <v>113</v>
      </c>
      <c r="DC20" s="463" t="s">
        <v>113</v>
      </c>
      <c r="DD20" s="468">
        <f t="shared" si="24"/>
        <v>0</v>
      </c>
      <c r="DE20" s="469">
        <v>1</v>
      </c>
      <c r="DF20" s="1"/>
      <c r="DG20" s="1"/>
      <c r="DH20" s="1"/>
      <c r="DI20" s="1"/>
      <c r="DJ20" s="1"/>
      <c r="DK20" s="1"/>
      <c r="DL20" s="1"/>
      <c r="DM20" s="1"/>
      <c r="DN20" s="1"/>
      <c r="DO20" s="1"/>
      <c r="DP20" s="1"/>
      <c r="DQ20" s="1"/>
      <c r="DR20" s="1"/>
      <c r="DS20" s="1"/>
      <c r="DT20" s="1"/>
      <c r="DU20" s="1"/>
      <c r="DV20" s="1"/>
      <c r="DW20" s="1"/>
      <c r="DX20" s="1"/>
      <c r="DY20" s="1"/>
      <c r="DZ20" s="1"/>
      <c r="EA20" s="484">
        <v>4930460179.4279985</v>
      </c>
      <c r="EB20" s="484">
        <v>5022117634.0116014</v>
      </c>
      <c r="EC20" s="484">
        <v>4981533792.9240017</v>
      </c>
      <c r="ED20" s="484">
        <v>4998630284.4084015</v>
      </c>
      <c r="EE20" s="484">
        <v>4986171104.1191959</v>
      </c>
      <c r="EF20" s="484">
        <v>4981194656.6544037</v>
      </c>
      <c r="EG20" s="484">
        <v>4981533792.9240017</v>
      </c>
      <c r="EH20" s="504"/>
      <c r="EI20" s="495" t="s">
        <v>113</v>
      </c>
      <c r="EJ20" s="495" t="s">
        <v>113</v>
      </c>
      <c r="EK20" s="495" t="s">
        <v>113</v>
      </c>
      <c r="EL20" s="495" t="s">
        <v>113</v>
      </c>
      <c r="EM20" s="496">
        <f t="shared" si="9"/>
        <v>19.226169689237256</v>
      </c>
      <c r="EN20" s="484">
        <v>21207884229.368401</v>
      </c>
      <c r="EO20" s="484">
        <v>21419853860.498398</v>
      </c>
      <c r="EP20" s="496">
        <f t="shared" si="10"/>
        <v>0.99948504451219389</v>
      </c>
      <c r="EQ20" s="495" t="s">
        <v>113</v>
      </c>
      <c r="ER20" s="495" t="s">
        <v>113</v>
      </c>
      <c r="ES20" s="495" t="s">
        <v>113</v>
      </c>
      <c r="ET20" s="495" t="s">
        <v>113</v>
      </c>
      <c r="EU20" s="496">
        <f t="shared" si="25"/>
        <v>16.720957557244546</v>
      </c>
      <c r="EV20" s="465">
        <f t="shared" si="26"/>
        <v>1.8599618508965861</v>
      </c>
      <c r="EW20" s="465">
        <f t="shared" si="27"/>
        <v>1.0364129477690847</v>
      </c>
      <c r="EX20" s="505">
        <f t="shared" si="11"/>
        <v>4.9832756347740759E-3</v>
      </c>
      <c r="EY20" s="506">
        <f t="shared" si="12"/>
        <v>-3.4409531349448574E-3</v>
      </c>
      <c r="EZ20" s="468">
        <f t="shared" si="28"/>
        <v>0</v>
      </c>
      <c r="FA20" s="469">
        <v>1</v>
      </c>
      <c r="FB20" s="495" t="s">
        <v>113</v>
      </c>
      <c r="FC20" s="495" t="s">
        <v>113</v>
      </c>
      <c r="FD20" s="495" t="s">
        <v>113</v>
      </c>
      <c r="FE20" s="495" t="s">
        <v>113</v>
      </c>
      <c r="FF20" s="495" t="s">
        <v>113</v>
      </c>
      <c r="FG20" s="495" t="s">
        <v>113</v>
      </c>
      <c r="FH20" s="495" t="s">
        <v>113</v>
      </c>
      <c r="FI20" s="495" t="s">
        <v>113</v>
      </c>
      <c r="FJ20" s="1"/>
      <c r="FK20" s="1"/>
      <c r="FL20" s="1"/>
      <c r="FM20" s="1"/>
      <c r="FN20" s="1"/>
      <c r="FO20" s="1"/>
      <c r="FP20" s="1"/>
      <c r="FQ20" s="1"/>
    </row>
    <row r="21" spans="1:173" x14ac:dyDescent="0.3">
      <c r="A21" s="1"/>
      <c r="B21" s="33">
        <v>10</v>
      </c>
      <c r="C21" s="462">
        <v>10589773027.258802</v>
      </c>
      <c r="D21" s="462">
        <v>10739437351.502407</v>
      </c>
      <c r="E21" s="462">
        <v>10697765259.694799</v>
      </c>
      <c r="F21" s="462">
        <v>10716323370.947996</v>
      </c>
      <c r="G21" s="462">
        <v>10704609036.801603</v>
      </c>
      <c r="H21" s="462">
        <v>10697234851.767595</v>
      </c>
      <c r="I21" s="462">
        <v>10697765259.694799</v>
      </c>
      <c r="J21" s="121"/>
      <c r="K21" s="495" t="s">
        <v>113</v>
      </c>
      <c r="L21" s="495" t="s">
        <v>113</v>
      </c>
      <c r="M21" s="495" t="s">
        <v>113</v>
      </c>
      <c r="N21" s="495" t="s">
        <v>113</v>
      </c>
      <c r="O21" s="496">
        <f t="shared" si="13"/>
        <v>48.990459781465404</v>
      </c>
      <c r="P21" s="462">
        <v>32719620220.761612</v>
      </c>
      <c r="Q21" s="462">
        <v>33046794543.360016</v>
      </c>
      <c r="R21" s="496">
        <f t="shared" si="0"/>
        <v>0.99993313000252826</v>
      </c>
      <c r="S21" s="495" t="s">
        <v>113</v>
      </c>
      <c r="T21" s="495" t="s">
        <v>113</v>
      </c>
      <c r="U21" s="495" t="s">
        <v>113</v>
      </c>
      <c r="V21" s="495" t="s">
        <v>113</v>
      </c>
      <c r="W21" s="465">
        <f t="shared" si="14"/>
        <v>1.4133856559588167</v>
      </c>
      <c r="X21" s="465">
        <f t="shared" si="14"/>
        <v>1.0198467340257336</v>
      </c>
      <c r="Y21" s="465">
        <f t="shared" si="1"/>
        <v>1.1951040532266852</v>
      </c>
      <c r="Z21" s="465">
        <f t="shared" si="1"/>
        <v>1.0844773428513321</v>
      </c>
      <c r="AA21" s="465">
        <f t="shared" si="1"/>
        <v>1.0148377182839665</v>
      </c>
      <c r="AB21" s="465">
        <f t="shared" si="15"/>
        <v>1.0198467340257336</v>
      </c>
      <c r="AC21" s="465">
        <f t="shared" si="15"/>
        <v>1.0198467340257336</v>
      </c>
      <c r="AD21" s="495" t="s">
        <v>113</v>
      </c>
      <c r="AE21" s="495" t="s">
        <v>113</v>
      </c>
      <c r="AF21" s="495" t="s">
        <v>113</v>
      </c>
      <c r="AG21" s="495" t="s">
        <v>113</v>
      </c>
      <c r="AH21" s="497">
        <f t="shared" si="2"/>
        <v>1</v>
      </c>
      <c r="AI21" s="498">
        <f t="shared" si="16"/>
        <v>1.4837718283966517E-2</v>
      </c>
      <c r="AJ21" s="498">
        <f t="shared" si="3"/>
        <v>0.21828160273213149</v>
      </c>
      <c r="AK21" s="498">
        <f>IF(W21&gt;1,MAX(MIN(Y21-Z21,W21-AH21-AJ21),0),0)</f>
        <v>0.1106267103753531</v>
      </c>
      <c r="AL21" s="498">
        <f t="shared" si="17"/>
        <v>6.963962456736561E-2</v>
      </c>
      <c r="AM21" s="498">
        <f t="shared" si="18"/>
        <v>0</v>
      </c>
      <c r="AN21" s="499">
        <f t="shared" si="29"/>
        <v>0</v>
      </c>
      <c r="AO21" s="498">
        <f t="shared" si="19"/>
        <v>0</v>
      </c>
      <c r="AP21" s="498">
        <f t="shared" si="6"/>
        <v>1.4837718283966517E-2</v>
      </c>
      <c r="AQ21" s="500" t="s">
        <v>113</v>
      </c>
      <c r="AR21" s="501">
        <f t="shared" si="7"/>
        <v>3.5893161918140466</v>
      </c>
      <c r="AS21" s="501">
        <f t="shared" si="7"/>
        <v>52.803380955694713</v>
      </c>
      <c r="AT21" s="501">
        <f t="shared" si="7"/>
        <v>26.761139091476899</v>
      </c>
      <c r="AU21" s="501">
        <f t="shared" si="7"/>
        <v>16.846163761014342</v>
      </c>
      <c r="AV21" s="501">
        <f t="shared" si="7"/>
        <v>0</v>
      </c>
      <c r="AW21" s="502">
        <f t="shared" si="7"/>
        <v>0</v>
      </c>
      <c r="AX21" s="501">
        <f t="shared" si="7"/>
        <v>0</v>
      </c>
      <c r="AY21" s="501">
        <f t="shared" si="7"/>
        <v>3.5893161918140466</v>
      </c>
      <c r="AZ21" s="463" t="s">
        <v>113</v>
      </c>
      <c r="BA21" s="463" t="s">
        <v>113</v>
      </c>
      <c r="BB21" s="463" t="s">
        <v>113</v>
      </c>
      <c r="BC21" s="463" t="s">
        <v>113</v>
      </c>
      <c r="BD21" s="463" t="s">
        <v>113</v>
      </c>
      <c r="BE21" s="463" t="s">
        <v>113</v>
      </c>
      <c r="BF21" s="463" t="s">
        <v>113</v>
      </c>
      <c r="BG21" s="463" t="s">
        <v>113</v>
      </c>
      <c r="BH21" s="462">
        <v>24717239108.77441</v>
      </c>
      <c r="BI21" s="462">
        <v>957655080.96360004</v>
      </c>
      <c r="BJ21" s="462">
        <v>5338784286.0660019</v>
      </c>
      <c r="BK21" s="462">
        <v>1705941833.0687995</v>
      </c>
      <c r="BL21" s="503">
        <f t="shared" si="20"/>
        <v>0.7554256093268803</v>
      </c>
      <c r="BM21" s="503">
        <f t="shared" si="21"/>
        <v>2.9268526710375851E-2</v>
      </c>
      <c r="BN21" s="503">
        <f t="shared" si="22"/>
        <v>0.16316767235279458</v>
      </c>
      <c r="BO21" s="503">
        <f t="shared" si="22"/>
        <v>5.2138191609949314E-2</v>
      </c>
      <c r="BP21" s="463" t="s">
        <v>113</v>
      </c>
      <c r="BQ21" s="463" t="s">
        <v>113</v>
      </c>
      <c r="BR21" s="463" t="s">
        <v>113</v>
      </c>
      <c r="BS21" s="496">
        <f t="shared" si="23"/>
        <v>29.637291555263179</v>
      </c>
      <c r="BT21" s="463"/>
      <c r="BU21" s="463"/>
      <c r="BV21" s="463"/>
      <c r="BW21" s="463"/>
      <c r="BX21" s="463"/>
      <c r="BY21" s="463"/>
      <c r="BZ21" s="463"/>
      <c r="CA21" s="463"/>
      <c r="CB21" s="463"/>
      <c r="CC21" s="466" t="s">
        <v>113</v>
      </c>
      <c r="CD21" s="466" t="s">
        <v>113</v>
      </c>
      <c r="CE21" s="466" t="s">
        <v>113</v>
      </c>
      <c r="CF21" s="466" t="s">
        <v>113</v>
      </c>
      <c r="CG21" s="466" t="s">
        <v>113</v>
      </c>
      <c r="CH21" s="466" t="s">
        <v>113</v>
      </c>
      <c r="CI21" s="466" t="s">
        <v>113</v>
      </c>
      <c r="CJ21" s="466"/>
      <c r="CK21" s="463" t="s">
        <v>113</v>
      </c>
      <c r="CL21" s="463" t="s">
        <v>113</v>
      </c>
      <c r="CM21" s="463" t="s">
        <v>113</v>
      </c>
      <c r="CN21" s="463" t="s">
        <v>113</v>
      </c>
      <c r="CO21" s="463" t="s">
        <v>113</v>
      </c>
      <c r="CP21" s="463" t="s">
        <v>113</v>
      </c>
      <c r="CQ21" s="463" t="s">
        <v>113</v>
      </c>
      <c r="CR21" s="463"/>
      <c r="CS21" s="467" t="s">
        <v>113</v>
      </c>
      <c r="CT21" s="467" t="s">
        <v>113</v>
      </c>
      <c r="CU21" s="467" t="s">
        <v>113</v>
      </c>
      <c r="CV21" s="467" t="s">
        <v>113</v>
      </c>
      <c r="CW21" s="467" t="s">
        <v>113</v>
      </c>
      <c r="CX21" s="467" t="s">
        <v>113</v>
      </c>
      <c r="CY21" s="467" t="s">
        <v>113</v>
      </c>
      <c r="CZ21" s="467"/>
      <c r="DA21" s="463" t="s">
        <v>113</v>
      </c>
      <c r="DB21" s="463" t="s">
        <v>113</v>
      </c>
      <c r="DC21" s="463" t="s">
        <v>113</v>
      </c>
      <c r="DD21" s="468">
        <f t="shared" si="24"/>
        <v>0</v>
      </c>
      <c r="DE21" s="469">
        <v>1</v>
      </c>
      <c r="DF21" s="1"/>
      <c r="DG21" s="1"/>
      <c r="DH21" s="1"/>
      <c r="DI21" s="1"/>
      <c r="DJ21" s="1"/>
      <c r="DK21" s="1"/>
      <c r="DL21" s="1"/>
      <c r="DM21" s="1"/>
      <c r="DN21" s="1"/>
      <c r="DO21" s="1"/>
      <c r="DP21" s="1"/>
      <c r="DQ21" s="1"/>
      <c r="DR21" s="1"/>
      <c r="DS21" s="1"/>
      <c r="DT21" s="1"/>
      <c r="DU21" s="1"/>
      <c r="DV21" s="1"/>
      <c r="DW21" s="1"/>
      <c r="DX21" s="1"/>
      <c r="DY21" s="1"/>
      <c r="DZ21" s="1"/>
      <c r="EA21" s="484">
        <v>12674696258.794804</v>
      </c>
      <c r="EB21" s="484">
        <v>12851275846.384804</v>
      </c>
      <c r="EC21" s="484">
        <v>12803928697.461596</v>
      </c>
      <c r="ED21" s="484">
        <v>12825281478.345596</v>
      </c>
      <c r="EE21" s="484">
        <v>12812333925.773998</v>
      </c>
      <c r="EF21" s="484">
        <v>12803696987.303988</v>
      </c>
      <c r="EG21" s="484">
        <v>12803928697.461596</v>
      </c>
      <c r="EH21" s="504"/>
      <c r="EI21" s="495" t="s">
        <v>113</v>
      </c>
      <c r="EJ21" s="495" t="s">
        <v>113</v>
      </c>
      <c r="EK21" s="495" t="s">
        <v>113</v>
      </c>
      <c r="EL21" s="495" t="s">
        <v>113</v>
      </c>
      <c r="EM21" s="496">
        <f t="shared" si="9"/>
        <v>49.424567314810041</v>
      </c>
      <c r="EN21" s="484">
        <v>38261972353.179596</v>
      </c>
      <c r="EO21" s="484">
        <v>38644558454.31356</v>
      </c>
      <c r="EP21" s="496">
        <f t="shared" si="10"/>
        <v>0.99991212581118649</v>
      </c>
      <c r="EQ21" s="495" t="s">
        <v>113</v>
      </c>
      <c r="ER21" s="495" t="s">
        <v>113</v>
      </c>
      <c r="ES21" s="495" t="s">
        <v>113</v>
      </c>
      <c r="ET21" s="495" t="s">
        <v>113</v>
      </c>
      <c r="EU21" s="496">
        <f t="shared" si="25"/>
        <v>30.166932677236407</v>
      </c>
      <c r="EV21" s="465">
        <f t="shared" si="26"/>
        <v>1.3932886606188186</v>
      </c>
      <c r="EW21" s="465">
        <f t="shared" si="27"/>
        <v>1.0196993539062664</v>
      </c>
      <c r="EX21" s="505">
        <f t="shared" si="11"/>
        <v>-1.4738011946713314E-4</v>
      </c>
      <c r="EY21" s="506">
        <f t="shared" si="12"/>
        <v>-2.0096995339998092E-2</v>
      </c>
      <c r="EZ21" s="468">
        <f t="shared" si="28"/>
        <v>0</v>
      </c>
      <c r="FA21" s="469">
        <v>1</v>
      </c>
      <c r="FB21" s="495" t="s">
        <v>113</v>
      </c>
      <c r="FC21" s="495" t="s">
        <v>113</v>
      </c>
      <c r="FD21" s="495" t="s">
        <v>113</v>
      </c>
      <c r="FE21" s="495" t="s">
        <v>113</v>
      </c>
      <c r="FF21" s="495" t="s">
        <v>113</v>
      </c>
      <c r="FG21" s="495" t="s">
        <v>113</v>
      </c>
      <c r="FH21" s="495" t="s">
        <v>113</v>
      </c>
      <c r="FI21" s="495" t="s">
        <v>113</v>
      </c>
      <c r="FJ21" s="1"/>
      <c r="FK21" s="1"/>
      <c r="FL21" s="1"/>
      <c r="FM21" s="1"/>
      <c r="FN21" s="1"/>
      <c r="FO21" s="1"/>
      <c r="FP21" s="1"/>
      <c r="FQ21" s="1"/>
    </row>
    <row r="22" spans="1:173" ht="13.35" customHeight="1" x14ac:dyDescent="0.3">
      <c r="A22" s="1"/>
      <c r="B22" s="34" t="s">
        <v>114</v>
      </c>
      <c r="C22" s="470">
        <v>21615990285.654022</v>
      </c>
      <c r="D22" s="470">
        <v>22007061047.575241</v>
      </c>
      <c r="E22" s="470">
        <v>21836060099.590824</v>
      </c>
      <c r="F22" s="470">
        <v>21922579728.966026</v>
      </c>
      <c r="G22" s="470">
        <v>21855185666.605255</v>
      </c>
      <c r="H22" s="470">
        <v>21835044056.710804</v>
      </c>
      <c r="I22" s="470">
        <v>21836060099.590824</v>
      </c>
      <c r="J22" s="121"/>
      <c r="K22" s="470">
        <v>21924163066.364414</v>
      </c>
      <c r="L22" s="470">
        <v>21637169555.858421</v>
      </c>
      <c r="M22" s="470">
        <v>21665716546.06321</v>
      </c>
      <c r="N22" s="470">
        <v>21627934702.699207</v>
      </c>
      <c r="O22" s="507" t="s">
        <v>113</v>
      </c>
      <c r="P22" s="470">
        <v>110400169866.23413</v>
      </c>
      <c r="Q22" s="470">
        <v>111501297678.41647</v>
      </c>
      <c r="R22" s="508">
        <f>(Q22/P22-1)*100</f>
        <v>0.99739684596185096</v>
      </c>
      <c r="S22" s="470">
        <v>111198912098.71088</v>
      </c>
      <c r="T22" s="470">
        <v>110552951759.08099</v>
      </c>
      <c r="U22" s="470">
        <v>110519758145.53455</v>
      </c>
      <c r="V22" s="470">
        <v>110430211781.0424</v>
      </c>
      <c r="W22" s="472">
        <f t="shared" si="14"/>
        <v>1.8138953207581621</v>
      </c>
      <c r="X22" s="472">
        <f t="shared" si="14"/>
        <v>1.0207452067728342</v>
      </c>
      <c r="Y22" s="472">
        <f t="shared" si="1"/>
        <v>1.4220473908236702</v>
      </c>
      <c r="Z22" s="472">
        <f t="shared" si="1"/>
        <v>1.1094549235102662</v>
      </c>
      <c r="AA22" s="472">
        <f t="shared" si="1"/>
        <v>1.0160325163719868</v>
      </c>
      <c r="AB22" s="472">
        <f t="shared" si="15"/>
        <v>1.0207452067728342</v>
      </c>
      <c r="AC22" s="472">
        <f t="shared" si="15"/>
        <v>1.0207452067728342</v>
      </c>
      <c r="AD22" s="509">
        <f>(K22/$C22-1) / (S22/$P22-1)</f>
        <v>1.970526294511352</v>
      </c>
      <c r="AE22" s="509">
        <f>(L22/$C22-1) / (T22/$P22-1)</f>
        <v>0.70800073725099166</v>
      </c>
      <c r="AF22" s="509">
        <f>(M22/$C22-1) / (U22/$P22-1)</f>
        <v>2.1236932565563813</v>
      </c>
      <c r="AG22" s="509">
        <f>(N22/$C22-1) / (V22/$P22-1)</f>
        <v>2.030635402414612</v>
      </c>
      <c r="AH22" s="510">
        <f t="shared" si="2"/>
        <v>1</v>
      </c>
      <c r="AI22" s="509">
        <f t="shared" si="16"/>
        <v>1.6032516371986771E-2</v>
      </c>
      <c r="AJ22" s="509">
        <f t="shared" si="3"/>
        <v>0.39184792993449191</v>
      </c>
      <c r="AK22" s="509">
        <f>IF(W22&gt;1,MAX(MIN(Y22-Z22,W22-AH22-AJ22),0),0)</f>
        <v>0.31259246731340395</v>
      </c>
      <c r="AL22" s="509">
        <f t="shared" si="17"/>
        <v>9.3422407138279429E-2</v>
      </c>
      <c r="AM22" s="509">
        <f t="shared" si="18"/>
        <v>0</v>
      </c>
      <c r="AN22" s="511">
        <f t="shared" si="29"/>
        <v>0</v>
      </c>
      <c r="AO22" s="509">
        <f t="shared" si="19"/>
        <v>0</v>
      </c>
      <c r="AP22" s="509">
        <f t="shared" si="6"/>
        <v>1.6032516371986771E-2</v>
      </c>
      <c r="AQ22" s="500" t="s">
        <v>113</v>
      </c>
      <c r="AR22" s="501">
        <f>AI22/($W22-1)*100</f>
        <v>1.9698499257929283</v>
      </c>
      <c r="AS22" s="501">
        <f>AJ22/($W22-1)*100</f>
        <v>48.144757678355568</v>
      </c>
      <c r="AT22" s="501">
        <f t="shared" si="7"/>
        <v>38.406962092154181</v>
      </c>
      <c r="AU22" s="501">
        <f t="shared" si="7"/>
        <v>11.478430303697326</v>
      </c>
      <c r="AV22" s="501">
        <f t="shared" si="7"/>
        <v>0</v>
      </c>
      <c r="AW22" s="502">
        <f t="shared" si="7"/>
        <v>0</v>
      </c>
      <c r="AX22" s="501">
        <f t="shared" si="7"/>
        <v>0</v>
      </c>
      <c r="AY22" s="501">
        <f t="shared" si="7"/>
        <v>1.9698499257929283</v>
      </c>
      <c r="AZ22" s="512">
        <v>2.04</v>
      </c>
      <c r="BA22" s="512">
        <v>2.11</v>
      </c>
      <c r="BB22" s="512">
        <v>1.61</v>
      </c>
      <c r="BC22" s="512">
        <v>1.81</v>
      </c>
      <c r="BD22" s="513">
        <f>W22-AZ22</f>
        <v>-0.22610467924183797</v>
      </c>
      <c r="BE22" s="513">
        <f>AD22-BA22</f>
        <v>-0.1394737054886479</v>
      </c>
      <c r="BF22" s="513">
        <f>AF22-BB22</f>
        <v>0.51369325655638121</v>
      </c>
      <c r="BG22" s="513">
        <f>AG22-BC22</f>
        <v>0.22063540241461199</v>
      </c>
      <c r="BH22" s="470">
        <v>80037886896.585526</v>
      </c>
      <c r="BI22" s="470">
        <v>15313852659.003567</v>
      </c>
      <c r="BJ22" s="470">
        <v>12025590396.7992</v>
      </c>
      <c r="BK22" s="470">
        <v>3022840516.8600025</v>
      </c>
      <c r="BL22" s="503">
        <f t="shared" si="20"/>
        <v>0.72497974012530975</v>
      </c>
      <c r="BM22" s="503">
        <f t="shared" si="21"/>
        <v>0.13871221931916494</v>
      </c>
      <c r="BN22" s="503">
        <f t="shared" si="22"/>
        <v>0.10892728105115472</v>
      </c>
      <c r="BO22" s="503">
        <f t="shared" si="22"/>
        <v>2.7380759504370581E-2</v>
      </c>
      <c r="BP22" s="513">
        <f>(AD22*BL22+AF22*BN22+AG22*BO22)/(BL22+BN22+BO22)</f>
        <v>1.9918082564305868</v>
      </c>
      <c r="BQ22" s="513">
        <f>W22-BP22</f>
        <v>-0.17791293567242472</v>
      </c>
      <c r="BR22" s="513">
        <f>BP22-AZ22</f>
        <v>-4.8191743569413248E-2</v>
      </c>
      <c r="BS22" s="507" t="s">
        <v>113</v>
      </c>
      <c r="BT22" s="473"/>
      <c r="BU22" s="473"/>
      <c r="BV22" s="473"/>
      <c r="BW22" s="473"/>
      <c r="BX22" s="162"/>
      <c r="BY22" s="162"/>
      <c r="BZ22" s="474"/>
      <c r="CA22" s="475"/>
      <c r="CB22" s="476"/>
      <c r="CC22" s="477"/>
      <c r="CD22" s="477"/>
      <c r="CE22" s="477"/>
      <c r="CF22" s="477"/>
      <c r="CG22" s="167"/>
      <c r="CH22" s="167"/>
      <c r="CI22" s="478"/>
      <c r="CJ22" s="479"/>
      <c r="CK22" s="473">
        <v>0.429011841062864</v>
      </c>
      <c r="CL22" s="473">
        <v>0.36941408442968099</v>
      </c>
      <c r="CM22" s="473">
        <v>0.42902881257798398</v>
      </c>
      <c r="CN22" s="473">
        <v>0.369235953647297</v>
      </c>
      <c r="CO22" s="162">
        <f t="shared" ref="CO22" si="30">(CK22-CL22)/CK22</f>
        <v>0.13891867526437346</v>
      </c>
      <c r="CP22" s="162">
        <f>(CM22-CN22)/CM22</f>
        <v>0.13936793328960514</v>
      </c>
      <c r="CQ22" s="474">
        <f>(CP22-CO22)*100</f>
        <v>4.4925802523168579E-2</v>
      </c>
      <c r="CR22" s="476">
        <f>CN22-CL22</f>
        <v>-1.7813078238398949E-4</v>
      </c>
      <c r="CS22" s="480">
        <f>(SUM(P20:P21))/(SUM(P12:P13))</f>
        <v>12.409995615816433</v>
      </c>
      <c r="CT22" s="480">
        <f>(SUM(P20:P21)-SUM(C20:C21))/(SUM(P12:P13)-SUM(C12:C13))</f>
        <v>8.9614354850678932</v>
      </c>
      <c r="CU22" s="480">
        <f>(SUM(Q20:Q21))/(SUM(Q12:Q13))</f>
        <v>12.410849027054917</v>
      </c>
      <c r="CV22" s="480">
        <f>(SUM(Q20:Q21)-SUM(D20:D21))/(SUM(Q12:Q13)-SUM(D12:D13))</f>
        <v>8.9482248056284419</v>
      </c>
      <c r="CW22" s="162">
        <f>(CS22-CT22)/CS22</f>
        <v>0.27788568485498732</v>
      </c>
      <c r="CX22" s="162">
        <f>(CU22-CV22)/CU22</f>
        <v>0.27899978590329794</v>
      </c>
      <c r="CY22" s="474">
        <f>(CX22-CW22)*100</f>
        <v>0.11141010483106117</v>
      </c>
      <c r="CZ22" s="476">
        <f>CV22-CT22</f>
        <v>-1.3210679439451312E-2</v>
      </c>
      <c r="DA22" s="473">
        <v>0.24533964473321601</v>
      </c>
      <c r="DB22" s="473">
        <v>0.243711397767257</v>
      </c>
      <c r="DC22" s="481">
        <f>DB22-DA22</f>
        <v>-1.6282469659590071E-3</v>
      </c>
      <c r="DD22" s="468">
        <f t="shared" si="24"/>
        <v>30.883961936994652</v>
      </c>
      <c r="DE22" s="469">
        <v>0.69116038063005347</v>
      </c>
      <c r="DF22" s="1"/>
      <c r="DG22" s="1"/>
      <c r="DH22" s="1"/>
      <c r="DI22" s="1"/>
      <c r="DJ22" s="1"/>
      <c r="DK22" s="1"/>
      <c r="DL22" s="1"/>
      <c r="DM22" s="1"/>
      <c r="DN22" s="1"/>
      <c r="DO22" s="1"/>
      <c r="DP22" s="1"/>
      <c r="DQ22" s="1"/>
      <c r="DR22" s="1"/>
      <c r="DS22" s="1"/>
      <c r="DT22" s="1"/>
      <c r="DU22" s="1"/>
      <c r="DV22" s="1"/>
      <c r="DW22" s="1"/>
      <c r="DX22" s="1"/>
      <c r="DY22" s="1"/>
      <c r="DZ22" s="1"/>
      <c r="EA22" s="514">
        <v>25644526492.388409</v>
      </c>
      <c r="EB22" s="514">
        <v>26102257699.543228</v>
      </c>
      <c r="EC22" s="514">
        <v>25906523522.980827</v>
      </c>
      <c r="ED22" s="514">
        <v>26006567469.999584</v>
      </c>
      <c r="EE22" s="514">
        <v>25930384062.274834</v>
      </c>
      <c r="EF22" s="514">
        <v>25906085025.134438</v>
      </c>
      <c r="EG22" s="514">
        <v>25906523522.980827</v>
      </c>
      <c r="EH22" s="515"/>
      <c r="EI22" s="514">
        <v>25991534858.43124</v>
      </c>
      <c r="EJ22" s="514">
        <v>25668179734.5816</v>
      </c>
      <c r="EK22" s="514">
        <v>25717075094.797195</v>
      </c>
      <c r="EL22" s="514">
        <v>25658987271.654022</v>
      </c>
      <c r="EM22" s="507" t="s">
        <v>113</v>
      </c>
      <c r="EN22" s="514">
        <v>126834149041.78046</v>
      </c>
      <c r="EO22" s="514">
        <v>128099018362.37039</v>
      </c>
      <c r="EP22" s="508">
        <f>(EO22/EN22-1)*100</f>
        <v>0.99726243298503547</v>
      </c>
      <c r="EQ22" s="514">
        <v>127730104716.74484</v>
      </c>
      <c r="ER22" s="514">
        <v>127000662594.19208</v>
      </c>
      <c r="ES22" s="514">
        <v>127000523455.07835</v>
      </c>
      <c r="ET22" s="514">
        <v>126870204813.4232</v>
      </c>
      <c r="EU22" s="507" t="s">
        <v>113</v>
      </c>
      <c r="EV22" s="472">
        <f t="shared" si="26"/>
        <v>1.7898077272934112</v>
      </c>
      <c r="EW22" s="472">
        <f t="shared" si="27"/>
        <v>1.0244534402558965</v>
      </c>
      <c r="EX22" s="516">
        <f>EW22-X22</f>
        <v>3.7082334830622621E-3</v>
      </c>
      <c r="EY22" s="517">
        <f t="shared" si="12"/>
        <v>-2.4087593464750867E-2</v>
      </c>
      <c r="EZ22" s="468">
        <f t="shared" si="28"/>
        <v>29.54762080871518</v>
      </c>
      <c r="FA22" s="482">
        <v>0.7045237919128482</v>
      </c>
      <c r="FB22" s="509">
        <f>(EI22/$EA22-1) / (EQ22/$EN22-1)</f>
        <v>1.9155563653824002</v>
      </c>
      <c r="FC22" s="509">
        <f>(EJ22/$EA22-1) / (ER22/$EN22-1)</f>
        <v>0.70255868591644588</v>
      </c>
      <c r="FD22" s="509">
        <f>(EK22/$EA22-1) / (ES22/$EN22-1)</f>
        <v>2.156671645031917</v>
      </c>
      <c r="FE22" s="509">
        <f>(EL22/$EA22-1) / (ET22/$EN22-1)</f>
        <v>1.9836197210928037</v>
      </c>
      <c r="FF22" s="75">
        <f>FB22-AD22</f>
        <v>-5.4969929128951822E-2</v>
      </c>
      <c r="FG22" s="75">
        <f>FC22-AE22</f>
        <v>-5.4420513345457833E-3</v>
      </c>
      <c r="FH22" s="75">
        <f>FD22-AF22</f>
        <v>3.2978388475535692E-2</v>
      </c>
      <c r="FI22" s="75">
        <f>FE22-AG22</f>
        <v>-4.7015681321808334E-2</v>
      </c>
      <c r="FJ22" s="1"/>
      <c r="FK22" s="1"/>
      <c r="FL22" s="1"/>
      <c r="FM22" s="1"/>
      <c r="FN22" s="1"/>
      <c r="FO22" s="1"/>
      <c r="FP22" s="1"/>
      <c r="FQ22" s="1"/>
    </row>
    <row r="23" spans="1:173" x14ac:dyDescent="0.3">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c r="ET23" s="1"/>
      <c r="EU23" s="1"/>
      <c r="EV23" s="1"/>
      <c r="EW23" s="1"/>
      <c r="EX23" s="1"/>
      <c r="EY23" s="1"/>
      <c r="EZ23" s="1"/>
      <c r="FA23" s="1"/>
      <c r="FB23" s="1"/>
      <c r="FC23" s="1"/>
      <c r="FD23" s="1"/>
      <c r="FE23" s="1"/>
      <c r="FF23" s="1"/>
      <c r="FG23" s="1"/>
      <c r="FH23" s="1"/>
      <c r="FI23" s="1"/>
      <c r="FJ23" s="1"/>
      <c r="FK23" s="1"/>
      <c r="FL23" s="1"/>
      <c r="FM23" s="1"/>
      <c r="FN23" s="1"/>
      <c r="FO23" s="1"/>
      <c r="FP23" s="1"/>
      <c r="FQ23" s="1"/>
    </row>
    <row r="24" spans="1:173" x14ac:dyDescent="0.3">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c r="EJ24" s="1"/>
      <c r="EK24" s="1"/>
      <c r="EL24" s="1"/>
      <c r="EM24" s="1"/>
      <c r="EN24" s="1"/>
      <c r="EO24" s="1"/>
      <c r="EP24" s="1"/>
      <c r="EQ24" s="1"/>
      <c r="ER24" s="1"/>
      <c r="ES24" s="1"/>
      <c r="ET24" s="1"/>
      <c r="EU24" s="1"/>
      <c r="EV24" s="1"/>
      <c r="EW24" s="1"/>
      <c r="EX24" s="1"/>
      <c r="EY24" s="1"/>
      <c r="EZ24" s="1"/>
      <c r="FA24" s="1"/>
      <c r="FB24" s="1"/>
      <c r="FC24" s="1"/>
      <c r="FD24" s="1"/>
      <c r="FE24" s="1"/>
      <c r="FF24" s="1"/>
      <c r="FG24" s="1"/>
      <c r="FH24" s="1"/>
      <c r="FI24" s="1"/>
      <c r="FJ24" s="1"/>
      <c r="FK24" s="1"/>
      <c r="FL24" s="1"/>
      <c r="FM24" s="1"/>
      <c r="FN24" s="1"/>
      <c r="FO24" s="1"/>
      <c r="FP24" s="1"/>
      <c r="FQ24" s="1"/>
    </row>
    <row r="25" spans="1:173" x14ac:dyDescent="0.3">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Q25" s="1"/>
    </row>
    <row r="26" spans="1:173" x14ac:dyDescent="0.3">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c r="ER26" s="1"/>
      <c r="ES26" s="1"/>
      <c r="ET26" s="1"/>
      <c r="EU26" s="1"/>
      <c r="EV26" s="1"/>
      <c r="EW26" s="1"/>
      <c r="EX26" s="1"/>
      <c r="EY26" s="1"/>
      <c r="EZ26" s="1"/>
      <c r="FA26" s="1"/>
      <c r="FB26" s="1"/>
      <c r="FC26" s="1"/>
      <c r="FD26" s="1"/>
      <c r="FE26" s="1"/>
      <c r="FF26" s="1"/>
      <c r="FG26" s="1"/>
      <c r="FH26" s="1"/>
      <c r="FI26" s="1"/>
      <c r="FJ26" s="1"/>
      <c r="FK26" s="1"/>
      <c r="FL26" s="1"/>
      <c r="FM26" s="1"/>
      <c r="FN26" s="1"/>
      <c r="FO26" s="1"/>
      <c r="FP26" s="1"/>
      <c r="FQ26" s="1"/>
    </row>
    <row r="27" spans="1:173" x14ac:dyDescent="0.3">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c r="CW27" s="1"/>
      <c r="CX27" s="1"/>
      <c r="CY27" s="1"/>
      <c r="CZ27" s="1"/>
      <c r="DA27" s="1"/>
      <c r="DB27" s="1"/>
      <c r="DC27" s="1"/>
      <c r="DD27" s="1"/>
      <c r="DE27" s="1"/>
      <c r="DF27" s="1"/>
      <c r="DG27" s="1"/>
      <c r="DH27" s="1"/>
      <c r="DI27" s="1"/>
      <c r="DJ27" s="1"/>
      <c r="DK27" s="1"/>
      <c r="DL27" s="1"/>
      <c r="DM27" s="1"/>
      <c r="DN27" s="1"/>
      <c r="DO27" s="1"/>
      <c r="DP27" s="1"/>
      <c r="DQ27" s="1"/>
      <c r="DR27" s="1"/>
      <c r="DS27" s="1"/>
      <c r="DT27" s="1"/>
      <c r="DU27" s="1"/>
      <c r="DV27" s="1"/>
      <c r="DW27" s="1"/>
      <c r="DX27" s="1"/>
      <c r="DY27" s="1"/>
      <c r="DZ27" s="1"/>
      <c r="EA27" s="1"/>
      <c r="EB27" s="1"/>
      <c r="EC27" s="1"/>
      <c r="ED27" s="1"/>
      <c r="EE27" s="1"/>
      <c r="EF27" s="1"/>
      <c r="EG27" s="1"/>
      <c r="EH27" s="1"/>
      <c r="EI27" s="1"/>
      <c r="EJ27" s="1"/>
      <c r="EK27" s="1"/>
      <c r="EL27" s="1"/>
      <c r="EM27" s="1"/>
      <c r="EN27" s="1"/>
      <c r="EO27" s="1"/>
      <c r="EP27" s="1"/>
      <c r="EQ27" s="1"/>
      <c r="ER27" s="1"/>
      <c r="ES27" s="1"/>
      <c r="ET27" s="1"/>
      <c r="EU27" s="1"/>
      <c r="EV27" s="1"/>
      <c r="EW27" s="1"/>
      <c r="EX27" s="1"/>
      <c r="EY27" s="1"/>
      <c r="EZ27" s="1"/>
      <c r="FA27" s="1"/>
      <c r="FB27" s="1"/>
      <c r="FC27" s="1"/>
      <c r="FD27" s="1"/>
      <c r="FE27" s="1"/>
      <c r="FF27" s="1"/>
      <c r="FG27" s="1"/>
      <c r="FH27" s="1"/>
      <c r="FI27" s="1"/>
      <c r="FJ27" s="1"/>
      <c r="FK27" s="1"/>
      <c r="FL27" s="1"/>
      <c r="FM27" s="1"/>
      <c r="FN27" s="1"/>
      <c r="FO27" s="1"/>
      <c r="FP27" s="1"/>
      <c r="FQ27" s="1"/>
    </row>
  </sheetData>
  <pageMargins left="0.7" right="0.7" top="0.75" bottom="0.75" header="0.3" footer="0.3"/>
  <pageSetup paperSize="9" orientation="portrait" r:id="rId1"/>
  <headerFooter>
    <oddHeader>&amp;L&amp;"Times New Roman,Regular"&amp;12&amp;K000000Central Bank of Ireland - UNRESTRICTED&amp;R&amp;"Arial"&amp;10&amp;K000000 ECB-RESTRICTED&amp;1#_x000D_</oddHeader>
    <evenHeader>&amp;L&amp;"Times New Roman,Regular"&amp;12&amp;K000000Central Bank of Ireland - UNRESTRICTED</evenHeader>
    <firstHeader>&amp;L&amp;"Times New Roman,Regular"&amp;12&amp;K000000Central Bank of Ireland - UNRESTRICTED</firstHeader>
  </headerFooter>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700C5-FF97-4B5E-A3F2-118E8B31108F}">
  <sheetPr>
    <pageSetUpPr autoPageBreaks="0"/>
  </sheetPr>
  <dimension ref="A1:BN121"/>
  <sheetViews>
    <sheetView zoomScale="55" zoomScaleNormal="55" workbookViewId="0">
      <selection activeCell="D9" sqref="D9"/>
    </sheetView>
  </sheetViews>
  <sheetFormatPr baseColWidth="10" defaultColWidth="8.88671875" defaultRowHeight="14.4" x14ac:dyDescent="0.3"/>
  <cols>
    <col min="1" max="1" width="4.109375" customWidth="1"/>
    <col min="3" max="3" width="17.44140625" customWidth="1"/>
    <col min="4" max="7" width="18.5546875" customWidth="1"/>
    <col min="8" max="8" width="19" customWidth="1"/>
    <col min="9" max="9" width="17" customWidth="1"/>
    <col min="10" max="10" width="19" customWidth="1"/>
    <col min="11" max="12" width="17" customWidth="1"/>
    <col min="13" max="13" width="17.44140625" customWidth="1"/>
    <col min="14" max="15" width="16.44140625" customWidth="1"/>
    <col min="16" max="20" width="18.44140625" customWidth="1"/>
    <col min="21" max="26" width="16.44140625" customWidth="1"/>
    <col min="27" max="33" width="16.109375" customWidth="1"/>
    <col min="34" max="34" width="14.88671875" customWidth="1"/>
    <col min="35" max="36" width="12.5546875" customWidth="1"/>
    <col min="37" max="37" width="17.44140625" customWidth="1"/>
    <col min="38" max="38" width="12.109375" customWidth="1"/>
    <col min="39" max="39" width="9.5546875" customWidth="1"/>
    <col min="40" max="42" width="19" customWidth="1"/>
    <col min="43" max="50" width="9.5546875" customWidth="1"/>
    <col min="51" max="59" width="0.5546875" customWidth="1"/>
  </cols>
  <sheetData>
    <row r="1" spans="1:66" ht="15" thickBot="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row>
    <row r="2" spans="1:66" ht="18" customHeight="1" thickBot="1" x14ac:dyDescent="0.35">
      <c r="A2" s="1"/>
      <c r="B2" s="2" t="s">
        <v>654</v>
      </c>
      <c r="C2" s="3"/>
      <c r="D2" s="3"/>
      <c r="E2" s="3"/>
      <c r="F2" s="3"/>
      <c r="G2" s="3"/>
      <c r="H2" s="3"/>
      <c r="I2" s="3"/>
      <c r="J2" s="3"/>
      <c r="K2" s="3"/>
      <c r="L2" s="3"/>
      <c r="M2" s="4"/>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row>
    <row r="3" spans="1:66" ht="18" customHeight="1" x14ac:dyDescent="0.3">
      <c r="A3" s="1"/>
      <c r="B3" s="5" t="s">
        <v>115</v>
      </c>
      <c r="C3" s="6"/>
      <c r="D3" s="6"/>
      <c r="E3" s="6"/>
      <c r="F3" s="6"/>
      <c r="G3" s="6"/>
      <c r="H3" s="6"/>
      <c r="I3" s="6"/>
      <c r="J3" s="6"/>
      <c r="K3" s="6"/>
      <c r="L3" s="6"/>
      <c r="M3" s="7"/>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row>
    <row r="4" spans="1:66" ht="18" customHeight="1" x14ac:dyDescent="0.3">
      <c r="A4" s="1"/>
      <c r="B4" s="99" t="s">
        <v>1</v>
      </c>
      <c r="C4" s="296"/>
      <c r="D4" s="296"/>
      <c r="E4" s="296"/>
      <c r="F4" s="296"/>
      <c r="G4" s="296"/>
      <c r="H4" s="296"/>
      <c r="I4" s="296"/>
      <c r="J4" s="296"/>
      <c r="K4" s="296"/>
      <c r="L4" s="296"/>
      <c r="M4" s="100"/>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row>
    <row r="5" spans="1:66" ht="14.25" customHeight="1" x14ac:dyDescent="0.3">
      <c r="A5" s="1"/>
      <c r="B5" s="293" t="s">
        <v>116</v>
      </c>
      <c r="C5" s="294"/>
      <c r="D5" s="294"/>
      <c r="E5" s="294"/>
      <c r="F5" s="294"/>
      <c r="G5" s="294"/>
      <c r="H5" s="294"/>
      <c r="I5" s="294"/>
      <c r="J5" s="294"/>
      <c r="K5" s="294"/>
      <c r="L5" s="294"/>
      <c r="M5" s="295"/>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row>
    <row r="6" spans="1:66" ht="12.6" customHeight="1" x14ac:dyDescent="0.3">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row>
    <row r="7" spans="1:66" ht="12.6" customHeight="1" x14ac:dyDescent="0.3">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row>
    <row r="8" spans="1:66" ht="17.399999999999999" customHeight="1" x14ac:dyDescent="0.3">
      <c r="A8" s="1"/>
      <c r="B8" s="11" t="s">
        <v>2</v>
      </c>
      <c r="C8" s="12" t="s">
        <v>233</v>
      </c>
      <c r="D8" s="12" t="s">
        <v>660</v>
      </c>
      <c r="E8" s="124" t="s">
        <v>544</v>
      </c>
      <c r="F8" s="125"/>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row>
    <row r="9" spans="1:66" ht="10.35" customHeight="1" x14ac:dyDescent="0.3">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row>
    <row r="10" spans="1:66" x14ac:dyDescent="0.3">
      <c r="A10" s="1"/>
      <c r="B10" s="1"/>
      <c r="C10" s="13" t="s">
        <v>6</v>
      </c>
      <c r="D10" s="14"/>
      <c r="E10" s="14"/>
      <c r="F10" s="14"/>
      <c r="G10" s="14"/>
      <c r="H10" s="14"/>
      <c r="I10" s="14"/>
      <c r="J10" s="14"/>
      <c r="K10" s="14"/>
      <c r="L10" s="14"/>
      <c r="M10" s="14"/>
      <c r="N10" s="14"/>
      <c r="O10" s="14"/>
      <c r="P10" s="15" t="s">
        <v>596</v>
      </c>
      <c r="Q10" s="16"/>
      <c r="R10" s="16"/>
      <c r="S10" s="16"/>
      <c r="T10" s="16"/>
      <c r="U10" s="16"/>
      <c r="V10" s="16"/>
      <c r="W10" s="16"/>
      <c r="X10" s="13"/>
      <c r="Y10" s="17"/>
      <c r="Z10" s="17"/>
      <c r="AA10" s="17"/>
      <c r="AB10" s="17"/>
      <c r="AC10" s="17"/>
      <c r="AD10" s="17"/>
      <c r="AE10" s="19"/>
      <c r="AF10" s="16"/>
      <c r="AG10" s="16"/>
      <c r="AH10" s="16"/>
      <c r="AI10" s="16"/>
      <c r="AJ10" s="16"/>
      <c r="AK10" s="1"/>
      <c r="AL10" s="1"/>
      <c r="AM10" s="99" t="s">
        <v>562</v>
      </c>
      <c r="AN10" s="9"/>
      <c r="AO10" s="9"/>
      <c r="AP10" s="9"/>
      <c r="AQ10" s="9"/>
      <c r="AR10" s="9"/>
      <c r="AS10" s="10"/>
      <c r="AT10" s="1"/>
      <c r="AU10" s="1"/>
      <c r="AV10" s="1"/>
      <c r="AW10" s="1"/>
      <c r="AX10" s="1"/>
      <c r="AY10" s="1"/>
      <c r="AZ10" s="1"/>
      <c r="BA10" s="1"/>
      <c r="BB10" s="1"/>
      <c r="BC10" s="1"/>
      <c r="BD10" s="1"/>
      <c r="BE10" s="1"/>
      <c r="BF10" s="1"/>
      <c r="BG10" s="1"/>
      <c r="BH10" s="1"/>
      <c r="BI10" s="1"/>
      <c r="BJ10" s="1"/>
      <c r="BK10" s="1"/>
      <c r="BL10" s="1"/>
      <c r="BM10" s="1"/>
      <c r="BN10" s="1"/>
    </row>
    <row r="11" spans="1:66" ht="78.75" customHeight="1" x14ac:dyDescent="0.3">
      <c r="A11" s="1"/>
      <c r="B11" s="25" t="s">
        <v>20</v>
      </c>
      <c r="C11" s="26" t="s">
        <v>119</v>
      </c>
      <c r="D11" s="27" t="s">
        <v>120</v>
      </c>
      <c r="E11" s="26" t="s">
        <v>121</v>
      </c>
      <c r="F11" s="27" t="s">
        <v>122</v>
      </c>
      <c r="G11" s="27" t="s">
        <v>123</v>
      </c>
      <c r="H11" s="27" t="s">
        <v>124</v>
      </c>
      <c r="I11" s="27" t="s">
        <v>125</v>
      </c>
      <c r="J11" s="27" t="s">
        <v>126</v>
      </c>
      <c r="K11" s="27" t="s">
        <v>127</v>
      </c>
      <c r="L11" s="27"/>
      <c r="M11" s="27"/>
      <c r="N11" s="27"/>
      <c r="O11" s="27"/>
      <c r="P11" s="26" t="s">
        <v>119</v>
      </c>
      <c r="Q11" s="27" t="s">
        <v>120</v>
      </c>
      <c r="R11" s="27" t="s">
        <v>121</v>
      </c>
      <c r="S11" s="27" t="s">
        <v>122</v>
      </c>
      <c r="T11" s="27" t="s">
        <v>123</v>
      </c>
      <c r="U11" s="27" t="s">
        <v>130</v>
      </c>
      <c r="V11" s="27"/>
      <c r="W11" s="27"/>
      <c r="X11" s="27"/>
      <c r="Y11" s="27"/>
      <c r="Z11" s="27"/>
      <c r="AA11" s="27"/>
      <c r="AB11" s="27"/>
      <c r="AC11" s="27"/>
      <c r="AD11" s="27"/>
      <c r="AE11" s="27"/>
      <c r="AF11" s="27"/>
      <c r="AG11" s="27"/>
      <c r="AH11" s="27"/>
      <c r="AI11" s="27"/>
      <c r="AJ11" s="27"/>
      <c r="AK11" s="27" t="s">
        <v>150</v>
      </c>
      <c r="AL11" s="1"/>
      <c r="AM11" s="522" t="s">
        <v>563</v>
      </c>
      <c r="AN11" s="523" t="s">
        <v>568</v>
      </c>
      <c r="AO11" s="523" t="s">
        <v>569</v>
      </c>
      <c r="AP11" s="523" t="s">
        <v>570</v>
      </c>
      <c r="AQ11" s="523" t="s">
        <v>564</v>
      </c>
      <c r="AR11" s="523" t="s">
        <v>565</v>
      </c>
      <c r="AS11" s="523" t="s">
        <v>566</v>
      </c>
      <c r="AT11" s="1"/>
      <c r="AU11" s="1"/>
      <c r="AV11" s="1"/>
      <c r="AW11" s="1"/>
      <c r="AX11" s="1"/>
      <c r="AY11" s="1"/>
      <c r="AZ11" s="1"/>
      <c r="BA11" s="1"/>
      <c r="BB11" s="1"/>
      <c r="BC11" s="1"/>
      <c r="BD11" s="1"/>
      <c r="BE11" s="1"/>
      <c r="BF11" s="1"/>
      <c r="BG11" s="1"/>
      <c r="BH11" s="1"/>
      <c r="BI11" s="1"/>
      <c r="BJ11" s="1"/>
      <c r="BK11" s="1"/>
      <c r="BL11" s="1"/>
      <c r="BM11" s="1"/>
      <c r="BN11" s="1"/>
    </row>
    <row r="12" spans="1:66" x14ac:dyDescent="0.3">
      <c r="A12" s="1"/>
      <c r="B12" s="28">
        <v>1</v>
      </c>
      <c r="C12" s="462">
        <v>4544824.2012</v>
      </c>
      <c r="D12" s="462">
        <v>6141370.6308000004</v>
      </c>
      <c r="E12" s="462">
        <v>8632905.6180000044</v>
      </c>
      <c r="F12" s="462">
        <v>7779653.8728000009</v>
      </c>
      <c r="G12" s="462">
        <v>4155920.2656000014</v>
      </c>
      <c r="H12" s="462">
        <v>11495267.198400004</v>
      </c>
      <c r="I12" s="462">
        <v>5420569.3043999998</v>
      </c>
      <c r="J12" s="462">
        <v>6913364.8115999997</v>
      </c>
      <c r="K12" s="462">
        <v>5093095.0583999995</v>
      </c>
      <c r="L12" s="463"/>
      <c r="M12" s="463"/>
      <c r="N12" s="463"/>
      <c r="O12" s="463"/>
      <c r="P12" s="462">
        <v>875983810.70279968</v>
      </c>
      <c r="Q12" s="462">
        <v>900474630.11159968</v>
      </c>
      <c r="R12" s="462">
        <v>931364334.14399993</v>
      </c>
      <c r="S12" s="462">
        <v>973428962.02320123</v>
      </c>
      <c r="T12" s="462">
        <v>1005810502.3271997</v>
      </c>
      <c r="U12" s="464">
        <f t="shared" ref="U12:U22" si="0">T12/P12-1</f>
        <v>0.14820672487113695</v>
      </c>
      <c r="V12" s="463"/>
      <c r="W12" s="464"/>
      <c r="X12" s="465"/>
      <c r="Y12" s="465"/>
      <c r="Z12" s="465"/>
      <c r="AA12" s="465"/>
      <c r="AB12" s="465"/>
      <c r="AC12" s="465"/>
      <c r="AD12" s="465"/>
      <c r="AE12" s="463"/>
      <c r="AF12" s="463"/>
      <c r="AG12" s="463"/>
      <c r="AH12" s="463"/>
      <c r="AI12" s="463"/>
      <c r="AJ12" s="463"/>
      <c r="AK12" s="462">
        <v>6766678.2167999987</v>
      </c>
      <c r="AL12" s="1"/>
      <c r="AM12" s="32" cm="1">
        <f t="array" aca="1" ref="AM12" ca="1">INDIRECT("'1"&amp;$C$8&amp;"'!W12")</f>
        <v>8.0407309226227213</v>
      </c>
      <c r="AN12" s="524">
        <f t="shared" ref="AN12:AN21" ca="1" si="1">C12+C12*U12*AM12</f>
        <v>9960847.5515149683</v>
      </c>
      <c r="AO12" s="524">
        <f t="shared" ref="AO12:AO21" ca="1" si="2">C12+C12*U$22*AM12</f>
        <v>9984657.7185777314</v>
      </c>
      <c r="AP12" s="524">
        <f t="shared" ref="AP12:AP21" ca="1" si="3">C12+C12*AR12*AM12</f>
        <v>9960847.5515149683</v>
      </c>
      <c r="AQ12" s="525">
        <f t="shared" ref="AQ12:AQ21" si="4">U12</f>
        <v>0.14820672487113695</v>
      </c>
      <c r="AR12" s="344">
        <f>AQ12</f>
        <v>0.14820672487113695</v>
      </c>
      <c r="AS12" s="41">
        <f>P12/P$22</f>
        <v>7.9346237579541908E-3</v>
      </c>
      <c r="AT12" s="1"/>
      <c r="AU12" s="1"/>
      <c r="AV12" s="1"/>
      <c r="AW12" s="1"/>
      <c r="AX12" s="1"/>
      <c r="AY12" s="1"/>
      <c r="AZ12" s="1"/>
      <c r="BA12" s="1"/>
      <c r="BB12" s="1"/>
      <c r="BC12" s="1"/>
      <c r="BD12" s="1"/>
      <c r="BE12" s="1"/>
      <c r="BF12" s="1"/>
      <c r="BG12" s="1"/>
      <c r="BH12" s="1"/>
      <c r="BI12" s="1"/>
      <c r="BJ12" s="1"/>
      <c r="BK12" s="1"/>
      <c r="BL12" s="1"/>
      <c r="BM12" s="1"/>
      <c r="BN12" s="1"/>
    </row>
    <row r="13" spans="1:66" x14ac:dyDescent="0.3">
      <c r="A13" s="1"/>
      <c r="B13" s="28">
        <v>2</v>
      </c>
      <c r="C13" s="462">
        <v>61363480.09679997</v>
      </c>
      <c r="D13" s="462">
        <v>70773739.867199987</v>
      </c>
      <c r="E13" s="462">
        <v>76967171.213999972</v>
      </c>
      <c r="F13" s="462">
        <v>69195449.516399994</v>
      </c>
      <c r="G13" s="462">
        <v>64064192.33160001</v>
      </c>
      <c r="H13" s="462">
        <v>108930462.51719996</v>
      </c>
      <c r="I13" s="462">
        <v>69120171.933600023</v>
      </c>
      <c r="J13" s="462">
        <v>77484812.348399997</v>
      </c>
      <c r="K13" s="462">
        <v>67236736.36439997</v>
      </c>
      <c r="L13" s="463"/>
      <c r="M13" s="463"/>
      <c r="N13" s="463"/>
      <c r="O13" s="463"/>
      <c r="P13" s="462">
        <v>3261063755.0220013</v>
      </c>
      <c r="Q13" s="462">
        <v>3341763126.7404022</v>
      </c>
      <c r="R13" s="462">
        <v>3426658132.5444012</v>
      </c>
      <c r="S13" s="462">
        <v>3574465884.8171983</v>
      </c>
      <c r="T13" s="462">
        <v>3684546419.7168016</v>
      </c>
      <c r="U13" s="464">
        <f t="shared" si="0"/>
        <v>0.12986028379317704</v>
      </c>
      <c r="V13" s="463"/>
      <c r="W13" s="464"/>
      <c r="X13" s="465"/>
      <c r="Y13" s="465"/>
      <c r="Z13" s="465"/>
      <c r="AA13" s="465"/>
      <c r="AB13" s="465"/>
      <c r="AC13" s="465"/>
      <c r="AD13" s="465"/>
      <c r="AE13" s="463"/>
      <c r="AF13" s="463"/>
      <c r="AG13" s="463"/>
      <c r="AH13" s="463"/>
      <c r="AI13" s="463"/>
      <c r="AJ13" s="463"/>
      <c r="AK13" s="462">
        <v>81808340.772</v>
      </c>
      <c r="AL13" s="1"/>
      <c r="AM13" s="32" cm="1">
        <f t="array" aca="1" ref="AM13" ca="1">INDIRECT("'1"&amp;$C$8&amp;"'!W13")</f>
        <v>4.8364625097589817</v>
      </c>
      <c r="AN13" s="524">
        <f t="shared" ca="1" si="1"/>
        <v>99903697.041968137</v>
      </c>
      <c r="AO13" s="524">
        <f t="shared" ca="1" si="2"/>
        <v>105541963.002056</v>
      </c>
      <c r="AP13" s="524">
        <f t="shared" ca="1" si="3"/>
        <v>99903697.041968137</v>
      </c>
      <c r="AQ13" s="525">
        <f t="shared" si="4"/>
        <v>0.12986028379317704</v>
      </c>
      <c r="AR13" s="344">
        <f t="shared" ref="AR13:AR18" si="5">AQ13</f>
        <v>0.12986028379317704</v>
      </c>
      <c r="AS13" s="41">
        <f t="shared" ref="AS13:AS21" si="6">P13/P$22</f>
        <v>2.9538575520067174E-2</v>
      </c>
      <c r="AT13" s="1"/>
      <c r="AU13" s="1"/>
      <c r="AV13" s="1"/>
      <c r="AW13" s="1"/>
      <c r="AX13" s="1"/>
      <c r="AY13" s="1"/>
      <c r="AZ13" s="1"/>
      <c r="BA13" s="1"/>
      <c r="BB13" s="1"/>
      <c r="BC13" s="1"/>
      <c r="BD13" s="1"/>
      <c r="BE13" s="1"/>
      <c r="BF13" s="1"/>
      <c r="BG13" s="1"/>
      <c r="BH13" s="1"/>
      <c r="BI13" s="1"/>
      <c r="BJ13" s="1"/>
      <c r="BK13" s="1"/>
      <c r="BL13" s="1"/>
      <c r="BM13" s="1"/>
      <c r="BN13" s="1"/>
    </row>
    <row r="14" spans="1:66" x14ac:dyDescent="0.3">
      <c r="A14" s="1"/>
      <c r="B14" s="28">
        <v>3</v>
      </c>
      <c r="C14" s="462">
        <v>92601166.188000053</v>
      </c>
      <c r="D14" s="462">
        <v>103483428.60720003</v>
      </c>
      <c r="E14" s="462">
        <v>116465075.19240005</v>
      </c>
      <c r="F14" s="462">
        <v>115798322.99400002</v>
      </c>
      <c r="G14" s="462">
        <v>113330432.85960007</v>
      </c>
      <c r="H14" s="462">
        <v>161206981.77600005</v>
      </c>
      <c r="I14" s="462">
        <v>110323342.3872</v>
      </c>
      <c r="J14" s="462">
        <v>120645901.80000004</v>
      </c>
      <c r="K14" s="462">
        <v>107859519.70560001</v>
      </c>
      <c r="L14" s="463"/>
      <c r="M14" s="463"/>
      <c r="N14" s="463"/>
      <c r="O14" s="463"/>
      <c r="P14" s="462">
        <v>5537198588.7755966</v>
      </c>
      <c r="Q14" s="462">
        <v>5671261110.5603933</v>
      </c>
      <c r="R14" s="462">
        <v>5806434993.5375996</v>
      </c>
      <c r="S14" s="462">
        <v>6066425483.3495989</v>
      </c>
      <c r="T14" s="462">
        <v>6241388469.7236023</v>
      </c>
      <c r="U14" s="464">
        <f t="shared" si="0"/>
        <v>0.12717439507686468</v>
      </c>
      <c r="V14" s="463"/>
      <c r="W14" s="464"/>
      <c r="X14" s="465"/>
      <c r="Y14" s="465"/>
      <c r="Z14" s="465"/>
      <c r="AA14" s="465"/>
      <c r="AB14" s="465"/>
      <c r="AC14" s="465"/>
      <c r="AD14" s="465"/>
      <c r="AE14" s="463"/>
      <c r="AF14" s="463"/>
      <c r="AG14" s="463"/>
      <c r="AH14" s="463"/>
      <c r="AI14" s="463"/>
      <c r="AJ14" s="463"/>
      <c r="AK14" s="462">
        <v>139187385.13080001</v>
      </c>
      <c r="AL14" s="1"/>
      <c r="AM14" s="32" cm="1">
        <f t="array" aca="1" ref="AM14" ca="1">INDIRECT("'1"&amp;$C$8&amp;"'!W14")</f>
        <v>3.8078169319602013</v>
      </c>
      <c r="AN14" s="524">
        <f t="shared" ca="1" si="1"/>
        <v>137443911.98088211</v>
      </c>
      <c r="AO14" s="524">
        <f t="shared" ca="1" si="2"/>
        <v>145089828.82182607</v>
      </c>
      <c r="AP14" s="524">
        <f t="shared" ca="1" si="3"/>
        <v>137443911.98088211</v>
      </c>
      <c r="AQ14" s="525">
        <f t="shared" si="4"/>
        <v>0.12717439507686468</v>
      </c>
      <c r="AR14" s="344">
        <f t="shared" si="5"/>
        <v>0.12717439507686468</v>
      </c>
      <c r="AS14" s="41">
        <f t="shared" si="6"/>
        <v>5.0155707146870503E-2</v>
      </c>
      <c r="AT14" s="1"/>
      <c r="AU14" s="1"/>
      <c r="AV14" s="1"/>
      <c r="AW14" s="1"/>
      <c r="AX14" s="1"/>
      <c r="AY14" s="1"/>
      <c r="AZ14" s="1"/>
      <c r="BA14" s="1"/>
      <c r="BB14" s="1"/>
      <c r="BC14" s="1"/>
      <c r="BD14" s="1"/>
      <c r="BE14" s="1"/>
      <c r="BF14" s="1"/>
      <c r="BG14" s="1"/>
      <c r="BH14" s="1"/>
      <c r="BI14" s="1"/>
      <c r="BJ14" s="1"/>
      <c r="BK14" s="1"/>
      <c r="BL14" s="1"/>
      <c r="BM14" s="1"/>
      <c r="BN14" s="1"/>
    </row>
    <row r="15" spans="1:66" x14ac:dyDescent="0.3">
      <c r="A15" s="1"/>
      <c r="B15" s="28">
        <v>4</v>
      </c>
      <c r="C15" s="462">
        <v>219818146.75800002</v>
      </c>
      <c r="D15" s="462">
        <v>245319407.72280008</v>
      </c>
      <c r="E15" s="462">
        <v>267752229.92999992</v>
      </c>
      <c r="F15" s="462">
        <v>271365705.33960009</v>
      </c>
      <c r="G15" s="462">
        <v>262787163.26039985</v>
      </c>
      <c r="H15" s="462">
        <v>343998895.13639998</v>
      </c>
      <c r="I15" s="462">
        <v>247865977.662</v>
      </c>
      <c r="J15" s="462">
        <v>270247051.76399994</v>
      </c>
      <c r="K15" s="462">
        <v>242469312.58319995</v>
      </c>
      <c r="L15" s="463"/>
      <c r="M15" s="463"/>
      <c r="N15" s="463"/>
      <c r="O15" s="463"/>
      <c r="P15" s="462">
        <v>6075083146.2467947</v>
      </c>
      <c r="Q15" s="462">
        <v>6181960842.4559946</v>
      </c>
      <c r="R15" s="462">
        <v>6308148553.6931934</v>
      </c>
      <c r="S15" s="462">
        <v>6555621860.5271988</v>
      </c>
      <c r="T15" s="462">
        <v>6754728304.0463963</v>
      </c>
      <c r="U15" s="464">
        <f t="shared" si="0"/>
        <v>0.11187421495942629</v>
      </c>
      <c r="V15" s="463"/>
      <c r="W15" s="464"/>
      <c r="X15" s="465"/>
      <c r="Y15" s="465"/>
      <c r="Z15" s="465"/>
      <c r="AA15" s="465"/>
      <c r="AB15" s="465"/>
      <c r="AC15" s="465"/>
      <c r="AD15" s="465"/>
      <c r="AE15" s="463"/>
      <c r="AF15" s="463"/>
      <c r="AG15" s="463"/>
      <c r="AH15" s="463"/>
      <c r="AI15" s="463"/>
      <c r="AJ15" s="463"/>
      <c r="AK15" s="462">
        <v>316123121.67239982</v>
      </c>
      <c r="AL15" s="1"/>
      <c r="AM15" s="32" cm="1">
        <f t="array" aca="1" ref="AM15" ca="1">INDIRECT("'1"&amp;$C$8&amp;"'!W15")</f>
        <v>3.6587815984593366</v>
      </c>
      <c r="AN15" s="524">
        <f t="shared" ca="1" si="1"/>
        <v>309794840.1732465</v>
      </c>
      <c r="AO15" s="524">
        <f t="shared" ca="1" si="2"/>
        <v>339539886.4407438</v>
      </c>
      <c r="AP15" s="524">
        <f t="shared" ca="1" si="3"/>
        <v>309794840.1732465</v>
      </c>
      <c r="AQ15" s="525">
        <f t="shared" si="4"/>
        <v>0.11187421495942629</v>
      </c>
      <c r="AR15" s="344">
        <f t="shared" si="5"/>
        <v>0.11187421495942629</v>
      </c>
      <c r="AS15" s="41">
        <f t="shared" si="6"/>
        <v>5.5027842381109034E-2</v>
      </c>
      <c r="AT15" s="1"/>
      <c r="AU15" s="1"/>
      <c r="AV15" s="1"/>
      <c r="AW15" s="1"/>
      <c r="AX15" s="1"/>
      <c r="AY15" s="1"/>
      <c r="AZ15" s="1"/>
      <c r="BA15" s="1"/>
      <c r="BB15" s="1"/>
      <c r="BC15" s="1"/>
      <c r="BD15" s="1"/>
      <c r="BE15" s="1"/>
      <c r="BF15" s="1"/>
      <c r="BG15" s="1"/>
      <c r="BH15" s="1"/>
      <c r="BI15" s="1"/>
      <c r="BJ15" s="1"/>
      <c r="BK15" s="1"/>
      <c r="BL15" s="1"/>
      <c r="BM15" s="1"/>
      <c r="BN15" s="1"/>
    </row>
    <row r="16" spans="1:66" x14ac:dyDescent="0.3">
      <c r="A16" s="1"/>
      <c r="B16" s="28">
        <v>5</v>
      </c>
      <c r="C16" s="462">
        <v>608549068.85519981</v>
      </c>
      <c r="D16" s="462">
        <v>667193459.46959972</v>
      </c>
      <c r="E16" s="462">
        <v>723876362.35560024</v>
      </c>
      <c r="F16" s="462">
        <v>736204315.53359973</v>
      </c>
      <c r="G16" s="462">
        <v>727126313.12040031</v>
      </c>
      <c r="H16" s="462">
        <v>895351734.67919946</v>
      </c>
      <c r="I16" s="462">
        <v>691843418.06159937</v>
      </c>
      <c r="J16" s="462">
        <v>738144300.39120007</v>
      </c>
      <c r="K16" s="462">
        <v>680323455.39839995</v>
      </c>
      <c r="L16" s="463"/>
      <c r="M16" s="463"/>
      <c r="N16" s="463"/>
      <c r="O16" s="463"/>
      <c r="P16" s="462">
        <v>7484924177.5632057</v>
      </c>
      <c r="Q16" s="462">
        <v>7697887097.6111984</v>
      </c>
      <c r="R16" s="462">
        <v>7941254302.6068077</v>
      </c>
      <c r="S16" s="462">
        <v>8254582464.4020081</v>
      </c>
      <c r="T16" s="462">
        <v>8508769994.9688034</v>
      </c>
      <c r="U16" s="464">
        <f t="shared" si="0"/>
        <v>0.13678773399932043</v>
      </c>
      <c r="V16" s="463"/>
      <c r="W16" s="464"/>
      <c r="X16" s="465"/>
      <c r="Y16" s="465"/>
      <c r="Z16" s="465"/>
      <c r="AA16" s="465"/>
      <c r="AB16" s="465"/>
      <c r="AC16" s="465"/>
      <c r="AD16" s="465"/>
      <c r="AE16" s="463"/>
      <c r="AF16" s="463"/>
      <c r="AG16" s="463"/>
      <c r="AH16" s="463"/>
      <c r="AI16" s="463"/>
      <c r="AJ16" s="463"/>
      <c r="AK16" s="462">
        <v>840494452.86959946</v>
      </c>
      <c r="AL16" s="1"/>
      <c r="AM16" s="32" cm="1">
        <f t="array" aca="1" ref="AM16" ca="1">INDIRECT("'1"&amp;$C$8&amp;"'!W16")</f>
        <v>3.0227611618913155</v>
      </c>
      <c r="AN16" s="524">
        <f t="shared" ca="1" si="1"/>
        <v>860169899.05774307</v>
      </c>
      <c r="AO16" s="524">
        <f t="shared" ca="1" si="2"/>
        <v>882373646.49831796</v>
      </c>
      <c r="AP16" s="524">
        <f t="shared" ca="1" si="3"/>
        <v>860169899.05774307</v>
      </c>
      <c r="AQ16" s="525">
        <f t="shared" si="4"/>
        <v>0.13678773399932043</v>
      </c>
      <c r="AR16" s="344">
        <f t="shared" si="5"/>
        <v>0.13678773399932043</v>
      </c>
      <c r="AS16" s="41">
        <f t="shared" si="6"/>
        <v>6.7798121928908994E-2</v>
      </c>
      <c r="AT16" s="1"/>
      <c r="AU16" s="1"/>
      <c r="AV16" s="1"/>
      <c r="AW16" s="1"/>
      <c r="AX16" s="1"/>
      <c r="AY16" s="1"/>
      <c r="AZ16" s="1"/>
      <c r="BA16" s="1"/>
      <c r="BB16" s="1"/>
      <c r="BC16" s="1"/>
      <c r="BD16" s="1"/>
      <c r="BE16" s="1"/>
      <c r="BF16" s="1"/>
      <c r="BG16" s="1"/>
      <c r="BH16" s="1"/>
      <c r="BI16" s="1"/>
      <c r="BJ16" s="1"/>
      <c r="BK16" s="1"/>
      <c r="BL16" s="1"/>
      <c r="BM16" s="1"/>
      <c r="BN16" s="1"/>
    </row>
    <row r="17" spans="1:66" x14ac:dyDescent="0.3">
      <c r="A17" s="1"/>
      <c r="B17" s="28">
        <v>6</v>
      </c>
      <c r="C17" s="462">
        <v>1122719077.3068004</v>
      </c>
      <c r="D17" s="462">
        <v>1217166981.7728</v>
      </c>
      <c r="E17" s="462">
        <v>1323339243.6959999</v>
      </c>
      <c r="F17" s="462">
        <v>1365653911.0716002</v>
      </c>
      <c r="G17" s="462">
        <v>1349527929.1824007</v>
      </c>
      <c r="H17" s="462">
        <v>1589072959.0824008</v>
      </c>
      <c r="I17" s="462">
        <v>1308905239.3896</v>
      </c>
      <c r="J17" s="462">
        <v>1374239587.6355991</v>
      </c>
      <c r="K17" s="462">
        <v>1292958920.4120002</v>
      </c>
      <c r="L17" s="463"/>
      <c r="M17" s="463"/>
      <c r="N17" s="463"/>
      <c r="O17" s="463"/>
      <c r="P17" s="462">
        <v>9405740924.8199997</v>
      </c>
      <c r="Q17" s="462">
        <v>9700017327.2087975</v>
      </c>
      <c r="R17" s="462">
        <v>10060330401.319195</v>
      </c>
      <c r="S17" s="462">
        <v>10466400701.247612</v>
      </c>
      <c r="T17" s="462">
        <v>10803698868.796803</v>
      </c>
      <c r="U17" s="464">
        <f t="shared" si="0"/>
        <v>0.14862815754236358</v>
      </c>
      <c r="V17" s="463"/>
      <c r="W17" s="464"/>
      <c r="X17" s="465"/>
      <c r="Y17" s="465"/>
      <c r="Z17" s="465"/>
      <c r="AA17" s="465"/>
      <c r="AB17" s="465"/>
      <c r="AC17" s="465"/>
      <c r="AD17" s="465"/>
      <c r="AE17" s="463"/>
      <c r="AF17" s="463"/>
      <c r="AG17" s="463"/>
      <c r="AH17" s="463"/>
      <c r="AI17" s="463"/>
      <c r="AJ17" s="463"/>
      <c r="AK17" s="462">
        <v>1533742683.2664003</v>
      </c>
      <c r="AL17" s="1"/>
      <c r="AM17" s="32" cm="1">
        <f t="array" aca="1" ref="AM17" ca="1">INDIRECT("'1"&amp;$C$8&amp;"'!W17")</f>
        <v>2.5381151220467291</v>
      </c>
      <c r="AN17" s="524">
        <f t="shared" ca="1" si="1"/>
        <v>1546248428.5788074</v>
      </c>
      <c r="AO17" s="524">
        <f t="shared" ca="1" si="2"/>
        <v>1546904177.5527806</v>
      </c>
      <c r="AP17" s="524">
        <f t="shared" ca="1" si="3"/>
        <v>1546248428.5788074</v>
      </c>
      <c r="AQ17" s="525">
        <f t="shared" si="4"/>
        <v>0.14862815754236358</v>
      </c>
      <c r="AR17" s="344">
        <f t="shared" si="5"/>
        <v>0.14862815754236358</v>
      </c>
      <c r="AS17" s="41">
        <f t="shared" si="6"/>
        <v>8.5196797579355388E-2</v>
      </c>
      <c r="AT17" s="1"/>
      <c r="AU17" s="1"/>
      <c r="AV17" s="1"/>
      <c r="AW17" s="1"/>
      <c r="AX17" s="1"/>
      <c r="AY17" s="1"/>
      <c r="AZ17" s="1"/>
      <c r="BA17" s="1"/>
      <c r="BB17" s="1"/>
      <c r="BC17" s="1"/>
      <c r="BD17" s="1"/>
      <c r="BE17" s="1"/>
      <c r="BF17" s="1"/>
      <c r="BG17" s="1"/>
      <c r="BH17" s="1"/>
      <c r="BI17" s="1"/>
      <c r="BJ17" s="1"/>
      <c r="BK17" s="1"/>
      <c r="BL17" s="1"/>
      <c r="BM17" s="1"/>
      <c r="BN17" s="1"/>
    </row>
    <row r="18" spans="1:66" x14ac:dyDescent="0.3">
      <c r="A18" s="1"/>
      <c r="B18" s="28">
        <v>7</v>
      </c>
      <c r="C18" s="462">
        <v>1784735604.5700006</v>
      </c>
      <c r="D18" s="462">
        <v>1927441480.4544001</v>
      </c>
      <c r="E18" s="462">
        <v>2075374445.9243994</v>
      </c>
      <c r="F18" s="462">
        <v>2139505951.1628013</v>
      </c>
      <c r="G18" s="462">
        <v>2106518179.6943994</v>
      </c>
      <c r="H18" s="462">
        <v>2427423970.1820035</v>
      </c>
      <c r="I18" s="462">
        <v>2049767758.7639985</v>
      </c>
      <c r="J18" s="462">
        <v>2139663773.9135995</v>
      </c>
      <c r="K18" s="462">
        <v>2028042538.6979992</v>
      </c>
      <c r="L18" s="463"/>
      <c r="M18" s="463"/>
      <c r="N18" s="463"/>
      <c r="O18" s="463"/>
      <c r="P18" s="462">
        <v>11818940495.298</v>
      </c>
      <c r="Q18" s="462">
        <v>12197165825.364006</v>
      </c>
      <c r="R18" s="462">
        <v>12632593137.1968</v>
      </c>
      <c r="S18" s="462">
        <v>13122885285.12241</v>
      </c>
      <c r="T18" s="462">
        <v>13534599120.012001</v>
      </c>
      <c r="U18" s="464">
        <f t="shared" si="0"/>
        <v>0.14516179562766651</v>
      </c>
      <c r="V18" s="463"/>
      <c r="W18" s="464"/>
      <c r="X18" s="465"/>
      <c r="Y18" s="465"/>
      <c r="Z18" s="465"/>
      <c r="AA18" s="465"/>
      <c r="AB18" s="465"/>
      <c r="AC18" s="465"/>
      <c r="AD18" s="465"/>
      <c r="AE18" s="463"/>
      <c r="AF18" s="463"/>
      <c r="AG18" s="463"/>
      <c r="AH18" s="463"/>
      <c r="AI18" s="463"/>
      <c r="AJ18" s="463"/>
      <c r="AK18" s="462">
        <v>2371240417.7712002</v>
      </c>
      <c r="AL18" s="1"/>
      <c r="AM18" s="32" cm="1">
        <f t="array" aca="1" ref="AM18" ca="1">INDIRECT("'1"&amp;$C$8&amp;"'!W18")</f>
        <v>2.3459228873241842</v>
      </c>
      <c r="AN18" s="524">
        <f t="shared" ca="1" si="1"/>
        <v>2392506573.8084388</v>
      </c>
      <c r="AO18" s="524">
        <f t="shared" ca="1" si="2"/>
        <v>2407983198.7386756</v>
      </c>
      <c r="AP18" s="524">
        <f t="shared" ca="1" si="3"/>
        <v>2392506573.8084388</v>
      </c>
      <c r="AQ18" s="525">
        <f t="shared" si="4"/>
        <v>0.14516179562766651</v>
      </c>
      <c r="AR18" s="344">
        <f t="shared" si="5"/>
        <v>0.14516179562766651</v>
      </c>
      <c r="AS18" s="41">
        <f t="shared" si="6"/>
        <v>0.10705545570825087</v>
      </c>
      <c r="AT18" s="1"/>
      <c r="AU18" s="1"/>
      <c r="AV18" s="1"/>
      <c r="AW18" s="1"/>
      <c r="AX18" s="1"/>
      <c r="AY18" s="1"/>
      <c r="AZ18" s="1"/>
      <c r="BA18" s="1"/>
      <c r="BB18" s="1"/>
      <c r="BC18" s="1"/>
      <c r="BD18" s="1"/>
      <c r="BE18" s="1"/>
      <c r="BF18" s="1"/>
      <c r="BG18" s="1"/>
      <c r="BH18" s="1"/>
      <c r="BI18" s="1"/>
      <c r="BJ18" s="1"/>
      <c r="BK18" s="1"/>
      <c r="BL18" s="1"/>
      <c r="BM18" s="1"/>
      <c r="BN18" s="1"/>
    </row>
    <row r="19" spans="1:66" x14ac:dyDescent="0.3">
      <c r="A19" s="1"/>
      <c r="B19" s="28">
        <v>8</v>
      </c>
      <c r="C19" s="462">
        <v>2864168606.6123996</v>
      </c>
      <c r="D19" s="462">
        <v>3068275842.2423987</v>
      </c>
      <c r="E19" s="462">
        <v>3301404943.8647985</v>
      </c>
      <c r="F19" s="462">
        <v>3435478057.2635994</v>
      </c>
      <c r="G19" s="462">
        <v>3411859923.4511967</v>
      </c>
      <c r="H19" s="462">
        <v>3792423895.790401</v>
      </c>
      <c r="I19" s="462">
        <v>3332570766.7823982</v>
      </c>
      <c r="J19" s="462">
        <v>3445419310.1639977</v>
      </c>
      <c r="K19" s="462">
        <v>3304863963.7271991</v>
      </c>
      <c r="L19" s="463"/>
      <c r="M19" s="463"/>
      <c r="N19" s="463"/>
      <c r="O19" s="463"/>
      <c r="P19" s="462">
        <v>14600492814.736811</v>
      </c>
      <c r="Q19" s="462">
        <v>15083641329.104401</v>
      </c>
      <c r="R19" s="462">
        <v>15675358092.550793</v>
      </c>
      <c r="S19" s="462">
        <v>16305551046.238796</v>
      </c>
      <c r="T19" s="462">
        <v>16830750779.641188</v>
      </c>
      <c r="U19" s="464">
        <f t="shared" si="0"/>
        <v>0.15275223879109734</v>
      </c>
      <c r="V19" s="463"/>
      <c r="W19" s="464"/>
      <c r="X19" s="465"/>
      <c r="Y19" s="465"/>
      <c r="Z19" s="465"/>
      <c r="AA19" s="465"/>
      <c r="AB19" s="465"/>
      <c r="AC19" s="465"/>
      <c r="AD19" s="465"/>
      <c r="AE19" s="463"/>
      <c r="AF19" s="463"/>
      <c r="AG19" s="463"/>
      <c r="AH19" s="463"/>
      <c r="AI19" s="463"/>
      <c r="AJ19" s="463"/>
      <c r="AK19" s="462">
        <v>3744101823.2063999</v>
      </c>
      <c r="AL19" s="1"/>
      <c r="AM19" s="32" cm="1">
        <f t="array" aca="1" ref="AM19" ca="1">INDIRECT("'1"&amp;$C$8&amp;"'!W19")</f>
        <v>2.0519807042005245</v>
      </c>
      <c r="AN19" s="524">
        <f t="shared" ca="1" si="1"/>
        <v>3761926923.0936165</v>
      </c>
      <c r="AO19" s="524">
        <f t="shared" ca="1" si="2"/>
        <v>3739041263.7714772</v>
      </c>
      <c r="AP19" s="524">
        <f t="shared" ca="1" si="3"/>
        <v>3472506367.0009155</v>
      </c>
      <c r="AQ19" s="525">
        <f t="shared" si="4"/>
        <v>0.15275223879109734</v>
      </c>
      <c r="AR19" s="526">
        <f>U19-AP31*AS21/SUM(AS19:AS20)</f>
        <v>0.10350776276262114</v>
      </c>
      <c r="AS19" s="41">
        <f t="shared" si="6"/>
        <v>0.13225063722662231</v>
      </c>
      <c r="AT19" s="1"/>
      <c r="AU19" s="1"/>
      <c r="AV19" s="1"/>
      <c r="AW19" s="1"/>
      <c r="AX19" s="1"/>
      <c r="AY19" s="1"/>
      <c r="AZ19" s="1"/>
      <c r="BA19" s="1"/>
      <c r="BB19" s="1"/>
      <c r="BC19" s="1"/>
      <c r="BD19" s="1"/>
      <c r="BE19" s="1"/>
      <c r="BF19" s="1"/>
      <c r="BG19" s="1"/>
      <c r="BH19" s="1"/>
      <c r="BI19" s="1"/>
      <c r="BJ19" s="1"/>
      <c r="BK19" s="1"/>
      <c r="BL19" s="1"/>
      <c r="BM19" s="1"/>
      <c r="BN19" s="1"/>
    </row>
    <row r="20" spans="1:66" x14ac:dyDescent="0.3">
      <c r="A20" s="1"/>
      <c r="B20" s="28">
        <v>9</v>
      </c>
      <c r="C20" s="462">
        <v>4267717283.806797</v>
      </c>
      <c r="D20" s="462">
        <v>4555547865.836401</v>
      </c>
      <c r="E20" s="462">
        <v>4819115104.8300018</v>
      </c>
      <c r="F20" s="462">
        <v>4959496778.1276035</v>
      </c>
      <c r="G20" s="462">
        <v>4930460179.4279985</v>
      </c>
      <c r="H20" s="462">
        <v>5374826544.3707991</v>
      </c>
      <c r="I20" s="462">
        <v>4831162886.2763958</v>
      </c>
      <c r="J20" s="462">
        <v>4966129070.6291981</v>
      </c>
      <c r="K20" s="462">
        <v>4797786689.9843979</v>
      </c>
      <c r="L20" s="463"/>
      <c r="M20" s="463"/>
      <c r="N20" s="463"/>
      <c r="O20" s="463"/>
      <c r="P20" s="462">
        <v>18621121932.307213</v>
      </c>
      <c r="Q20" s="462">
        <v>19262189442.146389</v>
      </c>
      <c r="R20" s="462">
        <v>19906651835.816406</v>
      </c>
      <c r="S20" s="462">
        <v>20599600811.725201</v>
      </c>
      <c r="T20" s="462">
        <v>21207884229.368401</v>
      </c>
      <c r="U20" s="464">
        <f t="shared" si="0"/>
        <v>0.13891549104639145</v>
      </c>
      <c r="V20" s="463"/>
      <c r="W20" s="464"/>
      <c r="X20" s="465"/>
      <c r="Y20" s="465"/>
      <c r="Z20" s="465"/>
      <c r="AA20" s="465"/>
      <c r="AB20" s="465"/>
      <c r="AC20" s="465"/>
      <c r="AD20" s="465"/>
      <c r="AE20" s="463"/>
      <c r="AF20" s="463"/>
      <c r="AG20" s="463"/>
      <c r="AH20" s="463"/>
      <c r="AI20" s="463"/>
      <c r="AJ20" s="463"/>
      <c r="AK20" s="462">
        <v>5320395920.5416021</v>
      </c>
      <c r="AL20" s="1"/>
      <c r="AM20" s="32" cm="1">
        <f t="array" aca="1" ref="AM20" ca="1">INDIRECT("'1"&amp;$C$8&amp;"'!W20")</f>
        <v>1.8634028040315309</v>
      </c>
      <c r="AN20" s="524">
        <f t="shared" ca="1" si="1"/>
        <v>5372439441.4824276</v>
      </c>
      <c r="AO20" s="524">
        <f t="shared" ca="1" si="2"/>
        <v>5451509219.4997177</v>
      </c>
      <c r="AP20" s="524">
        <f t="shared" ca="1" si="3"/>
        <v>4980823910.3274717</v>
      </c>
      <c r="AQ20" s="525">
        <f t="shared" si="4"/>
        <v>0.13891549104639145</v>
      </c>
      <c r="AR20" s="526">
        <f>U20-AP31*AS21/SUM(AS19:AS20)</f>
        <v>8.9671015017915245E-2</v>
      </c>
      <c r="AS20" s="41">
        <f t="shared" si="6"/>
        <v>0.16866932319822889</v>
      </c>
      <c r="AT20" s="1"/>
      <c r="AU20" s="1"/>
      <c r="AV20" s="1"/>
      <c r="AW20" s="1"/>
      <c r="AX20" s="1"/>
      <c r="AY20" s="1"/>
      <c r="AZ20" s="1"/>
      <c r="BA20" s="1"/>
      <c r="BB20" s="1"/>
      <c r="BC20" s="1"/>
      <c r="BD20" s="1"/>
      <c r="BE20" s="1"/>
      <c r="BF20" s="1"/>
      <c r="BG20" s="1"/>
      <c r="BH20" s="1"/>
      <c r="BI20" s="1"/>
      <c r="BJ20" s="1"/>
      <c r="BK20" s="1"/>
      <c r="BL20" s="1"/>
      <c r="BM20" s="1"/>
      <c r="BN20" s="1"/>
    </row>
    <row r="21" spans="1:66" x14ac:dyDescent="0.3">
      <c r="A21" s="1"/>
      <c r="B21" s="33">
        <v>10</v>
      </c>
      <c r="C21" s="462">
        <v>10589773027.258802</v>
      </c>
      <c r="D21" s="462">
        <v>11093556909.172794</v>
      </c>
      <c r="E21" s="462">
        <v>11825203420.099197</v>
      </c>
      <c r="F21" s="462">
        <v>12423036499.172409</v>
      </c>
      <c r="G21" s="462">
        <v>12674696258.794804</v>
      </c>
      <c r="H21" s="462">
        <v>13155829621.833603</v>
      </c>
      <c r="I21" s="462">
        <v>12524107550.710804</v>
      </c>
      <c r="J21" s="462">
        <v>12681770596.165205</v>
      </c>
      <c r="K21" s="462">
        <v>12484526024.554802</v>
      </c>
      <c r="L21" s="463"/>
      <c r="M21" s="463"/>
      <c r="N21" s="463"/>
      <c r="O21" s="463"/>
      <c r="P21" s="462">
        <v>32719620220.761612</v>
      </c>
      <c r="Q21" s="462">
        <v>33793036512.930027</v>
      </c>
      <c r="R21" s="462">
        <v>35392497582.978043</v>
      </c>
      <c r="S21" s="462">
        <v>37034028011.257202</v>
      </c>
      <c r="T21" s="462">
        <v>38261972353.179596</v>
      </c>
      <c r="U21" s="464">
        <f t="shared" si="0"/>
        <v>0.16938925620234402</v>
      </c>
      <c r="V21" s="463"/>
      <c r="W21" s="464"/>
      <c r="X21" s="465"/>
      <c r="Y21" s="465"/>
      <c r="Z21" s="465"/>
      <c r="AA21" s="465"/>
      <c r="AB21" s="465"/>
      <c r="AC21" s="465"/>
      <c r="AD21" s="465"/>
      <c r="AE21" s="463"/>
      <c r="AF21" s="463"/>
      <c r="AG21" s="463"/>
      <c r="AH21" s="463"/>
      <c r="AI21" s="463"/>
      <c r="AJ21" s="463"/>
      <c r="AK21" s="462">
        <v>13100815022.785194</v>
      </c>
      <c r="AL21" s="1"/>
      <c r="AM21" s="32" cm="1">
        <f t="array" aca="1" ref="AM21" ca="1">INDIRECT("'1"&amp;$C$8&amp;"'!W21")</f>
        <v>1.4133856559588167</v>
      </c>
      <c r="AN21" s="524">
        <f t="shared" ca="1" si="1"/>
        <v>13125095420.6259</v>
      </c>
      <c r="AO21" s="524">
        <f t="shared" ca="1" si="2"/>
        <v>12817799373.645098</v>
      </c>
      <c r="AP21" s="524">
        <f t="shared" ca="1" si="3"/>
        <v>13873467085.455257</v>
      </c>
      <c r="AQ21" s="525">
        <f t="shared" si="4"/>
        <v>0.16938925620234402</v>
      </c>
      <c r="AR21" s="527">
        <f>U21+AP31</f>
        <v>0.21938925620234401</v>
      </c>
      <c r="AS21" s="41">
        <f t="shared" si="6"/>
        <v>0.29637291555263179</v>
      </c>
      <c r="AT21" s="1"/>
      <c r="AU21" s="1"/>
      <c r="AV21" s="1"/>
      <c r="AW21" s="1"/>
      <c r="AX21" s="1"/>
      <c r="AY21" s="1"/>
      <c r="AZ21" s="1"/>
      <c r="BA21" s="1"/>
      <c r="BB21" s="1"/>
      <c r="BC21" s="1"/>
      <c r="BD21" s="1"/>
      <c r="BE21" s="1"/>
      <c r="BF21" s="1"/>
      <c r="BG21" s="1"/>
      <c r="BH21" s="1"/>
      <c r="BI21" s="1"/>
      <c r="BJ21" s="1"/>
      <c r="BK21" s="1"/>
      <c r="BL21" s="1"/>
      <c r="BM21" s="1"/>
      <c r="BN21" s="1"/>
    </row>
    <row r="22" spans="1:66" ht="13.35" customHeight="1" x14ac:dyDescent="0.3">
      <c r="A22" s="1"/>
      <c r="B22" s="34" t="s">
        <v>114</v>
      </c>
      <c r="C22" s="470">
        <v>21615990285.654022</v>
      </c>
      <c r="D22" s="470">
        <v>22954900485.776352</v>
      </c>
      <c r="E22" s="470">
        <v>24538130902.724419</v>
      </c>
      <c r="F22" s="470">
        <v>25523514644.054359</v>
      </c>
      <c r="G22" s="470">
        <v>25644526492.388409</v>
      </c>
      <c r="H22" s="470">
        <v>27860560332.566391</v>
      </c>
      <c r="I22" s="470">
        <v>25171087681.271973</v>
      </c>
      <c r="J22" s="470">
        <v>25820657769.622818</v>
      </c>
      <c r="K22" s="470">
        <v>25011160256.486439</v>
      </c>
      <c r="L22" s="463"/>
      <c r="M22" s="463"/>
      <c r="N22" s="463"/>
      <c r="O22" s="463"/>
      <c r="P22" s="470">
        <v>110400169866.23413</v>
      </c>
      <c r="Q22" s="470">
        <v>113829397244.23306</v>
      </c>
      <c r="R22" s="470">
        <v>118081291366.38715</v>
      </c>
      <c r="S22" s="470">
        <v>122952990510.71039</v>
      </c>
      <c r="T22" s="470">
        <v>126834149041.78046</v>
      </c>
      <c r="U22" s="471">
        <f t="shared" si="0"/>
        <v>0.14885827798506535</v>
      </c>
      <c r="V22" s="463"/>
      <c r="W22" s="471"/>
      <c r="X22" s="472"/>
      <c r="Y22" s="472"/>
      <c r="Z22" s="472"/>
      <c r="AA22" s="472"/>
      <c r="AB22" s="472"/>
      <c r="AC22" s="472"/>
      <c r="AD22" s="472"/>
      <c r="AE22" s="473"/>
      <c r="AF22" s="473"/>
      <c r="AG22" s="473"/>
      <c r="AH22" s="473"/>
      <c r="AI22" s="162"/>
      <c r="AJ22" s="162"/>
      <c r="AK22" s="470">
        <v>27454675846.232414</v>
      </c>
      <c r="AL22" s="1"/>
      <c r="AM22" s="534" cm="1">
        <f t="array" aca="1" ref="AM22" ca="1">INDIRECT("'1"&amp;$C$8&amp;"'!W22")</f>
        <v>1.8138953207581621</v>
      </c>
      <c r="AN22" s="528">
        <f ca="1">SUM(AN12:AN21)</f>
        <v>27615489983.394547</v>
      </c>
      <c r="AO22" s="528">
        <f ca="1">SUM(AO12:AO21)</f>
        <v>27445767215.68927</v>
      </c>
      <c r="AP22" s="528">
        <f ca="1">SUM(AP12:AP21)</f>
        <v>27682825560.976246</v>
      </c>
      <c r="AQ22" s="529">
        <f>SUMPRODUCT(AQ12:AQ21,AS12:AS21)</f>
        <v>0.14885827798506937</v>
      </c>
      <c r="AR22" s="529">
        <f>SUMPRODUCT(AR12:AR21,AS12:AS21)</f>
        <v>0.14885827798506934</v>
      </c>
      <c r="AS22" s="530"/>
      <c r="AT22" s="1"/>
      <c r="AU22" s="1"/>
      <c r="AV22" s="1"/>
      <c r="AW22" s="1"/>
      <c r="AX22" s="1"/>
      <c r="AY22" s="1"/>
      <c r="AZ22" s="1"/>
      <c r="BA22" s="1"/>
      <c r="BB22" s="1"/>
      <c r="BC22" s="1"/>
      <c r="BD22" s="1"/>
      <c r="BE22" s="1"/>
      <c r="BF22" s="1"/>
      <c r="BG22" s="1"/>
      <c r="BH22" s="1"/>
      <c r="BI22" s="1"/>
      <c r="BJ22" s="1"/>
      <c r="BK22" s="1"/>
      <c r="BL22" s="1"/>
      <c r="BM22" s="1"/>
      <c r="BN22" s="1"/>
    </row>
    <row r="23" spans="1:66" ht="12.6" customHeight="1" x14ac:dyDescent="0.3">
      <c r="A23" s="1"/>
      <c r="B23" s="1"/>
      <c r="C23" s="1"/>
      <c r="D23" s="1"/>
      <c r="E23" s="1"/>
      <c r="G23" s="1"/>
      <c r="H23" s="1"/>
      <c r="I23" s="1"/>
      <c r="J23" s="1"/>
      <c r="K23" s="1"/>
      <c r="L23" s="1"/>
      <c r="M23" s="1"/>
      <c r="N23" s="1"/>
      <c r="O23" s="1"/>
      <c r="P23" s="1"/>
      <c r="Q23" s="1"/>
      <c r="R23" s="1"/>
      <c r="S23" s="1"/>
      <c r="T23" s="1"/>
      <c r="U23" s="483"/>
      <c r="V23" s="1"/>
      <c r="W23" s="1"/>
      <c r="X23" s="1"/>
      <c r="Y23" s="1"/>
      <c r="Z23" s="1"/>
      <c r="AA23" s="1"/>
      <c r="AB23" s="1"/>
      <c r="AC23" s="1"/>
      <c r="AD23" s="1"/>
      <c r="AE23" s="1"/>
      <c r="AF23" s="1"/>
      <c r="AG23" s="1"/>
      <c r="AH23" s="1"/>
      <c r="AI23" s="1"/>
      <c r="AJ23" s="1"/>
      <c r="AK23" s="1"/>
      <c r="AL23" s="1"/>
      <c r="AM23" s="1"/>
      <c r="AN23" s="531"/>
      <c r="AO23" s="531"/>
      <c r="AP23" s="1"/>
      <c r="AQ23" s="1"/>
      <c r="AR23" s="525">
        <f>U22</f>
        <v>0.14885827798506535</v>
      </c>
      <c r="AS23" s="1"/>
      <c r="AT23" s="1"/>
      <c r="AU23" s="1"/>
      <c r="AV23" s="1"/>
      <c r="AW23" s="1"/>
      <c r="AX23" s="1"/>
      <c r="AY23" s="1"/>
      <c r="AZ23" s="1"/>
      <c r="BA23" s="1"/>
      <c r="BB23" s="1"/>
      <c r="BC23" s="1"/>
      <c r="BD23" s="1"/>
      <c r="BE23" s="1"/>
      <c r="BF23" s="1"/>
      <c r="BG23" s="1"/>
      <c r="BH23" s="1"/>
      <c r="BI23" s="1"/>
      <c r="BJ23" s="1"/>
      <c r="BK23" s="1"/>
      <c r="BL23" s="1"/>
      <c r="BM23" s="1"/>
      <c r="BN23" s="1"/>
    </row>
    <row r="24" spans="1:66" ht="14.1" customHeight="1" x14ac:dyDescent="0.3">
      <c r="A24" s="1"/>
      <c r="B24" s="1"/>
      <c r="C24" s="1"/>
      <c r="D24" s="1"/>
      <c r="E24" s="1"/>
      <c r="F24" s="1"/>
      <c r="G24" s="11" t="s">
        <v>151</v>
      </c>
      <c r="H24" s="212">
        <v>0.1489</v>
      </c>
      <c r="I24" s="1"/>
      <c r="J24" s="1"/>
      <c r="K24" s="11" t="s">
        <v>151</v>
      </c>
      <c r="L24" s="212"/>
      <c r="M24" s="1"/>
      <c r="O24" s="1"/>
      <c r="P24" s="1"/>
      <c r="Q24" s="1"/>
      <c r="R24" s="1"/>
      <c r="S24" s="1"/>
      <c r="T24" s="1"/>
      <c r="U24" s="1"/>
      <c r="V24" s="1"/>
      <c r="W24" s="1"/>
      <c r="X24" s="1"/>
      <c r="Y24" s="55"/>
      <c r="Z24" s="55"/>
      <c r="AA24" s="55"/>
      <c r="AB24" s="55"/>
      <c r="AC24" s="55"/>
      <c r="AD24" s="55"/>
      <c r="AE24" s="55"/>
      <c r="AF24" s="55"/>
      <c r="AG24" s="55"/>
      <c r="AH24" s="1"/>
      <c r="AI24" s="1"/>
      <c r="AJ24" s="1"/>
      <c r="AK24" s="1"/>
      <c r="AL24" s="1"/>
      <c r="AM24" s="1"/>
      <c r="AN24" s="531">
        <f ca="1">AN22/G22-1</f>
        <v>7.6857082605566562E-2</v>
      </c>
      <c r="AO24" s="531"/>
      <c r="AP24" s="1"/>
      <c r="AQ24" s="1"/>
      <c r="AR24" s="532" t="str">
        <f>IF(AR23-AR22&lt;0.0000000001,"ok","wrong")</f>
        <v>ok</v>
      </c>
      <c r="AS24" s="1"/>
      <c r="AT24" s="1"/>
      <c r="AU24" s="1"/>
      <c r="AV24" s="1"/>
      <c r="AW24" s="1"/>
      <c r="AX24" s="1"/>
      <c r="AY24" s="1"/>
      <c r="AZ24" s="1"/>
      <c r="BA24" s="1"/>
      <c r="BB24" s="1"/>
      <c r="BC24" s="1"/>
      <c r="BD24" s="1"/>
      <c r="BE24" s="1"/>
      <c r="BF24" s="1"/>
      <c r="BG24" s="1"/>
      <c r="BH24" s="1"/>
      <c r="BI24" s="1"/>
      <c r="BJ24" s="1"/>
      <c r="BK24" s="1"/>
      <c r="BL24" s="1"/>
      <c r="BM24" s="1"/>
      <c r="BN24" s="1"/>
    </row>
    <row r="25" spans="1:66" ht="14.1" customHeight="1" x14ac:dyDescent="0.3">
      <c r="A25" s="1"/>
      <c r="B25" s="1"/>
      <c r="C25" s="1"/>
      <c r="D25" s="1"/>
      <c r="E25" s="1"/>
      <c r="F25" s="1"/>
      <c r="G25" s="11" t="s">
        <v>152</v>
      </c>
      <c r="H25" s="213">
        <v>0.1111</v>
      </c>
      <c r="I25" s="1"/>
      <c r="J25" s="1"/>
      <c r="K25" s="11" t="s">
        <v>152</v>
      </c>
      <c r="L25" s="463"/>
      <c r="M25" s="1"/>
      <c r="N25" s="1"/>
      <c r="O25" s="1"/>
      <c r="P25" s="1"/>
      <c r="Q25" s="1"/>
      <c r="R25" s="1"/>
      <c r="S25" s="1"/>
      <c r="T25" s="1"/>
      <c r="U25" s="1"/>
      <c r="V25" s="1"/>
      <c r="W25" s="1"/>
      <c r="X25" s="1"/>
      <c r="Y25" s="55"/>
      <c r="Z25" s="55"/>
      <c r="AA25" s="55"/>
      <c r="AB25" s="55"/>
      <c r="AC25" s="55"/>
      <c r="AD25" s="55"/>
      <c r="AE25" s="55"/>
      <c r="AF25" s="55"/>
      <c r="AG25" s="55"/>
      <c r="AH25" s="1"/>
      <c r="AI25" s="1"/>
      <c r="AJ25" s="1"/>
      <c r="AK25" s="1"/>
      <c r="AL25" s="1"/>
      <c r="AM25" s="1"/>
      <c r="AN25" s="1"/>
      <c r="AO25" s="531"/>
      <c r="AP25" s="1"/>
      <c r="AQ25" s="1"/>
      <c r="AR25" s="532" t="str">
        <f>IF(AQ22-AR22&lt;0.0000000001,"ok","wrong")</f>
        <v>ok</v>
      </c>
      <c r="AS25" s="1"/>
      <c r="AT25" s="1"/>
      <c r="AU25" s="1"/>
      <c r="AV25" s="1"/>
      <c r="AW25" s="1"/>
      <c r="AX25" s="1"/>
      <c r="AY25" s="1"/>
      <c r="AZ25" s="1"/>
      <c r="BA25" s="1"/>
      <c r="BB25" s="1"/>
      <c r="BC25" s="1"/>
      <c r="BD25" s="1"/>
      <c r="BE25" s="1"/>
      <c r="BF25" s="1"/>
      <c r="BG25" s="1"/>
      <c r="BH25" s="1"/>
      <c r="BI25" s="1"/>
      <c r="BJ25" s="1"/>
      <c r="BK25" s="1"/>
      <c r="BL25" s="1"/>
      <c r="BM25" s="1"/>
      <c r="BN25" s="1"/>
    </row>
    <row r="26" spans="1:66" ht="14.1" customHeight="1" x14ac:dyDescent="0.3">
      <c r="A26" s="1"/>
      <c r="B26" s="1"/>
      <c r="C26" s="1"/>
      <c r="D26" s="1"/>
      <c r="E26" s="1"/>
      <c r="F26" s="1"/>
      <c r="G26" s="11" t="s">
        <v>153</v>
      </c>
      <c r="H26" s="213">
        <v>0.1583</v>
      </c>
      <c r="I26" s="1"/>
      <c r="J26" s="1"/>
      <c r="K26" s="11" t="s">
        <v>153</v>
      </c>
      <c r="L26" s="463"/>
      <c r="M26" s="1"/>
      <c r="N26" s="1"/>
      <c r="O26" s="1"/>
      <c r="P26" s="1"/>
      <c r="Q26" s="1"/>
      <c r="R26" s="1"/>
      <c r="S26" s="1"/>
      <c r="T26" s="1"/>
      <c r="U26" s="1"/>
      <c r="V26" s="1"/>
      <c r="W26" s="1"/>
      <c r="X26" s="1"/>
      <c r="Y26" s="55"/>
      <c r="Z26" s="55"/>
      <c r="AA26" s="55"/>
      <c r="AB26" s="55"/>
      <c r="AC26" s="55"/>
      <c r="AD26" s="55"/>
      <c r="AE26" s="55"/>
      <c r="AF26" s="55"/>
      <c r="AG26" s="55"/>
      <c r="AH26" s="1"/>
      <c r="AI26" s="1"/>
      <c r="AJ26" s="1"/>
      <c r="AK26" s="1"/>
      <c r="AL26" s="1"/>
      <c r="AM26" s="8" t="s">
        <v>571</v>
      </c>
      <c r="AN26" s="533"/>
      <c r="AO26" s="535">
        <f ca="1">AO22/$AN22-1</f>
        <v>-6.145926355365483E-3</v>
      </c>
      <c r="AP26" s="536">
        <f ca="1">AP22/$AN22-1</f>
        <v>2.4383263748783968E-3</v>
      </c>
      <c r="AQ26" s="1"/>
      <c r="AR26" s="1"/>
      <c r="AS26" s="1"/>
      <c r="AT26" s="1"/>
      <c r="AU26" s="1"/>
      <c r="AV26" s="1"/>
      <c r="AW26" s="1"/>
      <c r="AX26" s="1"/>
      <c r="AY26" s="1"/>
      <c r="AZ26" s="1"/>
      <c r="BA26" s="1"/>
      <c r="BB26" s="1"/>
      <c r="BC26" s="1"/>
      <c r="BD26" s="1"/>
      <c r="BE26" s="1"/>
      <c r="BF26" s="1"/>
      <c r="BG26" s="1"/>
      <c r="BH26" s="1"/>
      <c r="BI26" s="1"/>
      <c r="BJ26" s="1"/>
      <c r="BK26" s="1"/>
      <c r="BL26" s="1"/>
      <c r="BM26" s="1"/>
      <c r="BN26" s="1"/>
    </row>
    <row r="27" spans="1:66" ht="9" customHeight="1" x14ac:dyDescent="0.3">
      <c r="A27" s="1"/>
      <c r="B27" s="1"/>
      <c r="C27" s="1"/>
      <c r="D27" s="1"/>
      <c r="E27" s="1"/>
      <c r="F27" s="1"/>
      <c r="G27" s="1"/>
      <c r="H27" s="1"/>
      <c r="I27" s="1"/>
      <c r="J27" s="1"/>
      <c r="K27" s="1"/>
      <c r="L27" s="1"/>
      <c r="M27" s="1"/>
      <c r="N27" s="1"/>
      <c r="O27" s="1"/>
      <c r="P27" s="1"/>
      <c r="Q27" s="1"/>
      <c r="R27" s="1"/>
      <c r="S27" s="1"/>
      <c r="T27" s="55"/>
      <c r="U27" s="55"/>
      <c r="V27" s="55"/>
      <c r="W27" s="55"/>
      <c r="X27" s="55"/>
      <c r="Y27" s="55"/>
      <c r="Z27" s="55"/>
      <c r="AA27" s="55"/>
      <c r="AB27" s="55"/>
      <c r="AC27" s="55"/>
      <c r="AD27" s="55"/>
      <c r="AE27" s="55"/>
      <c r="AF27" s="55"/>
      <c r="AG27" s="55"/>
      <c r="AH27" s="1"/>
      <c r="AI27" s="1"/>
      <c r="AJ27" s="1"/>
      <c r="AK27" s="1"/>
      <c r="AL27" s="1"/>
      <c r="AM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row>
    <row r="28" spans="1:66" ht="12" customHeight="1" thickBot="1" x14ac:dyDescent="0.35">
      <c r="A28" s="214"/>
      <c r="B28" s="214"/>
      <c r="C28" s="214"/>
      <c r="D28" s="214"/>
      <c r="E28" s="214"/>
      <c r="F28" s="214"/>
      <c r="G28" s="214"/>
      <c r="H28" s="214"/>
      <c r="I28" s="214"/>
      <c r="J28" s="214"/>
      <c r="K28" s="214"/>
      <c r="L28" s="214"/>
      <c r="M28" s="214"/>
      <c r="N28" s="214"/>
      <c r="O28" s="214"/>
      <c r="P28" s="214"/>
      <c r="Q28" s="214"/>
      <c r="R28" s="214"/>
      <c r="S28" s="214"/>
      <c r="T28" s="215"/>
      <c r="U28" s="215"/>
      <c r="V28" s="215"/>
      <c r="W28" s="215"/>
      <c r="X28" s="215"/>
      <c r="Y28" s="215"/>
      <c r="Z28" s="215"/>
      <c r="AA28" s="214"/>
      <c r="AB28" s="214"/>
      <c r="AC28" s="214"/>
      <c r="AD28" s="214"/>
      <c r="AE28" s="214"/>
      <c r="AF28" s="214"/>
      <c r="AG28" s="214"/>
      <c r="AH28" s="214"/>
      <c r="AI28" s="214"/>
      <c r="AJ28" s="1"/>
      <c r="AK28" s="1"/>
      <c r="AL28" s="1"/>
      <c r="AM28" s="8" t="s">
        <v>572</v>
      </c>
      <c r="AN28" s="8"/>
      <c r="AO28" s="535">
        <f ca="1">(AO22-$AN22)/($W$37*1000000)</f>
        <v>-5.1893900422180367E-2</v>
      </c>
      <c r="AP28" s="536">
        <f ca="1">(AP22-$AN22)/($W$37*1000000)</f>
        <v>2.0588314727241357E-2</v>
      </c>
      <c r="AQ28" s="1"/>
      <c r="AR28" s="1"/>
      <c r="AS28" s="1"/>
      <c r="AT28" s="1"/>
      <c r="AU28" s="1"/>
      <c r="AV28" s="1"/>
      <c r="AW28" s="1"/>
      <c r="AX28" s="1"/>
      <c r="AY28" s="1"/>
      <c r="AZ28" s="1"/>
      <c r="BA28" s="1"/>
      <c r="BB28" s="1"/>
      <c r="BC28" s="1"/>
      <c r="BD28" s="1"/>
      <c r="BE28" s="1"/>
      <c r="BF28" s="1"/>
      <c r="BG28" s="1"/>
      <c r="BH28" s="1"/>
      <c r="BI28" s="1"/>
      <c r="BJ28" s="1"/>
      <c r="BK28" s="1"/>
      <c r="BL28" s="1"/>
      <c r="BM28" s="1"/>
      <c r="BN28" s="1"/>
    </row>
    <row r="29" spans="1:66" ht="12" customHeight="1" thickBot="1" x14ac:dyDescent="0.35">
      <c r="A29" s="214"/>
      <c r="B29" s="216" t="s">
        <v>154</v>
      </c>
      <c r="C29" s="217"/>
      <c r="D29" s="217"/>
      <c r="E29" s="217"/>
      <c r="F29" s="217"/>
      <c r="G29" s="217"/>
      <c r="H29" s="217"/>
      <c r="I29" s="217"/>
      <c r="J29" s="217"/>
      <c r="K29" s="217"/>
      <c r="L29" s="217"/>
      <c r="M29" s="217"/>
      <c r="N29" s="217"/>
      <c r="O29" s="217"/>
      <c r="P29" s="217"/>
      <c r="Q29" s="217"/>
      <c r="R29" s="217"/>
      <c r="S29" s="217"/>
      <c r="T29" s="218"/>
      <c r="U29" s="218"/>
      <c r="V29" s="219"/>
      <c r="W29" s="215"/>
      <c r="X29" s="215"/>
      <c r="Y29" s="215"/>
      <c r="Z29" s="215"/>
      <c r="AA29" s="214"/>
      <c r="AB29" s="214"/>
      <c r="AC29" s="214"/>
      <c r="AD29" s="214"/>
      <c r="AE29" s="214"/>
      <c r="AF29" s="214"/>
      <c r="AG29" s="214"/>
      <c r="AH29" s="214"/>
      <c r="AI29" s="214"/>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row>
    <row r="30" spans="1:66" ht="21.6" customHeight="1" thickBot="1" x14ac:dyDescent="0.35">
      <c r="A30" s="214"/>
      <c r="B30" s="220"/>
      <c r="C30" s="214"/>
      <c r="D30" s="214"/>
      <c r="E30" s="214"/>
      <c r="F30" s="214"/>
      <c r="G30" s="214"/>
      <c r="H30" s="214"/>
      <c r="I30" s="214"/>
      <c r="J30" s="214"/>
      <c r="K30" s="214"/>
      <c r="L30" s="214"/>
      <c r="M30" s="214"/>
      <c r="N30" s="214"/>
      <c r="O30" s="214"/>
      <c r="P30" s="214"/>
      <c r="Q30" s="214"/>
      <c r="R30" s="214"/>
      <c r="S30" s="214"/>
      <c r="T30" s="214"/>
      <c r="U30" s="214"/>
      <c r="V30" s="214"/>
      <c r="W30" s="214"/>
      <c r="X30" s="214"/>
      <c r="Y30" s="214"/>
      <c r="Z30" s="214"/>
      <c r="AA30" s="214"/>
      <c r="AB30" s="214"/>
      <c r="AC30" s="216" t="s">
        <v>158</v>
      </c>
      <c r="AD30" s="221"/>
      <c r="AE30" s="214"/>
      <c r="AF30" s="214"/>
      <c r="AG30" s="214"/>
      <c r="AH30" s="214"/>
      <c r="AI30" s="214"/>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row>
    <row r="31" spans="1:66" ht="21" customHeight="1" thickBot="1" x14ac:dyDescent="0.35">
      <c r="A31" s="214"/>
      <c r="B31" s="216" t="s">
        <v>159</v>
      </c>
      <c r="C31" s="221"/>
      <c r="D31" s="223"/>
      <c r="E31" s="222" t="s">
        <v>160</v>
      </c>
      <c r="F31" s="222" t="s">
        <v>160</v>
      </c>
      <c r="G31" s="223"/>
      <c r="H31" s="224" t="s">
        <v>161</v>
      </c>
      <c r="I31" s="222"/>
      <c r="J31" s="222"/>
      <c r="K31" s="222"/>
      <c r="L31" s="222"/>
      <c r="M31" s="223"/>
      <c r="N31" s="216" t="s">
        <v>162</v>
      </c>
      <c r="O31" s="221"/>
      <c r="P31" s="222" t="s">
        <v>163</v>
      </c>
      <c r="Q31" s="222"/>
      <c r="R31" s="222"/>
      <c r="S31" s="223"/>
      <c r="T31" s="224" t="s">
        <v>164</v>
      </c>
      <c r="U31" s="222"/>
      <c r="V31" s="222"/>
      <c r="W31" s="223"/>
      <c r="X31" s="225" t="s">
        <v>165</v>
      </c>
      <c r="Y31" s="222"/>
      <c r="Z31" s="222"/>
      <c r="AA31" s="223"/>
      <c r="AB31" s="214"/>
      <c r="AC31" s="347" t="s">
        <v>163</v>
      </c>
      <c r="AD31" s="348"/>
      <c r="AE31" s="223"/>
      <c r="AF31" s="224" t="s">
        <v>164</v>
      </c>
      <c r="AG31" s="222"/>
      <c r="AH31" s="223"/>
      <c r="AI31" s="214"/>
      <c r="AJ31" s="1"/>
      <c r="AK31" s="1"/>
      <c r="AL31" s="1"/>
      <c r="AM31" s="1"/>
      <c r="AN31" s="1"/>
      <c r="AO31" s="8" t="s">
        <v>567</v>
      </c>
      <c r="AP31" s="10">
        <v>0.05</v>
      </c>
      <c r="AQ31" s="1"/>
      <c r="AR31" s="1"/>
      <c r="AS31" s="1"/>
      <c r="AT31" s="1"/>
      <c r="AU31" s="1"/>
      <c r="AV31" s="1"/>
      <c r="AW31" s="1"/>
      <c r="AX31" s="1"/>
      <c r="AY31" s="1"/>
      <c r="AZ31" s="1"/>
      <c r="BA31" s="1"/>
      <c r="BB31" s="1"/>
      <c r="BC31" s="1"/>
      <c r="BD31" s="1"/>
      <c r="BE31" s="1"/>
      <c r="BF31" s="1"/>
      <c r="BG31" s="1"/>
      <c r="BH31" s="1"/>
      <c r="BI31" s="1"/>
      <c r="BJ31" s="1"/>
      <c r="BK31" s="1"/>
      <c r="BL31" s="1"/>
      <c r="BM31" s="1"/>
      <c r="BN31" s="1"/>
    </row>
    <row r="32" spans="1:66" ht="51" customHeight="1" x14ac:dyDescent="0.3">
      <c r="A32" s="214"/>
      <c r="B32" s="226"/>
      <c r="C32" s="227" t="s">
        <v>166</v>
      </c>
      <c r="D32" s="228" t="s">
        <v>167</v>
      </c>
      <c r="E32" s="228" t="s">
        <v>168</v>
      </c>
      <c r="F32" s="410" t="s">
        <v>169</v>
      </c>
      <c r="G32" s="228" t="s">
        <v>170</v>
      </c>
      <c r="H32" s="228" t="s">
        <v>171</v>
      </c>
      <c r="I32" s="229" t="s">
        <v>172</v>
      </c>
      <c r="J32" s="229" t="s">
        <v>173</v>
      </c>
      <c r="K32" s="230" t="s">
        <v>174</v>
      </c>
      <c r="L32" s="229" t="s">
        <v>175</v>
      </c>
      <c r="M32" s="411" t="s">
        <v>176</v>
      </c>
      <c r="N32" s="227"/>
      <c r="O32" s="227" t="s">
        <v>177</v>
      </c>
      <c r="P32" s="231" t="s">
        <v>178</v>
      </c>
      <c r="Q32" s="231" t="s">
        <v>179</v>
      </c>
      <c r="R32" s="231" t="s">
        <v>180</v>
      </c>
      <c r="S32" s="231" t="s">
        <v>181</v>
      </c>
      <c r="T32" s="231" t="s">
        <v>182</v>
      </c>
      <c r="U32" s="231" t="s">
        <v>183</v>
      </c>
      <c r="V32" s="231" t="s">
        <v>184</v>
      </c>
      <c r="W32" s="231" t="s">
        <v>185</v>
      </c>
      <c r="X32" s="231" t="s">
        <v>186</v>
      </c>
      <c r="Y32" s="231" t="s">
        <v>187</v>
      </c>
      <c r="Z32" s="231" t="s">
        <v>188</v>
      </c>
      <c r="AA32" s="231" t="s">
        <v>189</v>
      </c>
      <c r="AB32" s="214"/>
      <c r="AC32" s="231" t="s">
        <v>178</v>
      </c>
      <c r="AD32" s="231" t="s">
        <v>179</v>
      </c>
      <c r="AE32" s="231" t="s">
        <v>180</v>
      </c>
      <c r="AF32" s="231" t="s">
        <v>182</v>
      </c>
      <c r="AG32" s="231" t="s">
        <v>183</v>
      </c>
      <c r="AH32" s="231" t="s">
        <v>184</v>
      </c>
      <c r="AI32" s="214"/>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row>
    <row r="33" spans="1:66" ht="15.6" customHeight="1" x14ac:dyDescent="0.3">
      <c r="A33" s="214"/>
      <c r="B33" s="232">
        <v>2019</v>
      </c>
      <c r="C33" s="233">
        <f>C22</f>
        <v>21615990285.654022</v>
      </c>
      <c r="D33" s="484">
        <v>363674.9</v>
      </c>
      <c r="E33" s="259">
        <f>(F33/1000000/D33)*100</f>
        <v>6.4890098271835646</v>
      </c>
      <c r="F33" s="484">
        <v>23598900000</v>
      </c>
      <c r="G33" s="234">
        <f>F33/C33</f>
        <v>1.0917334662045062</v>
      </c>
      <c r="H33" s="485">
        <f>C33*G33</f>
        <v>23598900000</v>
      </c>
      <c r="I33" s="485" t="s">
        <v>113</v>
      </c>
      <c r="J33" s="485" t="s">
        <v>113</v>
      </c>
      <c r="K33" s="485" t="s">
        <v>113</v>
      </c>
      <c r="L33" s="485" t="s">
        <v>113</v>
      </c>
      <c r="M33" s="214"/>
      <c r="N33" s="232">
        <v>2019</v>
      </c>
      <c r="O33" s="382">
        <f>G33</f>
        <v>1.0917334662045062</v>
      </c>
      <c r="P33" s="237"/>
      <c r="Q33" s="237"/>
      <c r="R33" s="237"/>
      <c r="S33" s="237"/>
      <c r="T33" s="237"/>
      <c r="U33" s="237"/>
      <c r="V33" s="238"/>
      <c r="W33" s="238"/>
      <c r="X33" s="238"/>
      <c r="Y33" s="238"/>
      <c r="Z33" s="238"/>
      <c r="AA33" s="238"/>
      <c r="AB33" s="214"/>
      <c r="AC33" s="237"/>
      <c r="AD33" s="237"/>
      <c r="AE33" s="237"/>
      <c r="AF33" s="237"/>
      <c r="AG33" s="237"/>
      <c r="AH33" s="238"/>
      <c r="AI33" s="214"/>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row>
    <row r="34" spans="1:66" s="51" customFormat="1" ht="15.6" customHeight="1" x14ac:dyDescent="0.3">
      <c r="A34" s="239"/>
      <c r="B34" s="240">
        <v>2020</v>
      </c>
      <c r="C34" s="241">
        <f>D22</f>
        <v>22954900485.776352</v>
      </c>
      <c r="D34" s="484">
        <v>382207.1</v>
      </c>
      <c r="E34" s="259">
        <f t="shared" ref="E34:E36" si="7">(F34/1000000/D34)*100</f>
        <v>6.1296087906268619</v>
      </c>
      <c r="F34" s="484">
        <v>23427800000</v>
      </c>
      <c r="G34" s="234">
        <f>F34/C34</f>
        <v>1.0206012443624695</v>
      </c>
      <c r="H34" s="486">
        <f>C34*G34</f>
        <v>23427800000</v>
      </c>
      <c r="I34" s="487"/>
      <c r="J34" s="487"/>
      <c r="K34" s="487"/>
      <c r="L34" s="487"/>
      <c r="M34" s="214"/>
      <c r="N34" s="240">
        <v>2020</v>
      </c>
      <c r="O34" s="381"/>
      <c r="P34" s="245"/>
      <c r="Q34" s="245"/>
      <c r="R34" s="245"/>
      <c r="S34" s="245"/>
      <c r="T34" s="245"/>
      <c r="U34" s="245"/>
      <c r="V34" s="245"/>
      <c r="W34" s="245"/>
      <c r="X34" s="245"/>
      <c r="Y34" s="245"/>
      <c r="Z34" s="245"/>
      <c r="AA34" s="245"/>
      <c r="AB34" s="239"/>
      <c r="AC34" s="245"/>
      <c r="AD34" s="245"/>
      <c r="AE34" s="245"/>
      <c r="AF34" s="245"/>
      <c r="AG34" s="245"/>
      <c r="AH34" s="245"/>
      <c r="AI34" s="239"/>
      <c r="AJ34" s="47"/>
      <c r="AK34" s="47"/>
      <c r="AL34" s="47"/>
      <c r="AM34" s="47"/>
      <c r="AN34" s="47"/>
      <c r="AO34" s="47"/>
      <c r="AP34" s="47"/>
      <c r="AQ34" s="47"/>
      <c r="AR34" s="47"/>
      <c r="AS34" s="47"/>
      <c r="AT34" s="47"/>
      <c r="AU34" s="47"/>
      <c r="AV34" s="47"/>
      <c r="AW34" s="47"/>
      <c r="AX34" s="47"/>
      <c r="AY34" s="47"/>
      <c r="AZ34" s="47"/>
      <c r="BA34" s="47"/>
      <c r="BB34" s="47"/>
      <c r="BC34" s="47"/>
      <c r="BD34" s="47"/>
      <c r="BE34" s="47"/>
      <c r="BF34" s="47"/>
      <c r="BG34" s="47"/>
      <c r="BH34" s="47"/>
      <c r="BI34" s="47"/>
      <c r="BJ34" s="47"/>
      <c r="BK34" s="47"/>
      <c r="BL34" s="47"/>
      <c r="BM34" s="47"/>
      <c r="BN34" s="47"/>
    </row>
    <row r="35" spans="1:66" ht="15.6" customHeight="1" x14ac:dyDescent="0.3">
      <c r="A35" s="214"/>
      <c r="B35" s="232">
        <v>2021</v>
      </c>
      <c r="C35" s="241">
        <f>E22</f>
        <v>24538130902.724419</v>
      </c>
      <c r="D35" s="484">
        <v>449216.5</v>
      </c>
      <c r="E35" s="259">
        <f t="shared" si="7"/>
        <v>6.1814069607861688</v>
      </c>
      <c r="F35" s="484">
        <v>27767900000</v>
      </c>
      <c r="G35" s="234">
        <f>F35/C35</f>
        <v>1.1316224577201595</v>
      </c>
      <c r="H35" s="486">
        <f>C35*G35</f>
        <v>27767900000</v>
      </c>
      <c r="I35" s="487"/>
      <c r="J35" s="487"/>
      <c r="K35" s="487"/>
      <c r="L35" s="487"/>
      <c r="M35" s="214"/>
      <c r="N35" s="232">
        <v>2021</v>
      </c>
      <c r="O35" s="381"/>
      <c r="P35" s="246"/>
      <c r="Q35" s="246"/>
      <c r="R35" s="246"/>
      <c r="S35" s="246"/>
      <c r="T35" s="246"/>
      <c r="U35" s="246"/>
      <c r="V35" s="247"/>
      <c r="W35" s="247"/>
      <c r="X35" s="247"/>
      <c r="Y35" s="247"/>
      <c r="Z35" s="247"/>
      <c r="AA35" s="247"/>
      <c r="AB35" s="214"/>
      <c r="AC35" s="246"/>
      <c r="AD35" s="246"/>
      <c r="AE35" s="246"/>
      <c r="AF35" s="246"/>
      <c r="AG35" s="246"/>
      <c r="AH35" s="247"/>
      <c r="AI35" s="214"/>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row>
    <row r="36" spans="1:66" ht="15.6" customHeight="1" x14ac:dyDescent="0.3">
      <c r="A36" s="214"/>
      <c r="B36" s="240">
        <v>2022</v>
      </c>
      <c r="C36" s="248">
        <f>F22</f>
        <v>25523514644.054359</v>
      </c>
      <c r="D36" s="484">
        <v>520935.3</v>
      </c>
      <c r="E36" s="259">
        <f t="shared" si="7"/>
        <v>6.0060241646131489</v>
      </c>
      <c r="F36" s="484">
        <v>31287500000</v>
      </c>
      <c r="G36" s="234">
        <f>F36/C36</f>
        <v>1.225830393514725</v>
      </c>
      <c r="H36" s="486">
        <f>C36*G36</f>
        <v>31287500000</v>
      </c>
      <c r="I36" s="488"/>
      <c r="J36" s="488"/>
      <c r="K36" s="488"/>
      <c r="L36" s="488"/>
      <c r="M36" s="214"/>
      <c r="N36" s="240">
        <v>2022</v>
      </c>
      <c r="O36" s="380"/>
      <c r="P36" s="225"/>
      <c r="Q36" s="225"/>
      <c r="R36" s="225"/>
      <c r="S36" s="225"/>
      <c r="T36" s="225"/>
      <c r="U36" s="225"/>
      <c r="V36" s="225"/>
      <c r="W36" s="225"/>
      <c r="X36" s="225"/>
      <c r="Y36" s="225"/>
      <c r="Z36" s="225"/>
      <c r="AA36" s="225"/>
      <c r="AB36" s="214"/>
      <c r="AC36" s="225"/>
      <c r="AD36" s="225"/>
      <c r="AE36" s="225"/>
      <c r="AF36" s="225"/>
      <c r="AG36" s="225"/>
      <c r="AH36" s="225"/>
      <c r="AI36" s="214"/>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row>
    <row r="37" spans="1:66" ht="15.6" customHeight="1" x14ac:dyDescent="0.3">
      <c r="A37" s="214"/>
      <c r="B37" s="232">
        <v>2023</v>
      </c>
      <c r="C37" s="251">
        <f>G22</f>
        <v>25644526492.388409</v>
      </c>
      <c r="D37" s="484">
        <v>509951.8</v>
      </c>
      <c r="E37" s="259">
        <f>(F37/1000000/D37)*100</f>
        <v>6.5104584394054488</v>
      </c>
      <c r="F37" s="484">
        <v>33200199999.999996</v>
      </c>
      <c r="G37" s="234">
        <f>F37/C37</f>
        <v>1.2946310398772307</v>
      </c>
      <c r="H37" s="486">
        <f>C37*G37</f>
        <v>33200199999.999996</v>
      </c>
      <c r="I37" s="485">
        <f>H22*$G37</f>
        <v>36069146194.91275</v>
      </c>
      <c r="J37" s="485">
        <f>I22*$G37</f>
        <v>32587271419.646088</v>
      </c>
      <c r="K37" s="485">
        <f>J22*$G37</f>
        <v>33428225018.600887</v>
      </c>
      <c r="L37" s="485">
        <f>K22*$G37</f>
        <v>32380224411.391102</v>
      </c>
      <c r="M37" s="489">
        <f>AK22*$G37</f>
        <v>35543675540.300163</v>
      </c>
      <c r="N37" s="232">
        <v>2023</v>
      </c>
      <c r="O37" s="379">
        <f>G37</f>
        <v>1.2946310398772307</v>
      </c>
      <c r="P37" s="490">
        <f>($H37-J37)/1000000</f>
        <v>612.9285803539085</v>
      </c>
      <c r="Q37" s="490">
        <f>($H37-K37)/1000000</f>
        <v>-228.02501860089112</v>
      </c>
      <c r="R37" s="490">
        <f>($H37-L37)/1000000</f>
        <v>819.97558860889433</v>
      </c>
      <c r="S37" s="490">
        <f>AVERAGE(P37:R37)</f>
        <v>401.62638345397062</v>
      </c>
      <c r="T37" s="490">
        <f t="shared" ref="T37:V37" si="8">($I37-J37)/1000000</f>
        <v>3481.8747752666627</v>
      </c>
      <c r="U37" s="490">
        <f t="shared" si="8"/>
        <v>2640.9211763118628</v>
      </c>
      <c r="V37" s="490">
        <f t="shared" si="8"/>
        <v>3688.9217835216482</v>
      </c>
      <c r="W37" s="490">
        <f>AVERAGE(T37:V37)</f>
        <v>3270.5725783667244</v>
      </c>
      <c r="X37" s="254">
        <f>(T37-P37)/T37</f>
        <v>0.82396593217314473</v>
      </c>
      <c r="Y37" s="254">
        <f>(U37-Q37)/U37</f>
        <v>1.086342985412134</v>
      </c>
      <c r="Z37" s="254">
        <f>(V37-R37)/V37</f>
        <v>0.77771944304384244</v>
      </c>
      <c r="AA37" s="254">
        <f>AVERAGE(X37:Z37)</f>
        <v>0.8960094535430404</v>
      </c>
      <c r="AB37" s="214"/>
      <c r="AC37" s="351">
        <f>P37/$D37</f>
        <v>1.2019343403708125E-3</v>
      </c>
      <c r="AD37" s="351">
        <f>Q37/$D37</f>
        <v>-4.4715013968161523E-4</v>
      </c>
      <c r="AE37" s="351">
        <f>R37/$D37</f>
        <v>1.6079472385603782E-3</v>
      </c>
      <c r="AF37" s="351">
        <f>T37/$D37</f>
        <v>6.8278507405340324E-3</v>
      </c>
      <c r="AG37" s="351">
        <f>U37/$D37</f>
        <v>5.1787662604816037E-3</v>
      </c>
      <c r="AH37" s="351">
        <f>V37/$D37</f>
        <v>7.2338636387235975E-3</v>
      </c>
      <c r="AI37" s="214"/>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row>
    <row r="38" spans="1:66" ht="15.6" customHeight="1" x14ac:dyDescent="0.3">
      <c r="A38" s="214"/>
      <c r="B38" s="240">
        <v>2024</v>
      </c>
      <c r="C38" s="255"/>
      <c r="D38" s="256"/>
      <c r="E38" s="256"/>
      <c r="F38" s="256"/>
      <c r="G38" s="257"/>
      <c r="H38" s="256"/>
      <c r="I38" s="488"/>
      <c r="J38" s="488"/>
      <c r="K38" s="488"/>
      <c r="L38" s="488"/>
      <c r="M38" s="214"/>
      <c r="N38" s="240">
        <v>2024</v>
      </c>
      <c r="O38" s="380"/>
      <c r="P38" s="225"/>
      <c r="Q38" s="225"/>
      <c r="R38" s="225"/>
      <c r="S38" s="225"/>
      <c r="T38" s="491"/>
      <c r="U38" s="491"/>
      <c r="V38" s="491"/>
      <c r="W38" s="491"/>
      <c r="X38" s="225"/>
      <c r="Y38" s="225"/>
      <c r="Z38" s="225"/>
      <c r="AA38" s="225"/>
      <c r="AB38" s="214"/>
      <c r="AC38" s="353"/>
      <c r="AD38" s="353"/>
      <c r="AE38" s="353"/>
      <c r="AF38" s="354"/>
      <c r="AG38" s="354"/>
      <c r="AH38" s="354"/>
      <c r="AI38" s="214"/>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row>
    <row r="39" spans="1:66" ht="15.6" customHeight="1" x14ac:dyDescent="0.3">
      <c r="A39" s="214"/>
      <c r="B39" s="232">
        <v>2025</v>
      </c>
      <c r="C39" s="255"/>
      <c r="D39" s="256"/>
      <c r="E39" s="256"/>
      <c r="F39" s="256"/>
      <c r="G39" s="257"/>
      <c r="H39" s="256"/>
      <c r="I39" s="488"/>
      <c r="J39" s="488"/>
      <c r="K39" s="488"/>
      <c r="L39" s="488"/>
      <c r="M39" s="214"/>
      <c r="N39" s="232">
        <v>2025</v>
      </c>
      <c r="O39" s="380"/>
      <c r="P39" s="225"/>
      <c r="Q39" s="225"/>
      <c r="R39" s="225"/>
      <c r="S39" s="225"/>
      <c r="T39" s="491"/>
      <c r="U39" s="491"/>
      <c r="V39" s="491"/>
      <c r="W39" s="491"/>
      <c r="X39" s="225"/>
      <c r="Y39" s="225"/>
      <c r="Z39" s="225"/>
      <c r="AA39" s="225"/>
      <c r="AB39" s="214"/>
      <c r="AC39" s="353"/>
      <c r="AD39" s="353"/>
      <c r="AE39" s="353"/>
      <c r="AF39" s="354"/>
      <c r="AG39" s="354"/>
      <c r="AH39" s="354"/>
      <c r="AI39" s="214"/>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row>
    <row r="40" spans="1:66" ht="15.6" customHeight="1" x14ac:dyDescent="0.3">
      <c r="A40" s="214"/>
      <c r="B40" s="240">
        <v>2026</v>
      </c>
      <c r="C40" s="251"/>
      <c r="D40" s="256"/>
      <c r="E40" s="256"/>
      <c r="F40" s="256"/>
      <c r="G40" s="259"/>
      <c r="H40" s="256"/>
      <c r="I40" s="485"/>
      <c r="J40" s="485"/>
      <c r="K40" s="485"/>
      <c r="L40" s="485"/>
      <c r="M40" s="214"/>
      <c r="N40" s="240">
        <v>2026</v>
      </c>
      <c r="O40" s="379"/>
      <c r="P40" s="225"/>
      <c r="Q40" s="225"/>
      <c r="R40" s="225"/>
      <c r="S40" s="225"/>
      <c r="T40" s="490"/>
      <c r="U40" s="490"/>
      <c r="V40" s="490"/>
      <c r="W40" s="490"/>
      <c r="X40" s="225"/>
      <c r="Y40" s="225"/>
      <c r="Z40" s="225"/>
      <c r="AA40" s="225"/>
      <c r="AB40" s="214"/>
      <c r="AC40" s="353"/>
      <c r="AD40" s="353"/>
      <c r="AE40" s="353"/>
      <c r="AF40" s="351"/>
      <c r="AG40" s="351"/>
      <c r="AH40" s="351"/>
      <c r="AI40" s="214"/>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row>
    <row r="41" spans="1:66" ht="12.6" customHeight="1" x14ac:dyDescent="0.3">
      <c r="A41" s="214"/>
      <c r="B41" s="214"/>
      <c r="C41" s="214"/>
      <c r="D41" s="214"/>
      <c r="E41" s="214"/>
      <c r="F41" s="214"/>
      <c r="G41" s="214"/>
      <c r="H41" s="214"/>
      <c r="I41" s="260"/>
      <c r="J41" s="214"/>
      <c r="K41" s="214"/>
      <c r="L41" s="214"/>
      <c r="M41" s="214"/>
      <c r="N41" s="214"/>
      <c r="O41" s="214"/>
      <c r="P41" s="214"/>
      <c r="Q41" s="214"/>
      <c r="R41" s="214"/>
      <c r="S41" s="214"/>
      <c r="T41" s="260"/>
      <c r="U41" s="214"/>
      <c r="V41" s="214"/>
      <c r="W41" s="214"/>
      <c r="X41" s="413" t="s">
        <v>190</v>
      </c>
      <c r="Y41" s="414"/>
      <c r="Z41" s="414"/>
      <c r="AA41" s="415"/>
      <c r="AB41" s="214"/>
      <c r="AC41" s="214"/>
      <c r="AD41" s="214"/>
      <c r="AE41" s="214"/>
      <c r="AF41" s="260"/>
      <c r="AG41" s="214"/>
      <c r="AH41" s="214"/>
      <c r="AI41" s="214"/>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row>
    <row r="42" spans="1:66" ht="12.6" customHeight="1" x14ac:dyDescent="0.3">
      <c r="A42" s="214"/>
      <c r="B42" s="214"/>
      <c r="C42" s="214"/>
      <c r="D42" s="214"/>
      <c r="E42" s="214"/>
      <c r="F42" s="214"/>
      <c r="G42" s="214"/>
      <c r="H42" s="214"/>
      <c r="I42" s="214"/>
      <c r="J42" s="214"/>
      <c r="K42" s="214"/>
      <c r="L42" s="214"/>
      <c r="M42" s="214"/>
      <c r="N42" s="214"/>
      <c r="O42" s="214"/>
      <c r="P42" s="214"/>
      <c r="Q42" s="214"/>
      <c r="R42" s="214"/>
      <c r="S42" s="214"/>
      <c r="T42" s="214"/>
      <c r="U42" s="214"/>
      <c r="V42" s="214"/>
      <c r="W42" s="416">
        <v>2023</v>
      </c>
      <c r="X42" s="417">
        <f>(($M37-$H37)/1000000)/T37</f>
        <v>0.67304992038971012</v>
      </c>
      <c r="Y42" s="417">
        <f t="shared" ref="Y42:Z42" si="9">(($M37-$H37)/1000000)/U37</f>
        <v>0.8873704983398677</v>
      </c>
      <c r="Z42" s="417">
        <f t="shared" si="9"/>
        <v>0.63527384906029538</v>
      </c>
      <c r="AA42" s="417">
        <f>AVERAGE(X42:Z42)</f>
        <v>0.73189808926329114</v>
      </c>
      <c r="AB42" s="214"/>
      <c r="AC42" s="214"/>
      <c r="AD42" s="214"/>
      <c r="AE42" s="214"/>
      <c r="AF42" s="214"/>
      <c r="AG42" s="214"/>
      <c r="AH42" s="214"/>
      <c r="AI42" s="214"/>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row>
    <row r="43" spans="1:66" ht="12.6" customHeight="1" thickBot="1" x14ac:dyDescent="0.35">
      <c r="A43" s="214"/>
      <c r="B43" s="214"/>
      <c r="C43" s="214"/>
      <c r="D43" s="214"/>
      <c r="E43" s="214"/>
      <c r="F43" s="214"/>
      <c r="G43" s="214"/>
      <c r="H43" s="214"/>
      <c r="I43" s="214"/>
      <c r="J43" s="214"/>
      <c r="K43" s="214"/>
      <c r="L43" s="214"/>
      <c r="M43" s="214"/>
      <c r="N43" s="214"/>
      <c r="O43" s="214"/>
      <c r="P43" s="214"/>
      <c r="Q43" s="214"/>
      <c r="R43" s="214"/>
      <c r="S43" s="214"/>
      <c r="T43" s="214"/>
      <c r="U43" s="214"/>
      <c r="V43" s="214"/>
      <c r="W43" s="214"/>
      <c r="X43" s="214"/>
      <c r="Y43" s="214"/>
      <c r="Z43" s="214"/>
      <c r="AA43" s="214"/>
      <c r="AB43" s="214"/>
      <c r="AC43" s="214"/>
      <c r="AD43" s="214"/>
      <c r="AE43" s="214"/>
      <c r="AF43" s="214"/>
      <c r="AG43" s="214"/>
      <c r="AH43" s="214"/>
      <c r="AI43" s="214"/>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row>
    <row r="44" spans="1:66" ht="18" customHeight="1" thickBot="1" x14ac:dyDescent="0.35">
      <c r="A44" s="214"/>
      <c r="B44" s="216" t="s">
        <v>191</v>
      </c>
      <c r="C44" s="221"/>
      <c r="D44" s="222" t="s">
        <v>160</v>
      </c>
      <c r="E44" s="223"/>
      <c r="F44" s="224" t="s">
        <v>161</v>
      </c>
      <c r="G44" s="222"/>
      <c r="H44" s="222"/>
      <c r="I44" s="222"/>
      <c r="J44" s="223"/>
      <c r="K44" s="214"/>
      <c r="L44" s="214"/>
      <c r="M44" s="214"/>
      <c r="N44" s="214"/>
      <c r="O44" s="214"/>
      <c r="P44" s="214"/>
      <c r="Q44" s="214"/>
      <c r="R44" s="214"/>
      <c r="S44" s="214"/>
      <c r="T44" s="214"/>
      <c r="U44" s="216" t="s">
        <v>192</v>
      </c>
      <c r="V44" s="221"/>
      <c r="W44" s="222" t="s">
        <v>160</v>
      </c>
      <c r="X44" s="223"/>
      <c r="Y44" s="224" t="s">
        <v>161</v>
      </c>
      <c r="Z44" s="222"/>
      <c r="AA44" s="222"/>
      <c r="AB44" s="222"/>
      <c r="AC44" s="223"/>
      <c r="AD44" s="214"/>
      <c r="AE44" s="214"/>
      <c r="AF44" s="214"/>
      <c r="AG44" s="214"/>
      <c r="AH44" s="214"/>
      <c r="AI44" s="214"/>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row>
    <row r="45" spans="1:66" ht="42" customHeight="1" x14ac:dyDescent="0.3">
      <c r="A45" s="214"/>
      <c r="B45" s="227"/>
      <c r="C45" s="231" t="s">
        <v>193</v>
      </c>
      <c r="D45" s="228" t="s">
        <v>194</v>
      </c>
      <c r="E45" s="228" t="s">
        <v>170</v>
      </c>
      <c r="F45" s="229" t="s">
        <v>195</v>
      </c>
      <c r="G45" s="229" t="s">
        <v>196</v>
      </c>
      <c r="H45" s="261" t="s">
        <v>197</v>
      </c>
      <c r="I45" s="261" t="s">
        <v>198</v>
      </c>
      <c r="J45" s="261" t="s">
        <v>199</v>
      </c>
      <c r="K45" s="411" t="s">
        <v>176</v>
      </c>
      <c r="L45" s="214"/>
      <c r="M45" s="214"/>
      <c r="N45" s="214"/>
      <c r="O45" s="214"/>
      <c r="P45" s="214"/>
      <c r="Q45" s="214"/>
      <c r="R45" s="214"/>
      <c r="S45" s="214"/>
      <c r="T45" s="214"/>
      <c r="U45" s="227"/>
      <c r="V45" s="231" t="s">
        <v>193</v>
      </c>
      <c r="W45" s="228" t="s">
        <v>194</v>
      </c>
      <c r="X45" s="228" t="s">
        <v>170</v>
      </c>
      <c r="Y45" s="229" t="s">
        <v>195</v>
      </c>
      <c r="Z45" s="229" t="s">
        <v>196</v>
      </c>
      <c r="AA45" s="261" t="s">
        <v>197</v>
      </c>
      <c r="AB45" s="261" t="s">
        <v>198</v>
      </c>
      <c r="AC45" s="261" t="s">
        <v>199</v>
      </c>
      <c r="AD45" s="214"/>
      <c r="AE45" s="214"/>
      <c r="AF45" s="214"/>
      <c r="AG45" s="214"/>
      <c r="AH45" s="214"/>
      <c r="AI45" s="214"/>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row>
    <row r="46" spans="1:66" ht="15" customHeight="1" x14ac:dyDescent="0.3">
      <c r="A46" s="214"/>
      <c r="B46" s="232">
        <v>2019</v>
      </c>
      <c r="C46" s="262">
        <f>C33/1000000</f>
        <v>21615.990285654021</v>
      </c>
      <c r="D46" s="263">
        <f>F33/1000000</f>
        <v>23598.9</v>
      </c>
      <c r="E46" s="264"/>
      <c r="F46" s="262">
        <f>H33/1000000</f>
        <v>23598.9</v>
      </c>
      <c r="G46" s="264"/>
      <c r="H46" s="264"/>
      <c r="I46" s="264"/>
      <c r="J46" s="264"/>
      <c r="K46" s="214"/>
      <c r="L46" s="214"/>
      <c r="M46" s="214"/>
      <c r="N46" s="214"/>
      <c r="O46" s="214"/>
      <c r="P46" s="214"/>
      <c r="Q46" s="214"/>
      <c r="R46" s="214"/>
      <c r="S46" s="214"/>
      <c r="T46" s="214"/>
      <c r="U46" s="232">
        <v>2019</v>
      </c>
      <c r="V46" s="355">
        <f>C33/1000000/D33</f>
        <v>5.9437674378006344E-2</v>
      </c>
      <c r="W46" s="355">
        <f>F33/(D33*1000000)</f>
        <v>6.4890098271835644E-2</v>
      </c>
      <c r="X46" s="264"/>
      <c r="Y46" s="355">
        <f>H33/($D33*1000000)</f>
        <v>6.4890098271835644E-2</v>
      </c>
      <c r="Z46" s="355"/>
      <c r="AA46" s="355"/>
      <c r="AB46" s="355"/>
      <c r="AC46" s="355"/>
      <c r="AD46" s="214"/>
      <c r="AE46" s="214"/>
      <c r="AF46" s="214"/>
      <c r="AG46" s="214"/>
      <c r="AH46" s="214"/>
      <c r="AI46" s="214"/>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row>
    <row r="47" spans="1:66" ht="15" customHeight="1" x14ac:dyDescent="0.3">
      <c r="A47" s="214"/>
      <c r="B47" s="240">
        <v>2020</v>
      </c>
      <c r="C47" s="262">
        <f t="shared" ref="C47:C49" si="10">C34/1000000</f>
        <v>22954.90048577635</v>
      </c>
      <c r="D47" s="263">
        <f>F34/1000000</f>
        <v>23427.8</v>
      </c>
      <c r="E47" s="264"/>
      <c r="F47" s="264"/>
      <c r="G47" s="264"/>
      <c r="H47" s="264"/>
      <c r="I47" s="264"/>
      <c r="J47" s="264"/>
      <c r="K47" s="214"/>
      <c r="L47" s="214"/>
      <c r="M47" s="214"/>
      <c r="N47" s="214"/>
      <c r="O47" s="214"/>
      <c r="P47" s="214"/>
      <c r="Q47" s="214"/>
      <c r="R47" s="214"/>
      <c r="S47" s="214"/>
      <c r="T47" s="214"/>
      <c r="U47" s="240">
        <v>2020</v>
      </c>
      <c r="V47" s="355">
        <f t="shared" ref="V47:V50" si="11">C34/1000000/D34</f>
        <v>6.0058801853174242E-2</v>
      </c>
      <c r="W47" s="355">
        <f t="shared" ref="W47:W50" si="12">F34/(D34*1000000)</f>
        <v>6.1296087906268615E-2</v>
      </c>
      <c r="X47" s="264"/>
      <c r="Y47" s="355"/>
      <c r="Z47" s="355"/>
      <c r="AA47" s="355"/>
      <c r="AB47" s="355"/>
      <c r="AC47" s="355"/>
      <c r="AD47" s="214"/>
      <c r="AE47" s="214"/>
      <c r="AF47" s="214"/>
      <c r="AG47" s="214"/>
      <c r="AH47" s="214"/>
      <c r="AI47" s="214"/>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row>
    <row r="48" spans="1:66" ht="15" customHeight="1" x14ac:dyDescent="0.3">
      <c r="A48" s="214"/>
      <c r="B48" s="232">
        <v>2021</v>
      </c>
      <c r="C48" s="262">
        <f t="shared" si="10"/>
        <v>24538.130902724417</v>
      </c>
      <c r="D48" s="263">
        <f>F35/1000000</f>
        <v>27767.9</v>
      </c>
      <c r="E48" s="264"/>
      <c r="F48" s="264"/>
      <c r="G48" s="264"/>
      <c r="H48" s="264"/>
      <c r="I48" s="264"/>
      <c r="J48" s="264"/>
      <c r="K48" s="214"/>
      <c r="L48" s="214"/>
      <c r="M48" s="214"/>
      <c r="N48" s="214"/>
      <c r="O48" s="214"/>
      <c r="P48" s="214"/>
      <c r="Q48" s="214"/>
      <c r="R48" s="214"/>
      <c r="S48" s="214"/>
      <c r="T48" s="214"/>
      <c r="U48" s="232">
        <v>2021</v>
      </c>
      <c r="V48" s="355">
        <f t="shared" si="11"/>
        <v>5.4624286736405313E-2</v>
      </c>
      <c r="W48" s="355">
        <f t="shared" si="12"/>
        <v>6.1814069607861691E-2</v>
      </c>
      <c r="X48" s="264"/>
      <c r="Y48" s="355"/>
      <c r="Z48" s="355"/>
      <c r="AA48" s="355"/>
      <c r="AB48" s="355"/>
      <c r="AC48" s="355"/>
      <c r="AD48" s="214"/>
      <c r="AE48" s="214"/>
      <c r="AF48" s="214"/>
      <c r="AG48" s="214"/>
      <c r="AH48" s="214"/>
      <c r="AI48" s="214"/>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row>
    <row r="49" spans="1:66" ht="15" customHeight="1" x14ac:dyDescent="0.3">
      <c r="A49" s="214"/>
      <c r="B49" s="240">
        <v>2022</v>
      </c>
      <c r="C49" s="262">
        <f t="shared" si="10"/>
        <v>25523.514644054358</v>
      </c>
      <c r="D49" s="263">
        <f>F36/1000000</f>
        <v>31287.5</v>
      </c>
      <c r="E49" s="264"/>
      <c r="F49" s="264"/>
      <c r="G49" s="264"/>
      <c r="H49" s="264"/>
      <c r="I49" s="264"/>
      <c r="J49" s="264"/>
      <c r="K49" s="214"/>
      <c r="L49" s="214"/>
      <c r="M49" s="214"/>
      <c r="N49" s="214"/>
      <c r="O49" s="214"/>
      <c r="P49" s="214"/>
      <c r="Q49" s="214"/>
      <c r="R49" s="214"/>
      <c r="S49" s="214"/>
      <c r="T49" s="214"/>
      <c r="U49" s="240">
        <v>2022</v>
      </c>
      <c r="V49" s="355">
        <f t="shared" si="11"/>
        <v>4.899555596262023E-2</v>
      </c>
      <c r="W49" s="355">
        <f t="shared" si="12"/>
        <v>6.0060241646131489E-2</v>
      </c>
      <c r="X49" s="264"/>
      <c r="Y49" s="355"/>
      <c r="Z49" s="355"/>
      <c r="AA49" s="355"/>
      <c r="AB49" s="355"/>
      <c r="AC49" s="355"/>
      <c r="AD49" s="214"/>
      <c r="AE49" s="214"/>
      <c r="AF49" s="214"/>
      <c r="AG49" s="214"/>
      <c r="AH49" s="214"/>
      <c r="AI49" s="214"/>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row>
    <row r="50" spans="1:66" ht="15" customHeight="1" x14ac:dyDescent="0.3">
      <c r="A50" s="214"/>
      <c r="B50" s="232">
        <v>2023</v>
      </c>
      <c r="C50" s="262">
        <f>C37/1000000</f>
        <v>25644.52649238841</v>
      </c>
      <c r="D50" s="263">
        <f>F37/1000000</f>
        <v>33200.199999999997</v>
      </c>
      <c r="E50" s="264"/>
      <c r="F50" s="262">
        <f t="shared" ref="F50:K50" si="13">H37/1000000</f>
        <v>33200.199999999997</v>
      </c>
      <c r="G50" s="262">
        <f t="shared" si="13"/>
        <v>36069.146194912748</v>
      </c>
      <c r="H50" s="262">
        <f t="shared" si="13"/>
        <v>32587.271419646087</v>
      </c>
      <c r="I50" s="262">
        <f t="shared" si="13"/>
        <v>33428.22501860089</v>
      </c>
      <c r="J50" s="262">
        <f t="shared" si="13"/>
        <v>32380.2244113911</v>
      </c>
      <c r="K50" s="418">
        <f t="shared" si="13"/>
        <v>35543.675540300166</v>
      </c>
      <c r="L50" s="214"/>
      <c r="M50" s="214"/>
      <c r="N50" s="214"/>
      <c r="O50" s="214"/>
      <c r="P50" s="214"/>
      <c r="Q50" s="214"/>
      <c r="R50" s="214"/>
      <c r="S50" s="214"/>
      <c r="T50" s="214"/>
      <c r="U50" s="232">
        <v>2023</v>
      </c>
      <c r="V50" s="355">
        <f t="shared" si="11"/>
        <v>5.0288138001255041E-2</v>
      </c>
      <c r="W50" s="355">
        <f t="shared" si="12"/>
        <v>6.510458439405449E-2</v>
      </c>
      <c r="X50" s="264"/>
      <c r="Y50" s="355">
        <f>H37/($D37*1000000)</f>
        <v>6.510458439405449E-2</v>
      </c>
      <c r="Z50" s="355">
        <f t="shared" ref="Z50:AC50" si="14">I37/($D37*1000000)</f>
        <v>7.0730500794217707E-2</v>
      </c>
      <c r="AA50" s="355">
        <f t="shared" si="14"/>
        <v>6.3902650053683674E-2</v>
      </c>
      <c r="AB50" s="355">
        <f t="shared" si="14"/>
        <v>6.5551734533736111E-2</v>
      </c>
      <c r="AC50" s="355">
        <f t="shared" si="14"/>
        <v>6.3496637155494112E-2</v>
      </c>
      <c r="AD50" s="214"/>
      <c r="AE50" s="214"/>
      <c r="AF50" s="214"/>
      <c r="AG50" s="214"/>
      <c r="AH50" s="214"/>
      <c r="AI50" s="214"/>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row>
    <row r="51" spans="1:66" ht="15" customHeight="1" x14ac:dyDescent="0.3">
      <c r="A51" s="214"/>
      <c r="B51" s="240">
        <v>2024</v>
      </c>
      <c r="C51" s="264"/>
      <c r="D51" s="264"/>
      <c r="E51" s="264"/>
      <c r="F51" s="264"/>
      <c r="G51" s="264"/>
      <c r="H51" s="264"/>
      <c r="I51" s="264"/>
      <c r="J51" s="264"/>
      <c r="K51" s="214"/>
      <c r="L51" s="214"/>
      <c r="M51" s="214"/>
      <c r="N51" s="214"/>
      <c r="O51" s="214"/>
      <c r="P51" s="214"/>
      <c r="Q51" s="214"/>
      <c r="R51" s="214"/>
      <c r="S51" s="214"/>
      <c r="T51" s="214"/>
      <c r="U51" s="240">
        <v>2024</v>
      </c>
      <c r="V51" s="264"/>
      <c r="W51" s="264"/>
      <c r="X51" s="264"/>
      <c r="Y51" s="355"/>
      <c r="Z51" s="355"/>
      <c r="AA51" s="355"/>
      <c r="AB51" s="355"/>
      <c r="AC51" s="355"/>
      <c r="AD51" s="214"/>
      <c r="AE51" s="214"/>
      <c r="AF51" s="214"/>
      <c r="AG51" s="214"/>
      <c r="AH51" s="214"/>
      <c r="AI51" s="214"/>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row>
    <row r="52" spans="1:66" ht="15" customHeight="1" x14ac:dyDescent="0.3">
      <c r="A52" s="214"/>
      <c r="B52" s="232">
        <v>2025</v>
      </c>
      <c r="C52" s="264"/>
      <c r="D52" s="264"/>
      <c r="E52" s="264"/>
      <c r="F52" s="264"/>
      <c r="G52" s="264"/>
      <c r="H52" s="264"/>
      <c r="I52" s="264"/>
      <c r="J52" s="264"/>
      <c r="K52" s="214"/>
      <c r="L52" s="214"/>
      <c r="M52" s="214"/>
      <c r="N52" s="214"/>
      <c r="O52" s="214"/>
      <c r="P52" s="214"/>
      <c r="Q52" s="214"/>
      <c r="R52" s="214"/>
      <c r="S52" s="214"/>
      <c r="T52" s="214"/>
      <c r="U52" s="232">
        <v>2025</v>
      </c>
      <c r="V52" s="264"/>
      <c r="W52" s="264"/>
      <c r="X52" s="264"/>
      <c r="Y52" s="355"/>
      <c r="Z52" s="355"/>
      <c r="AA52" s="355"/>
      <c r="AB52" s="355"/>
      <c r="AC52" s="355"/>
      <c r="AD52" s="214"/>
      <c r="AE52" s="214"/>
      <c r="AF52" s="214"/>
      <c r="AG52" s="214"/>
      <c r="AH52" s="214"/>
      <c r="AI52" s="214"/>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row>
    <row r="53" spans="1:66" ht="15" customHeight="1" x14ac:dyDescent="0.3">
      <c r="A53" s="214"/>
      <c r="B53" s="240">
        <v>2026</v>
      </c>
      <c r="C53" s="262"/>
      <c r="D53" s="264"/>
      <c r="E53" s="264"/>
      <c r="F53" s="264"/>
      <c r="G53" s="262"/>
      <c r="H53" s="262"/>
      <c r="I53" s="262"/>
      <c r="J53" s="262"/>
      <c r="K53" s="214"/>
      <c r="L53" s="214"/>
      <c r="M53" s="214"/>
      <c r="N53" s="214"/>
      <c r="O53" s="214"/>
      <c r="P53" s="214"/>
      <c r="Q53" s="214"/>
      <c r="R53" s="214"/>
      <c r="S53" s="214"/>
      <c r="T53" s="214"/>
      <c r="U53" s="240">
        <v>2026</v>
      </c>
      <c r="V53" s="262"/>
      <c r="W53" s="264"/>
      <c r="X53" s="264"/>
      <c r="Y53" s="355"/>
      <c r="Z53" s="355"/>
      <c r="AA53" s="355"/>
      <c r="AB53" s="355"/>
      <c r="AC53" s="355"/>
      <c r="AD53" s="214"/>
      <c r="AE53" s="214"/>
      <c r="AF53" s="214"/>
      <c r="AG53" s="214"/>
      <c r="AH53" s="214"/>
      <c r="AI53" s="214"/>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row>
    <row r="54" spans="1:66" ht="12.6" customHeight="1" x14ac:dyDescent="0.3">
      <c r="A54" s="214"/>
      <c r="B54" s="214"/>
      <c r="C54" s="214"/>
      <c r="D54" s="214"/>
      <c r="E54" s="214"/>
      <c r="F54" s="214"/>
      <c r="G54" s="214"/>
      <c r="H54" s="214"/>
      <c r="I54" s="214"/>
      <c r="J54" s="214"/>
      <c r="K54" s="214"/>
      <c r="L54" s="214"/>
      <c r="M54" s="214"/>
      <c r="N54" s="214"/>
      <c r="O54" s="214"/>
      <c r="P54" s="214"/>
      <c r="Q54" s="214"/>
      <c r="R54" s="214"/>
      <c r="S54" s="214"/>
      <c r="T54" s="214"/>
      <c r="U54" s="214"/>
      <c r="V54" s="214"/>
      <c r="W54" s="214"/>
      <c r="X54" s="214"/>
      <c r="Y54" s="214"/>
      <c r="Z54" s="214"/>
      <c r="AA54" s="214"/>
      <c r="AB54" s="214"/>
      <c r="AC54" s="214"/>
      <c r="AD54" s="214"/>
      <c r="AE54" s="214"/>
      <c r="AF54" s="214"/>
      <c r="AG54" s="214"/>
      <c r="AH54" s="214"/>
      <c r="AI54" s="214"/>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row>
    <row r="55" spans="1:66" ht="12.6" customHeight="1" x14ac:dyDescent="0.3">
      <c r="A55" s="214"/>
      <c r="B55" s="214"/>
      <c r="C55" s="214"/>
      <c r="D55" s="214"/>
      <c r="E55" s="214"/>
      <c r="F55" s="214"/>
      <c r="G55" s="214"/>
      <c r="H55" s="214"/>
      <c r="I55" s="214"/>
      <c r="J55" s="214"/>
      <c r="K55" s="214"/>
      <c r="L55" s="214"/>
      <c r="M55" s="214"/>
      <c r="N55" s="214"/>
      <c r="O55" s="214"/>
      <c r="P55" s="214"/>
      <c r="Q55" s="214"/>
      <c r="R55" s="214"/>
      <c r="S55" s="214"/>
      <c r="T55" s="214"/>
      <c r="U55" s="214"/>
      <c r="V55" s="214"/>
      <c r="W55" s="214"/>
      <c r="X55" s="214"/>
      <c r="Y55" s="214"/>
      <c r="Z55" s="214"/>
      <c r="AA55" s="214"/>
      <c r="AB55" s="214"/>
      <c r="AC55" s="214"/>
      <c r="AD55" s="214"/>
      <c r="AE55" s="214"/>
      <c r="AF55" s="214"/>
      <c r="AG55" s="214"/>
      <c r="AH55" s="214"/>
      <c r="AI55" s="214"/>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row>
    <row r="56" spans="1:66" ht="12.6" customHeight="1" x14ac:dyDescent="0.3">
      <c r="A56" s="214"/>
      <c r="B56" s="214"/>
      <c r="C56" s="214"/>
      <c r="D56" s="214"/>
      <c r="E56" s="214"/>
      <c r="F56" s="214"/>
      <c r="G56" s="214"/>
      <c r="H56" s="214"/>
      <c r="I56" s="214"/>
      <c r="J56" s="214"/>
      <c r="K56" s="214"/>
      <c r="L56" s="214"/>
      <c r="M56" s="214"/>
      <c r="N56" s="214"/>
      <c r="O56" s="214"/>
      <c r="P56" s="214"/>
      <c r="Q56" s="214"/>
      <c r="R56" s="214"/>
      <c r="S56" s="214"/>
      <c r="T56" s="214"/>
      <c r="U56" s="214"/>
      <c r="V56" s="214"/>
      <c r="W56" s="214"/>
      <c r="X56" s="214"/>
      <c r="Y56" s="214"/>
      <c r="Z56" s="214"/>
      <c r="AA56" s="214"/>
      <c r="AB56" s="214"/>
      <c r="AC56" s="214"/>
      <c r="AD56" s="214"/>
      <c r="AE56" s="214"/>
      <c r="AF56" s="214"/>
      <c r="AG56" s="214"/>
      <c r="AH56" s="214"/>
      <c r="AI56" s="214"/>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row>
    <row r="57" spans="1:66" ht="12.6" customHeight="1" x14ac:dyDescent="0.3">
      <c r="A57" s="214"/>
      <c r="B57" s="214"/>
      <c r="C57" s="214"/>
      <c r="D57" s="214"/>
      <c r="E57" s="214"/>
      <c r="F57" s="214"/>
      <c r="G57" s="214"/>
      <c r="H57" s="214"/>
      <c r="I57" s="214"/>
      <c r="J57" s="214"/>
      <c r="K57" s="214"/>
      <c r="L57" s="214"/>
      <c r="M57" s="214"/>
      <c r="N57" s="214"/>
      <c r="O57" s="214"/>
      <c r="P57" s="214"/>
      <c r="Q57" s="214"/>
      <c r="R57" s="214"/>
      <c r="S57" s="214"/>
      <c r="T57" s="214"/>
      <c r="U57" s="214"/>
      <c r="V57" s="214"/>
      <c r="W57" s="214"/>
      <c r="X57" s="214"/>
      <c r="Y57" s="214"/>
      <c r="Z57" s="214"/>
      <c r="AA57" s="214"/>
      <c r="AB57" s="214"/>
      <c r="AC57" s="214"/>
      <c r="AD57" s="214"/>
      <c r="AE57" s="214"/>
      <c r="AF57" s="214"/>
      <c r="AG57" s="214"/>
      <c r="AH57" s="214"/>
      <c r="AI57" s="214"/>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row>
    <row r="58" spans="1:66" ht="12.6" customHeight="1" x14ac:dyDescent="0.3">
      <c r="A58" s="214"/>
      <c r="B58" s="214"/>
      <c r="C58" s="214"/>
      <c r="D58" s="214"/>
      <c r="E58" s="214"/>
      <c r="F58" s="214"/>
      <c r="G58" s="214"/>
      <c r="H58" s="214"/>
      <c r="I58" s="214"/>
      <c r="J58" s="214"/>
      <c r="K58" s="214"/>
      <c r="L58" s="214"/>
      <c r="M58" s="214"/>
      <c r="N58" s="214"/>
      <c r="O58" s="214"/>
      <c r="P58" s="214"/>
      <c r="Q58" s="214"/>
      <c r="R58" s="214"/>
      <c r="S58" s="214"/>
      <c r="T58" s="214"/>
      <c r="U58" s="214"/>
      <c r="V58" s="214"/>
      <c r="W58" s="214"/>
      <c r="X58" s="214"/>
      <c r="Y58" s="214"/>
      <c r="Z58" s="214"/>
      <c r="AA58" s="214"/>
      <c r="AB58" s="214"/>
      <c r="AC58" s="214"/>
      <c r="AD58" s="214"/>
      <c r="AE58" s="214"/>
      <c r="AF58" s="214"/>
      <c r="AG58" s="214"/>
      <c r="AH58" s="214"/>
      <c r="AI58" s="214"/>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row>
    <row r="59" spans="1:66" ht="12.6"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row>
    <row r="60" spans="1:66" ht="12" customHeight="1" thickBot="1" x14ac:dyDescent="0.35">
      <c r="A60" s="98"/>
      <c r="B60" s="98"/>
      <c r="C60" s="98"/>
      <c r="D60" s="98"/>
      <c r="E60" s="98"/>
      <c r="F60" s="98"/>
      <c r="G60" s="98"/>
      <c r="H60" s="98"/>
      <c r="I60" s="98"/>
      <c r="J60" s="98"/>
      <c r="K60" s="98"/>
      <c r="L60" s="98"/>
      <c r="M60" s="98"/>
      <c r="N60" s="98"/>
      <c r="O60" s="98"/>
      <c r="P60" s="98"/>
      <c r="Q60" s="98"/>
      <c r="R60" s="98"/>
      <c r="S60" s="98"/>
      <c r="T60" s="265"/>
      <c r="U60" s="265"/>
      <c r="V60" s="265"/>
      <c r="W60" s="265"/>
      <c r="X60" s="55"/>
      <c r="Y60" s="55"/>
      <c r="Z60" s="55"/>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row>
    <row r="61" spans="1:66" ht="12" customHeight="1" thickBot="1" x14ac:dyDescent="0.35">
      <c r="A61" s="98"/>
      <c r="B61" s="266" t="s">
        <v>200</v>
      </c>
      <c r="C61" s="267"/>
      <c r="D61" s="267"/>
      <c r="E61" s="267"/>
      <c r="F61" s="267"/>
      <c r="G61" s="267"/>
      <c r="H61" s="267"/>
      <c r="I61" s="267"/>
      <c r="J61" s="267"/>
      <c r="K61" s="267"/>
      <c r="L61" s="267"/>
      <c r="M61" s="267"/>
      <c r="N61" s="267"/>
      <c r="O61" s="267"/>
      <c r="P61" s="267"/>
      <c r="Q61" s="267"/>
      <c r="R61" s="267"/>
      <c r="S61" s="267"/>
      <c r="T61" s="268"/>
      <c r="U61" s="268"/>
      <c r="V61" s="269"/>
      <c r="W61" s="265"/>
      <c r="X61" s="55"/>
      <c r="Y61" s="55"/>
      <c r="Z61" s="55"/>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row>
    <row r="62" spans="1:66" ht="21.6" customHeight="1" x14ac:dyDescent="0.3">
      <c r="A62" s="98"/>
      <c r="B62" s="270"/>
      <c r="C62" s="98"/>
      <c r="D62" s="98"/>
      <c r="E62" s="98"/>
      <c r="F62" s="98"/>
      <c r="G62" s="98"/>
      <c r="H62" s="98"/>
      <c r="I62" s="98"/>
      <c r="J62" s="98"/>
      <c r="K62" s="98"/>
      <c r="L62" s="98"/>
      <c r="M62" s="98"/>
      <c r="N62" s="98"/>
      <c r="O62" s="98"/>
      <c r="P62" s="98"/>
      <c r="Q62" s="98"/>
      <c r="R62" s="98"/>
      <c r="S62" s="98"/>
      <c r="T62" s="98"/>
      <c r="U62" s="98"/>
      <c r="V62" s="98"/>
      <c r="W62" s="98"/>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row>
    <row r="63" spans="1:66" ht="21" customHeight="1" x14ac:dyDescent="0.3">
      <c r="A63" s="98"/>
      <c r="B63" s="98"/>
      <c r="C63" s="98"/>
      <c r="D63" s="98"/>
      <c r="E63" s="98"/>
      <c r="F63" s="98"/>
      <c r="G63" s="98"/>
      <c r="H63" s="98"/>
      <c r="I63" s="98"/>
      <c r="J63" s="98"/>
      <c r="K63" s="98"/>
      <c r="L63" s="98"/>
      <c r="M63" s="98"/>
      <c r="N63" s="98"/>
      <c r="O63" s="98"/>
      <c r="P63" s="98"/>
      <c r="Q63" s="98"/>
      <c r="R63" s="98"/>
      <c r="S63" s="98"/>
      <c r="T63" s="98"/>
      <c r="U63" s="98"/>
      <c r="V63" s="98"/>
      <c r="W63" s="98"/>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row>
    <row r="64" spans="1:66" ht="42.6" customHeight="1" x14ac:dyDescent="0.3">
      <c r="A64" s="98"/>
      <c r="B64" s="356" t="s">
        <v>201</v>
      </c>
      <c r="C64" s="271" t="s">
        <v>202</v>
      </c>
      <c r="D64" s="272" t="s">
        <v>172</v>
      </c>
      <c r="E64" s="272" t="s">
        <v>173</v>
      </c>
      <c r="F64" s="273" t="s">
        <v>174</v>
      </c>
      <c r="G64" s="272" t="s">
        <v>175</v>
      </c>
      <c r="H64" s="274"/>
      <c r="I64" s="274"/>
      <c r="J64" s="274"/>
      <c r="K64" s="274"/>
      <c r="L64" s="274"/>
      <c r="M64" s="274"/>
      <c r="N64" s="274"/>
      <c r="O64" s="274"/>
      <c r="P64" s="274"/>
      <c r="Q64" s="274"/>
      <c r="R64" s="274"/>
      <c r="S64" s="274"/>
      <c r="T64" s="274"/>
      <c r="U64" s="274"/>
      <c r="V64" s="274"/>
      <c r="W64" s="98"/>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row>
    <row r="65" spans="1:66" ht="15.6" customHeight="1" x14ac:dyDescent="0.3">
      <c r="A65" s="98"/>
      <c r="B65" s="275">
        <v>2019</v>
      </c>
      <c r="C65" s="357">
        <f>C22/P22*100</f>
        <v>19.57967121956872</v>
      </c>
      <c r="D65" s="276"/>
      <c r="E65" s="276"/>
      <c r="F65" s="276"/>
      <c r="G65" s="276"/>
      <c r="H65" s="492"/>
      <c r="I65" s="492"/>
      <c r="J65" s="492"/>
      <c r="K65" s="492"/>
      <c r="L65" s="492"/>
      <c r="M65" s="492"/>
      <c r="N65" s="492"/>
      <c r="O65" s="492"/>
      <c r="P65" s="492"/>
      <c r="Q65" s="492"/>
      <c r="R65" s="492"/>
      <c r="S65" s="492"/>
      <c r="T65" s="492"/>
      <c r="U65" s="492"/>
      <c r="V65" s="492"/>
      <c r="W65" s="278"/>
      <c r="X65" s="44"/>
      <c r="Y65" s="44"/>
      <c r="Z65" s="44"/>
      <c r="AA65" s="46"/>
      <c r="AB65" s="46"/>
      <c r="AC65" s="46"/>
      <c r="AD65" s="46"/>
      <c r="AE65" s="46"/>
      <c r="AF65" s="46"/>
      <c r="AG65" s="44"/>
      <c r="AH65" s="44"/>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row>
    <row r="66" spans="1:66" s="51" customFormat="1" ht="15.6" customHeight="1" x14ac:dyDescent="0.3">
      <c r="A66" s="279"/>
      <c r="B66" s="280">
        <v>2020</v>
      </c>
      <c r="C66" s="357">
        <f>D22/Q22*100</f>
        <v>20.166056433141058</v>
      </c>
      <c r="D66" s="276"/>
      <c r="E66" s="276"/>
      <c r="F66" s="276"/>
      <c r="G66" s="276"/>
      <c r="H66" s="493"/>
      <c r="I66" s="493"/>
      <c r="J66" s="493"/>
      <c r="K66" s="493"/>
      <c r="L66" s="493"/>
      <c r="M66" s="493"/>
      <c r="N66" s="493"/>
      <c r="O66" s="493"/>
      <c r="P66" s="493"/>
      <c r="Q66" s="493"/>
      <c r="R66" s="493"/>
      <c r="S66" s="493"/>
      <c r="T66" s="493"/>
      <c r="U66" s="493"/>
      <c r="V66" s="493"/>
      <c r="W66" s="282"/>
      <c r="X66" s="48"/>
      <c r="Y66" s="48"/>
      <c r="Z66" s="48"/>
      <c r="AA66" s="48"/>
      <c r="AB66" s="48"/>
      <c r="AC66" s="48"/>
      <c r="AD66" s="48"/>
      <c r="AE66" s="48"/>
      <c r="AF66" s="48"/>
      <c r="AG66" s="48"/>
      <c r="AH66" s="48"/>
      <c r="AI66" s="47"/>
      <c r="AJ66" s="47"/>
      <c r="AK66" s="47"/>
      <c r="AL66" s="47"/>
      <c r="AM66" s="47"/>
      <c r="AN66" s="47"/>
      <c r="AO66" s="47"/>
      <c r="AP66" s="47"/>
      <c r="AQ66" s="47"/>
      <c r="AR66" s="47"/>
      <c r="AS66" s="47"/>
      <c r="AT66" s="47"/>
      <c r="AU66" s="47"/>
      <c r="AV66" s="47"/>
      <c r="AW66" s="47"/>
      <c r="AX66" s="47"/>
      <c r="AY66" s="47"/>
      <c r="AZ66" s="47"/>
      <c r="BA66" s="47"/>
      <c r="BB66" s="47"/>
      <c r="BC66" s="47"/>
      <c r="BD66" s="47"/>
      <c r="BE66" s="47"/>
      <c r="BF66" s="47"/>
      <c r="BG66" s="47"/>
      <c r="BH66" s="47"/>
      <c r="BI66" s="47"/>
      <c r="BJ66" s="47"/>
      <c r="BK66" s="47"/>
      <c r="BL66" s="47"/>
      <c r="BM66" s="47"/>
      <c r="BN66" s="47"/>
    </row>
    <row r="67" spans="1:66" ht="15.6" customHeight="1" x14ac:dyDescent="0.3">
      <c r="A67" s="98"/>
      <c r="B67" s="275">
        <v>2021</v>
      </c>
      <c r="C67" s="357">
        <f>E22/R22*100</f>
        <v>20.78071015211594</v>
      </c>
      <c r="D67" s="276"/>
      <c r="E67" s="276"/>
      <c r="F67" s="276"/>
      <c r="G67" s="276"/>
      <c r="H67" s="493"/>
      <c r="I67" s="493"/>
      <c r="J67" s="493"/>
      <c r="K67" s="493"/>
      <c r="L67" s="493"/>
      <c r="M67" s="493"/>
      <c r="N67" s="493"/>
      <c r="O67" s="493"/>
      <c r="P67" s="493"/>
      <c r="Q67" s="493"/>
      <c r="R67" s="493"/>
      <c r="S67" s="493"/>
      <c r="T67" s="493"/>
      <c r="U67" s="493"/>
      <c r="V67" s="493"/>
      <c r="W67" s="283"/>
      <c r="X67" s="52"/>
      <c r="Y67" s="52"/>
      <c r="Z67" s="52"/>
      <c r="AA67" s="43"/>
      <c r="AB67" s="43"/>
      <c r="AC67" s="43"/>
      <c r="AD67" s="43"/>
      <c r="AE67" s="43"/>
      <c r="AF67" s="43"/>
      <c r="AG67" s="43"/>
      <c r="AH67" s="43"/>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row>
    <row r="68" spans="1:66" ht="15.6" customHeight="1" x14ac:dyDescent="0.3">
      <c r="A68" s="98"/>
      <c r="B68" s="280">
        <v>2022</v>
      </c>
      <c r="C68" s="357">
        <f>F22/S22*100</f>
        <v>20.75875872399461</v>
      </c>
      <c r="D68" s="276"/>
      <c r="E68" s="276"/>
      <c r="F68" s="276"/>
      <c r="G68" s="276"/>
      <c r="H68" s="494"/>
      <c r="I68" s="494"/>
      <c r="J68" s="494"/>
      <c r="K68" s="494"/>
      <c r="L68" s="494"/>
      <c r="M68" s="494"/>
      <c r="N68" s="494"/>
      <c r="O68" s="494"/>
      <c r="P68" s="494"/>
      <c r="Q68" s="494"/>
      <c r="R68" s="494"/>
      <c r="S68" s="494"/>
      <c r="T68" s="494"/>
      <c r="U68" s="494"/>
      <c r="V68" s="494"/>
      <c r="W68" s="98"/>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row>
    <row r="69" spans="1:66" ht="15.6" customHeight="1" x14ac:dyDescent="0.3">
      <c r="A69" s="98"/>
      <c r="B69" s="275">
        <v>2023</v>
      </c>
      <c r="C69" s="357">
        <f>G22/$T22*100</f>
        <v>20.218944729105125</v>
      </c>
      <c r="D69" s="357">
        <f>H22/$T22*100</f>
        <v>21.966134943191712</v>
      </c>
      <c r="E69" s="357">
        <f>I22/$T22*100</f>
        <v>19.845670800361788</v>
      </c>
      <c r="F69" s="357">
        <f>J22/$T22*100</f>
        <v>20.357812122914336</v>
      </c>
      <c r="G69" s="357">
        <f>K22/$T22*100</f>
        <v>19.719579029341308</v>
      </c>
      <c r="H69" s="492"/>
      <c r="I69" s="492"/>
      <c r="J69" s="492"/>
      <c r="K69" s="492"/>
      <c r="L69" s="492"/>
      <c r="M69" s="492"/>
      <c r="N69" s="492"/>
      <c r="O69" s="492"/>
      <c r="P69" s="492"/>
      <c r="Q69" s="492"/>
      <c r="R69" s="492"/>
      <c r="S69" s="492"/>
      <c r="T69" s="492"/>
      <c r="U69" s="492"/>
      <c r="V69" s="492"/>
      <c r="W69" s="98"/>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row>
    <row r="70" spans="1:66" ht="15.6" customHeight="1" x14ac:dyDescent="0.3">
      <c r="A70" s="98"/>
      <c r="B70" s="280">
        <v>2024</v>
      </c>
      <c r="C70" s="276"/>
      <c r="D70" s="358"/>
      <c r="E70" s="357"/>
      <c r="F70" s="357"/>
      <c r="G70" s="357"/>
      <c r="H70" s="494"/>
      <c r="I70" s="494"/>
      <c r="J70" s="494"/>
      <c r="K70" s="494"/>
      <c r="L70" s="494"/>
      <c r="M70" s="494"/>
      <c r="N70" s="494"/>
      <c r="O70" s="494"/>
      <c r="P70" s="494"/>
      <c r="Q70" s="494"/>
      <c r="R70" s="494"/>
      <c r="S70" s="494"/>
      <c r="T70" s="494"/>
      <c r="U70" s="494"/>
      <c r="V70" s="494"/>
      <c r="W70" s="98"/>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row>
    <row r="71" spans="1:66" ht="15.6" customHeight="1" x14ac:dyDescent="0.3">
      <c r="A71" s="98"/>
      <c r="B71" s="275">
        <v>2025</v>
      </c>
      <c r="C71" s="276"/>
      <c r="D71" s="358"/>
      <c r="E71" s="357"/>
      <c r="F71" s="357"/>
      <c r="G71" s="357"/>
      <c r="H71" s="494"/>
      <c r="I71" s="494"/>
      <c r="J71" s="494"/>
      <c r="K71" s="494"/>
      <c r="L71" s="494"/>
      <c r="M71" s="494"/>
      <c r="N71" s="494"/>
      <c r="O71" s="494"/>
      <c r="P71" s="494"/>
      <c r="Q71" s="494"/>
      <c r="R71" s="494"/>
      <c r="S71" s="494"/>
      <c r="T71" s="494"/>
      <c r="U71" s="494"/>
      <c r="V71" s="494"/>
      <c r="W71" s="98"/>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row>
    <row r="72" spans="1:66" ht="15.6" customHeight="1" x14ac:dyDescent="0.3">
      <c r="A72" s="98"/>
      <c r="B72" s="280">
        <v>2026</v>
      </c>
      <c r="C72" s="276"/>
      <c r="D72" s="357"/>
      <c r="E72" s="357"/>
      <c r="F72" s="357"/>
      <c r="G72" s="357"/>
      <c r="H72" s="492"/>
      <c r="I72" s="492"/>
      <c r="J72" s="492"/>
      <c r="K72" s="492"/>
      <c r="L72" s="492"/>
      <c r="M72" s="492"/>
      <c r="N72" s="492"/>
      <c r="O72" s="492"/>
      <c r="P72" s="492"/>
      <c r="Q72" s="492"/>
      <c r="R72" s="492"/>
      <c r="S72" s="492"/>
      <c r="T72" s="492"/>
      <c r="U72" s="492"/>
      <c r="V72" s="492"/>
      <c r="W72" s="98"/>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row>
    <row r="73" spans="1:66" ht="12.6" customHeight="1" x14ac:dyDescent="0.3">
      <c r="A73" s="98"/>
      <c r="B73" s="98"/>
      <c r="C73" s="98"/>
      <c r="D73" s="98"/>
      <c r="E73" s="98"/>
      <c r="F73" s="98"/>
      <c r="G73" s="98"/>
      <c r="H73" s="98"/>
      <c r="I73" s="98"/>
      <c r="J73" s="98"/>
      <c r="K73" s="98"/>
      <c r="L73" s="98"/>
      <c r="M73" s="98"/>
      <c r="N73" s="98"/>
      <c r="O73" s="98"/>
      <c r="P73" s="98"/>
      <c r="Q73" s="98"/>
      <c r="R73" s="98"/>
      <c r="S73" s="98"/>
      <c r="T73" s="98"/>
      <c r="U73" s="98"/>
      <c r="V73" s="98"/>
      <c r="W73" s="98"/>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row>
    <row r="74" spans="1:66" ht="12.6" customHeight="1" x14ac:dyDescent="0.3">
      <c r="A74" s="98"/>
      <c r="B74" s="98"/>
      <c r="C74" s="285"/>
      <c r="D74" s="98"/>
      <c r="E74" s="98"/>
      <c r="F74" s="98"/>
      <c r="G74" s="98"/>
      <c r="H74" s="98"/>
      <c r="I74" s="98"/>
      <c r="J74" s="98"/>
      <c r="K74" s="98"/>
      <c r="L74" s="98"/>
      <c r="M74" s="98"/>
      <c r="N74" s="98"/>
      <c r="O74" s="98"/>
      <c r="P74" s="98"/>
      <c r="Q74" s="98"/>
      <c r="R74" s="98"/>
      <c r="S74" s="98"/>
      <c r="T74" s="98"/>
      <c r="U74" s="98"/>
      <c r="V74" s="98"/>
      <c r="W74" s="98"/>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row>
    <row r="75" spans="1:66" ht="12.6" customHeight="1" x14ac:dyDescent="0.3">
      <c r="A75" s="98"/>
      <c r="B75" s="98"/>
      <c r="C75" s="98"/>
      <c r="D75" s="98"/>
      <c r="E75" s="98"/>
      <c r="F75" s="98"/>
      <c r="G75" s="98"/>
      <c r="H75" s="98"/>
      <c r="I75" s="98"/>
      <c r="J75" s="98"/>
      <c r="K75" s="98"/>
      <c r="L75" s="98"/>
      <c r="M75" s="98"/>
      <c r="N75" s="98"/>
      <c r="O75" s="98"/>
      <c r="P75" s="98"/>
      <c r="Q75" s="98"/>
      <c r="R75" s="98"/>
      <c r="S75" s="98"/>
      <c r="T75" s="98"/>
      <c r="U75" s="98"/>
      <c r="V75" s="98"/>
      <c r="W75" s="98"/>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row>
    <row r="76" spans="1:66" ht="18" customHeight="1" x14ac:dyDescent="0.3">
      <c r="A76" s="98"/>
      <c r="B76" s="98"/>
      <c r="C76" s="98"/>
      <c r="D76" s="98"/>
      <c r="E76" s="98"/>
      <c r="F76" s="98"/>
      <c r="G76" s="98"/>
      <c r="H76" s="98"/>
      <c r="I76" s="98"/>
      <c r="J76" s="98"/>
      <c r="K76" s="98"/>
      <c r="L76" s="98"/>
      <c r="M76" s="98"/>
      <c r="N76" s="98"/>
      <c r="O76" s="98"/>
      <c r="P76" s="98"/>
      <c r="Q76" s="98"/>
      <c r="R76" s="98"/>
      <c r="S76" s="98"/>
      <c r="T76" s="98"/>
      <c r="U76" s="98"/>
      <c r="V76" s="98"/>
      <c r="W76" s="98"/>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row>
    <row r="77" spans="1:66" ht="42" customHeight="1" x14ac:dyDescent="0.3">
      <c r="A77" s="98"/>
      <c r="B77" s="356" t="s">
        <v>203</v>
      </c>
      <c r="C77" s="271" t="s">
        <v>202</v>
      </c>
      <c r="D77" s="272" t="s">
        <v>172</v>
      </c>
      <c r="E77" s="272" t="s">
        <v>173</v>
      </c>
      <c r="F77" s="273" t="s">
        <v>174</v>
      </c>
      <c r="G77" s="272" t="s">
        <v>175</v>
      </c>
      <c r="H77" s="98"/>
      <c r="I77" s="98"/>
      <c r="J77" s="98"/>
      <c r="K77" s="98"/>
      <c r="L77" s="98"/>
      <c r="M77" s="98"/>
      <c r="N77" s="98"/>
      <c r="O77" s="98"/>
      <c r="P77" s="98"/>
      <c r="Q77" s="98"/>
      <c r="R77" s="98"/>
      <c r="S77" s="98"/>
      <c r="T77" s="98"/>
      <c r="U77" s="98"/>
      <c r="V77" s="98"/>
      <c r="W77" s="98"/>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row>
    <row r="78" spans="1:66" ht="15.6" customHeight="1" x14ac:dyDescent="0.3">
      <c r="A78" s="98"/>
      <c r="B78" s="275">
        <v>2019</v>
      </c>
      <c r="C78" s="357">
        <f>C65</f>
        <v>19.57967121956872</v>
      </c>
      <c r="D78" s="276"/>
      <c r="E78" s="276"/>
      <c r="F78" s="276"/>
      <c r="G78" s="276"/>
      <c r="H78" s="98"/>
      <c r="I78" s="98"/>
      <c r="J78" s="98"/>
      <c r="K78" s="98"/>
      <c r="L78" s="98"/>
      <c r="M78" s="98"/>
      <c r="N78" s="98"/>
      <c r="O78" s="98"/>
      <c r="P78" s="98"/>
      <c r="Q78" s="98"/>
      <c r="R78" s="98"/>
      <c r="S78" s="98"/>
      <c r="T78" s="98"/>
      <c r="U78" s="98"/>
      <c r="V78" s="98"/>
      <c r="W78" s="98"/>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row>
    <row r="79" spans="1:66" s="1" customFormat="1" ht="15" customHeight="1" x14ac:dyDescent="0.3">
      <c r="A79" s="98"/>
      <c r="B79" s="280">
        <v>2020</v>
      </c>
      <c r="C79" s="357">
        <f>C66</f>
        <v>20.166056433141058</v>
      </c>
      <c r="D79" s="276"/>
      <c r="E79" s="276"/>
      <c r="F79" s="276"/>
      <c r="G79" s="276"/>
      <c r="H79" s="98"/>
      <c r="I79" s="98"/>
      <c r="J79" s="98"/>
      <c r="K79" s="98"/>
      <c r="L79" s="98"/>
      <c r="M79" s="98"/>
      <c r="N79" s="98"/>
      <c r="O79" s="98"/>
      <c r="P79" s="98"/>
      <c r="Q79" s="98"/>
      <c r="R79" s="98"/>
      <c r="S79" s="98"/>
      <c r="T79" s="98"/>
      <c r="U79" s="98"/>
      <c r="V79" s="98"/>
      <c r="W79" s="98"/>
    </row>
    <row r="80" spans="1:66" s="1" customFormat="1" ht="15" customHeight="1" x14ac:dyDescent="0.3">
      <c r="A80" s="98"/>
      <c r="B80" s="275">
        <v>2021</v>
      </c>
      <c r="C80" s="357">
        <f>C67</f>
        <v>20.78071015211594</v>
      </c>
      <c r="D80" s="276"/>
      <c r="E80" s="276"/>
      <c r="F80" s="276"/>
      <c r="G80" s="276"/>
      <c r="H80" s="98"/>
      <c r="I80" s="98"/>
      <c r="J80" s="98"/>
      <c r="K80" s="98"/>
      <c r="L80" s="98"/>
      <c r="M80" s="98"/>
      <c r="N80" s="98"/>
      <c r="O80" s="98"/>
      <c r="P80" s="98"/>
      <c r="Q80" s="98"/>
      <c r="R80" s="98"/>
      <c r="S80" s="98"/>
      <c r="T80" s="98"/>
      <c r="U80" s="98"/>
      <c r="V80" s="98"/>
      <c r="W80" s="98"/>
    </row>
    <row r="81" spans="1:23" s="1" customFormat="1" ht="15" customHeight="1" x14ac:dyDescent="0.3">
      <c r="A81" s="98"/>
      <c r="B81" s="280">
        <v>2022</v>
      </c>
      <c r="C81" s="357">
        <f>C68</f>
        <v>20.75875872399461</v>
      </c>
      <c r="D81" s="276"/>
      <c r="E81" s="276"/>
      <c r="F81" s="276"/>
      <c r="G81" s="276"/>
      <c r="H81" s="98"/>
      <c r="I81" s="98"/>
      <c r="J81" s="98"/>
      <c r="K81" s="98"/>
      <c r="L81" s="98"/>
      <c r="M81" s="98"/>
      <c r="N81" s="98"/>
      <c r="O81" s="98"/>
      <c r="P81" s="98"/>
      <c r="Q81" s="98"/>
      <c r="R81" s="98"/>
      <c r="S81" s="98"/>
      <c r="T81" s="98"/>
      <c r="U81" s="98"/>
      <c r="V81" s="98"/>
      <c r="W81" s="98"/>
    </row>
    <row r="82" spans="1:23" s="1" customFormat="1" ht="15" customHeight="1" x14ac:dyDescent="0.3">
      <c r="A82" s="98"/>
      <c r="B82" s="275">
        <v>2023</v>
      </c>
      <c r="C82" s="357">
        <f>C69</f>
        <v>20.218944729105125</v>
      </c>
      <c r="D82" s="357">
        <f>D69</f>
        <v>21.966134943191712</v>
      </c>
      <c r="E82" s="357">
        <f>E69</f>
        <v>19.845670800361788</v>
      </c>
      <c r="F82" s="357">
        <f>F69</f>
        <v>20.357812122914336</v>
      </c>
      <c r="G82" s="357">
        <f>G69</f>
        <v>19.719579029341308</v>
      </c>
      <c r="H82" s="98"/>
      <c r="I82" s="98"/>
      <c r="J82" s="98"/>
      <c r="K82" s="98"/>
      <c r="L82" s="98"/>
      <c r="M82" s="98"/>
      <c r="N82" s="98"/>
      <c r="O82" s="98"/>
      <c r="P82" s="98"/>
      <c r="Q82" s="98"/>
      <c r="R82" s="98"/>
      <c r="S82" s="98"/>
      <c r="T82" s="98"/>
      <c r="U82" s="98"/>
      <c r="V82" s="98"/>
      <c r="W82" s="98"/>
    </row>
    <row r="83" spans="1:23" s="1" customFormat="1" ht="15" customHeight="1" x14ac:dyDescent="0.3">
      <c r="A83" s="98"/>
      <c r="B83" s="280">
        <v>2024</v>
      </c>
      <c r="C83" s="357"/>
      <c r="D83" s="358"/>
      <c r="E83" s="358"/>
      <c r="F83" s="358"/>
      <c r="G83" s="358"/>
      <c r="H83" s="98"/>
      <c r="I83" s="98"/>
      <c r="J83" s="98"/>
      <c r="K83" s="98"/>
      <c r="L83" s="98"/>
      <c r="M83" s="98"/>
      <c r="N83" s="98"/>
      <c r="O83" s="98"/>
      <c r="P83" s="98"/>
      <c r="Q83" s="98"/>
      <c r="R83" s="98"/>
      <c r="S83" s="98"/>
      <c r="T83" s="98"/>
      <c r="U83" s="98"/>
      <c r="V83" s="98"/>
      <c r="W83" s="98"/>
    </row>
    <row r="84" spans="1:23" s="1" customFormat="1" ht="15" customHeight="1" x14ac:dyDescent="0.3">
      <c r="A84" s="98"/>
      <c r="B84" s="275">
        <v>2025</v>
      </c>
      <c r="C84" s="357"/>
      <c r="D84" s="358"/>
      <c r="E84" s="358"/>
      <c r="F84" s="358"/>
      <c r="G84" s="358"/>
      <c r="H84" s="98"/>
      <c r="I84" s="98"/>
      <c r="J84" s="98"/>
      <c r="K84" s="98"/>
      <c r="L84" s="98"/>
      <c r="M84" s="98"/>
      <c r="N84" s="98"/>
      <c r="O84" s="98"/>
      <c r="P84" s="98"/>
      <c r="Q84" s="98"/>
      <c r="R84" s="98"/>
      <c r="S84" s="98"/>
      <c r="T84" s="98"/>
      <c r="U84" s="98"/>
      <c r="V84" s="98"/>
      <c r="W84" s="98"/>
    </row>
    <row r="85" spans="1:23" s="1" customFormat="1" ht="15" customHeight="1" x14ac:dyDescent="0.3">
      <c r="A85" s="98"/>
      <c r="B85" s="280">
        <v>2026</v>
      </c>
      <c r="C85" s="357"/>
      <c r="D85" s="357"/>
      <c r="E85" s="357"/>
      <c r="F85" s="357"/>
      <c r="G85" s="357"/>
      <c r="H85" s="98"/>
      <c r="I85" s="98"/>
      <c r="J85" s="98"/>
      <c r="K85" s="98"/>
      <c r="L85" s="98"/>
      <c r="M85" s="98"/>
      <c r="N85" s="98"/>
      <c r="O85" s="98"/>
      <c r="P85" s="98"/>
      <c r="Q85" s="98"/>
      <c r="R85" s="98"/>
      <c r="S85" s="98"/>
      <c r="T85" s="98"/>
      <c r="U85" s="98"/>
      <c r="V85" s="98"/>
      <c r="W85" s="98"/>
    </row>
    <row r="86" spans="1:23" s="1" customFormat="1" ht="12.6" customHeight="1" x14ac:dyDescent="0.3">
      <c r="A86" s="98"/>
      <c r="B86" s="98"/>
      <c r="C86" s="98"/>
      <c r="D86" s="285"/>
      <c r="E86" s="98"/>
      <c r="F86" s="98"/>
      <c r="G86" s="98"/>
      <c r="H86" s="98"/>
      <c r="I86" s="98"/>
      <c r="J86" s="98"/>
      <c r="K86" s="98"/>
      <c r="L86" s="98"/>
      <c r="M86" s="98"/>
      <c r="N86" s="98"/>
      <c r="O86" s="98"/>
      <c r="P86" s="98"/>
      <c r="Q86" s="98"/>
      <c r="R86" s="98"/>
      <c r="S86" s="98"/>
      <c r="T86" s="98"/>
      <c r="U86" s="98"/>
      <c r="V86" s="98"/>
      <c r="W86" s="98"/>
    </row>
    <row r="87" spans="1:23" s="1" customFormat="1" ht="12.6" customHeight="1" x14ac:dyDescent="0.3">
      <c r="A87" s="98"/>
      <c r="B87" s="98"/>
      <c r="C87" s="98"/>
      <c r="D87" s="98"/>
      <c r="E87" s="98"/>
      <c r="F87" s="98"/>
      <c r="G87" s="98"/>
      <c r="H87" s="98"/>
      <c r="I87" s="98"/>
      <c r="J87" s="98"/>
      <c r="K87" s="98"/>
      <c r="L87" s="98"/>
      <c r="M87" s="98"/>
      <c r="N87" s="98"/>
      <c r="O87" s="98"/>
      <c r="P87" s="98"/>
      <c r="Q87" s="98"/>
      <c r="R87" s="98"/>
      <c r="S87" s="98"/>
      <c r="T87" s="98"/>
      <c r="U87" s="98"/>
      <c r="V87" s="98"/>
      <c r="W87" s="98"/>
    </row>
    <row r="88" spans="1:23" s="1" customFormat="1" ht="12.6" customHeight="1" x14ac:dyDescent="0.3">
      <c r="A88" s="98"/>
      <c r="B88" s="98"/>
      <c r="C88" s="98"/>
      <c r="D88" s="98"/>
      <c r="E88" s="98"/>
      <c r="F88" s="98"/>
      <c r="G88" s="98"/>
      <c r="H88" s="98"/>
      <c r="I88" s="98"/>
      <c r="J88" s="98"/>
      <c r="K88" s="98"/>
      <c r="L88" s="98"/>
      <c r="M88" s="98"/>
      <c r="N88" s="98"/>
      <c r="O88" s="98"/>
      <c r="P88" s="98"/>
      <c r="Q88" s="98"/>
      <c r="R88" s="98"/>
      <c r="S88" s="98"/>
      <c r="T88" s="98"/>
      <c r="U88" s="98"/>
      <c r="V88" s="98"/>
      <c r="W88" s="98"/>
    </row>
    <row r="89" spans="1:23" s="1" customFormat="1" ht="12.6" customHeight="1" x14ac:dyDescent="0.3"/>
    <row r="90" spans="1:23" s="1" customFormat="1" ht="12.6" customHeight="1" x14ac:dyDescent="0.3"/>
    <row r="91" spans="1:23" s="1" customFormat="1" x14ac:dyDescent="0.3"/>
    <row r="92" spans="1:23" s="1" customFormat="1" x14ac:dyDescent="0.3"/>
    <row r="93" spans="1:23" s="1" customFormat="1" x14ac:dyDescent="0.3"/>
    <row r="94" spans="1:23" s="1" customFormat="1" x14ac:dyDescent="0.3"/>
    <row r="95" spans="1:23" s="1" customFormat="1" x14ac:dyDescent="0.3"/>
    <row r="96" spans="1:23" s="1" customFormat="1" x14ac:dyDescent="0.3"/>
    <row r="97" s="1" customFormat="1" x14ac:dyDescent="0.3"/>
    <row r="98" s="1" customFormat="1" x14ac:dyDescent="0.3"/>
    <row r="99" s="1" customFormat="1" x14ac:dyDescent="0.3"/>
    <row r="100" s="1" customFormat="1" x14ac:dyDescent="0.3"/>
    <row r="101" s="1" customFormat="1" x14ac:dyDescent="0.3"/>
    <row r="102" s="1" customFormat="1" x14ac:dyDescent="0.3"/>
    <row r="103" s="1" customFormat="1" x14ac:dyDescent="0.3"/>
    <row r="104" s="1" customFormat="1" x14ac:dyDescent="0.3"/>
    <row r="105" s="1" customFormat="1" x14ac:dyDescent="0.3"/>
    <row r="106" s="1" customFormat="1" x14ac:dyDescent="0.3"/>
    <row r="107" s="1" customFormat="1" x14ac:dyDescent="0.3"/>
    <row r="108" s="1" customFormat="1" x14ac:dyDescent="0.3"/>
    <row r="109" s="1" customFormat="1" x14ac:dyDescent="0.3"/>
    <row r="110" s="1" customFormat="1" x14ac:dyDescent="0.3"/>
    <row r="111" s="1" customFormat="1" x14ac:dyDescent="0.3"/>
    <row r="112" s="1" customFormat="1" x14ac:dyDescent="0.3"/>
    <row r="113" s="1" customFormat="1" x14ac:dyDescent="0.3"/>
    <row r="114" s="1" customFormat="1" x14ac:dyDescent="0.3"/>
    <row r="115" s="1" customFormat="1" x14ac:dyDescent="0.3"/>
    <row r="116" s="1" customFormat="1" x14ac:dyDescent="0.3"/>
    <row r="117" s="1" customFormat="1" x14ac:dyDescent="0.3"/>
    <row r="118" s="1" customFormat="1" x14ac:dyDescent="0.3"/>
    <row r="119" s="1" customFormat="1" x14ac:dyDescent="0.3"/>
    <row r="120" s="1" customFormat="1" x14ac:dyDescent="0.3"/>
    <row r="121" s="1" customFormat="1" x14ac:dyDescent="0.3"/>
  </sheetData>
  <pageMargins left="0.7" right="0.7" top="0.75" bottom="0.75" header="0.3" footer="0.3"/>
  <pageSetup paperSize="9" orientation="portrait" r:id="rId1"/>
  <headerFooter>
    <oddHeader>&amp;L&amp;"Times New Roman,Regular"&amp;12&amp;K000000Central Bank of Ireland - UNRESTRICTED&amp;R&amp;"Arial"&amp;10&amp;K000000 ECB-RESTRICTED&amp;1#_x000D_</oddHeader>
    <evenHeader>&amp;L&amp;"Times New Roman,Regular"&amp;12&amp;K000000Central Bank of Ireland - UNRESTRICTED</evenHeader>
    <firstHeader>&amp;L&amp;"Times New Roman,Regular"&amp;12&amp;K000000Central Bank of Ireland - UNRESTRICTED</firstHeader>
  </headerFooter>
  <drawing r:id="rId2"/>
  <legacyDrawing r:id="rId3"/>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C0107-9832-400B-8471-646BB8B19096}">
  <dimension ref="A1:FQ27"/>
  <sheetViews>
    <sheetView zoomScale="85" zoomScaleNormal="85" workbookViewId="0">
      <selection activeCell="AH35" sqref="AH35"/>
    </sheetView>
  </sheetViews>
  <sheetFormatPr baseColWidth="10" defaultColWidth="8.6640625" defaultRowHeight="14.4" x14ac:dyDescent="0.3"/>
  <cols>
    <col min="1" max="1" width="4.33203125" customWidth="1"/>
    <col min="3" max="3" width="15.6640625" customWidth="1"/>
    <col min="4" max="4" width="17" bestFit="1" customWidth="1"/>
    <col min="5" max="5" width="20.33203125" bestFit="1" customWidth="1"/>
    <col min="6" max="6" width="17.33203125" bestFit="1" customWidth="1"/>
    <col min="7" max="7" width="16.5546875" bestFit="1" customWidth="1"/>
    <col min="8" max="15" width="18" customWidth="1"/>
    <col min="16" max="17" width="18.6640625" customWidth="1"/>
    <col min="18" max="18" width="15.33203125" customWidth="1"/>
    <col min="19" max="22" width="18" customWidth="1"/>
    <col min="23" max="31" width="14.6640625" customWidth="1"/>
    <col min="32" max="32" width="15.33203125" customWidth="1"/>
    <col min="33" max="33" width="14.6640625" customWidth="1"/>
    <col min="34" max="41" width="13.5546875" customWidth="1"/>
    <col min="42" max="42" width="15.5546875" customWidth="1"/>
    <col min="43" max="43" width="13" customWidth="1"/>
    <col min="44" max="44" width="11.33203125" customWidth="1"/>
    <col min="45" max="45" width="12.33203125" customWidth="1"/>
    <col min="46" max="50" width="11.33203125" customWidth="1"/>
    <col min="51" max="51" width="13.44140625" customWidth="1"/>
    <col min="56" max="56" width="9.6640625" customWidth="1"/>
    <col min="60" max="60" width="16.44140625" customWidth="1"/>
    <col min="61" max="61" width="16.33203125" customWidth="1"/>
    <col min="62" max="63" width="15.33203125" customWidth="1"/>
    <col min="68" max="68" width="11.44140625" bestFit="1" customWidth="1"/>
    <col min="69" max="69" width="13.5546875" customWidth="1"/>
    <col min="70" max="70" width="13.6640625" customWidth="1"/>
    <col min="71" max="71" width="12.44140625" customWidth="1"/>
    <col min="72" max="77" width="12.6640625" customWidth="1"/>
    <col min="78" max="80" width="11.33203125" customWidth="1"/>
    <col min="81" max="85" width="11.6640625" hidden="1" customWidth="1"/>
    <col min="86" max="86" width="13.33203125" hidden="1" customWidth="1"/>
    <col min="87" max="88" width="11.6640625" hidden="1" customWidth="1"/>
    <col min="89" max="94" width="12.6640625" customWidth="1"/>
    <col min="95" max="96" width="11.33203125" customWidth="1"/>
    <col min="97" max="104" width="11.6640625" customWidth="1"/>
    <col min="105" max="108" width="13.44140625" customWidth="1"/>
    <col min="110" max="130" width="0.5546875" customWidth="1"/>
    <col min="131" max="132" width="15.5546875" customWidth="1"/>
    <col min="133" max="133" width="16" bestFit="1" customWidth="1"/>
    <col min="134" max="134" width="17" bestFit="1" customWidth="1"/>
    <col min="135" max="135" width="16.5546875" customWidth="1"/>
    <col min="136" max="138" width="18" customWidth="1"/>
    <col min="139" max="139" width="17" bestFit="1" customWidth="1"/>
    <col min="140" max="140" width="17.6640625" bestFit="1" customWidth="1"/>
    <col min="141" max="142" width="17" bestFit="1" customWidth="1"/>
    <col min="143" max="143" width="11" customWidth="1"/>
    <col min="144" max="144" width="18.33203125" customWidth="1"/>
    <col min="145" max="145" width="17" customWidth="1"/>
    <col min="146" max="146" width="9.33203125" customWidth="1"/>
    <col min="147" max="150" width="17" customWidth="1"/>
    <col min="153" max="153" width="10.6640625" customWidth="1"/>
    <col min="156" max="157" width="11.33203125" customWidth="1"/>
    <col min="158" max="161" width="9.6640625" customWidth="1"/>
    <col min="162" max="165" width="11.5546875" customWidth="1"/>
  </cols>
  <sheetData>
    <row r="1" spans="1:173" ht="15" thickBot="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ht="18" customHeight="1" thickBot="1" x14ac:dyDescent="0.35">
      <c r="A2" s="1"/>
      <c r="B2" s="2" t="s">
        <v>579</v>
      </c>
      <c r="C2" s="3"/>
      <c r="D2" s="3"/>
      <c r="E2" s="3"/>
      <c r="F2" s="3"/>
      <c r="G2" s="3"/>
      <c r="H2" s="4"/>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18" customHeight="1" x14ac:dyDescent="0.3">
      <c r="A3" s="1"/>
      <c r="B3" s="5" t="s">
        <v>0</v>
      </c>
      <c r="C3" s="6"/>
      <c r="D3" s="6"/>
      <c r="E3" s="6"/>
      <c r="F3" s="6"/>
      <c r="G3" s="6"/>
      <c r="H3" s="7"/>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18" customHeight="1" x14ac:dyDescent="0.3">
      <c r="A4" s="1"/>
      <c r="B4" s="8" t="s">
        <v>1</v>
      </c>
      <c r="C4" s="9"/>
      <c r="D4" s="9"/>
      <c r="E4" s="9"/>
      <c r="F4" s="9"/>
      <c r="G4" s="9"/>
      <c r="H4" s="10"/>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12.6" customHeight="1" x14ac:dyDescent="0.3">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row>
    <row r="6" spans="1:173" ht="12.6" customHeight="1" x14ac:dyDescent="0.3">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row>
    <row r="7" spans="1:173" ht="12.6" customHeight="1" x14ac:dyDescent="0.3">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c r="EU7" s="1"/>
      <c r="EV7" s="1"/>
      <c r="EW7" s="1"/>
      <c r="EX7" s="1"/>
      <c r="EY7" s="1"/>
      <c r="EZ7" s="1"/>
      <c r="FA7" s="1"/>
      <c r="FB7" s="1"/>
      <c r="FC7" s="1"/>
      <c r="FD7" s="1"/>
      <c r="FE7" s="1"/>
      <c r="FF7" s="1"/>
      <c r="FG7" s="1"/>
      <c r="FH7" s="1"/>
      <c r="FI7" s="1"/>
      <c r="FJ7" s="1"/>
      <c r="FK7" s="1"/>
      <c r="FL7" s="1"/>
      <c r="FM7" s="1"/>
      <c r="FN7" s="1"/>
      <c r="FO7" s="1"/>
      <c r="FP7" s="1"/>
      <c r="FQ7" s="1"/>
    </row>
    <row r="8" spans="1:173" ht="17.7" customHeight="1" x14ac:dyDescent="0.3">
      <c r="A8" s="1"/>
      <c r="B8" s="11" t="s">
        <v>2</v>
      </c>
      <c r="C8" s="12" t="s">
        <v>234</v>
      </c>
      <c r="D8" s="12" t="s">
        <v>235</v>
      </c>
      <c r="E8" s="124" t="s">
        <v>236</v>
      </c>
      <c r="F8" s="125"/>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56"/>
      <c r="CD8" s="56"/>
      <c r="CE8" s="56"/>
      <c r="CF8" s="56"/>
      <c r="CG8" s="56"/>
      <c r="CH8" s="56"/>
      <c r="CI8" s="56"/>
      <c r="CJ8" s="56"/>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row>
    <row r="9" spans="1:173" ht="10.35" customHeight="1" x14ac:dyDescent="0.3">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56"/>
      <c r="CD9" s="56"/>
      <c r="CE9" s="56"/>
      <c r="CF9" s="56"/>
      <c r="CG9" s="56"/>
      <c r="CH9" s="56"/>
      <c r="CI9" s="56"/>
      <c r="CJ9" s="56"/>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row>
    <row r="10" spans="1:173" x14ac:dyDescent="0.3">
      <c r="A10" s="1"/>
      <c r="B10" s="1"/>
      <c r="C10" s="13" t="s">
        <v>6</v>
      </c>
      <c r="D10" s="14"/>
      <c r="E10" s="14"/>
      <c r="F10" s="14"/>
      <c r="G10" s="14"/>
      <c r="H10" s="14"/>
      <c r="I10" s="14"/>
      <c r="J10" s="14"/>
      <c r="K10" s="14"/>
      <c r="L10" s="14"/>
      <c r="M10" s="14"/>
      <c r="N10" s="14"/>
      <c r="O10" s="14"/>
      <c r="P10" s="15" t="s">
        <v>580</v>
      </c>
      <c r="Q10" s="16"/>
      <c r="R10" s="16"/>
      <c r="S10" s="16"/>
      <c r="T10" s="16"/>
      <c r="U10" s="16"/>
      <c r="V10" s="16"/>
      <c r="W10" s="13" t="s">
        <v>628</v>
      </c>
      <c r="X10" s="17"/>
      <c r="Y10" s="17"/>
      <c r="Z10" s="17"/>
      <c r="AA10" s="17"/>
      <c r="AB10" s="17"/>
      <c r="AC10" s="17"/>
      <c r="AD10" s="13" t="s">
        <v>629</v>
      </c>
      <c r="AE10" s="17"/>
      <c r="AF10" s="17"/>
      <c r="AG10" s="18"/>
      <c r="AH10" s="19" t="s">
        <v>630</v>
      </c>
      <c r="AI10" s="20"/>
      <c r="AJ10" s="16"/>
      <c r="AK10" s="16"/>
      <c r="AL10" s="16"/>
      <c r="AM10" s="16"/>
      <c r="AN10" s="16"/>
      <c r="AO10" s="16"/>
      <c r="AP10" s="21"/>
      <c r="AQ10" s="19" t="s">
        <v>9</v>
      </c>
      <c r="AR10" s="16"/>
      <c r="AS10" s="16"/>
      <c r="AT10" s="16"/>
      <c r="AU10" s="16"/>
      <c r="AV10" s="16"/>
      <c r="AW10" s="16"/>
      <c r="AX10" s="16"/>
      <c r="AY10" s="21"/>
      <c r="AZ10" s="22" t="s">
        <v>10</v>
      </c>
      <c r="BA10" s="23"/>
      <c r="BB10" s="23"/>
      <c r="BC10" s="23"/>
      <c r="BD10" s="23"/>
      <c r="BE10" s="23"/>
      <c r="BF10" s="23"/>
      <c r="BG10" s="23"/>
      <c r="BH10" s="23"/>
      <c r="BI10" s="23"/>
      <c r="BJ10" s="23"/>
      <c r="BK10" s="23"/>
      <c r="BL10" s="23"/>
      <c r="BM10" s="23"/>
      <c r="BN10" s="23"/>
      <c r="BO10" s="23"/>
      <c r="BP10" s="23"/>
      <c r="BQ10" s="23"/>
      <c r="BR10" s="24"/>
      <c r="BS10" s="11"/>
      <c r="BT10" s="19"/>
      <c r="BU10" s="16"/>
      <c r="BV10" s="16"/>
      <c r="BW10" s="16"/>
      <c r="BX10" s="16"/>
      <c r="BY10" s="16"/>
      <c r="BZ10" s="16"/>
      <c r="CA10" s="16"/>
      <c r="CB10" s="16"/>
      <c r="CC10" s="58" t="s">
        <v>12</v>
      </c>
      <c r="CD10" s="59"/>
      <c r="CE10" s="59"/>
      <c r="CF10" s="59"/>
      <c r="CG10" s="59"/>
      <c r="CH10" s="59"/>
      <c r="CI10" s="59"/>
      <c r="CJ10" s="59"/>
      <c r="CK10" s="19" t="s">
        <v>581</v>
      </c>
      <c r="CL10" s="16"/>
      <c r="CM10" s="16"/>
      <c r="CN10" s="16"/>
      <c r="CO10" s="16"/>
      <c r="CP10" s="16"/>
      <c r="CQ10" s="16"/>
      <c r="CR10" s="16"/>
      <c r="CS10" s="19" t="s">
        <v>582</v>
      </c>
      <c r="CT10" s="127"/>
      <c r="CU10" s="59"/>
      <c r="CV10" s="59"/>
      <c r="CW10" s="59"/>
      <c r="CX10" s="59"/>
      <c r="CY10" s="59"/>
      <c r="CZ10" s="59"/>
      <c r="DA10" s="15" t="s">
        <v>15</v>
      </c>
      <c r="DB10" s="60"/>
      <c r="DC10" s="60"/>
      <c r="DD10" s="8" t="s">
        <v>16</v>
      </c>
      <c r="DE10" s="10"/>
      <c r="DF10" s="1"/>
      <c r="DG10" s="1"/>
      <c r="DH10" s="1"/>
      <c r="DI10" s="1"/>
      <c r="DJ10" s="1"/>
      <c r="DK10" s="1"/>
      <c r="DL10" s="1"/>
      <c r="DM10" s="1"/>
      <c r="DN10" s="1"/>
      <c r="DO10" s="1"/>
      <c r="DP10" s="1"/>
      <c r="DQ10" s="1"/>
      <c r="DR10" s="1"/>
      <c r="DS10" s="1"/>
      <c r="DT10" s="1"/>
      <c r="DU10" s="1"/>
      <c r="DV10" s="1"/>
      <c r="DW10" s="1"/>
      <c r="DX10" s="1"/>
      <c r="DY10" s="1"/>
      <c r="DZ10" s="1"/>
      <c r="EA10" s="13" t="s">
        <v>17</v>
      </c>
      <c r="EB10" s="14"/>
      <c r="EC10" s="14"/>
      <c r="ED10" s="14"/>
      <c r="EE10" s="14"/>
      <c r="EF10" s="14"/>
      <c r="EG10" s="14"/>
      <c r="EH10" s="14"/>
      <c r="EI10" s="14"/>
      <c r="EJ10" s="14"/>
      <c r="EK10" s="14"/>
      <c r="EL10" s="14"/>
      <c r="EM10" s="14"/>
      <c r="EN10" s="15" t="s">
        <v>583</v>
      </c>
      <c r="EO10" s="16"/>
      <c r="EP10" s="16"/>
      <c r="EQ10" s="16"/>
      <c r="ER10" s="16"/>
      <c r="ES10" s="16"/>
      <c r="ET10" s="16"/>
      <c r="EU10" s="16"/>
      <c r="EV10" s="13" t="s">
        <v>631</v>
      </c>
      <c r="EW10" s="14"/>
      <c r="EX10" s="14"/>
      <c r="EY10" s="61"/>
      <c r="EZ10" s="62" t="s">
        <v>19</v>
      </c>
      <c r="FA10" s="10"/>
      <c r="FB10" s="14" t="s">
        <v>632</v>
      </c>
      <c r="FC10" s="17"/>
      <c r="FD10" s="17"/>
      <c r="FE10" s="17"/>
      <c r="FF10" s="17"/>
      <c r="FG10" s="17"/>
      <c r="FH10" s="17"/>
      <c r="FI10" s="18"/>
      <c r="FJ10" s="1"/>
      <c r="FK10" s="1"/>
      <c r="FL10" s="1"/>
      <c r="FM10" s="1"/>
      <c r="FN10" s="1"/>
      <c r="FO10" s="1"/>
      <c r="FP10" s="1"/>
      <c r="FQ10" s="1"/>
    </row>
    <row r="11" spans="1:173" ht="78.75" customHeight="1" x14ac:dyDescent="0.3">
      <c r="A11" s="1"/>
      <c r="B11" s="25" t="s">
        <v>20</v>
      </c>
      <c r="C11" s="26" t="s">
        <v>21</v>
      </c>
      <c r="D11" s="27" t="s">
        <v>22</v>
      </c>
      <c r="E11" s="27" t="s">
        <v>23</v>
      </c>
      <c r="F11" s="27" t="s">
        <v>24</v>
      </c>
      <c r="G11" s="27" t="s">
        <v>25</v>
      </c>
      <c r="H11" s="27" t="s">
        <v>26</v>
      </c>
      <c r="I11" s="27" t="s">
        <v>27</v>
      </c>
      <c r="J11" s="121"/>
      <c r="K11" s="27" t="s">
        <v>29</v>
      </c>
      <c r="L11" s="27" t="s">
        <v>30</v>
      </c>
      <c r="M11" s="27" t="s">
        <v>31</v>
      </c>
      <c r="N11" s="27" t="s">
        <v>32</v>
      </c>
      <c r="O11" s="27" t="s">
        <v>33</v>
      </c>
      <c r="P11" s="26" t="s">
        <v>21</v>
      </c>
      <c r="Q11" s="27" t="s">
        <v>22</v>
      </c>
      <c r="R11" s="27" t="s">
        <v>34</v>
      </c>
      <c r="S11" s="27" t="s">
        <v>29</v>
      </c>
      <c r="T11" s="27" t="s">
        <v>30</v>
      </c>
      <c r="U11" s="27" t="s">
        <v>31</v>
      </c>
      <c r="V11" s="27" t="s">
        <v>32</v>
      </c>
      <c r="W11" s="27" t="s">
        <v>22</v>
      </c>
      <c r="X11" s="27" t="s">
        <v>23</v>
      </c>
      <c r="Y11" s="27" t="s">
        <v>35</v>
      </c>
      <c r="Z11" s="27" t="s">
        <v>36</v>
      </c>
      <c r="AA11" s="27" t="s">
        <v>26</v>
      </c>
      <c r="AB11" s="27" t="s">
        <v>27</v>
      </c>
      <c r="AC11" s="27" t="s">
        <v>28</v>
      </c>
      <c r="AD11" s="27" t="s">
        <v>29</v>
      </c>
      <c r="AE11" s="27" t="s">
        <v>30</v>
      </c>
      <c r="AF11" s="27" t="s">
        <v>31</v>
      </c>
      <c r="AG11" s="27" t="s">
        <v>32</v>
      </c>
      <c r="AH11" s="27" t="s">
        <v>37</v>
      </c>
      <c r="AI11" s="27" t="s">
        <v>38</v>
      </c>
      <c r="AJ11" s="27" t="s">
        <v>39</v>
      </c>
      <c r="AK11" s="27" t="s">
        <v>40</v>
      </c>
      <c r="AL11" s="27" t="s">
        <v>41</v>
      </c>
      <c r="AM11" s="27" t="s">
        <v>42</v>
      </c>
      <c r="AN11" s="121" t="s">
        <v>43</v>
      </c>
      <c r="AO11" s="27" t="s">
        <v>44</v>
      </c>
      <c r="AP11" s="27" t="s">
        <v>45</v>
      </c>
      <c r="AQ11" s="27" t="s">
        <v>37</v>
      </c>
      <c r="AR11" s="27" t="s">
        <v>38</v>
      </c>
      <c r="AS11" s="27" t="s">
        <v>39</v>
      </c>
      <c r="AT11" s="27" t="s">
        <v>40</v>
      </c>
      <c r="AU11" s="27" t="s">
        <v>41</v>
      </c>
      <c r="AV11" s="27" t="s">
        <v>42</v>
      </c>
      <c r="AW11" s="121"/>
      <c r="AX11" s="27" t="s">
        <v>44</v>
      </c>
      <c r="AY11" s="27" t="s">
        <v>45</v>
      </c>
      <c r="AZ11" s="27" t="s">
        <v>633</v>
      </c>
      <c r="BA11" s="27" t="s">
        <v>634</v>
      </c>
      <c r="BB11" s="27" t="s">
        <v>635</v>
      </c>
      <c r="BC11" s="27" t="s">
        <v>636</v>
      </c>
      <c r="BD11" s="27" t="s">
        <v>46</v>
      </c>
      <c r="BE11" s="27" t="s">
        <v>47</v>
      </c>
      <c r="BF11" s="27" t="s">
        <v>48</v>
      </c>
      <c r="BG11" s="27" t="s">
        <v>49</v>
      </c>
      <c r="BH11" s="27" t="s">
        <v>50</v>
      </c>
      <c r="BI11" s="27" t="s">
        <v>51</v>
      </c>
      <c r="BJ11" s="27" t="s">
        <v>52</v>
      </c>
      <c r="BK11" s="27" t="s">
        <v>53</v>
      </c>
      <c r="BL11" s="27" t="s">
        <v>54</v>
      </c>
      <c r="BM11" s="27" t="s">
        <v>55</v>
      </c>
      <c r="BN11" s="27" t="s">
        <v>56</v>
      </c>
      <c r="BO11" s="27" t="s">
        <v>57</v>
      </c>
      <c r="BP11" s="27" t="s">
        <v>637</v>
      </c>
      <c r="BQ11" s="27" t="s">
        <v>638</v>
      </c>
      <c r="BR11" s="27" t="s">
        <v>273</v>
      </c>
      <c r="BS11" s="27" t="s">
        <v>584</v>
      </c>
      <c r="BT11" s="27"/>
      <c r="BU11" s="27"/>
      <c r="BV11" s="27"/>
      <c r="BW11" s="27"/>
      <c r="BX11" s="27"/>
      <c r="BY11" s="27"/>
      <c r="BZ11" s="27"/>
      <c r="CA11" s="27"/>
      <c r="CB11" s="27"/>
      <c r="CC11" s="63" t="s">
        <v>68</v>
      </c>
      <c r="CD11" s="63" t="s">
        <v>69</v>
      </c>
      <c r="CE11" s="63" t="s">
        <v>70</v>
      </c>
      <c r="CF11" s="63" t="s">
        <v>71</v>
      </c>
      <c r="CG11" s="63" t="s">
        <v>72</v>
      </c>
      <c r="CH11" s="63" t="s">
        <v>73</v>
      </c>
      <c r="CI11" s="63" t="s">
        <v>74</v>
      </c>
      <c r="CJ11" s="63" t="s">
        <v>75</v>
      </c>
      <c r="CK11" s="27" t="s">
        <v>585</v>
      </c>
      <c r="CL11" s="27" t="s">
        <v>586</v>
      </c>
      <c r="CM11" s="27" t="s">
        <v>587</v>
      </c>
      <c r="CN11" s="27" t="s">
        <v>588</v>
      </c>
      <c r="CO11" s="27" t="s">
        <v>80</v>
      </c>
      <c r="CP11" s="27" t="s">
        <v>81</v>
      </c>
      <c r="CQ11" s="27" t="s">
        <v>82</v>
      </c>
      <c r="CR11" s="27" t="s">
        <v>589</v>
      </c>
      <c r="CS11" s="128" t="s">
        <v>590</v>
      </c>
      <c r="CT11" s="128" t="s">
        <v>591</v>
      </c>
      <c r="CU11" s="128" t="s">
        <v>592</v>
      </c>
      <c r="CV11" s="128" t="s">
        <v>593</v>
      </c>
      <c r="CW11" s="128" t="s">
        <v>88</v>
      </c>
      <c r="CX11" s="128" t="s">
        <v>89</v>
      </c>
      <c r="CY11" s="128" t="s">
        <v>90</v>
      </c>
      <c r="CZ11" s="128" t="s">
        <v>91</v>
      </c>
      <c r="DA11" s="64" t="s">
        <v>92</v>
      </c>
      <c r="DB11" s="64" t="s">
        <v>93</v>
      </c>
      <c r="DC11" s="64" t="s">
        <v>94</v>
      </c>
      <c r="DD11" s="64" t="s">
        <v>95</v>
      </c>
      <c r="DE11" s="64" t="s">
        <v>96</v>
      </c>
      <c r="DF11" s="1"/>
      <c r="DG11" s="1"/>
      <c r="DH11" s="1"/>
      <c r="DI11" s="1"/>
      <c r="DJ11" s="1"/>
      <c r="DK11" s="1"/>
      <c r="DL11" s="1"/>
      <c r="DM11" s="1"/>
      <c r="DN11" s="1"/>
      <c r="DO11" s="1"/>
      <c r="DP11" s="1"/>
      <c r="DQ11" s="1"/>
      <c r="DR11" s="1"/>
      <c r="DS11" s="1"/>
      <c r="DT11" s="1"/>
      <c r="DU11" s="1"/>
      <c r="DV11" s="1"/>
      <c r="DW11" s="1"/>
      <c r="DX11" s="1"/>
      <c r="DY11" s="1"/>
      <c r="DZ11" s="1"/>
      <c r="EA11" s="26" t="s">
        <v>97</v>
      </c>
      <c r="EB11" s="27" t="s">
        <v>98</v>
      </c>
      <c r="EC11" s="27" t="s">
        <v>99</v>
      </c>
      <c r="ED11" s="27" t="s">
        <v>100</v>
      </c>
      <c r="EE11" s="27" t="s">
        <v>101</v>
      </c>
      <c r="EF11" s="27" t="s">
        <v>102</v>
      </c>
      <c r="EG11" s="27" t="s">
        <v>103</v>
      </c>
      <c r="EH11" s="121"/>
      <c r="EI11" s="27" t="s">
        <v>104</v>
      </c>
      <c r="EJ11" s="27" t="s">
        <v>105</v>
      </c>
      <c r="EK11" s="27" t="s">
        <v>106</v>
      </c>
      <c r="EL11" s="27" t="s">
        <v>107</v>
      </c>
      <c r="EM11" s="27" t="s">
        <v>33</v>
      </c>
      <c r="EN11" s="27" t="s">
        <v>97</v>
      </c>
      <c r="EO11" s="27" t="s">
        <v>98</v>
      </c>
      <c r="EP11" s="27" t="s">
        <v>108</v>
      </c>
      <c r="EQ11" s="27" t="s">
        <v>104</v>
      </c>
      <c r="ER11" s="27" t="s">
        <v>105</v>
      </c>
      <c r="ES11" s="27" t="s">
        <v>106</v>
      </c>
      <c r="ET11" s="27" t="s">
        <v>107</v>
      </c>
      <c r="EU11" s="27" t="s">
        <v>594</v>
      </c>
      <c r="EV11" s="64" t="s">
        <v>639</v>
      </c>
      <c r="EW11" s="27" t="s">
        <v>99</v>
      </c>
      <c r="EX11" s="64" t="s">
        <v>110</v>
      </c>
      <c r="EY11" s="64" t="s">
        <v>640</v>
      </c>
      <c r="EZ11" s="64" t="s">
        <v>111</v>
      </c>
      <c r="FA11" s="64" t="s">
        <v>112</v>
      </c>
      <c r="FB11" s="27" t="s">
        <v>641</v>
      </c>
      <c r="FC11" s="27" t="s">
        <v>642</v>
      </c>
      <c r="FD11" s="27" t="s">
        <v>643</v>
      </c>
      <c r="FE11" s="27" t="s">
        <v>644</v>
      </c>
      <c r="FF11" s="27" t="s">
        <v>645</v>
      </c>
      <c r="FG11" s="27" t="s">
        <v>646</v>
      </c>
      <c r="FH11" s="27" t="s">
        <v>647</v>
      </c>
      <c r="FI11" s="27" t="s">
        <v>648</v>
      </c>
      <c r="FJ11" s="1"/>
      <c r="FK11" s="1"/>
      <c r="FL11" s="1"/>
      <c r="FM11" s="1"/>
      <c r="FN11" s="1"/>
      <c r="FO11" s="1"/>
      <c r="FP11" s="1"/>
      <c r="FQ11" s="1"/>
    </row>
    <row r="12" spans="1:173" x14ac:dyDescent="0.3">
      <c r="A12" s="1"/>
      <c r="B12" s="28">
        <v>1</v>
      </c>
      <c r="C12" s="129">
        <f>'[65]2. Distributional by deciles o'!B64</f>
        <v>4263006.0348000014</v>
      </c>
      <c r="D12" s="129">
        <f>'[65]2. Distributional by deciles o'!C64</f>
        <v>4696935.9876000006</v>
      </c>
      <c r="E12" s="129">
        <f>'[65]2. Distributional by deciles o'!D64</f>
        <v>4319967.3792000003</v>
      </c>
      <c r="F12" s="129">
        <f>'[65]2. Distributional by deciles o'!E64</f>
        <v>4696935.9876000006</v>
      </c>
      <c r="G12" s="129">
        <f>'[65]2. Distributional by deciles o'!F64</f>
        <v>4551752.2944000009</v>
      </c>
      <c r="H12" s="129">
        <f>'[65]2. Distributional by deciles o'!G64</f>
        <v>4417460.5824000007</v>
      </c>
      <c r="I12" s="129">
        <f>'[65]2. Distributional by deciles o'!H64</f>
        <v>4319967.3792000003</v>
      </c>
      <c r="J12" s="122"/>
      <c r="K12" s="130" t="s">
        <v>113</v>
      </c>
      <c r="L12" s="130" t="s">
        <v>113</v>
      </c>
      <c r="M12" s="130" t="s">
        <v>113</v>
      </c>
      <c r="N12" s="130" t="s">
        <v>113</v>
      </c>
      <c r="O12" s="131">
        <f t="shared" ref="O12:O21" si="0">C12/C$22*100</f>
        <v>2.4124307784314722E-3</v>
      </c>
      <c r="P12" s="129">
        <f>'[65]2. Distributional by deciles o'!B82</f>
        <v>4947069771.3803997</v>
      </c>
      <c r="Q12" s="129">
        <f>'[65]2. Distributional by deciles o'!C82</f>
        <v>4996550222.2260094</v>
      </c>
      <c r="R12" s="131">
        <f t="shared" ref="R12:R22" si="1">(Q12/P12-1)*100</f>
        <v>1.0001971496715445</v>
      </c>
      <c r="S12" s="130" t="s">
        <v>113</v>
      </c>
      <c r="T12" s="130" t="s">
        <v>113</v>
      </c>
      <c r="U12" s="130" t="s">
        <v>113</v>
      </c>
      <c r="V12" s="130" t="s">
        <v>113</v>
      </c>
      <c r="W12" s="132">
        <f t="shared" ref="W12:W22" si="2">IF(D12&lt;&gt;0,((D12-$C12)/ABS($C12)) / ($Q12/$P12-1),0)</f>
        <v>10.176960036495631</v>
      </c>
      <c r="X12" s="132">
        <f t="shared" ref="X12:X22" si="3">IF(E12&lt;&gt;0,((E12-$C12)/ABS($C12)) / ($Q12/$P12-1),0)</f>
        <v>1.3359145222478732</v>
      </c>
      <c r="Y12" s="132">
        <f t="shared" ref="Y12:Y22" si="4">IF(F12&lt;&gt;0,MAX(((F12-$C12)/ABS($C12)) / ($Q12/$P12-1),0),0)</f>
        <v>10.176960036495631</v>
      </c>
      <c r="Z12" s="132">
        <f t="shared" ref="Z12:Z22" si="5">IF(G12&lt;&gt;0,MAX(((G12-$C12)/ABS($C12)) / ($Q12/$P12-1),0),0)</f>
        <v>6.7719665943207827</v>
      </c>
      <c r="AA12" s="132">
        <f t="shared" ref="AA12:AA22" si="6">IF(H12&lt;&gt;0,MAX(((H12-$C12)/ABS($C12)) / ($Q12/$P12-1),0),0)</f>
        <v>3.6224228086524652</v>
      </c>
      <c r="AB12" s="132">
        <f t="shared" ref="AB12:AB22" si="7">IF(I12&lt;&gt;0,MAX(((I12-$C12)/ABS($C12)) / ($Q12/$P12-1),0),AA12)</f>
        <v>1.3359145222478732</v>
      </c>
      <c r="AC12" s="132">
        <f t="shared" ref="AC12:AC22" si="8">IF(J12&lt;&gt;0,MAX(((J12-$C12)/ABS($C12)) / ($Q12/$P12-1),0),AB12)</f>
        <v>1.3359145222478732</v>
      </c>
      <c r="AD12" s="130" t="s">
        <v>113</v>
      </c>
      <c r="AE12" s="130" t="s">
        <v>113</v>
      </c>
      <c r="AF12" s="130" t="s">
        <v>113</v>
      </c>
      <c r="AG12" s="130" t="s">
        <v>113</v>
      </c>
      <c r="AH12" s="133">
        <f t="shared" ref="AH12:AH22" si="9">MIN(W12,1)</f>
        <v>1</v>
      </c>
      <c r="AI12" s="134">
        <f t="shared" ref="AI12:AI22" si="10">IF(W12&gt;1,MAX(W12-SUM(AH12,AJ12:AO12),0),0)</f>
        <v>0.3359145222478741</v>
      </c>
      <c r="AJ12" s="134">
        <f t="shared" ref="AJ12:AJ22" si="11">IF(W12&gt;1,MIN($W12-Y12,W12-AH12),0)</f>
        <v>0</v>
      </c>
      <c r="AK12" s="134">
        <f t="shared" ref="AK12:AK22" si="12">IF(W12&gt;1,MAX(MIN(Y12-Z12,W12-AH12-AJ12),0),0)</f>
        <v>3.404993442174848</v>
      </c>
      <c r="AL12" s="134">
        <f t="shared" ref="AL12:AL22" si="13">IF(W12&gt;1,MAX(MIN(Z12-AA12,W12-AH12-AJ12-AK12),0),0)</f>
        <v>3.1495437856683175</v>
      </c>
      <c r="AM12" s="134">
        <f t="shared" ref="AM12:AM22" si="14">IF(I12&lt;&gt;0,IF(W12&gt;1,MAX(MIN(AA12-AB12,W12-AH12-AJ12-AK12-AL12),0),0),0)</f>
        <v>2.286508286404592</v>
      </c>
      <c r="AN12" s="135">
        <f t="shared" ref="AN12:AN22" si="15">IF(J12&lt;&gt;0,IF(W12&gt;1,MAX(MIN(AB12-AC12,W12-AH12-AJ12-AK12-AL12-AM12),0),0),0)</f>
        <v>0</v>
      </c>
      <c r="AO12" s="134">
        <f t="shared" ref="AO12:AO22" si="16">IF(W12&gt;1,MAX(0,MIN(W12-AH12-AJ12-AK12-AL12-AM12,W12-AH12-AJ12-AK12-AL12-AM12-X12+1)),0)</f>
        <v>0</v>
      </c>
      <c r="AP12" s="134">
        <f t="shared" ref="AP12:AP22" si="17">AI12+AO12</f>
        <v>0.3359145222478741</v>
      </c>
      <c r="AQ12" s="136" t="s">
        <v>113</v>
      </c>
      <c r="AR12" s="137">
        <f t="shared" ref="AR12:AR22" si="18">AI12/($W12-1)*100</f>
        <v>3.6604117366969424</v>
      </c>
      <c r="AS12" s="137">
        <f t="shared" ref="AS12:AS22" si="19">AJ12/($W12-1)*100</f>
        <v>0</v>
      </c>
      <c r="AT12" s="137">
        <f t="shared" ref="AT12:AT22" si="20">AK12/($W12-1)*100</f>
        <v>37.103718754725008</v>
      </c>
      <c r="AU12" s="137">
        <f t="shared" ref="AU12:AU22" si="21">AL12/($W12-1)*100</f>
        <v>34.320120967542337</v>
      </c>
      <c r="AV12" s="137">
        <f t="shared" ref="AV12:AV22" si="22">AM12/($W12-1)*100</f>
        <v>24.915748541035729</v>
      </c>
      <c r="AW12" s="138">
        <f t="shared" ref="AW12:AW22" si="23">AN12/($W12-1)*100</f>
        <v>0</v>
      </c>
      <c r="AX12" s="137">
        <f t="shared" ref="AX12:AX22" si="24">AO12/($W12-1)*100</f>
        <v>0</v>
      </c>
      <c r="AY12" s="137">
        <f t="shared" ref="AY12:AY22" si="25">AP12/($W12-1)*100</f>
        <v>3.6604117366969424</v>
      </c>
      <c r="AZ12" s="139" t="s">
        <v>113</v>
      </c>
      <c r="BA12" s="139" t="s">
        <v>113</v>
      </c>
      <c r="BB12" s="139" t="s">
        <v>113</v>
      </c>
      <c r="BC12" s="139" t="s">
        <v>113</v>
      </c>
      <c r="BD12" s="139" t="s">
        <v>113</v>
      </c>
      <c r="BE12" s="139" t="s">
        <v>113</v>
      </c>
      <c r="BF12" s="139" t="s">
        <v>113</v>
      </c>
      <c r="BG12" s="139" t="s">
        <v>113</v>
      </c>
      <c r="BH12" s="140">
        <f>'[65]2. Distributional by deciles o'!$B100</f>
        <v>1707974535.3875999</v>
      </c>
      <c r="BI12" s="140">
        <f>'[65]2. Distributional by deciles o'!$B118</f>
        <v>1473576107.9676001</v>
      </c>
      <c r="BJ12" s="140">
        <f>'[65]2. Distributional by deciles o'!$B136</f>
        <v>1659306192.5195994</v>
      </c>
      <c r="BK12" s="140">
        <f>'[65]2. Distributional by deciles o'!$B154</f>
        <v>106213082.28240001</v>
      </c>
      <c r="BL12" s="141">
        <f t="shared" ref="BL12:BL22" si="26">BH12/SUM($BH12:$BK12)</f>
        <v>0.34524972633170831</v>
      </c>
      <c r="BM12" s="141">
        <f t="shared" ref="BM12:BM22" si="27">BI12/SUM($BH12:$BK12)</f>
        <v>0.29786846200801465</v>
      </c>
      <c r="BN12" s="141">
        <f t="shared" ref="BN12:BN22" si="28">BJ12/SUM($BH12:$BK12)</f>
        <v>0.33541191452125191</v>
      </c>
      <c r="BO12" s="141">
        <f t="shared" ref="BO12:BO22" si="29">BK12/SUM($BH12:$BK12)</f>
        <v>2.1469897139025022E-2</v>
      </c>
      <c r="BP12" s="139" t="s">
        <v>113</v>
      </c>
      <c r="BQ12" s="139" t="s">
        <v>113</v>
      </c>
      <c r="BR12" s="139" t="s">
        <v>113</v>
      </c>
      <c r="BS12" s="131">
        <f t="shared" ref="BS12:BS21" si="30">P12/P$22*100</f>
        <v>0.52949797245835351</v>
      </c>
      <c r="BT12" s="139"/>
      <c r="BU12" s="139"/>
      <c r="BV12" s="139"/>
      <c r="BW12" s="139"/>
      <c r="BX12" s="139"/>
      <c r="BY12" s="139"/>
      <c r="BZ12" s="139"/>
      <c r="CA12" s="139"/>
      <c r="CB12" s="139"/>
      <c r="CC12" s="142" t="s">
        <v>113</v>
      </c>
      <c r="CD12" s="142" t="s">
        <v>113</v>
      </c>
      <c r="CE12" s="142" t="s">
        <v>113</v>
      </c>
      <c r="CF12" s="142" t="s">
        <v>113</v>
      </c>
      <c r="CG12" s="142" t="s">
        <v>113</v>
      </c>
      <c r="CH12" s="142" t="s">
        <v>113</v>
      </c>
      <c r="CI12" s="142" t="s">
        <v>113</v>
      </c>
      <c r="CJ12" s="142"/>
      <c r="CK12" s="139" t="s">
        <v>113</v>
      </c>
      <c r="CL12" s="139" t="s">
        <v>113</v>
      </c>
      <c r="CM12" s="139" t="s">
        <v>113</v>
      </c>
      <c r="CN12" s="139" t="s">
        <v>113</v>
      </c>
      <c r="CO12" s="139" t="s">
        <v>113</v>
      </c>
      <c r="CP12" s="139" t="s">
        <v>113</v>
      </c>
      <c r="CQ12" s="139" t="s">
        <v>113</v>
      </c>
      <c r="CR12" s="139"/>
      <c r="CS12" s="143" t="s">
        <v>113</v>
      </c>
      <c r="CT12" s="143" t="s">
        <v>113</v>
      </c>
      <c r="CU12" s="143" t="s">
        <v>113</v>
      </c>
      <c r="CV12" s="143" t="s">
        <v>113</v>
      </c>
      <c r="CW12" s="143" t="s">
        <v>113</v>
      </c>
      <c r="CX12" s="143" t="s">
        <v>113</v>
      </c>
      <c r="CY12" s="143" t="s">
        <v>113</v>
      </c>
      <c r="CZ12" s="143"/>
      <c r="DA12" s="139" t="s">
        <v>113</v>
      </c>
      <c r="DB12" s="139" t="s">
        <v>113</v>
      </c>
      <c r="DC12" s="139" t="s">
        <v>113</v>
      </c>
      <c r="DD12" s="144">
        <f t="shared" ref="DD12:DD22" si="31">(1-DE12)*100</f>
        <v>97.864119442169155</v>
      </c>
      <c r="DE12" s="145">
        <f>'[65]2. Distributional by deciles o'!$J28</f>
        <v>2.1358805578308503E-2</v>
      </c>
      <c r="DF12" s="1"/>
      <c r="DG12" s="1"/>
      <c r="DH12" s="1"/>
      <c r="DI12" s="1"/>
      <c r="DJ12" s="1"/>
      <c r="DK12" s="1"/>
      <c r="DL12" s="1"/>
      <c r="DM12" s="1"/>
      <c r="DN12" s="1"/>
      <c r="DO12" s="1"/>
      <c r="DP12" s="1"/>
      <c r="DQ12" s="1"/>
      <c r="DR12" s="1"/>
      <c r="DS12" s="1"/>
      <c r="DT12" s="1"/>
      <c r="DU12" s="1"/>
      <c r="DV12" s="1"/>
      <c r="DW12" s="1"/>
      <c r="DX12" s="1"/>
      <c r="DY12" s="1"/>
      <c r="DZ12" s="1"/>
      <c r="EA12" s="146">
        <f>'[66]2. Distributional by deciles o'!B64</f>
        <v>4674166.2732000016</v>
      </c>
      <c r="EB12" s="146">
        <f>'[66]2. Distributional by deciles o'!C64</f>
        <v>2946368.5056000059</v>
      </c>
      <c r="EC12" s="146">
        <f>'[66]2. Distributional by deciles o'!D64</f>
        <v>4792012.6584000029</v>
      </c>
      <c r="ED12" s="146">
        <f>'[66]2. Distributional by deciles o'!E64</f>
        <v>2946368.5056000059</v>
      </c>
      <c r="EE12" s="146">
        <f>'[66]2. Distributional by deciles o'!F64</f>
        <v>2561240.0244000019</v>
      </c>
      <c r="EF12" s="146">
        <f>'[66]2. Distributional by deciles o'!G64</f>
        <v>4921604.9844000004</v>
      </c>
      <c r="EG12" s="146">
        <f>'[66]2. Distributional by deciles o'!H64</f>
        <v>4792012.6584000029</v>
      </c>
      <c r="EH12" s="122"/>
      <c r="EI12" s="130" t="s">
        <v>113</v>
      </c>
      <c r="EJ12" s="130" t="s">
        <v>113</v>
      </c>
      <c r="EK12" s="130" t="s">
        <v>113</v>
      </c>
      <c r="EL12" s="130" t="s">
        <v>113</v>
      </c>
      <c r="EM12" s="131">
        <f t="shared" ref="EM12:EM21" si="32">EA12/EA$22*100</f>
        <v>2.4101050125229706E-3</v>
      </c>
      <c r="EN12" s="146">
        <f>'[66]2. Distributional by deciles o'!B82</f>
        <v>5431600963.5192041</v>
      </c>
      <c r="EO12" s="146">
        <f>'[66]2. Distributional by deciles o'!C82</f>
        <v>5485920573.2784023</v>
      </c>
      <c r="EP12" s="131">
        <f t="shared" ref="EP12:EP22" si="33">(EO12/EN12-1)*100</f>
        <v>1.0000662810841554</v>
      </c>
      <c r="EQ12" s="130" t="s">
        <v>113</v>
      </c>
      <c r="ER12" s="130" t="s">
        <v>113</v>
      </c>
      <c r="ES12" s="130" t="s">
        <v>113</v>
      </c>
      <c r="ET12" s="130" t="s">
        <v>113</v>
      </c>
      <c r="EU12" s="131">
        <f t="shared" ref="EU12:EU21" si="34">EN12/EN$22*100</f>
        <v>0.53853733230215439</v>
      </c>
      <c r="EV12" s="132">
        <f t="shared" ref="EV12:EV22" si="35">((EB12-$EA12)/ABS($EA12)) / ($EO12/$EN12-1)</f>
        <v>-36.962383319282054</v>
      </c>
      <c r="EW12" s="132">
        <f t="shared" ref="EW12:EW22" si="36">IF(EC12&lt;&gt;0,((EC12-$EA12)/ABS($EA12)) / ($EO12/$EN12-1),0)</f>
        <v>2.5210608233420584</v>
      </c>
      <c r="EX12" s="132"/>
      <c r="EY12" s="148">
        <f t="shared" ref="EY12:EY22" si="37">EV12-W12</f>
        <v>-47.139343355777683</v>
      </c>
      <c r="EZ12" s="144">
        <f t="shared" ref="EZ12:EZ22" si="38">(1-FA12)*100</f>
        <v>95.761526363994605</v>
      </c>
      <c r="FA12" s="145">
        <f>'[66]2. Distributional by deciles o'!$J28</f>
        <v>4.2384736360053944E-2</v>
      </c>
      <c r="FB12" s="130" t="s">
        <v>113</v>
      </c>
      <c r="FC12" s="130" t="s">
        <v>113</v>
      </c>
      <c r="FD12" s="130" t="s">
        <v>113</v>
      </c>
      <c r="FE12" s="130" t="s">
        <v>113</v>
      </c>
      <c r="FF12" s="130" t="s">
        <v>113</v>
      </c>
      <c r="FG12" s="130" t="s">
        <v>113</v>
      </c>
      <c r="FH12" s="130" t="s">
        <v>113</v>
      </c>
      <c r="FI12" s="130" t="s">
        <v>113</v>
      </c>
      <c r="FJ12" s="1"/>
      <c r="FK12" s="1"/>
      <c r="FL12" s="1"/>
      <c r="FM12" s="1"/>
      <c r="FN12" s="1"/>
      <c r="FO12" s="1"/>
      <c r="FP12" s="1"/>
      <c r="FQ12" s="1"/>
    </row>
    <row r="13" spans="1:173" x14ac:dyDescent="0.3">
      <c r="A13" s="1"/>
      <c r="B13" s="28">
        <v>2</v>
      </c>
      <c r="C13" s="129">
        <f>'[65]2. Distributional by deciles o'!B65</f>
        <v>-264885651.43320009</v>
      </c>
      <c r="D13" s="129">
        <f>'[65]2. Distributional by deciles o'!C65</f>
        <v>-247373037.08160019</v>
      </c>
      <c r="E13" s="129">
        <f>'[65]2. Distributional by deciles o'!D65</f>
        <v>-261301873.13880005</v>
      </c>
      <c r="F13" s="129">
        <f>'[65]2. Distributional by deciles o'!E65</f>
        <v>-247544163.9552002</v>
      </c>
      <c r="G13" s="129">
        <f>'[65]2. Distributional by deciles o'!F65</f>
        <v>-257192188.50240022</v>
      </c>
      <c r="H13" s="129">
        <f>'[65]2. Distributional by deciles o'!G65</f>
        <v>-260053822.18559995</v>
      </c>
      <c r="I13" s="129">
        <f>'[65]2. Distributional by deciles o'!H65</f>
        <v>-261301873.13880005</v>
      </c>
      <c r="J13" s="122"/>
      <c r="K13" s="130" t="s">
        <v>113</v>
      </c>
      <c r="L13" s="130" t="s">
        <v>113</v>
      </c>
      <c r="M13" s="130" t="s">
        <v>113</v>
      </c>
      <c r="N13" s="130" t="s">
        <v>113</v>
      </c>
      <c r="O13" s="131">
        <f t="shared" si="0"/>
        <v>-0.14989852068372733</v>
      </c>
      <c r="P13" s="129">
        <f>'[65]2. Distributional by deciles o'!B83</f>
        <v>23979991062.689995</v>
      </c>
      <c r="Q13" s="129">
        <f>'[65]2. Distributional by deciles o'!C83</f>
        <v>24219803314.495224</v>
      </c>
      <c r="R13" s="131">
        <f t="shared" si="1"/>
        <v>1.0000514644826097</v>
      </c>
      <c r="S13" s="130" t="s">
        <v>113</v>
      </c>
      <c r="T13" s="130" t="s">
        <v>113</v>
      </c>
      <c r="U13" s="130" t="s">
        <v>113</v>
      </c>
      <c r="V13" s="130" t="s">
        <v>113</v>
      </c>
      <c r="W13" s="132">
        <f t="shared" si="2"/>
        <v>6.6110463234210801</v>
      </c>
      <c r="X13" s="132">
        <f t="shared" si="3"/>
        <v>1.3528833469107455</v>
      </c>
      <c r="Y13" s="132">
        <f t="shared" si="4"/>
        <v>6.546445592437216</v>
      </c>
      <c r="Z13" s="132">
        <f t="shared" si="5"/>
        <v>2.9042973711343261</v>
      </c>
      <c r="AA13" s="132">
        <f t="shared" si="6"/>
        <v>1.824025033693903</v>
      </c>
      <c r="AB13" s="132">
        <f t="shared" si="7"/>
        <v>1.3528833469107455</v>
      </c>
      <c r="AC13" s="132">
        <f t="shared" si="8"/>
        <v>1.3528833469107455</v>
      </c>
      <c r="AD13" s="130" t="s">
        <v>113</v>
      </c>
      <c r="AE13" s="130" t="s">
        <v>113</v>
      </c>
      <c r="AF13" s="130" t="s">
        <v>113</v>
      </c>
      <c r="AG13" s="130" t="s">
        <v>113</v>
      </c>
      <c r="AH13" s="133">
        <f t="shared" si="9"/>
        <v>1</v>
      </c>
      <c r="AI13" s="134">
        <f t="shared" si="10"/>
        <v>0.35288334691074574</v>
      </c>
      <c r="AJ13" s="134">
        <f t="shared" si="11"/>
        <v>6.4600730983864096E-2</v>
      </c>
      <c r="AK13" s="134">
        <f t="shared" si="12"/>
        <v>3.64214822130289</v>
      </c>
      <c r="AL13" s="134">
        <f t="shared" si="13"/>
        <v>1.0802723374404231</v>
      </c>
      <c r="AM13" s="134">
        <f t="shared" si="14"/>
        <v>0.47114168678315749</v>
      </c>
      <c r="AN13" s="135">
        <f t="shared" si="15"/>
        <v>0</v>
      </c>
      <c r="AO13" s="134">
        <f t="shared" si="16"/>
        <v>0</v>
      </c>
      <c r="AP13" s="134">
        <f t="shared" si="17"/>
        <v>0.35288334691074574</v>
      </c>
      <c r="AQ13" s="136" t="s">
        <v>113</v>
      </c>
      <c r="AR13" s="137">
        <f t="shared" si="18"/>
        <v>6.2890827587320857</v>
      </c>
      <c r="AS13" s="137">
        <f t="shared" si="19"/>
        <v>1.1513134495827284</v>
      </c>
      <c r="AT13" s="137">
        <f t="shared" si="20"/>
        <v>64.910321736254289</v>
      </c>
      <c r="AU13" s="137">
        <f t="shared" si="21"/>
        <v>19.25260058772383</v>
      </c>
      <c r="AV13" s="137">
        <f t="shared" si="22"/>
        <v>8.3966814677070829</v>
      </c>
      <c r="AW13" s="138">
        <f t="shared" si="23"/>
        <v>0</v>
      </c>
      <c r="AX13" s="137">
        <f t="shared" si="24"/>
        <v>0</v>
      </c>
      <c r="AY13" s="137">
        <f t="shared" si="25"/>
        <v>6.2890827587320857</v>
      </c>
      <c r="AZ13" s="139" t="s">
        <v>113</v>
      </c>
      <c r="BA13" s="139" t="s">
        <v>113</v>
      </c>
      <c r="BB13" s="139" t="s">
        <v>113</v>
      </c>
      <c r="BC13" s="139" t="s">
        <v>113</v>
      </c>
      <c r="BD13" s="139" t="s">
        <v>113</v>
      </c>
      <c r="BE13" s="139" t="s">
        <v>113</v>
      </c>
      <c r="BF13" s="139" t="s">
        <v>113</v>
      </c>
      <c r="BG13" s="139" t="s">
        <v>113</v>
      </c>
      <c r="BH13" s="140">
        <f>'[65]2. Distributional by deciles o'!$B101</f>
        <v>9416041117.1124001</v>
      </c>
      <c r="BI13" s="140">
        <f>'[65]2. Distributional by deciles o'!$B119</f>
        <v>8368914299.8608017</v>
      </c>
      <c r="BJ13" s="140">
        <f>'[65]2. Distributional by deciles o'!$B137</f>
        <v>5763434491.9919996</v>
      </c>
      <c r="BK13" s="140">
        <f>'[65]2. Distributional by deciles o'!$B155</f>
        <v>431601581.53320003</v>
      </c>
      <c r="BL13" s="141">
        <f t="shared" si="26"/>
        <v>0.39266240444010669</v>
      </c>
      <c r="BM13" s="141">
        <f t="shared" si="27"/>
        <v>0.34899571599834883</v>
      </c>
      <c r="BN13" s="141">
        <f t="shared" si="28"/>
        <v>0.24034347527919878</v>
      </c>
      <c r="BO13" s="141">
        <f t="shared" si="29"/>
        <v>1.7998404282345705E-2</v>
      </c>
      <c r="BP13" s="139" t="s">
        <v>113</v>
      </c>
      <c r="BQ13" s="139" t="s">
        <v>113</v>
      </c>
      <c r="BR13" s="139" t="s">
        <v>113</v>
      </c>
      <c r="BS13" s="131">
        <f t="shared" si="30"/>
        <v>2.5666419181552795</v>
      </c>
      <c r="BT13" s="139"/>
      <c r="BU13" s="139"/>
      <c r="BV13" s="139"/>
      <c r="BW13" s="139"/>
      <c r="BX13" s="139"/>
      <c r="BY13" s="139"/>
      <c r="BZ13" s="139"/>
      <c r="CA13" s="139"/>
      <c r="CB13" s="139"/>
      <c r="CC13" s="142" t="s">
        <v>113</v>
      </c>
      <c r="CD13" s="142" t="s">
        <v>113</v>
      </c>
      <c r="CE13" s="142" t="s">
        <v>113</v>
      </c>
      <c r="CF13" s="142" t="s">
        <v>113</v>
      </c>
      <c r="CG13" s="142" t="s">
        <v>113</v>
      </c>
      <c r="CH13" s="142" t="s">
        <v>113</v>
      </c>
      <c r="CI13" s="142" t="s">
        <v>113</v>
      </c>
      <c r="CJ13" s="142"/>
      <c r="CK13" s="139" t="s">
        <v>113</v>
      </c>
      <c r="CL13" s="139" t="s">
        <v>113</v>
      </c>
      <c r="CM13" s="139" t="s">
        <v>113</v>
      </c>
      <c r="CN13" s="139" t="s">
        <v>113</v>
      </c>
      <c r="CO13" s="139" t="s">
        <v>113</v>
      </c>
      <c r="CP13" s="139" t="s">
        <v>113</v>
      </c>
      <c r="CQ13" s="139" t="s">
        <v>113</v>
      </c>
      <c r="CR13" s="139"/>
      <c r="CS13" s="143" t="s">
        <v>113</v>
      </c>
      <c r="CT13" s="143" t="s">
        <v>113</v>
      </c>
      <c r="CU13" s="143" t="s">
        <v>113</v>
      </c>
      <c r="CV13" s="143" t="s">
        <v>113</v>
      </c>
      <c r="CW13" s="143" t="s">
        <v>113</v>
      </c>
      <c r="CX13" s="143" t="s">
        <v>113</v>
      </c>
      <c r="CY13" s="143" t="s">
        <v>113</v>
      </c>
      <c r="CZ13" s="143"/>
      <c r="DA13" s="139" t="s">
        <v>113</v>
      </c>
      <c r="DB13" s="139" t="s">
        <v>113</v>
      </c>
      <c r="DC13" s="139" t="s">
        <v>113</v>
      </c>
      <c r="DD13" s="144">
        <f t="shared" si="31"/>
        <v>59.545615821144573</v>
      </c>
      <c r="DE13" s="145">
        <f>'[65]2. Distributional by deciles o'!$J29</f>
        <v>0.40454384178855435</v>
      </c>
      <c r="DF13" s="1"/>
      <c r="DG13" s="1"/>
      <c r="DH13" s="1"/>
      <c r="DI13" s="1"/>
      <c r="DJ13" s="1"/>
      <c r="DK13" s="1"/>
      <c r="DL13" s="1"/>
      <c r="DM13" s="1"/>
      <c r="DN13" s="1"/>
      <c r="DO13" s="1"/>
      <c r="DP13" s="1"/>
      <c r="DQ13" s="1"/>
      <c r="DR13" s="1"/>
      <c r="DS13" s="1"/>
      <c r="DT13" s="1"/>
      <c r="DU13" s="1"/>
      <c r="DV13" s="1"/>
      <c r="DW13" s="1"/>
      <c r="DX13" s="1"/>
      <c r="DY13" s="1"/>
      <c r="DZ13" s="1"/>
      <c r="EA13" s="146">
        <f>'[66]2. Distributional by deciles o'!B65</f>
        <v>-63011177.668799967</v>
      </c>
      <c r="EB13" s="146">
        <f>'[66]2. Distributional by deciles o'!C65</f>
        <v>-31462755.123600002</v>
      </c>
      <c r="EC13" s="146">
        <f>'[66]2. Distributional by deciles o'!D65</f>
        <v>-61566453.263999984</v>
      </c>
      <c r="ED13" s="146">
        <f>'[66]2. Distributional by deciles o'!E65</f>
        <v>-32052286.801199995</v>
      </c>
      <c r="EE13" s="146">
        <f>'[66]2. Distributional by deciles o'!F65</f>
        <v>-42737212.401600003</v>
      </c>
      <c r="EF13" s="146">
        <f>'[66]2. Distributional by deciles o'!G65</f>
        <v>-53702420.378400005</v>
      </c>
      <c r="EG13" s="146">
        <f>'[66]2. Distributional by deciles o'!H65</f>
        <v>-56671395.130800001</v>
      </c>
      <c r="EH13" s="122"/>
      <c r="EI13" s="130" t="s">
        <v>113</v>
      </c>
      <c r="EJ13" s="130" t="s">
        <v>113</v>
      </c>
      <c r="EK13" s="130" t="s">
        <v>113</v>
      </c>
      <c r="EL13" s="130" t="s">
        <v>113</v>
      </c>
      <c r="EM13" s="131">
        <f t="shared" si="32"/>
        <v>-3.2489977092873566E-2</v>
      </c>
      <c r="EN13" s="146">
        <f>'[66]2. Distributional by deciles o'!B83</f>
        <v>26404768619.694016</v>
      </c>
      <c r="EO13" s="146">
        <f>'[66]2. Distributional by deciles o'!C83</f>
        <v>26668820154.352764</v>
      </c>
      <c r="EP13" s="131">
        <f t="shared" si="33"/>
        <v>1.0000145748741973</v>
      </c>
      <c r="EQ13" s="130" t="s">
        <v>113</v>
      </c>
      <c r="ER13" s="130" t="s">
        <v>113</v>
      </c>
      <c r="ES13" s="130" t="s">
        <v>113</v>
      </c>
      <c r="ET13" s="130" t="s">
        <v>113</v>
      </c>
      <c r="EU13" s="131">
        <f t="shared" si="34"/>
        <v>2.618004111129026</v>
      </c>
      <c r="EV13" s="132">
        <f t="shared" si="35"/>
        <v>50.067248232424134</v>
      </c>
      <c r="EW13" s="132">
        <f t="shared" si="36"/>
        <v>2.2927731267364857</v>
      </c>
      <c r="EX13" s="132"/>
      <c r="EY13" s="148">
        <f t="shared" si="37"/>
        <v>43.456201909003056</v>
      </c>
      <c r="EZ13" s="144">
        <f t="shared" si="38"/>
        <v>53.65931705971947</v>
      </c>
      <c r="FA13" s="145">
        <f>'[66]2. Distributional by deciles o'!$J29</f>
        <v>0.46340682940280525</v>
      </c>
      <c r="FB13" s="130" t="s">
        <v>113</v>
      </c>
      <c r="FC13" s="130" t="s">
        <v>113</v>
      </c>
      <c r="FD13" s="130" t="s">
        <v>113</v>
      </c>
      <c r="FE13" s="130" t="s">
        <v>113</v>
      </c>
      <c r="FF13" s="130" t="s">
        <v>113</v>
      </c>
      <c r="FG13" s="130" t="s">
        <v>113</v>
      </c>
      <c r="FH13" s="130" t="s">
        <v>113</v>
      </c>
      <c r="FI13" s="130" t="s">
        <v>113</v>
      </c>
      <c r="FJ13" s="1"/>
      <c r="FK13" s="1"/>
      <c r="FL13" s="1"/>
      <c r="FM13" s="1"/>
      <c r="FN13" s="1"/>
      <c r="FO13" s="1"/>
      <c r="FP13" s="1"/>
      <c r="FQ13" s="1"/>
    </row>
    <row r="14" spans="1:173" x14ac:dyDescent="0.3">
      <c r="A14" s="1"/>
      <c r="B14" s="28">
        <v>3</v>
      </c>
      <c r="C14" s="129">
        <f>'[65]2. Distributional by deciles o'!B66</f>
        <v>1937955505.5120013</v>
      </c>
      <c r="D14" s="129">
        <f>'[65]2. Distributional by deciles o'!C66</f>
        <v>2043294307.1327996</v>
      </c>
      <c r="E14" s="129">
        <f>'[65]2. Distributional by deciles o'!D66</f>
        <v>1959656377.2768049</v>
      </c>
      <c r="F14" s="129">
        <f>'[65]2. Distributional by deciles o'!E66</f>
        <v>2037137123.6087985</v>
      </c>
      <c r="G14" s="129">
        <f>'[65]2. Distributional by deciles o'!F66</f>
        <v>1985691771.0828023</v>
      </c>
      <c r="H14" s="129">
        <f>'[65]2. Distributional by deciles o'!G66</f>
        <v>1973529180.1224024</v>
      </c>
      <c r="I14" s="129">
        <f>'[65]2. Distributional by deciles o'!H66</f>
        <v>1959592900.5240047</v>
      </c>
      <c r="J14" s="122"/>
      <c r="K14" s="130" t="s">
        <v>113</v>
      </c>
      <c r="L14" s="130" t="s">
        <v>113</v>
      </c>
      <c r="M14" s="130" t="s">
        <v>113</v>
      </c>
      <c r="N14" s="130" t="s">
        <v>113</v>
      </c>
      <c r="O14" s="131">
        <f t="shared" si="0"/>
        <v>1.0966870491299245</v>
      </c>
      <c r="P14" s="129">
        <f>'[65]2. Distributional by deciles o'!B84</f>
        <v>41788847973.835182</v>
      </c>
      <c r="Q14" s="129">
        <f>'[65]2. Distributional by deciles o'!C84</f>
        <v>42206742629.301575</v>
      </c>
      <c r="R14" s="131">
        <f t="shared" si="1"/>
        <v>1.0000147784118063</v>
      </c>
      <c r="S14" s="130" t="s">
        <v>113</v>
      </c>
      <c r="T14" s="130" t="s">
        <v>113</v>
      </c>
      <c r="U14" s="130" t="s">
        <v>113</v>
      </c>
      <c r="V14" s="130" t="s">
        <v>113</v>
      </c>
      <c r="W14" s="132">
        <f t="shared" si="2"/>
        <v>5.4354831472658027</v>
      </c>
      <c r="X14" s="132">
        <f t="shared" si="3"/>
        <v>1.1197651857022575</v>
      </c>
      <c r="Y14" s="132">
        <f t="shared" si="4"/>
        <v>5.1177724199328001</v>
      </c>
      <c r="Z14" s="132">
        <f t="shared" si="5"/>
        <v>2.4631917492050088</v>
      </c>
      <c r="AA14" s="132">
        <f t="shared" si="6"/>
        <v>1.8356019420765399</v>
      </c>
      <c r="AB14" s="132">
        <f t="shared" si="7"/>
        <v>1.1164897846650328</v>
      </c>
      <c r="AC14" s="132">
        <f t="shared" si="8"/>
        <v>1.1164897846650328</v>
      </c>
      <c r="AD14" s="130" t="s">
        <v>113</v>
      </c>
      <c r="AE14" s="130" t="s">
        <v>113</v>
      </c>
      <c r="AF14" s="130" t="s">
        <v>113</v>
      </c>
      <c r="AG14" s="130" t="s">
        <v>113</v>
      </c>
      <c r="AH14" s="133">
        <f t="shared" si="9"/>
        <v>1</v>
      </c>
      <c r="AI14" s="134">
        <f t="shared" si="10"/>
        <v>0.11648978466503301</v>
      </c>
      <c r="AJ14" s="134">
        <f t="shared" si="11"/>
        <v>0.31771072733300265</v>
      </c>
      <c r="AK14" s="134">
        <f t="shared" si="12"/>
        <v>2.6545806707277912</v>
      </c>
      <c r="AL14" s="134">
        <f t="shared" si="13"/>
        <v>0.6275898071284689</v>
      </c>
      <c r="AM14" s="134">
        <f t="shared" si="14"/>
        <v>0.71911215741150714</v>
      </c>
      <c r="AN14" s="135">
        <f t="shared" si="15"/>
        <v>0</v>
      </c>
      <c r="AO14" s="134">
        <f t="shared" si="16"/>
        <v>0</v>
      </c>
      <c r="AP14" s="134">
        <f t="shared" si="17"/>
        <v>0.11648978466503301</v>
      </c>
      <c r="AQ14" s="136" t="s">
        <v>113</v>
      </c>
      <c r="AR14" s="137">
        <f t="shared" si="18"/>
        <v>2.6263155736899071</v>
      </c>
      <c r="AS14" s="137">
        <f t="shared" si="19"/>
        <v>7.1629339304073651</v>
      </c>
      <c r="AT14" s="137">
        <f t="shared" si="20"/>
        <v>59.848737614168904</v>
      </c>
      <c r="AU14" s="137">
        <f t="shared" si="21"/>
        <v>14.149299778432001</v>
      </c>
      <c r="AV14" s="137">
        <f t="shared" si="22"/>
        <v>16.21271310330183</v>
      </c>
      <c r="AW14" s="138">
        <f t="shared" si="23"/>
        <v>0</v>
      </c>
      <c r="AX14" s="137">
        <f t="shared" si="24"/>
        <v>0</v>
      </c>
      <c r="AY14" s="137">
        <f t="shared" si="25"/>
        <v>2.6263155736899071</v>
      </c>
      <c r="AZ14" s="139" t="s">
        <v>113</v>
      </c>
      <c r="BA14" s="139" t="s">
        <v>113</v>
      </c>
      <c r="BB14" s="139" t="s">
        <v>113</v>
      </c>
      <c r="BC14" s="139" t="s">
        <v>113</v>
      </c>
      <c r="BD14" s="139" t="s">
        <v>113</v>
      </c>
      <c r="BE14" s="139" t="s">
        <v>113</v>
      </c>
      <c r="BF14" s="139" t="s">
        <v>113</v>
      </c>
      <c r="BG14" s="139" t="s">
        <v>113</v>
      </c>
      <c r="BH14" s="140">
        <f>'[65]2. Distributional by deciles o'!$B102</f>
        <v>17120005694.623192</v>
      </c>
      <c r="BI14" s="140">
        <f>'[65]2. Distributional by deciles o'!$B120</f>
        <v>20215875728.536804</v>
      </c>
      <c r="BJ14" s="140">
        <f>'[65]2. Distributional by deciles o'!$B138</f>
        <v>3686130557.1336012</v>
      </c>
      <c r="BK14" s="140">
        <f>'[65]2. Distributional by deciles o'!$B156</f>
        <v>766836946.3499999</v>
      </c>
      <c r="BL14" s="141">
        <f t="shared" si="26"/>
        <v>0.40967880509644466</v>
      </c>
      <c r="BM14" s="141">
        <f t="shared" si="27"/>
        <v>0.48376244495329074</v>
      </c>
      <c r="BN14" s="141">
        <f t="shared" si="28"/>
        <v>8.8208473116937441E-2</v>
      </c>
      <c r="BO14" s="141">
        <f t="shared" si="29"/>
        <v>1.8350276833327243E-2</v>
      </c>
      <c r="BP14" s="139" t="s">
        <v>113</v>
      </c>
      <c r="BQ14" s="139" t="s">
        <v>113</v>
      </c>
      <c r="BR14" s="139" t="s">
        <v>113</v>
      </c>
      <c r="BS14" s="131">
        <f t="shared" si="30"/>
        <v>4.4727710131611689</v>
      </c>
      <c r="BT14" s="139"/>
      <c r="BU14" s="139"/>
      <c r="BV14" s="139"/>
      <c r="BW14" s="139"/>
      <c r="BX14" s="139"/>
      <c r="BY14" s="139"/>
      <c r="BZ14" s="139"/>
      <c r="CA14" s="139"/>
      <c r="CB14" s="139"/>
      <c r="CC14" s="142" t="s">
        <v>113</v>
      </c>
      <c r="CD14" s="142" t="s">
        <v>113</v>
      </c>
      <c r="CE14" s="142" t="s">
        <v>113</v>
      </c>
      <c r="CF14" s="142" t="s">
        <v>113</v>
      </c>
      <c r="CG14" s="142" t="s">
        <v>113</v>
      </c>
      <c r="CH14" s="142" t="s">
        <v>113</v>
      </c>
      <c r="CI14" s="142" t="s">
        <v>113</v>
      </c>
      <c r="CJ14" s="142"/>
      <c r="CK14" s="139" t="s">
        <v>113</v>
      </c>
      <c r="CL14" s="139" t="s">
        <v>113</v>
      </c>
      <c r="CM14" s="139" t="s">
        <v>113</v>
      </c>
      <c r="CN14" s="139" t="s">
        <v>113</v>
      </c>
      <c r="CO14" s="139" t="s">
        <v>113</v>
      </c>
      <c r="CP14" s="139" t="s">
        <v>113</v>
      </c>
      <c r="CQ14" s="139" t="s">
        <v>113</v>
      </c>
      <c r="CR14" s="139"/>
      <c r="CS14" s="143" t="s">
        <v>113</v>
      </c>
      <c r="CT14" s="143" t="s">
        <v>113</v>
      </c>
      <c r="CU14" s="143" t="s">
        <v>113</v>
      </c>
      <c r="CV14" s="143" t="s">
        <v>113</v>
      </c>
      <c r="CW14" s="143" t="s">
        <v>113</v>
      </c>
      <c r="CX14" s="143" t="s">
        <v>113</v>
      </c>
      <c r="CY14" s="143" t="s">
        <v>113</v>
      </c>
      <c r="CZ14" s="143"/>
      <c r="DA14" s="139" t="s">
        <v>113</v>
      </c>
      <c r="DB14" s="139" t="s">
        <v>113</v>
      </c>
      <c r="DC14" s="139" t="s">
        <v>113</v>
      </c>
      <c r="DD14" s="144">
        <f t="shared" si="31"/>
        <v>8.3612114817762659</v>
      </c>
      <c r="DE14" s="145">
        <f>'[65]2. Distributional by deciles o'!$J30</f>
        <v>0.91638788518223735</v>
      </c>
      <c r="DF14" s="1"/>
      <c r="DG14" s="1"/>
      <c r="DH14" s="1"/>
      <c r="DI14" s="1"/>
      <c r="DJ14" s="1"/>
      <c r="DK14" s="1"/>
      <c r="DL14" s="1"/>
      <c r="DM14" s="1"/>
      <c r="DN14" s="1"/>
      <c r="DO14" s="1"/>
      <c r="DP14" s="1"/>
      <c r="DQ14" s="1"/>
      <c r="DR14" s="1"/>
      <c r="DS14" s="1"/>
      <c r="DT14" s="1"/>
      <c r="DU14" s="1"/>
      <c r="DV14" s="1"/>
      <c r="DW14" s="1"/>
      <c r="DX14" s="1"/>
      <c r="DY14" s="1"/>
      <c r="DZ14" s="1"/>
      <c r="EA14" s="146">
        <f>'[66]2. Distributional by deciles o'!B66</f>
        <v>2854864316.9016013</v>
      </c>
      <c r="EB14" s="146">
        <f>'[66]2. Distributional by deciles o'!C66</f>
        <v>2977698725.3532023</v>
      </c>
      <c r="EC14" s="146">
        <f>'[66]2. Distributional by deciles o'!D66</f>
        <v>2886895034.4767995</v>
      </c>
      <c r="ED14" s="146">
        <f>'[66]2. Distributional by deciles o'!E66</f>
        <v>2973554513.4395981</v>
      </c>
      <c r="EE14" s="146">
        <f>'[66]2. Distributional by deciles o'!F66</f>
        <v>2931614007.4260044</v>
      </c>
      <c r="EF14" s="146">
        <f>'[66]2. Distributional by deciles o'!G66</f>
        <v>2917910570.9880066</v>
      </c>
      <c r="EG14" s="146">
        <f>'[66]2. Distributional by deciles o'!H66</f>
        <v>2904212212.4387999</v>
      </c>
      <c r="EH14" s="122"/>
      <c r="EI14" s="130" t="s">
        <v>113</v>
      </c>
      <c r="EJ14" s="130" t="s">
        <v>113</v>
      </c>
      <c r="EK14" s="130" t="s">
        <v>113</v>
      </c>
      <c r="EL14" s="130" t="s">
        <v>113</v>
      </c>
      <c r="EM14" s="131">
        <f t="shared" si="32"/>
        <v>1.4720321011445345</v>
      </c>
      <c r="EN14" s="146">
        <f>'[66]2. Distributional by deciles o'!B84</f>
        <v>44914130378.123962</v>
      </c>
      <c r="EO14" s="146">
        <f>'[66]2. Distributional by deciles o'!C84</f>
        <v>45363274788.74881</v>
      </c>
      <c r="EP14" s="131">
        <f t="shared" si="33"/>
        <v>1.0000069172965809</v>
      </c>
      <c r="EQ14" s="130" t="s">
        <v>113</v>
      </c>
      <c r="ER14" s="130" t="s">
        <v>113</v>
      </c>
      <c r="ES14" s="130" t="s">
        <v>113</v>
      </c>
      <c r="ET14" s="130" t="s">
        <v>113</v>
      </c>
      <c r="EU14" s="131">
        <f t="shared" si="34"/>
        <v>4.4531872129344272</v>
      </c>
      <c r="EV14" s="132">
        <f t="shared" si="35"/>
        <v>4.302605838331286</v>
      </c>
      <c r="EW14" s="132">
        <f t="shared" si="36"/>
        <v>1.1219621129147213</v>
      </c>
      <c r="EX14" s="132"/>
      <c r="EY14" s="148">
        <f t="shared" si="37"/>
        <v>-1.1328773089345168</v>
      </c>
      <c r="EZ14" s="144">
        <f t="shared" si="38"/>
        <v>5.5638527664362396</v>
      </c>
      <c r="FA14" s="145">
        <f>'[66]2. Distributional by deciles o'!$J30</f>
        <v>0.94436147233563761</v>
      </c>
      <c r="FB14" s="130" t="s">
        <v>113</v>
      </c>
      <c r="FC14" s="130" t="s">
        <v>113</v>
      </c>
      <c r="FD14" s="130" t="s">
        <v>113</v>
      </c>
      <c r="FE14" s="130" t="s">
        <v>113</v>
      </c>
      <c r="FF14" s="130" t="s">
        <v>113</v>
      </c>
      <c r="FG14" s="130" t="s">
        <v>113</v>
      </c>
      <c r="FH14" s="130" t="s">
        <v>113</v>
      </c>
      <c r="FI14" s="130" t="s">
        <v>113</v>
      </c>
      <c r="FJ14" s="1"/>
      <c r="FK14" s="1"/>
      <c r="FL14" s="1"/>
      <c r="FM14" s="1"/>
      <c r="FN14" s="1"/>
      <c r="FO14" s="1"/>
      <c r="FP14" s="1"/>
      <c r="FQ14" s="1"/>
    </row>
    <row r="15" spans="1:173" x14ac:dyDescent="0.3">
      <c r="A15" s="1"/>
      <c r="B15" s="28">
        <v>4</v>
      </c>
      <c r="C15" s="129">
        <f>'[65]2. Distributional by deciles o'!B67</f>
        <v>5124268306.8011999</v>
      </c>
      <c r="D15" s="129">
        <f>'[65]2. Distributional by deciles o'!C67</f>
        <v>5276634840.9024019</v>
      </c>
      <c r="E15" s="129">
        <f>'[65]2. Distributional by deciles o'!D67</f>
        <v>5178329876.3903961</v>
      </c>
      <c r="F15" s="129">
        <f>'[65]2. Distributional by deciles o'!E67</f>
        <v>5264658342.9323978</v>
      </c>
      <c r="G15" s="129">
        <f>'[65]2. Distributional by deciles o'!F67</f>
        <v>5205124403.050806</v>
      </c>
      <c r="H15" s="129">
        <f>'[65]2. Distributional by deciles o'!G67</f>
        <v>5197644688.8204021</v>
      </c>
      <c r="I15" s="129">
        <f>'[65]2. Distributional by deciles o'!H67</f>
        <v>5178259526.7107973</v>
      </c>
      <c r="J15" s="122"/>
      <c r="K15" s="130" t="s">
        <v>113</v>
      </c>
      <c r="L15" s="130" t="s">
        <v>113</v>
      </c>
      <c r="M15" s="130" t="s">
        <v>113</v>
      </c>
      <c r="N15" s="130" t="s">
        <v>113</v>
      </c>
      <c r="O15" s="131">
        <f t="shared" si="0"/>
        <v>2.8998182220138706</v>
      </c>
      <c r="P15" s="129">
        <f>'[65]2. Distributional by deciles o'!B85</f>
        <v>55823634082.272079</v>
      </c>
      <c r="Q15" s="129">
        <f>'[65]2. Distributional by deciles o'!C85</f>
        <v>56381872269.633606</v>
      </c>
      <c r="R15" s="131">
        <f t="shared" si="1"/>
        <v>1.000003307808317</v>
      </c>
      <c r="S15" s="130" t="s">
        <v>113</v>
      </c>
      <c r="T15" s="130" t="s">
        <v>113</v>
      </c>
      <c r="U15" s="130" t="s">
        <v>113</v>
      </c>
      <c r="V15" s="130" t="s">
        <v>113</v>
      </c>
      <c r="W15" s="132">
        <f t="shared" si="2"/>
        <v>2.9734202227731155</v>
      </c>
      <c r="X15" s="132">
        <f t="shared" si="3"/>
        <v>1.0550070278858166</v>
      </c>
      <c r="Y15" s="132">
        <f t="shared" si="4"/>
        <v>2.7396998623798132</v>
      </c>
      <c r="Z15" s="132">
        <f t="shared" si="5"/>
        <v>1.5778999840173675</v>
      </c>
      <c r="AA15" s="132">
        <f t="shared" si="6"/>
        <v>1.4319339837769556</v>
      </c>
      <c r="AB15" s="132">
        <f t="shared" si="7"/>
        <v>1.0536341597476877</v>
      </c>
      <c r="AC15" s="132">
        <f t="shared" si="8"/>
        <v>1.0536341597476877</v>
      </c>
      <c r="AD15" s="130" t="s">
        <v>113</v>
      </c>
      <c r="AE15" s="130" t="s">
        <v>113</v>
      </c>
      <c r="AF15" s="130" t="s">
        <v>113</v>
      </c>
      <c r="AG15" s="130" t="s">
        <v>113</v>
      </c>
      <c r="AH15" s="133">
        <f t="shared" si="9"/>
        <v>1</v>
      </c>
      <c r="AI15" s="134">
        <f t="shared" si="10"/>
        <v>5.3634159747687704E-2</v>
      </c>
      <c r="AJ15" s="134">
        <f t="shared" si="11"/>
        <v>0.23372036039330224</v>
      </c>
      <c r="AK15" s="134">
        <f t="shared" si="12"/>
        <v>1.1617998783624457</v>
      </c>
      <c r="AL15" s="134">
        <f t="shared" si="13"/>
        <v>0.14596600024041195</v>
      </c>
      <c r="AM15" s="134">
        <f t="shared" si="14"/>
        <v>0.37829982402926787</v>
      </c>
      <c r="AN15" s="135">
        <f t="shared" si="15"/>
        <v>0</v>
      </c>
      <c r="AO15" s="134">
        <f t="shared" si="16"/>
        <v>0</v>
      </c>
      <c r="AP15" s="134">
        <f t="shared" si="17"/>
        <v>5.3634159747687704E-2</v>
      </c>
      <c r="AQ15" s="136" t="s">
        <v>113</v>
      </c>
      <c r="AR15" s="137">
        <f t="shared" si="18"/>
        <v>2.7178276136402011</v>
      </c>
      <c r="AS15" s="137">
        <f t="shared" si="19"/>
        <v>11.843415695055089</v>
      </c>
      <c r="AT15" s="137">
        <f t="shared" si="20"/>
        <v>58.872401577493008</v>
      </c>
      <c r="AU15" s="137">
        <f t="shared" si="21"/>
        <v>7.3966000021675917</v>
      </c>
      <c r="AV15" s="137">
        <f t="shared" si="22"/>
        <v>19.169755111644111</v>
      </c>
      <c r="AW15" s="138">
        <f t="shared" si="23"/>
        <v>0</v>
      </c>
      <c r="AX15" s="137">
        <f t="shared" si="24"/>
        <v>0</v>
      </c>
      <c r="AY15" s="137">
        <f t="shared" si="25"/>
        <v>2.7178276136402011</v>
      </c>
      <c r="AZ15" s="139" t="s">
        <v>113</v>
      </c>
      <c r="BA15" s="139" t="s">
        <v>113</v>
      </c>
      <c r="BB15" s="139" t="s">
        <v>113</v>
      </c>
      <c r="BC15" s="139" t="s">
        <v>113</v>
      </c>
      <c r="BD15" s="139" t="s">
        <v>113</v>
      </c>
      <c r="BE15" s="139" t="s">
        <v>113</v>
      </c>
      <c r="BF15" s="139" t="s">
        <v>113</v>
      </c>
      <c r="BG15" s="139" t="s">
        <v>113</v>
      </c>
      <c r="BH15" s="140">
        <f>'[65]2. Distributional by deciles o'!$B103</f>
        <v>25895361451.22039</v>
      </c>
      <c r="BI15" s="140">
        <f>'[65]2. Distributional by deciles o'!$B121</f>
        <v>23920037585.031593</v>
      </c>
      <c r="BJ15" s="140">
        <f>'[65]2. Distributional by deciles o'!$B139</f>
        <v>5483321470.0199986</v>
      </c>
      <c r="BK15" s="140">
        <f>'[65]2. Distributional by deciles o'!$B157</f>
        <v>524912981.83080006</v>
      </c>
      <c r="BL15" s="141">
        <f t="shared" si="26"/>
        <v>0.4638781074101751</v>
      </c>
      <c r="BM15" s="141">
        <f t="shared" si="27"/>
        <v>0.42849302509356485</v>
      </c>
      <c r="BN15" s="141">
        <f t="shared" si="28"/>
        <v>9.8225807375806384E-2</v>
      </c>
      <c r="BO15" s="141">
        <f t="shared" si="29"/>
        <v>9.4030601204536483E-3</v>
      </c>
      <c r="BP15" s="139" t="s">
        <v>113</v>
      </c>
      <c r="BQ15" s="139" t="s">
        <v>113</v>
      </c>
      <c r="BR15" s="139" t="s">
        <v>113</v>
      </c>
      <c r="BS15" s="131">
        <f t="shared" si="30"/>
        <v>5.9749513202382598</v>
      </c>
      <c r="BT15" s="139"/>
      <c r="BU15" s="139"/>
      <c r="BV15" s="139"/>
      <c r="BW15" s="139"/>
      <c r="BX15" s="139"/>
      <c r="BY15" s="139"/>
      <c r="BZ15" s="139"/>
      <c r="CA15" s="139"/>
      <c r="CB15" s="139"/>
      <c r="CC15" s="142" t="s">
        <v>113</v>
      </c>
      <c r="CD15" s="142" t="s">
        <v>113</v>
      </c>
      <c r="CE15" s="142" t="s">
        <v>113</v>
      </c>
      <c r="CF15" s="142" t="s">
        <v>113</v>
      </c>
      <c r="CG15" s="142" t="s">
        <v>113</v>
      </c>
      <c r="CH15" s="142" t="s">
        <v>113</v>
      </c>
      <c r="CI15" s="142" t="s">
        <v>113</v>
      </c>
      <c r="CJ15" s="142"/>
      <c r="CK15" s="139" t="s">
        <v>113</v>
      </c>
      <c r="CL15" s="139" t="s">
        <v>113</v>
      </c>
      <c r="CM15" s="139" t="s">
        <v>113</v>
      </c>
      <c r="CN15" s="139" t="s">
        <v>113</v>
      </c>
      <c r="CO15" s="139" t="s">
        <v>113</v>
      </c>
      <c r="CP15" s="139" t="s">
        <v>113</v>
      </c>
      <c r="CQ15" s="139" t="s">
        <v>113</v>
      </c>
      <c r="CR15" s="139"/>
      <c r="CS15" s="143" t="s">
        <v>113</v>
      </c>
      <c r="CT15" s="143" t="s">
        <v>113</v>
      </c>
      <c r="CU15" s="143" t="s">
        <v>113</v>
      </c>
      <c r="CV15" s="143" t="s">
        <v>113</v>
      </c>
      <c r="CW15" s="143" t="s">
        <v>113</v>
      </c>
      <c r="CX15" s="143" t="s">
        <v>113</v>
      </c>
      <c r="CY15" s="143" t="s">
        <v>113</v>
      </c>
      <c r="CZ15" s="143"/>
      <c r="DA15" s="139" t="s">
        <v>113</v>
      </c>
      <c r="DB15" s="139" t="s">
        <v>113</v>
      </c>
      <c r="DC15" s="139" t="s">
        <v>113</v>
      </c>
      <c r="DD15" s="144">
        <f t="shared" si="31"/>
        <v>0</v>
      </c>
      <c r="DE15" s="145">
        <f>'[65]2. Distributional by deciles o'!$J31</f>
        <v>1</v>
      </c>
      <c r="DF15" s="1"/>
      <c r="DG15" s="1"/>
      <c r="DH15" s="1"/>
      <c r="DI15" s="1"/>
      <c r="DJ15" s="1"/>
      <c r="DK15" s="1"/>
      <c r="DL15" s="1"/>
      <c r="DM15" s="1"/>
      <c r="DN15" s="1"/>
      <c r="DO15" s="1"/>
      <c r="DP15" s="1"/>
      <c r="DQ15" s="1"/>
      <c r="DR15" s="1"/>
      <c r="DS15" s="1"/>
      <c r="DT15" s="1"/>
      <c r="DU15" s="1"/>
      <c r="DV15" s="1"/>
      <c r="DW15" s="1"/>
      <c r="DX15" s="1"/>
      <c r="DY15" s="1"/>
      <c r="DZ15" s="1"/>
      <c r="EA15" s="146">
        <f>'[66]2. Distributional by deciles o'!B67</f>
        <v>6258879200.1000042</v>
      </c>
      <c r="EB15" s="146">
        <f>'[66]2. Distributional by deciles o'!C67</f>
        <v>6434323739.2739887</v>
      </c>
      <c r="EC15" s="146">
        <f>'[66]2. Distributional by deciles o'!D67</f>
        <v>6326665798.8323956</v>
      </c>
      <c r="ED15" s="146">
        <f>'[66]2. Distributional by deciles o'!E67</f>
        <v>6421292747.1719942</v>
      </c>
      <c r="EE15" s="146">
        <f>'[66]2. Distributional by deciles o'!F67</f>
        <v>6355287557.803194</v>
      </c>
      <c r="EF15" s="146">
        <f>'[66]2. Distributional by deciles o'!G67</f>
        <v>6347224697.750392</v>
      </c>
      <c r="EG15" s="146">
        <f>'[66]2. Distributional by deciles o'!H67</f>
        <v>6335879315.811594</v>
      </c>
      <c r="EH15" s="122"/>
      <c r="EI15" s="130" t="s">
        <v>113</v>
      </c>
      <c r="EJ15" s="130" t="s">
        <v>113</v>
      </c>
      <c r="EK15" s="130" t="s">
        <v>113</v>
      </c>
      <c r="EL15" s="130" t="s">
        <v>113</v>
      </c>
      <c r="EM15" s="131">
        <f t="shared" si="32"/>
        <v>3.2272185564784532</v>
      </c>
      <c r="EN15" s="146">
        <f>'[66]2. Distributional by deciles o'!B85</f>
        <v>60966913812.070724</v>
      </c>
      <c r="EO15" s="146">
        <f>'[66]2. Distributional by deciles o'!C85</f>
        <v>61576587247.264694</v>
      </c>
      <c r="EP15" s="131">
        <f t="shared" si="33"/>
        <v>1.0000070482053092</v>
      </c>
      <c r="EQ15" s="130" t="s">
        <v>113</v>
      </c>
      <c r="ER15" s="130" t="s">
        <v>113</v>
      </c>
      <c r="ES15" s="130" t="s">
        <v>113</v>
      </c>
      <c r="ET15" s="130" t="s">
        <v>113</v>
      </c>
      <c r="EU15" s="131">
        <f t="shared" si="34"/>
        <v>6.0448032437521038</v>
      </c>
      <c r="EV15" s="132">
        <f t="shared" si="35"/>
        <v>2.8031105411135648</v>
      </c>
      <c r="EW15" s="132">
        <f t="shared" si="36"/>
        <v>1.0830392917762437</v>
      </c>
      <c r="EX15" s="132"/>
      <c r="EY15" s="148">
        <f t="shared" si="37"/>
        <v>-0.17030968165955063</v>
      </c>
      <c r="EZ15" s="144">
        <f t="shared" si="38"/>
        <v>4.6382777856679436E-2</v>
      </c>
      <c r="FA15" s="145">
        <f>'[66]2. Distributional by deciles o'!$J31</f>
        <v>0.99953617222143321</v>
      </c>
      <c r="FB15" s="130" t="s">
        <v>113</v>
      </c>
      <c r="FC15" s="130" t="s">
        <v>113</v>
      </c>
      <c r="FD15" s="130" t="s">
        <v>113</v>
      </c>
      <c r="FE15" s="130" t="s">
        <v>113</v>
      </c>
      <c r="FF15" s="130" t="s">
        <v>113</v>
      </c>
      <c r="FG15" s="130" t="s">
        <v>113</v>
      </c>
      <c r="FH15" s="130" t="s">
        <v>113</v>
      </c>
      <c r="FI15" s="130" t="s">
        <v>113</v>
      </c>
      <c r="FJ15" s="1"/>
      <c r="FK15" s="1"/>
      <c r="FL15" s="1"/>
      <c r="FM15" s="1"/>
      <c r="FN15" s="1"/>
      <c r="FO15" s="1"/>
      <c r="FP15" s="1"/>
      <c r="FQ15" s="1"/>
    </row>
    <row r="16" spans="1:173" x14ac:dyDescent="0.3">
      <c r="A16" s="1"/>
      <c r="B16" s="28">
        <v>5</v>
      </c>
      <c r="C16" s="129">
        <f>'[65]2. Distributional by deciles o'!B68</f>
        <v>9072629751.5700035</v>
      </c>
      <c r="D16" s="129">
        <f>'[65]2. Distributional by deciles o'!C68</f>
        <v>9305059071.1703873</v>
      </c>
      <c r="E16" s="129">
        <f>'[65]2. Distributional by deciles o'!D68</f>
        <v>9167627334.9791775</v>
      </c>
      <c r="F16" s="129">
        <f>'[65]2. Distributional by deciles o'!E68</f>
        <v>9279733077.1176071</v>
      </c>
      <c r="G16" s="129">
        <f>'[65]2. Distributional by deciles o'!F68</f>
        <v>9218290829.9375839</v>
      </c>
      <c r="H16" s="129">
        <f>'[65]2. Distributional by deciles o'!G68</f>
        <v>9190288854.7895889</v>
      </c>
      <c r="I16" s="129">
        <f>'[65]2. Distributional by deciles o'!H68</f>
        <v>9167063850.4991837</v>
      </c>
      <c r="J16" s="122"/>
      <c r="K16" s="130" t="s">
        <v>113</v>
      </c>
      <c r="L16" s="130" t="s">
        <v>113</v>
      </c>
      <c r="M16" s="130" t="s">
        <v>113</v>
      </c>
      <c r="N16" s="130" t="s">
        <v>113</v>
      </c>
      <c r="O16" s="131">
        <f t="shared" si="0"/>
        <v>5.1341919470276771</v>
      </c>
      <c r="P16" s="129">
        <f>'[65]2. Distributional by deciles o'!B86</f>
        <v>71812501087.02478</v>
      </c>
      <c r="Q16" s="129">
        <f>'[65]2. Distributional by deciles o'!C86</f>
        <v>72530628986.155106</v>
      </c>
      <c r="R16" s="131">
        <f t="shared" si="1"/>
        <v>1.0000040219460882</v>
      </c>
      <c r="S16" s="130" t="s">
        <v>113</v>
      </c>
      <c r="T16" s="130" t="s">
        <v>113</v>
      </c>
      <c r="U16" s="130" t="s">
        <v>113</v>
      </c>
      <c r="V16" s="130" t="s">
        <v>113</v>
      </c>
      <c r="W16" s="132">
        <f t="shared" si="2"/>
        <v>2.5618634414760444</v>
      </c>
      <c r="X16" s="132">
        <f t="shared" si="3"/>
        <v>1.0470745961953596</v>
      </c>
      <c r="Y16" s="132">
        <f t="shared" si="4"/>
        <v>2.2827173406553367</v>
      </c>
      <c r="Z16" s="132">
        <f t="shared" si="5"/>
        <v>1.6054936277293359</v>
      </c>
      <c r="AA16" s="132">
        <f t="shared" si="6"/>
        <v>1.2968525468876113</v>
      </c>
      <c r="AB16" s="132">
        <f t="shared" si="7"/>
        <v>1.0408638036343469</v>
      </c>
      <c r="AC16" s="132">
        <f t="shared" si="8"/>
        <v>1.0408638036343469</v>
      </c>
      <c r="AD16" s="130" t="s">
        <v>113</v>
      </c>
      <c r="AE16" s="130" t="s">
        <v>113</v>
      </c>
      <c r="AF16" s="130" t="s">
        <v>113</v>
      </c>
      <c r="AG16" s="130" t="s">
        <v>113</v>
      </c>
      <c r="AH16" s="133">
        <f t="shared" si="9"/>
        <v>1</v>
      </c>
      <c r="AI16" s="134">
        <f t="shared" si="10"/>
        <v>4.086380363434694E-2</v>
      </c>
      <c r="AJ16" s="134">
        <f t="shared" si="11"/>
        <v>0.27914610082070768</v>
      </c>
      <c r="AK16" s="134">
        <f t="shared" si="12"/>
        <v>0.67722371292600081</v>
      </c>
      <c r="AL16" s="134">
        <f t="shared" si="13"/>
        <v>0.30864108084172459</v>
      </c>
      <c r="AM16" s="134">
        <f t="shared" si="14"/>
        <v>0.25598874325326437</v>
      </c>
      <c r="AN16" s="135">
        <f t="shared" si="15"/>
        <v>0</v>
      </c>
      <c r="AO16" s="134">
        <f t="shared" si="16"/>
        <v>0</v>
      </c>
      <c r="AP16" s="134">
        <f t="shared" si="17"/>
        <v>4.086380363434694E-2</v>
      </c>
      <c r="AQ16" s="136" t="s">
        <v>113</v>
      </c>
      <c r="AR16" s="137">
        <f t="shared" si="18"/>
        <v>2.6163493266561426</v>
      </c>
      <c r="AS16" s="137">
        <f t="shared" si="19"/>
        <v>17.872631717206961</v>
      </c>
      <c r="AT16" s="137">
        <f t="shared" si="20"/>
        <v>43.359982373746334</v>
      </c>
      <c r="AU16" s="137">
        <f t="shared" si="21"/>
        <v>19.761079787490402</v>
      </c>
      <c r="AV16" s="137">
        <f t="shared" si="22"/>
        <v>16.389956794900158</v>
      </c>
      <c r="AW16" s="138">
        <f t="shared" si="23"/>
        <v>0</v>
      </c>
      <c r="AX16" s="137">
        <f t="shared" si="24"/>
        <v>0</v>
      </c>
      <c r="AY16" s="137">
        <f t="shared" si="25"/>
        <v>2.6163493266561426</v>
      </c>
      <c r="AZ16" s="139" t="s">
        <v>113</v>
      </c>
      <c r="BA16" s="139" t="s">
        <v>113</v>
      </c>
      <c r="BB16" s="139" t="s">
        <v>113</v>
      </c>
      <c r="BC16" s="139" t="s">
        <v>113</v>
      </c>
      <c r="BD16" s="139" t="s">
        <v>113</v>
      </c>
      <c r="BE16" s="139" t="s">
        <v>113</v>
      </c>
      <c r="BF16" s="139" t="s">
        <v>113</v>
      </c>
      <c r="BG16" s="139" t="s">
        <v>113</v>
      </c>
      <c r="BH16" s="140">
        <f>'[65]2. Distributional by deciles o'!$B104</f>
        <v>35283876877.430382</v>
      </c>
      <c r="BI16" s="140">
        <f>'[65]2. Distributional by deciles o'!$B122</f>
        <v>28604699821.642784</v>
      </c>
      <c r="BJ16" s="140">
        <f>'[65]2. Distributional by deciles o'!$B140</f>
        <v>7125658666.7147999</v>
      </c>
      <c r="BK16" s="140">
        <f>'[65]2. Distributional by deciles o'!$B158</f>
        <v>798265895.09039998</v>
      </c>
      <c r="BL16" s="141">
        <f t="shared" si="26"/>
        <v>0.49133335085004415</v>
      </c>
      <c r="BM16" s="141">
        <f t="shared" si="27"/>
        <v>0.39832479470013815</v>
      </c>
      <c r="BN16" s="141">
        <f t="shared" si="28"/>
        <v>9.9225880474889949E-2</v>
      </c>
      <c r="BO16" s="141">
        <f t="shared" si="29"/>
        <v>1.1115973974927888E-2</v>
      </c>
      <c r="BP16" s="139" t="s">
        <v>113</v>
      </c>
      <c r="BQ16" s="139" t="s">
        <v>113</v>
      </c>
      <c r="BR16" s="139" t="s">
        <v>113</v>
      </c>
      <c r="BS16" s="131">
        <f t="shared" si="30"/>
        <v>7.6862820780740249</v>
      </c>
      <c r="BT16" s="139"/>
      <c r="BU16" s="139"/>
      <c r="BV16" s="139"/>
      <c r="BW16" s="139"/>
      <c r="BX16" s="139"/>
      <c r="BY16" s="139"/>
      <c r="BZ16" s="139"/>
      <c r="CA16" s="139"/>
      <c r="CB16" s="139"/>
      <c r="CC16" s="142" t="s">
        <v>113</v>
      </c>
      <c r="CD16" s="142" t="s">
        <v>113</v>
      </c>
      <c r="CE16" s="142" t="s">
        <v>113</v>
      </c>
      <c r="CF16" s="142" t="s">
        <v>113</v>
      </c>
      <c r="CG16" s="142" t="s">
        <v>113</v>
      </c>
      <c r="CH16" s="142" t="s">
        <v>113</v>
      </c>
      <c r="CI16" s="142" t="s">
        <v>113</v>
      </c>
      <c r="CJ16" s="142"/>
      <c r="CK16" s="139" t="s">
        <v>113</v>
      </c>
      <c r="CL16" s="139" t="s">
        <v>113</v>
      </c>
      <c r="CM16" s="139" t="s">
        <v>113</v>
      </c>
      <c r="CN16" s="139" t="s">
        <v>113</v>
      </c>
      <c r="CO16" s="139" t="s">
        <v>113</v>
      </c>
      <c r="CP16" s="139" t="s">
        <v>113</v>
      </c>
      <c r="CQ16" s="139" t="s">
        <v>113</v>
      </c>
      <c r="CR16" s="139"/>
      <c r="CS16" s="143" t="s">
        <v>113</v>
      </c>
      <c r="CT16" s="143" t="s">
        <v>113</v>
      </c>
      <c r="CU16" s="143" t="s">
        <v>113</v>
      </c>
      <c r="CV16" s="143" t="s">
        <v>113</v>
      </c>
      <c r="CW16" s="143" t="s">
        <v>113</v>
      </c>
      <c r="CX16" s="143" t="s">
        <v>113</v>
      </c>
      <c r="CY16" s="143" t="s">
        <v>113</v>
      </c>
      <c r="CZ16" s="143"/>
      <c r="DA16" s="139" t="s">
        <v>113</v>
      </c>
      <c r="DB16" s="139" t="s">
        <v>113</v>
      </c>
      <c r="DC16" s="139" t="s">
        <v>113</v>
      </c>
      <c r="DD16" s="144">
        <f t="shared" si="31"/>
        <v>0</v>
      </c>
      <c r="DE16" s="145">
        <f>'[65]2. Distributional by deciles o'!$J32</f>
        <v>1</v>
      </c>
      <c r="DF16" s="1"/>
      <c r="DG16" s="1"/>
      <c r="DH16" s="1"/>
      <c r="DI16" s="1"/>
      <c r="DJ16" s="1"/>
      <c r="DK16" s="1"/>
      <c r="DL16" s="1"/>
      <c r="DM16" s="1"/>
      <c r="DN16" s="1"/>
      <c r="DO16" s="1"/>
      <c r="DP16" s="1"/>
      <c r="DQ16" s="1"/>
      <c r="DR16" s="1"/>
      <c r="DS16" s="1"/>
      <c r="DT16" s="1"/>
      <c r="DU16" s="1"/>
      <c r="DV16" s="1"/>
      <c r="DW16" s="1"/>
      <c r="DX16" s="1"/>
      <c r="DY16" s="1"/>
      <c r="DZ16" s="1"/>
      <c r="EA16" s="146">
        <f>'[66]2. Distributional by deciles o'!B68</f>
        <v>10291657264.178381</v>
      </c>
      <c r="EB16" s="146">
        <f>'[66]2. Distributional by deciles o'!C68</f>
        <v>10519976253.392414</v>
      </c>
      <c r="EC16" s="146">
        <f>'[66]2. Distributional by deciles o'!D68</f>
        <v>10399304436.538797</v>
      </c>
      <c r="ED16" s="146">
        <f>'[66]2. Distributional by deciles o'!E68</f>
        <v>10495169050.045206</v>
      </c>
      <c r="EE16" s="146">
        <f>'[66]2. Distributional by deciles o'!F68</f>
        <v>10421804016.272406</v>
      </c>
      <c r="EF16" s="146">
        <f>'[66]2. Distributional by deciles o'!G68</f>
        <v>10407431130.913208</v>
      </c>
      <c r="EG16" s="146">
        <f>'[66]2. Distributional by deciles o'!H68</f>
        <v>10396700934.664801</v>
      </c>
      <c r="EH16" s="122"/>
      <c r="EI16" s="130" t="s">
        <v>113</v>
      </c>
      <c r="EJ16" s="130" t="s">
        <v>113</v>
      </c>
      <c r="EK16" s="130" t="s">
        <v>113</v>
      </c>
      <c r="EL16" s="130" t="s">
        <v>113</v>
      </c>
      <c r="EM16" s="131">
        <f t="shared" si="32"/>
        <v>5.3066094164817983</v>
      </c>
      <c r="EN16" s="146">
        <f>'[66]2. Distributional by deciles o'!B86</f>
        <v>77186170261.651199</v>
      </c>
      <c r="EO16" s="146">
        <f>'[66]2. Distributional by deciles o'!C86</f>
        <v>77958036214.322449</v>
      </c>
      <c r="EP16" s="131">
        <f t="shared" si="33"/>
        <v>1.0000055062386437</v>
      </c>
      <c r="EQ16" s="130" t="s">
        <v>113</v>
      </c>
      <c r="ER16" s="130" t="s">
        <v>113</v>
      </c>
      <c r="ES16" s="130" t="s">
        <v>113</v>
      </c>
      <c r="ET16" s="130" t="s">
        <v>113</v>
      </c>
      <c r="EU16" s="131">
        <f t="shared" si="34"/>
        <v>7.6529248931418774</v>
      </c>
      <c r="EV16" s="132">
        <f t="shared" si="35"/>
        <v>2.2184739170901775</v>
      </c>
      <c r="EW16" s="132">
        <f t="shared" si="36"/>
        <v>1.0459596240863893</v>
      </c>
      <c r="EX16" s="132"/>
      <c r="EY16" s="148">
        <f t="shared" si="37"/>
        <v>-0.3433895243858669</v>
      </c>
      <c r="EZ16" s="144">
        <f t="shared" si="38"/>
        <v>0</v>
      </c>
      <c r="FA16" s="145">
        <f>'[66]2. Distributional by deciles o'!$J32</f>
        <v>1</v>
      </c>
      <c r="FB16" s="130" t="s">
        <v>113</v>
      </c>
      <c r="FC16" s="130" t="s">
        <v>113</v>
      </c>
      <c r="FD16" s="130" t="s">
        <v>113</v>
      </c>
      <c r="FE16" s="130" t="s">
        <v>113</v>
      </c>
      <c r="FF16" s="130" t="s">
        <v>113</v>
      </c>
      <c r="FG16" s="130" t="s">
        <v>113</v>
      </c>
      <c r="FH16" s="130" t="s">
        <v>113</v>
      </c>
      <c r="FI16" s="130" t="s">
        <v>113</v>
      </c>
      <c r="FJ16" s="1"/>
      <c r="FK16" s="1"/>
      <c r="FL16" s="1"/>
      <c r="FM16" s="1"/>
      <c r="FN16" s="1"/>
      <c r="FO16" s="1"/>
      <c r="FP16" s="1"/>
      <c r="FQ16" s="1"/>
    </row>
    <row r="17" spans="1:173" x14ac:dyDescent="0.3">
      <c r="A17" s="1"/>
      <c r="B17" s="28">
        <v>6</v>
      </c>
      <c r="C17" s="129">
        <f>'[65]2. Distributional by deciles o'!B69</f>
        <v>12401515881.824398</v>
      </c>
      <c r="D17" s="129">
        <f>'[65]2. Distributional by deciles o'!C69</f>
        <v>12686021249.782831</v>
      </c>
      <c r="E17" s="129">
        <f>'[65]2. Distributional by deciles o'!D69</f>
        <v>12532745237.504398</v>
      </c>
      <c r="F17" s="129">
        <f>'[65]2. Distributional by deciles o'!E69</f>
        <v>12646786946.037613</v>
      </c>
      <c r="G17" s="129">
        <f>'[65]2. Distributional by deciles o'!F69</f>
        <v>12581335818.165609</v>
      </c>
      <c r="H17" s="129">
        <f>'[65]2. Distributional by deciles o'!G69</f>
        <v>12552228407.6964</v>
      </c>
      <c r="I17" s="129">
        <f>'[65]2. Distributional by deciles o'!H69</f>
        <v>12532303663.7052</v>
      </c>
      <c r="J17" s="122"/>
      <c r="K17" s="130" t="s">
        <v>113</v>
      </c>
      <c r="L17" s="130" t="s">
        <v>113</v>
      </c>
      <c r="M17" s="130" t="s">
        <v>113</v>
      </c>
      <c r="N17" s="130" t="s">
        <v>113</v>
      </c>
      <c r="O17" s="131">
        <f t="shared" si="0"/>
        <v>7.0180052217363302</v>
      </c>
      <c r="P17" s="129">
        <f>'[65]2. Distributional by deciles o'!B87</f>
        <v>85273291803.188522</v>
      </c>
      <c r="Q17" s="129">
        <f>'[65]2. Distributional by deciles o'!C87</f>
        <v>86126027509.484528</v>
      </c>
      <c r="R17" s="131">
        <f t="shared" si="1"/>
        <v>1.000003269797678</v>
      </c>
      <c r="S17" s="130" t="s">
        <v>113</v>
      </c>
      <c r="T17" s="130" t="s">
        <v>113</v>
      </c>
      <c r="U17" s="130" t="s">
        <v>113</v>
      </c>
      <c r="V17" s="130" t="s">
        <v>113</v>
      </c>
      <c r="W17" s="132">
        <f t="shared" si="2"/>
        <v>2.2941101748976651</v>
      </c>
      <c r="X17" s="132">
        <f t="shared" si="3"/>
        <v>1.058168435523994</v>
      </c>
      <c r="Y17" s="132">
        <f t="shared" si="4"/>
        <v>1.977744209387724</v>
      </c>
      <c r="Z17" s="132">
        <f t="shared" si="5"/>
        <v>1.4499787774482145</v>
      </c>
      <c r="AA17" s="132">
        <f t="shared" si="6"/>
        <v>1.2152710564603533</v>
      </c>
      <c r="AB17" s="132">
        <f t="shared" si="7"/>
        <v>1.0546078034242272</v>
      </c>
      <c r="AC17" s="132">
        <f t="shared" si="8"/>
        <v>1.0546078034242272</v>
      </c>
      <c r="AD17" s="130" t="s">
        <v>113</v>
      </c>
      <c r="AE17" s="130" t="s">
        <v>113</v>
      </c>
      <c r="AF17" s="130" t="s">
        <v>113</v>
      </c>
      <c r="AG17" s="130" t="s">
        <v>113</v>
      </c>
      <c r="AH17" s="133">
        <f t="shared" si="9"/>
        <v>1</v>
      </c>
      <c r="AI17" s="134">
        <f t="shared" si="10"/>
        <v>5.4607803424227441E-2</v>
      </c>
      <c r="AJ17" s="134">
        <f t="shared" si="11"/>
        <v>0.31636596550994112</v>
      </c>
      <c r="AK17" s="134">
        <f t="shared" si="12"/>
        <v>0.52776543193950953</v>
      </c>
      <c r="AL17" s="134">
        <f t="shared" si="13"/>
        <v>0.23470772098786119</v>
      </c>
      <c r="AM17" s="134">
        <f t="shared" si="14"/>
        <v>0.16066325303612605</v>
      </c>
      <c r="AN17" s="135">
        <f t="shared" si="15"/>
        <v>0</v>
      </c>
      <c r="AO17" s="134">
        <f t="shared" si="16"/>
        <v>0</v>
      </c>
      <c r="AP17" s="134">
        <f t="shared" si="17"/>
        <v>5.4607803424227441E-2</v>
      </c>
      <c r="AQ17" s="136" t="s">
        <v>113</v>
      </c>
      <c r="AR17" s="137">
        <f t="shared" si="18"/>
        <v>4.21971826537456</v>
      </c>
      <c r="AS17" s="137">
        <f t="shared" si="19"/>
        <v>24.446602124502924</v>
      </c>
      <c r="AT17" s="137">
        <f t="shared" si="20"/>
        <v>40.782109759800313</v>
      </c>
      <c r="AU17" s="137">
        <f t="shared" si="21"/>
        <v>18.136610432448016</v>
      </c>
      <c r="AV17" s="137">
        <f t="shared" si="22"/>
        <v>12.414959417874208</v>
      </c>
      <c r="AW17" s="138">
        <f t="shared" si="23"/>
        <v>0</v>
      </c>
      <c r="AX17" s="137">
        <f t="shared" si="24"/>
        <v>0</v>
      </c>
      <c r="AY17" s="137">
        <f t="shared" si="25"/>
        <v>4.21971826537456</v>
      </c>
      <c r="AZ17" s="139" t="s">
        <v>113</v>
      </c>
      <c r="BA17" s="139" t="s">
        <v>113</v>
      </c>
      <c r="BB17" s="139" t="s">
        <v>113</v>
      </c>
      <c r="BC17" s="139" t="s">
        <v>113</v>
      </c>
      <c r="BD17" s="139" t="s">
        <v>113</v>
      </c>
      <c r="BE17" s="139" t="s">
        <v>113</v>
      </c>
      <c r="BF17" s="139" t="s">
        <v>113</v>
      </c>
      <c r="BG17" s="139" t="s">
        <v>113</v>
      </c>
      <c r="BH17" s="140">
        <f>'[65]2. Distributional by deciles o'!$B105</f>
        <v>45832476703.272041</v>
      </c>
      <c r="BI17" s="140">
        <f>'[65]2. Distributional by deciles o'!$B123</f>
        <v>29854672598.177982</v>
      </c>
      <c r="BJ17" s="140">
        <f>'[65]2. Distributional by deciles o'!$B141</f>
        <v>8212289683.9008064</v>
      </c>
      <c r="BK17" s="140">
        <f>'[65]2. Distributional by deciles o'!$B159</f>
        <v>1373853850.4291999</v>
      </c>
      <c r="BL17" s="141">
        <f t="shared" si="26"/>
        <v>0.53747750531384519</v>
      </c>
      <c r="BM17" s="141">
        <f t="shared" si="27"/>
        <v>0.35010577878905585</v>
      </c>
      <c r="BN17" s="141">
        <f t="shared" si="28"/>
        <v>9.6305530263925632E-2</v>
      </c>
      <c r="BO17" s="141">
        <f t="shared" si="29"/>
        <v>1.6111185633173312E-2</v>
      </c>
      <c r="BP17" s="139" t="s">
        <v>113</v>
      </c>
      <c r="BQ17" s="139" t="s">
        <v>113</v>
      </c>
      <c r="BR17" s="139" t="s">
        <v>113</v>
      </c>
      <c r="BS17" s="131">
        <f t="shared" si="30"/>
        <v>9.1270261389579943</v>
      </c>
      <c r="BT17" s="139"/>
      <c r="BU17" s="139"/>
      <c r="BV17" s="139"/>
      <c r="BW17" s="139"/>
      <c r="BX17" s="139"/>
      <c r="BY17" s="139"/>
      <c r="BZ17" s="139"/>
      <c r="CA17" s="139"/>
      <c r="CB17" s="139"/>
      <c r="CC17" s="142" t="s">
        <v>113</v>
      </c>
      <c r="CD17" s="142" t="s">
        <v>113</v>
      </c>
      <c r="CE17" s="142" t="s">
        <v>113</v>
      </c>
      <c r="CF17" s="142" t="s">
        <v>113</v>
      </c>
      <c r="CG17" s="142" t="s">
        <v>113</v>
      </c>
      <c r="CH17" s="142" t="s">
        <v>113</v>
      </c>
      <c r="CI17" s="142" t="s">
        <v>113</v>
      </c>
      <c r="CJ17" s="142"/>
      <c r="CK17" s="139" t="s">
        <v>113</v>
      </c>
      <c r="CL17" s="139" t="s">
        <v>113</v>
      </c>
      <c r="CM17" s="139" t="s">
        <v>113</v>
      </c>
      <c r="CN17" s="139" t="s">
        <v>113</v>
      </c>
      <c r="CO17" s="139" t="s">
        <v>113</v>
      </c>
      <c r="CP17" s="139" t="s">
        <v>113</v>
      </c>
      <c r="CQ17" s="139" t="s">
        <v>113</v>
      </c>
      <c r="CR17" s="139"/>
      <c r="CS17" s="143" t="s">
        <v>113</v>
      </c>
      <c r="CT17" s="143" t="s">
        <v>113</v>
      </c>
      <c r="CU17" s="143" t="s">
        <v>113</v>
      </c>
      <c r="CV17" s="143" t="s">
        <v>113</v>
      </c>
      <c r="CW17" s="143" t="s">
        <v>113</v>
      </c>
      <c r="CX17" s="143" t="s">
        <v>113</v>
      </c>
      <c r="CY17" s="143" t="s">
        <v>113</v>
      </c>
      <c r="CZ17" s="143"/>
      <c r="DA17" s="139" t="s">
        <v>113</v>
      </c>
      <c r="DB17" s="139" t="s">
        <v>113</v>
      </c>
      <c r="DC17" s="139" t="s">
        <v>113</v>
      </c>
      <c r="DD17" s="144">
        <f t="shared" si="31"/>
        <v>0</v>
      </c>
      <c r="DE17" s="145">
        <f>'[65]2. Distributional by deciles o'!$J33</f>
        <v>1</v>
      </c>
      <c r="DF17" s="1"/>
      <c r="DG17" s="1"/>
      <c r="DH17" s="1"/>
      <c r="DI17" s="1"/>
      <c r="DJ17" s="1"/>
      <c r="DK17" s="1"/>
      <c r="DL17" s="1"/>
      <c r="DM17" s="1"/>
      <c r="DN17" s="1"/>
      <c r="DO17" s="1"/>
      <c r="DP17" s="1"/>
      <c r="DQ17" s="1"/>
      <c r="DR17" s="1"/>
      <c r="DS17" s="1"/>
      <c r="DT17" s="1"/>
      <c r="DU17" s="1"/>
      <c r="DV17" s="1"/>
      <c r="DW17" s="1"/>
      <c r="DX17" s="1"/>
      <c r="DY17" s="1"/>
      <c r="DZ17" s="1"/>
      <c r="EA17" s="146">
        <f>'[66]2. Distributional by deciles o'!B69</f>
        <v>14207366893.582798</v>
      </c>
      <c r="EB17" s="146">
        <f>'[66]2. Distributional by deciles o'!C69</f>
        <v>14514175295.686827</v>
      </c>
      <c r="EC17" s="146">
        <f>'[66]2. Distributional by deciles o'!D69</f>
        <v>14359497341.943615</v>
      </c>
      <c r="ED17" s="146">
        <f>'[66]2. Distributional by deciles o'!E69</f>
        <v>14475708146.762398</v>
      </c>
      <c r="EE17" s="146">
        <f>'[66]2. Distributional by deciles o'!F69</f>
        <v>14378417863.4664</v>
      </c>
      <c r="EF17" s="146">
        <f>'[66]2. Distributional by deciles o'!G69</f>
        <v>14376940854.043184</v>
      </c>
      <c r="EG17" s="146">
        <f>'[66]2. Distributional by deciles o'!H69</f>
        <v>14366333399.582386</v>
      </c>
      <c r="EH17" s="122"/>
      <c r="EI17" s="130" t="s">
        <v>113</v>
      </c>
      <c r="EJ17" s="130" t="s">
        <v>113</v>
      </c>
      <c r="EK17" s="130" t="s">
        <v>113</v>
      </c>
      <c r="EL17" s="130" t="s">
        <v>113</v>
      </c>
      <c r="EM17" s="131">
        <f t="shared" si="32"/>
        <v>7.3256371647076133</v>
      </c>
      <c r="EN17" s="146">
        <f>'[66]2. Distributional by deciles o'!B87</f>
        <v>92331225543.27475</v>
      </c>
      <c r="EO17" s="146">
        <f>'[66]2. Distributional by deciles o'!C87</f>
        <v>93254532901.025955</v>
      </c>
      <c r="EP17" s="131">
        <f t="shared" si="33"/>
        <v>0.99999469553067044</v>
      </c>
      <c r="EQ17" s="130" t="s">
        <v>113</v>
      </c>
      <c r="ER17" s="130" t="s">
        <v>113</v>
      </c>
      <c r="ES17" s="130" t="s">
        <v>113</v>
      </c>
      <c r="ET17" s="130" t="s">
        <v>113</v>
      </c>
      <c r="EU17" s="131">
        <f t="shared" si="34"/>
        <v>9.1545406642035481</v>
      </c>
      <c r="EV17" s="132">
        <f t="shared" si="35"/>
        <v>2.1595136654561999</v>
      </c>
      <c r="EW17" s="132">
        <f t="shared" si="36"/>
        <v>1.0707913470237036</v>
      </c>
      <c r="EX17" s="132"/>
      <c r="EY17" s="148">
        <f t="shared" si="37"/>
        <v>-0.13459650944146517</v>
      </c>
      <c r="EZ17" s="144">
        <f t="shared" si="38"/>
        <v>0</v>
      </c>
      <c r="FA17" s="145">
        <f>'[66]2. Distributional by deciles o'!$J33</f>
        <v>1</v>
      </c>
      <c r="FB17" s="130" t="s">
        <v>113</v>
      </c>
      <c r="FC17" s="130" t="s">
        <v>113</v>
      </c>
      <c r="FD17" s="130" t="s">
        <v>113</v>
      </c>
      <c r="FE17" s="130" t="s">
        <v>113</v>
      </c>
      <c r="FF17" s="130" t="s">
        <v>113</v>
      </c>
      <c r="FG17" s="130" t="s">
        <v>113</v>
      </c>
      <c r="FH17" s="130" t="s">
        <v>113</v>
      </c>
      <c r="FI17" s="130" t="s">
        <v>113</v>
      </c>
      <c r="FJ17" s="1"/>
      <c r="FK17" s="1"/>
      <c r="FL17" s="1"/>
      <c r="FM17" s="1"/>
      <c r="FN17" s="1"/>
      <c r="FO17" s="1"/>
      <c r="FP17" s="1"/>
      <c r="FQ17" s="1"/>
    </row>
    <row r="18" spans="1:173" x14ac:dyDescent="0.3">
      <c r="A18" s="1"/>
      <c r="B18" s="28">
        <v>7</v>
      </c>
      <c r="C18" s="129">
        <f>'[65]2. Distributional by deciles o'!B70</f>
        <v>17253946837.760384</v>
      </c>
      <c r="D18" s="129">
        <f>'[65]2. Distributional by deciles o'!C70</f>
        <v>17621539976.936378</v>
      </c>
      <c r="E18" s="129">
        <f>'[65]2. Distributional by deciles o'!D70</f>
        <v>17436229742.799622</v>
      </c>
      <c r="F18" s="129">
        <f>'[65]2. Distributional by deciles o'!E70</f>
        <v>17569011797.495964</v>
      </c>
      <c r="G18" s="129">
        <f>'[65]2. Distributional by deciles o'!F70</f>
        <v>17496043149.873634</v>
      </c>
      <c r="H18" s="129">
        <f>'[65]2. Distributional by deciles o'!G70</f>
        <v>17456707651.10524</v>
      </c>
      <c r="I18" s="129">
        <f>'[65]2. Distributional by deciles o'!H70</f>
        <v>17437251766.792816</v>
      </c>
      <c r="J18" s="122"/>
      <c r="K18" s="130" t="s">
        <v>113</v>
      </c>
      <c r="L18" s="130" t="s">
        <v>113</v>
      </c>
      <c r="M18" s="130" t="s">
        <v>113</v>
      </c>
      <c r="N18" s="130" t="s">
        <v>113</v>
      </c>
      <c r="O18" s="131">
        <f t="shared" si="0"/>
        <v>9.7639909634297073</v>
      </c>
      <c r="P18" s="129">
        <f>'[65]2. Distributional by deciles o'!B88</f>
        <v>103813992816.1655</v>
      </c>
      <c r="Q18" s="129">
        <f>'[65]2. Distributional by deciles o'!C88</f>
        <v>104852130681.85571</v>
      </c>
      <c r="R18" s="131">
        <f t="shared" si="1"/>
        <v>0.9999980133011066</v>
      </c>
      <c r="S18" s="130" t="s">
        <v>113</v>
      </c>
      <c r="T18" s="130" t="s">
        <v>113</v>
      </c>
      <c r="U18" s="130" t="s">
        <v>113</v>
      </c>
      <c r="V18" s="130" t="s">
        <v>113</v>
      </c>
      <c r="W18" s="132">
        <f t="shared" si="2"/>
        <v>2.1304914923572551</v>
      </c>
      <c r="X18" s="132">
        <f t="shared" si="3"/>
        <v>1.0564728690497351</v>
      </c>
      <c r="Y18" s="132">
        <f t="shared" si="4"/>
        <v>1.8260493592486768</v>
      </c>
      <c r="Z18" s="132">
        <f t="shared" si="5"/>
        <v>1.403138628877951</v>
      </c>
      <c r="AA18" s="132">
        <f t="shared" si="6"/>
        <v>1.1751584612895392</v>
      </c>
      <c r="AB18" s="132">
        <f t="shared" si="7"/>
        <v>1.0623963022981548</v>
      </c>
      <c r="AC18" s="132">
        <f t="shared" si="8"/>
        <v>1.0623963022981548</v>
      </c>
      <c r="AD18" s="130" t="s">
        <v>113</v>
      </c>
      <c r="AE18" s="130" t="s">
        <v>113</v>
      </c>
      <c r="AF18" s="130" t="s">
        <v>113</v>
      </c>
      <c r="AG18" s="130" t="s">
        <v>113</v>
      </c>
      <c r="AH18" s="133">
        <f t="shared" si="9"/>
        <v>1</v>
      </c>
      <c r="AI18" s="134">
        <f t="shared" si="10"/>
        <v>5.6472869049735142E-2</v>
      </c>
      <c r="AJ18" s="134">
        <f t="shared" si="11"/>
        <v>0.30444213310857826</v>
      </c>
      <c r="AK18" s="134">
        <f t="shared" si="12"/>
        <v>0.4229107303707258</v>
      </c>
      <c r="AL18" s="134">
        <f t="shared" si="13"/>
        <v>0.22798016758841189</v>
      </c>
      <c r="AM18" s="134">
        <f t="shared" si="14"/>
        <v>0.11276215899138431</v>
      </c>
      <c r="AN18" s="135">
        <f t="shared" si="15"/>
        <v>0</v>
      </c>
      <c r="AO18" s="134">
        <f t="shared" si="16"/>
        <v>5.9234332484197072E-3</v>
      </c>
      <c r="AP18" s="134">
        <f t="shared" si="17"/>
        <v>6.2396302298154849E-2</v>
      </c>
      <c r="AQ18" s="136" t="s">
        <v>113</v>
      </c>
      <c r="AR18" s="137">
        <f t="shared" si="18"/>
        <v>4.9954262753433198</v>
      </c>
      <c r="AS18" s="137">
        <f t="shared" si="19"/>
        <v>26.930068484970892</v>
      </c>
      <c r="AT18" s="137">
        <f t="shared" si="20"/>
        <v>37.409457145837465</v>
      </c>
      <c r="AU18" s="137">
        <f t="shared" si="21"/>
        <v>20.166464686349549</v>
      </c>
      <c r="AV18" s="137">
        <f t="shared" si="22"/>
        <v>9.9746136750005281</v>
      </c>
      <c r="AW18" s="138">
        <f t="shared" si="23"/>
        <v>0</v>
      </c>
      <c r="AX18" s="137">
        <f t="shared" si="24"/>
        <v>0.52396973249824319</v>
      </c>
      <c r="AY18" s="137">
        <f t="shared" si="25"/>
        <v>5.5193960078415634</v>
      </c>
      <c r="AZ18" s="139" t="s">
        <v>113</v>
      </c>
      <c r="BA18" s="139" t="s">
        <v>113</v>
      </c>
      <c r="BB18" s="139" t="s">
        <v>113</v>
      </c>
      <c r="BC18" s="139" t="s">
        <v>113</v>
      </c>
      <c r="BD18" s="139" t="s">
        <v>113</v>
      </c>
      <c r="BE18" s="139" t="s">
        <v>113</v>
      </c>
      <c r="BF18" s="139" t="s">
        <v>113</v>
      </c>
      <c r="BG18" s="139" t="s">
        <v>113</v>
      </c>
      <c r="BH18" s="140">
        <f>'[65]2. Distributional by deciles o'!$B106</f>
        <v>60753003166.850372</v>
      </c>
      <c r="BI18" s="140">
        <f>'[65]2. Distributional by deciles o'!$B124</f>
        <v>33285874905.112823</v>
      </c>
      <c r="BJ18" s="140">
        <f>'[65]2. Distributional by deciles o'!$B142</f>
        <v>8447523389.5847969</v>
      </c>
      <c r="BK18" s="140">
        <f>'[65]2. Distributional by deciles o'!$B160</f>
        <v>1327591392.5675998</v>
      </c>
      <c r="BL18" s="141">
        <f t="shared" si="26"/>
        <v>0.58521015805859056</v>
      </c>
      <c r="BM18" s="141">
        <f t="shared" si="27"/>
        <v>0.32062994582905346</v>
      </c>
      <c r="BN18" s="141">
        <f t="shared" si="28"/>
        <v>8.1371722224918785E-2</v>
      </c>
      <c r="BO18" s="141">
        <f t="shared" si="29"/>
        <v>1.2788173887437266E-2</v>
      </c>
      <c r="BP18" s="139" t="s">
        <v>113</v>
      </c>
      <c r="BQ18" s="139" t="s">
        <v>113</v>
      </c>
      <c r="BR18" s="139" t="s">
        <v>113</v>
      </c>
      <c r="BS18" s="131">
        <f t="shared" si="30"/>
        <v>11.111486445364488</v>
      </c>
      <c r="BT18" s="139"/>
      <c r="BU18" s="139"/>
      <c r="BV18" s="139"/>
      <c r="BW18" s="139"/>
      <c r="BX18" s="139"/>
      <c r="BY18" s="139"/>
      <c r="BZ18" s="139"/>
      <c r="CA18" s="139"/>
      <c r="CB18" s="139"/>
      <c r="CC18" s="142" t="s">
        <v>113</v>
      </c>
      <c r="CD18" s="142" t="s">
        <v>113</v>
      </c>
      <c r="CE18" s="142" t="s">
        <v>113</v>
      </c>
      <c r="CF18" s="142" t="s">
        <v>113</v>
      </c>
      <c r="CG18" s="142" t="s">
        <v>113</v>
      </c>
      <c r="CH18" s="142" t="s">
        <v>113</v>
      </c>
      <c r="CI18" s="142" t="s">
        <v>113</v>
      </c>
      <c r="CJ18" s="142"/>
      <c r="CK18" s="139" t="s">
        <v>113</v>
      </c>
      <c r="CL18" s="139" t="s">
        <v>113</v>
      </c>
      <c r="CM18" s="139" t="s">
        <v>113</v>
      </c>
      <c r="CN18" s="139" t="s">
        <v>113</v>
      </c>
      <c r="CO18" s="139" t="s">
        <v>113</v>
      </c>
      <c r="CP18" s="139" t="s">
        <v>113</v>
      </c>
      <c r="CQ18" s="139" t="s">
        <v>113</v>
      </c>
      <c r="CR18" s="139"/>
      <c r="CS18" s="143" t="s">
        <v>113</v>
      </c>
      <c r="CT18" s="143" t="s">
        <v>113</v>
      </c>
      <c r="CU18" s="143" t="s">
        <v>113</v>
      </c>
      <c r="CV18" s="143" t="s">
        <v>113</v>
      </c>
      <c r="CW18" s="143" t="s">
        <v>113</v>
      </c>
      <c r="CX18" s="143" t="s">
        <v>113</v>
      </c>
      <c r="CY18" s="143" t="s">
        <v>113</v>
      </c>
      <c r="CZ18" s="143"/>
      <c r="DA18" s="139" t="s">
        <v>113</v>
      </c>
      <c r="DB18" s="139" t="s">
        <v>113</v>
      </c>
      <c r="DC18" s="139" t="s">
        <v>113</v>
      </c>
      <c r="DD18" s="144">
        <f t="shared" si="31"/>
        <v>0</v>
      </c>
      <c r="DE18" s="145">
        <f>'[65]2. Distributional by deciles o'!$J34</f>
        <v>1</v>
      </c>
      <c r="DF18" s="1"/>
      <c r="DG18" s="1"/>
      <c r="DH18" s="1"/>
      <c r="DI18" s="1"/>
      <c r="DJ18" s="1"/>
      <c r="DK18" s="1"/>
      <c r="DL18" s="1"/>
      <c r="DM18" s="1"/>
      <c r="DN18" s="1"/>
      <c r="DO18" s="1"/>
      <c r="DP18" s="1"/>
      <c r="DQ18" s="1"/>
      <c r="DR18" s="1"/>
      <c r="DS18" s="1"/>
      <c r="DT18" s="1"/>
      <c r="DU18" s="1"/>
      <c r="DV18" s="1"/>
      <c r="DW18" s="1"/>
      <c r="DX18" s="1"/>
      <c r="DY18" s="1"/>
      <c r="DZ18" s="1"/>
      <c r="EA18" s="146">
        <f>'[66]2. Distributional by deciles o'!B70</f>
        <v>19073224354.368011</v>
      </c>
      <c r="EB18" s="146">
        <f>'[66]2. Distributional by deciles o'!C70</f>
        <v>19466505407.822388</v>
      </c>
      <c r="EC18" s="146">
        <f>'[66]2. Distributional by deciles o'!D70</f>
        <v>19276808896.377567</v>
      </c>
      <c r="ED18" s="146">
        <f>'[66]2. Distributional by deciles o'!E70</f>
        <v>19410677785.972832</v>
      </c>
      <c r="EE18" s="146">
        <f>'[66]2. Distributional by deciles o'!F70</f>
        <v>19304231899.101563</v>
      </c>
      <c r="EF18" s="146">
        <f>'[66]2. Distributional by deciles o'!G70</f>
        <v>19292149650.46315</v>
      </c>
      <c r="EG18" s="146">
        <f>'[66]2. Distributional by deciles o'!H70</f>
        <v>19279547665.918747</v>
      </c>
      <c r="EH18" s="122"/>
      <c r="EI18" s="130" t="s">
        <v>113</v>
      </c>
      <c r="EJ18" s="130" t="s">
        <v>113</v>
      </c>
      <c r="EK18" s="130" t="s">
        <v>113</v>
      </c>
      <c r="EL18" s="130" t="s">
        <v>113</v>
      </c>
      <c r="EM18" s="131">
        <f t="shared" si="32"/>
        <v>9.8345824548442664</v>
      </c>
      <c r="EN18" s="146">
        <f>'[66]2. Distributional by deciles o'!B88</f>
        <v>112004663638.59711</v>
      </c>
      <c r="EO18" s="146">
        <f>'[66]2. Distributional by deciles o'!C88</f>
        <v>113124708520.17102</v>
      </c>
      <c r="EP18" s="131">
        <f t="shared" si="33"/>
        <v>0.99999843326876725</v>
      </c>
      <c r="EQ18" s="130" t="s">
        <v>113</v>
      </c>
      <c r="ER18" s="130" t="s">
        <v>113</v>
      </c>
      <c r="ES18" s="130" t="s">
        <v>113</v>
      </c>
      <c r="ET18" s="130" t="s">
        <v>113</v>
      </c>
      <c r="EU18" s="131">
        <f t="shared" si="34"/>
        <v>11.10514066965791</v>
      </c>
      <c r="EV18" s="132">
        <f t="shared" si="35"/>
        <v>2.0619569209386706</v>
      </c>
      <c r="EW18" s="132">
        <f t="shared" si="36"/>
        <v>1.0673856564041961</v>
      </c>
      <c r="EX18" s="132"/>
      <c r="EY18" s="148">
        <f t="shared" si="37"/>
        <v>-6.8534571418584544E-2</v>
      </c>
      <c r="EZ18" s="144">
        <f t="shared" si="38"/>
        <v>0</v>
      </c>
      <c r="FA18" s="145">
        <f>'[66]2. Distributional by deciles o'!$J34</f>
        <v>1</v>
      </c>
      <c r="FB18" s="130" t="s">
        <v>113</v>
      </c>
      <c r="FC18" s="130" t="s">
        <v>113</v>
      </c>
      <c r="FD18" s="130" t="s">
        <v>113</v>
      </c>
      <c r="FE18" s="130" t="s">
        <v>113</v>
      </c>
      <c r="FF18" s="130" t="s">
        <v>113</v>
      </c>
      <c r="FG18" s="130" t="s">
        <v>113</v>
      </c>
      <c r="FH18" s="130" t="s">
        <v>113</v>
      </c>
      <c r="FI18" s="130" t="s">
        <v>113</v>
      </c>
      <c r="FJ18" s="1"/>
      <c r="FK18" s="1"/>
      <c r="FL18" s="1"/>
      <c r="FM18" s="1"/>
      <c r="FN18" s="1"/>
      <c r="FO18" s="1"/>
      <c r="FP18" s="1"/>
      <c r="FQ18" s="1"/>
    </row>
    <row r="19" spans="1:173" x14ac:dyDescent="0.3">
      <c r="A19" s="1"/>
      <c r="B19" s="28">
        <v>8</v>
      </c>
      <c r="C19" s="129">
        <f>'[65]2. Distributional by deciles o'!B71</f>
        <v>23086066426.95121</v>
      </c>
      <c r="D19" s="129">
        <f>'[65]2. Distributional by deciles o'!C71</f>
        <v>23578243196.910015</v>
      </c>
      <c r="E19" s="129">
        <f>'[65]2. Distributional by deciles o'!D71</f>
        <v>23330652920.176758</v>
      </c>
      <c r="F19" s="129">
        <f>'[65]2. Distributional by deciles o'!E71</f>
        <v>23501072110.579193</v>
      </c>
      <c r="G19" s="129">
        <f>'[65]2. Distributional by deciles o'!F71</f>
        <v>23419177547.723969</v>
      </c>
      <c r="H19" s="129">
        <f>'[65]2. Distributional by deciles o'!G71</f>
        <v>23349769236.584381</v>
      </c>
      <c r="I19" s="129">
        <f>'[65]2. Distributional by deciles o'!H71</f>
        <v>23331268236.62516</v>
      </c>
      <c r="J19" s="122"/>
      <c r="K19" s="130" t="s">
        <v>113</v>
      </c>
      <c r="L19" s="130" t="s">
        <v>113</v>
      </c>
      <c r="M19" s="130" t="s">
        <v>113</v>
      </c>
      <c r="N19" s="130" t="s">
        <v>113</v>
      </c>
      <c r="O19" s="131">
        <f t="shared" si="0"/>
        <v>13.064381506066397</v>
      </c>
      <c r="P19" s="129">
        <f>'[65]2. Distributional by deciles o'!B89</f>
        <v>126269795561.9147</v>
      </c>
      <c r="Q19" s="129">
        <f>'[65]2. Distributional by deciles o'!C89</f>
        <v>127532509012.76401</v>
      </c>
      <c r="R19" s="131">
        <f t="shared" si="1"/>
        <v>1.0000122715255078</v>
      </c>
      <c r="S19" s="130" t="s">
        <v>113</v>
      </c>
      <c r="T19" s="130" t="s">
        <v>113</v>
      </c>
      <c r="U19" s="130" t="s">
        <v>113</v>
      </c>
      <c r="V19" s="130" t="s">
        <v>113</v>
      </c>
      <c r="W19" s="132">
        <f t="shared" si="2"/>
        <v>2.1318951490954854</v>
      </c>
      <c r="X19" s="132">
        <f t="shared" si="3"/>
        <v>1.0594420343842412</v>
      </c>
      <c r="Y19" s="132">
        <f t="shared" si="4"/>
        <v>1.7976236542972273</v>
      </c>
      <c r="Z19" s="132">
        <f t="shared" si="5"/>
        <v>1.4428921189121626</v>
      </c>
      <c r="AA19" s="132">
        <f t="shared" si="6"/>
        <v>1.1422455812103087</v>
      </c>
      <c r="AB19" s="132">
        <f t="shared" si="7"/>
        <v>1.0621073169241255</v>
      </c>
      <c r="AC19" s="132">
        <f t="shared" si="8"/>
        <v>1.0621073169241255</v>
      </c>
      <c r="AD19" s="130" t="s">
        <v>113</v>
      </c>
      <c r="AE19" s="130" t="s">
        <v>113</v>
      </c>
      <c r="AF19" s="130" t="s">
        <v>113</v>
      </c>
      <c r="AG19" s="130" t="s">
        <v>113</v>
      </c>
      <c r="AH19" s="133">
        <f t="shared" si="9"/>
        <v>1</v>
      </c>
      <c r="AI19" s="134">
        <f t="shared" si="10"/>
        <v>5.9442034384241005E-2</v>
      </c>
      <c r="AJ19" s="134">
        <f t="shared" si="11"/>
        <v>0.33427149479825813</v>
      </c>
      <c r="AK19" s="134">
        <f t="shared" si="12"/>
        <v>0.35473153538506463</v>
      </c>
      <c r="AL19" s="134">
        <f t="shared" si="13"/>
        <v>0.3006465377018539</v>
      </c>
      <c r="AM19" s="134">
        <f t="shared" si="14"/>
        <v>8.0138264286183203E-2</v>
      </c>
      <c r="AN19" s="135">
        <f t="shared" si="15"/>
        <v>0</v>
      </c>
      <c r="AO19" s="134">
        <f t="shared" si="16"/>
        <v>2.665282539884295E-3</v>
      </c>
      <c r="AP19" s="134">
        <f t="shared" si="17"/>
        <v>6.21073169241253E-2</v>
      </c>
      <c r="AQ19" s="136" t="s">
        <v>113</v>
      </c>
      <c r="AR19" s="137">
        <f t="shared" si="18"/>
        <v>5.2515495301611672</v>
      </c>
      <c r="AS19" s="137">
        <f t="shared" si="19"/>
        <v>29.532019380538877</v>
      </c>
      <c r="AT19" s="137">
        <f t="shared" si="20"/>
        <v>31.339610887857944</v>
      </c>
      <c r="AU19" s="137">
        <f t="shared" si="21"/>
        <v>26.561341652723318</v>
      </c>
      <c r="AV19" s="137">
        <f t="shared" si="22"/>
        <v>7.0800077507375931</v>
      </c>
      <c r="AW19" s="138">
        <f t="shared" si="23"/>
        <v>0</v>
      </c>
      <c r="AX19" s="137">
        <f t="shared" si="24"/>
        <v>0.23547079798108181</v>
      </c>
      <c r="AY19" s="137">
        <f t="shared" si="25"/>
        <v>5.4870203281422487</v>
      </c>
      <c r="AZ19" s="139" t="s">
        <v>113</v>
      </c>
      <c r="BA19" s="139" t="s">
        <v>113</v>
      </c>
      <c r="BB19" s="139" t="s">
        <v>113</v>
      </c>
      <c r="BC19" s="139" t="s">
        <v>113</v>
      </c>
      <c r="BD19" s="139" t="s">
        <v>113</v>
      </c>
      <c r="BE19" s="139" t="s">
        <v>113</v>
      </c>
      <c r="BF19" s="139" t="s">
        <v>113</v>
      </c>
      <c r="BG19" s="139" t="s">
        <v>113</v>
      </c>
      <c r="BH19" s="140">
        <f>'[65]2. Distributional by deciles o'!$B107</f>
        <v>78696263823.415253</v>
      </c>
      <c r="BI19" s="140">
        <f>'[65]2. Distributional by deciles o'!$B125</f>
        <v>35773618750.484406</v>
      </c>
      <c r="BJ19" s="140">
        <f>'[65]2. Distributional by deciles o'!$B143</f>
        <v>9892092726.8243923</v>
      </c>
      <c r="BK19" s="140">
        <f>'[65]2. Distributional by deciles o'!$B161</f>
        <v>1907822061.5472</v>
      </c>
      <c r="BL19" s="141">
        <f t="shared" si="26"/>
        <v>0.62323901255368042</v>
      </c>
      <c r="BM19" s="141">
        <f t="shared" si="27"/>
        <v>0.283310969826371</v>
      </c>
      <c r="BN19" s="141">
        <f t="shared" si="28"/>
        <v>7.8340925015059057E-2</v>
      </c>
      <c r="BO19" s="141">
        <f t="shared" si="29"/>
        <v>1.5109092604889594E-2</v>
      </c>
      <c r="BP19" s="139" t="s">
        <v>113</v>
      </c>
      <c r="BQ19" s="139" t="s">
        <v>113</v>
      </c>
      <c r="BR19" s="139" t="s">
        <v>113</v>
      </c>
      <c r="BS19" s="131">
        <f t="shared" si="30"/>
        <v>13.514990453451508</v>
      </c>
      <c r="BT19" s="139"/>
      <c r="BU19" s="139"/>
      <c r="BV19" s="139"/>
      <c r="BW19" s="139"/>
      <c r="BX19" s="139"/>
      <c r="BY19" s="139"/>
      <c r="BZ19" s="139"/>
      <c r="CA19" s="139"/>
      <c r="CB19" s="139"/>
      <c r="CC19" s="142" t="s">
        <v>113</v>
      </c>
      <c r="CD19" s="142" t="s">
        <v>113</v>
      </c>
      <c r="CE19" s="142" t="s">
        <v>113</v>
      </c>
      <c r="CF19" s="142" t="s">
        <v>113</v>
      </c>
      <c r="CG19" s="142" t="s">
        <v>113</v>
      </c>
      <c r="CH19" s="142" t="s">
        <v>113</v>
      </c>
      <c r="CI19" s="142" t="s">
        <v>113</v>
      </c>
      <c r="CJ19" s="142"/>
      <c r="CK19" s="139" t="s">
        <v>113</v>
      </c>
      <c r="CL19" s="139" t="s">
        <v>113</v>
      </c>
      <c r="CM19" s="139" t="s">
        <v>113</v>
      </c>
      <c r="CN19" s="139" t="s">
        <v>113</v>
      </c>
      <c r="CO19" s="139" t="s">
        <v>113</v>
      </c>
      <c r="CP19" s="139" t="s">
        <v>113</v>
      </c>
      <c r="CQ19" s="139" t="s">
        <v>113</v>
      </c>
      <c r="CR19" s="139"/>
      <c r="CS19" s="143" t="s">
        <v>113</v>
      </c>
      <c r="CT19" s="143" t="s">
        <v>113</v>
      </c>
      <c r="CU19" s="143" t="s">
        <v>113</v>
      </c>
      <c r="CV19" s="143" t="s">
        <v>113</v>
      </c>
      <c r="CW19" s="143" t="s">
        <v>113</v>
      </c>
      <c r="CX19" s="143" t="s">
        <v>113</v>
      </c>
      <c r="CY19" s="143" t="s">
        <v>113</v>
      </c>
      <c r="CZ19" s="143"/>
      <c r="DA19" s="139" t="s">
        <v>113</v>
      </c>
      <c r="DB19" s="139" t="s">
        <v>113</v>
      </c>
      <c r="DC19" s="139" t="s">
        <v>113</v>
      </c>
      <c r="DD19" s="144">
        <f t="shared" si="31"/>
        <v>0</v>
      </c>
      <c r="DE19" s="145">
        <f>'[65]2. Distributional by deciles o'!$J35</f>
        <v>1</v>
      </c>
      <c r="DF19" s="1"/>
      <c r="DG19" s="1"/>
      <c r="DH19" s="1"/>
      <c r="DI19" s="1"/>
      <c r="DJ19" s="1"/>
      <c r="DK19" s="1"/>
      <c r="DL19" s="1"/>
      <c r="DM19" s="1"/>
      <c r="DN19" s="1"/>
      <c r="DO19" s="1"/>
      <c r="DP19" s="1"/>
      <c r="DQ19" s="1"/>
      <c r="DR19" s="1"/>
      <c r="DS19" s="1"/>
      <c r="DT19" s="1"/>
      <c r="DU19" s="1"/>
      <c r="DV19" s="1"/>
      <c r="DW19" s="1"/>
      <c r="DX19" s="1"/>
      <c r="DY19" s="1"/>
      <c r="DZ19" s="1"/>
      <c r="EA19" s="146">
        <f>'[66]2. Distributional by deciles o'!B71</f>
        <v>25253271374.815182</v>
      </c>
      <c r="EB19" s="146">
        <f>'[66]2. Distributional by deciles o'!C71</f>
        <v>25740877930.083591</v>
      </c>
      <c r="EC19" s="146">
        <f>'[66]2. Distributional by deciles o'!D71</f>
        <v>25525263094.126854</v>
      </c>
      <c r="ED19" s="146">
        <f>'[66]2. Distributional by deciles o'!E71</f>
        <v>25653206047.017605</v>
      </c>
      <c r="EE19" s="146">
        <f>'[66]2. Distributional by deciles o'!F71</f>
        <v>25527788182.786819</v>
      </c>
      <c r="EF19" s="146">
        <f>'[66]2. Distributional by deciles o'!G71</f>
        <v>25528025877.739216</v>
      </c>
      <c r="EG19" s="146">
        <f>'[66]2. Distributional by deciles o'!H71</f>
        <v>25516218046.686043</v>
      </c>
      <c r="EH19" s="122"/>
      <c r="EI19" s="130" t="s">
        <v>113</v>
      </c>
      <c r="EJ19" s="130" t="s">
        <v>113</v>
      </c>
      <c r="EK19" s="130" t="s">
        <v>113</v>
      </c>
      <c r="EL19" s="130" t="s">
        <v>113</v>
      </c>
      <c r="EM19" s="131">
        <f t="shared" si="32"/>
        <v>13.021153370604683</v>
      </c>
      <c r="EN19" s="146">
        <f>'[66]2. Distributional by deciles o'!B89</f>
        <v>135929076331.91727</v>
      </c>
      <c r="EO19" s="146">
        <f>'[66]2. Distributional by deciles o'!C89</f>
        <v>137288356949.62706</v>
      </c>
      <c r="EP19" s="131">
        <f t="shared" si="33"/>
        <v>0.99999253610070227</v>
      </c>
      <c r="EQ19" s="130" t="s">
        <v>113</v>
      </c>
      <c r="ER19" s="130" t="s">
        <v>113</v>
      </c>
      <c r="ES19" s="130" t="s">
        <v>113</v>
      </c>
      <c r="ET19" s="130" t="s">
        <v>113</v>
      </c>
      <c r="EU19" s="131">
        <f t="shared" si="34"/>
        <v>13.47722018641398</v>
      </c>
      <c r="EV19" s="132">
        <f t="shared" si="35"/>
        <v>1.930879320562358</v>
      </c>
      <c r="EW19" s="132">
        <f t="shared" si="36"/>
        <v>1.0770634244119521</v>
      </c>
      <c r="EX19" s="132"/>
      <c r="EY19" s="148">
        <f t="shared" si="37"/>
        <v>-0.20101582853312738</v>
      </c>
      <c r="EZ19" s="144">
        <f t="shared" si="38"/>
        <v>0</v>
      </c>
      <c r="FA19" s="145">
        <f>'[66]2. Distributional by deciles o'!$J35</f>
        <v>1</v>
      </c>
      <c r="FB19" s="130" t="s">
        <v>113</v>
      </c>
      <c r="FC19" s="130" t="s">
        <v>113</v>
      </c>
      <c r="FD19" s="130" t="s">
        <v>113</v>
      </c>
      <c r="FE19" s="130" t="s">
        <v>113</v>
      </c>
      <c r="FF19" s="130" t="s">
        <v>113</v>
      </c>
      <c r="FG19" s="130" t="s">
        <v>113</v>
      </c>
      <c r="FH19" s="130" t="s">
        <v>113</v>
      </c>
      <c r="FI19" s="130" t="s">
        <v>113</v>
      </c>
      <c r="FJ19" s="1"/>
      <c r="FK19" s="1"/>
      <c r="FL19" s="1"/>
      <c r="FM19" s="1"/>
      <c r="FN19" s="1"/>
      <c r="FO19" s="1"/>
      <c r="FP19" s="1"/>
      <c r="FQ19" s="1"/>
    </row>
    <row r="20" spans="1:173" x14ac:dyDescent="0.3">
      <c r="A20" s="1"/>
      <c r="B20" s="28">
        <v>9</v>
      </c>
      <c r="C20" s="129">
        <f>'[65]2. Distributional by deciles o'!B72</f>
        <v>32607804387.438091</v>
      </c>
      <c r="D20" s="129">
        <f>'[65]2. Distributional by deciles o'!C72</f>
        <v>33197585109.585629</v>
      </c>
      <c r="E20" s="129">
        <f>'[65]2. Distributional by deciles o'!D72</f>
        <v>32951551593.061172</v>
      </c>
      <c r="F20" s="129">
        <f>'[65]2. Distributional by deciles o'!E72</f>
        <v>33085767690.037163</v>
      </c>
      <c r="G20" s="129">
        <f>'[65]2. Distributional by deciles o'!F72</f>
        <v>33006054156.903618</v>
      </c>
      <c r="H20" s="129">
        <f>'[65]2. Distributional by deciles o'!G72</f>
        <v>32972747192.345982</v>
      </c>
      <c r="I20" s="129">
        <f>'[65]2. Distributional by deciles o'!H72</f>
        <v>32952222020.866768</v>
      </c>
      <c r="J20" s="122"/>
      <c r="K20" s="130" t="s">
        <v>113</v>
      </c>
      <c r="L20" s="130" t="s">
        <v>113</v>
      </c>
      <c r="M20" s="130" t="s">
        <v>113</v>
      </c>
      <c r="N20" s="130" t="s">
        <v>113</v>
      </c>
      <c r="O20" s="131">
        <f t="shared" si="0"/>
        <v>18.452723331652276</v>
      </c>
      <c r="P20" s="129">
        <f>'[65]2. Distributional by deciles o'!B90</f>
        <v>153854584686.97043</v>
      </c>
      <c r="Q20" s="129">
        <f>'[65]2. Distributional by deciles o'!C90</f>
        <v>155392627248.28088</v>
      </c>
      <c r="R20" s="131">
        <f t="shared" si="1"/>
        <v>0.99967288231268547</v>
      </c>
      <c r="S20" s="130" t="s">
        <v>113</v>
      </c>
      <c r="T20" s="130" t="s">
        <v>113</v>
      </c>
      <c r="U20" s="130" t="s">
        <v>113</v>
      </c>
      <c r="V20" s="130" t="s">
        <v>113</v>
      </c>
      <c r="W20" s="132">
        <f t="shared" si="2"/>
        <v>1.809302171879404</v>
      </c>
      <c r="X20" s="132">
        <f t="shared" si="3"/>
        <v>1.0545318664310872</v>
      </c>
      <c r="Y20" s="132">
        <f t="shared" si="4"/>
        <v>1.4662738353370981</v>
      </c>
      <c r="Z20" s="132">
        <f t="shared" si="5"/>
        <v>1.2217323248897209</v>
      </c>
      <c r="AA20" s="132">
        <f t="shared" si="6"/>
        <v>1.1195547510052923</v>
      </c>
      <c r="AB20" s="132">
        <f t="shared" si="7"/>
        <v>1.0565885740161287</v>
      </c>
      <c r="AC20" s="132">
        <f t="shared" si="8"/>
        <v>1.0565885740161287</v>
      </c>
      <c r="AD20" s="130" t="s">
        <v>113</v>
      </c>
      <c r="AE20" s="130" t="s">
        <v>113</v>
      </c>
      <c r="AF20" s="130" t="s">
        <v>113</v>
      </c>
      <c r="AG20" s="130" t="s">
        <v>113</v>
      </c>
      <c r="AH20" s="133">
        <f t="shared" si="9"/>
        <v>1</v>
      </c>
      <c r="AI20" s="134">
        <f t="shared" si="10"/>
        <v>5.4531866431087206E-2</v>
      </c>
      <c r="AJ20" s="134">
        <f t="shared" si="11"/>
        <v>0.34302833654230591</v>
      </c>
      <c r="AK20" s="134">
        <f t="shared" si="12"/>
        <v>0.24454151044737715</v>
      </c>
      <c r="AL20" s="134">
        <f t="shared" si="13"/>
        <v>0.10217757388442861</v>
      </c>
      <c r="AM20" s="134">
        <f t="shared" si="14"/>
        <v>6.2966176989163625E-2</v>
      </c>
      <c r="AN20" s="135">
        <f t="shared" si="15"/>
        <v>0</v>
      </c>
      <c r="AO20" s="134">
        <f t="shared" si="16"/>
        <v>2.0567075850415062E-3</v>
      </c>
      <c r="AP20" s="134">
        <f t="shared" si="17"/>
        <v>5.6588574016128712E-2</v>
      </c>
      <c r="AQ20" s="136" t="s">
        <v>113</v>
      </c>
      <c r="AR20" s="137">
        <f t="shared" si="18"/>
        <v>6.7381342007831817</v>
      </c>
      <c r="AS20" s="137">
        <f t="shared" si="19"/>
        <v>42.385693312265246</v>
      </c>
      <c r="AT20" s="137">
        <f t="shared" si="20"/>
        <v>30.216341799687751</v>
      </c>
      <c r="AU20" s="137">
        <f t="shared" si="21"/>
        <v>12.625392274327707</v>
      </c>
      <c r="AV20" s="137">
        <f t="shared" si="22"/>
        <v>7.7803049561748061</v>
      </c>
      <c r="AW20" s="138">
        <f t="shared" si="23"/>
        <v>0</v>
      </c>
      <c r="AX20" s="137">
        <f t="shared" si="24"/>
        <v>0.25413345676131227</v>
      </c>
      <c r="AY20" s="137">
        <f t="shared" si="25"/>
        <v>6.9922676575444935</v>
      </c>
      <c r="AZ20" s="139" t="s">
        <v>113</v>
      </c>
      <c r="BA20" s="139" t="s">
        <v>113</v>
      </c>
      <c r="BB20" s="139" t="s">
        <v>113</v>
      </c>
      <c r="BC20" s="139" t="s">
        <v>113</v>
      </c>
      <c r="BD20" s="139" t="s">
        <v>113</v>
      </c>
      <c r="BE20" s="139" t="s">
        <v>113</v>
      </c>
      <c r="BF20" s="139" t="s">
        <v>113</v>
      </c>
      <c r="BG20" s="139" t="s">
        <v>113</v>
      </c>
      <c r="BH20" s="140">
        <f>'[65]2. Distributional by deciles o'!$B108</f>
        <v>98474337793.729126</v>
      </c>
      <c r="BI20" s="140">
        <f>'[65]2. Distributional by deciles o'!$B126</f>
        <v>41199116863.751999</v>
      </c>
      <c r="BJ20" s="140">
        <f>'[65]2. Distributional by deciles o'!$B144</f>
        <v>11806504563.465595</v>
      </c>
      <c r="BK20" s="140">
        <f>'[65]2. Distributional by deciles o'!$B162</f>
        <v>2374625421.6995993</v>
      </c>
      <c r="BL20" s="141">
        <f t="shared" si="26"/>
        <v>0.64004812090879626</v>
      </c>
      <c r="BM20" s="141">
        <f t="shared" si="27"/>
        <v>0.2677795852456657</v>
      </c>
      <c r="BN20" s="141">
        <f t="shared" si="28"/>
        <v>7.6738074402451034E-2</v>
      </c>
      <c r="BO20" s="141">
        <f t="shared" si="29"/>
        <v>1.5434219443086953E-2</v>
      </c>
      <c r="BP20" s="139" t="s">
        <v>113</v>
      </c>
      <c r="BQ20" s="139" t="s">
        <v>113</v>
      </c>
      <c r="BR20" s="139" t="s">
        <v>113</v>
      </c>
      <c r="BS20" s="131">
        <f t="shared" si="30"/>
        <v>16.467463450074042</v>
      </c>
      <c r="BT20" s="139"/>
      <c r="BU20" s="139"/>
      <c r="BV20" s="139"/>
      <c r="BW20" s="139"/>
      <c r="BX20" s="139"/>
      <c r="BY20" s="139"/>
      <c r="BZ20" s="139"/>
      <c r="CA20" s="139"/>
      <c r="CB20" s="139"/>
      <c r="CC20" s="142" t="s">
        <v>113</v>
      </c>
      <c r="CD20" s="142" t="s">
        <v>113</v>
      </c>
      <c r="CE20" s="142" t="s">
        <v>113</v>
      </c>
      <c r="CF20" s="142" t="s">
        <v>113</v>
      </c>
      <c r="CG20" s="142" t="s">
        <v>113</v>
      </c>
      <c r="CH20" s="142" t="s">
        <v>113</v>
      </c>
      <c r="CI20" s="142" t="s">
        <v>113</v>
      </c>
      <c r="CJ20" s="142"/>
      <c r="CK20" s="139" t="s">
        <v>113</v>
      </c>
      <c r="CL20" s="139" t="s">
        <v>113</v>
      </c>
      <c r="CM20" s="139" t="s">
        <v>113</v>
      </c>
      <c r="CN20" s="139" t="s">
        <v>113</v>
      </c>
      <c r="CO20" s="139" t="s">
        <v>113</v>
      </c>
      <c r="CP20" s="139" t="s">
        <v>113</v>
      </c>
      <c r="CQ20" s="139" t="s">
        <v>113</v>
      </c>
      <c r="CR20" s="139"/>
      <c r="CS20" s="143" t="s">
        <v>113</v>
      </c>
      <c r="CT20" s="143" t="s">
        <v>113</v>
      </c>
      <c r="CU20" s="143" t="s">
        <v>113</v>
      </c>
      <c r="CV20" s="143" t="s">
        <v>113</v>
      </c>
      <c r="CW20" s="143" t="s">
        <v>113</v>
      </c>
      <c r="CX20" s="143" t="s">
        <v>113</v>
      </c>
      <c r="CY20" s="143" t="s">
        <v>113</v>
      </c>
      <c r="CZ20" s="143"/>
      <c r="DA20" s="139" t="s">
        <v>113</v>
      </c>
      <c r="DB20" s="139" t="s">
        <v>113</v>
      </c>
      <c r="DC20" s="139" t="s">
        <v>113</v>
      </c>
      <c r="DD20" s="144">
        <f t="shared" si="31"/>
        <v>0</v>
      </c>
      <c r="DE20" s="145">
        <f>'[65]2. Distributional by deciles o'!$J36</f>
        <v>1</v>
      </c>
      <c r="DF20" s="1"/>
      <c r="DG20" s="1"/>
      <c r="DH20" s="1"/>
      <c r="DI20" s="1"/>
      <c r="DJ20" s="1"/>
      <c r="DK20" s="1"/>
      <c r="DL20" s="1"/>
      <c r="DM20" s="1"/>
      <c r="DN20" s="1"/>
      <c r="DO20" s="1"/>
      <c r="DP20" s="1"/>
      <c r="DQ20" s="1"/>
      <c r="DR20" s="1"/>
      <c r="DS20" s="1"/>
      <c r="DT20" s="1"/>
      <c r="DU20" s="1"/>
      <c r="DV20" s="1"/>
      <c r="DW20" s="1"/>
      <c r="DX20" s="1"/>
      <c r="DY20" s="1"/>
      <c r="DZ20" s="1"/>
      <c r="EA20" s="146">
        <f>'[66]2. Distributional by deciles o'!B72</f>
        <v>35194908580.979935</v>
      </c>
      <c r="EB20" s="146">
        <f>'[66]2. Distributional by deciles o'!C72</f>
        <v>35829431286.646805</v>
      </c>
      <c r="EC20" s="146">
        <f>'[66]2. Distributional by deciles o'!D72</f>
        <v>35570450153.630409</v>
      </c>
      <c r="ED20" s="146">
        <f>'[66]2. Distributional by deciles o'!E72</f>
        <v>35709984728.038773</v>
      </c>
      <c r="EE20" s="146">
        <f>'[66]2. Distributional by deciles o'!F72</f>
        <v>35583917148.550789</v>
      </c>
      <c r="EF20" s="146">
        <f>'[66]2. Distributional by deciles o'!G72</f>
        <v>35581474676.7108</v>
      </c>
      <c r="EG20" s="146">
        <f>'[66]2. Distributional by deciles o'!H72</f>
        <v>35568026986.455658</v>
      </c>
      <c r="EH20" s="122"/>
      <c r="EI20" s="130" t="s">
        <v>113</v>
      </c>
      <c r="EJ20" s="130" t="s">
        <v>113</v>
      </c>
      <c r="EK20" s="130" t="s">
        <v>113</v>
      </c>
      <c r="EL20" s="130" t="s">
        <v>113</v>
      </c>
      <c r="EM20" s="131">
        <f t="shared" si="32"/>
        <v>18.147284591191088</v>
      </c>
      <c r="EN20" s="146">
        <f>'[66]2. Distributional by deciles o'!B90</f>
        <v>166883719226.57858</v>
      </c>
      <c r="EO20" s="146">
        <f>'[66]2. Distributional by deciles o'!C90</f>
        <v>168552563168.12177</v>
      </c>
      <c r="EP20" s="131">
        <f t="shared" si="33"/>
        <v>1.000004044299474</v>
      </c>
      <c r="EQ20" s="130" t="s">
        <v>113</v>
      </c>
      <c r="ER20" s="130" t="s">
        <v>113</v>
      </c>
      <c r="ES20" s="130" t="s">
        <v>113</v>
      </c>
      <c r="ET20" s="130" t="s">
        <v>113</v>
      </c>
      <c r="EU20" s="131">
        <f t="shared" si="34"/>
        <v>16.546339386962888</v>
      </c>
      <c r="EV20" s="132">
        <f t="shared" si="35"/>
        <v>1.8028748050799361</v>
      </c>
      <c r="EW20" s="132">
        <f t="shared" si="36"/>
        <v>1.0670294908990954</v>
      </c>
      <c r="EX20" s="132"/>
      <c r="EY20" s="148">
        <f t="shared" si="37"/>
        <v>-6.4273667994678707E-3</v>
      </c>
      <c r="EZ20" s="144">
        <f t="shared" si="38"/>
        <v>0</v>
      </c>
      <c r="FA20" s="145">
        <f>'[66]2. Distributional by deciles o'!$J36</f>
        <v>1</v>
      </c>
      <c r="FB20" s="130" t="s">
        <v>113</v>
      </c>
      <c r="FC20" s="130" t="s">
        <v>113</v>
      </c>
      <c r="FD20" s="130" t="s">
        <v>113</v>
      </c>
      <c r="FE20" s="130" t="s">
        <v>113</v>
      </c>
      <c r="FF20" s="130" t="s">
        <v>113</v>
      </c>
      <c r="FG20" s="130" t="s">
        <v>113</v>
      </c>
      <c r="FH20" s="130" t="s">
        <v>113</v>
      </c>
      <c r="FI20" s="130" t="s">
        <v>113</v>
      </c>
      <c r="FJ20" s="1"/>
      <c r="FK20" s="1"/>
      <c r="FL20" s="1"/>
      <c r="FM20" s="1"/>
      <c r="FN20" s="1"/>
      <c r="FO20" s="1"/>
      <c r="FP20" s="1"/>
      <c r="FQ20" s="1"/>
    </row>
    <row r="21" spans="1:173" x14ac:dyDescent="0.3">
      <c r="A21" s="1"/>
      <c r="B21" s="33">
        <v>10</v>
      </c>
      <c r="C21" s="129">
        <f>'[65]2. Distributional by deciles o'!B73</f>
        <v>75486419225.155167</v>
      </c>
      <c r="D21" s="129">
        <f>'[65]2. Distributional by deciles o'!C73</f>
        <v>76518055989.526855</v>
      </c>
      <c r="E21" s="129">
        <f>'[65]2. Distributional by deciles o'!D73</f>
        <v>76258150761.157196</v>
      </c>
      <c r="F21" s="129">
        <f>'[65]2. Distributional by deciles o'!E73</f>
        <v>76337551052.284958</v>
      </c>
      <c r="G21" s="129">
        <f>'[65]2. Distributional by deciles o'!F73</f>
        <v>76285954124.517609</v>
      </c>
      <c r="H21" s="129">
        <f>'[65]2. Distributional by deciles o'!G73</f>
        <v>76270118468.272873</v>
      </c>
      <c r="I21" s="129">
        <f>'[65]2. Distributional by deciles o'!H73</f>
        <v>76258947838.410004</v>
      </c>
      <c r="J21" s="122"/>
      <c r="K21" s="130" t="s">
        <v>113</v>
      </c>
      <c r="L21" s="130" t="s">
        <v>113</v>
      </c>
      <c r="M21" s="130" t="s">
        <v>113</v>
      </c>
      <c r="N21" s="130" t="s">
        <v>113</v>
      </c>
      <c r="O21" s="131">
        <f t="shared" si="0"/>
        <v>42.717687848848897</v>
      </c>
      <c r="P21" s="129">
        <f>'[65]2. Distributional by deciles o'!B91</f>
        <v>266730665958.70047</v>
      </c>
      <c r="Q21" s="129">
        <f>'[65]2. Distributional by deciles o'!C91</f>
        <v>269385653297.75854</v>
      </c>
      <c r="R21" s="131">
        <f t="shared" si="1"/>
        <v>0.99538136326220439</v>
      </c>
      <c r="S21" s="130" t="s">
        <v>113</v>
      </c>
      <c r="T21" s="130" t="s">
        <v>113</v>
      </c>
      <c r="U21" s="130" t="s">
        <v>113</v>
      </c>
      <c r="V21" s="130" t="s">
        <v>113</v>
      </c>
      <c r="W21" s="132">
        <f t="shared" si="2"/>
        <v>1.3729934990390535</v>
      </c>
      <c r="X21" s="132">
        <f t="shared" si="3"/>
        <v>1.0270886212353445</v>
      </c>
      <c r="Y21" s="132">
        <f t="shared" si="4"/>
        <v>1.1327615550674581</v>
      </c>
      <c r="Z21" s="132">
        <f t="shared" si="5"/>
        <v>1.0640917976086841</v>
      </c>
      <c r="AA21" s="132">
        <f t="shared" si="6"/>
        <v>1.0430163049276131</v>
      </c>
      <c r="AB21" s="132">
        <f t="shared" si="7"/>
        <v>1.0281494421794324</v>
      </c>
      <c r="AC21" s="132">
        <f t="shared" si="8"/>
        <v>1.0281494421794324</v>
      </c>
      <c r="AD21" s="130" t="s">
        <v>113</v>
      </c>
      <c r="AE21" s="130" t="s">
        <v>113</v>
      </c>
      <c r="AF21" s="130" t="s">
        <v>113</v>
      </c>
      <c r="AG21" s="130" t="s">
        <v>113</v>
      </c>
      <c r="AH21" s="133">
        <f t="shared" si="9"/>
        <v>1</v>
      </c>
      <c r="AI21" s="134">
        <f t="shared" si="10"/>
        <v>2.7088621235344501E-2</v>
      </c>
      <c r="AJ21" s="134">
        <f t="shared" si="11"/>
        <v>0.24023194397159542</v>
      </c>
      <c r="AK21" s="134">
        <f t="shared" si="12"/>
        <v>6.8669757458774017E-2</v>
      </c>
      <c r="AL21" s="134">
        <f t="shared" si="13"/>
        <v>2.1075492681071006E-2</v>
      </c>
      <c r="AM21" s="134">
        <f t="shared" si="14"/>
        <v>1.486686274818072E-2</v>
      </c>
      <c r="AN21" s="135">
        <f t="shared" si="15"/>
        <v>0</v>
      </c>
      <c r="AO21" s="134">
        <f t="shared" si="16"/>
        <v>1.0608209440878813E-3</v>
      </c>
      <c r="AP21" s="134">
        <f t="shared" si="17"/>
        <v>2.8149442179432382E-2</v>
      </c>
      <c r="AQ21" s="136" t="s">
        <v>113</v>
      </c>
      <c r="AR21" s="137">
        <f t="shared" si="18"/>
        <v>7.2624915193249091</v>
      </c>
      <c r="AS21" s="137">
        <f t="shared" si="19"/>
        <v>64.406469439951934</v>
      </c>
      <c r="AT21" s="137">
        <f t="shared" si="20"/>
        <v>18.410443515956317</v>
      </c>
      <c r="AU21" s="137">
        <f t="shared" si="21"/>
        <v>5.6503646136911199</v>
      </c>
      <c r="AV21" s="137">
        <f t="shared" si="22"/>
        <v>3.98582355630389</v>
      </c>
      <c r="AW21" s="138">
        <f t="shared" si="23"/>
        <v>0</v>
      </c>
      <c r="AX21" s="137">
        <f t="shared" si="24"/>
        <v>0.28440735477183482</v>
      </c>
      <c r="AY21" s="137">
        <f t="shared" si="25"/>
        <v>7.546898874096744</v>
      </c>
      <c r="AZ21" s="139" t="s">
        <v>113</v>
      </c>
      <c r="BA21" s="139" t="s">
        <v>113</v>
      </c>
      <c r="BB21" s="139" t="s">
        <v>113</v>
      </c>
      <c r="BC21" s="139" t="s">
        <v>113</v>
      </c>
      <c r="BD21" s="139" t="s">
        <v>113</v>
      </c>
      <c r="BE21" s="139" t="s">
        <v>113</v>
      </c>
      <c r="BF21" s="139" t="s">
        <v>113</v>
      </c>
      <c r="BG21" s="139" t="s">
        <v>113</v>
      </c>
      <c r="BH21" s="140">
        <f>'[65]2. Distributional by deciles o'!$B109</f>
        <v>155717147633.73941</v>
      </c>
      <c r="BI21" s="140">
        <f>'[65]2. Distributional by deciles o'!$B127</f>
        <v>66057582659.762329</v>
      </c>
      <c r="BJ21" s="140">
        <f>'[65]2. Distributional by deciles o'!$B145</f>
        <v>36299956347.76442</v>
      </c>
      <c r="BK21" s="140">
        <f>'[65]2. Distributional by deciles o'!$B163</f>
        <v>8655979888.1952038</v>
      </c>
      <c r="BL21" s="141">
        <f t="shared" si="26"/>
        <v>0.58379919212079012</v>
      </c>
      <c r="BM21" s="141">
        <f t="shared" si="27"/>
        <v>0.24765649754212282</v>
      </c>
      <c r="BN21" s="141">
        <f t="shared" si="28"/>
        <v>0.13609217425231815</v>
      </c>
      <c r="BO21" s="141">
        <f t="shared" si="29"/>
        <v>3.2452136084768941E-2</v>
      </c>
      <c r="BP21" s="139" t="s">
        <v>113</v>
      </c>
      <c r="BQ21" s="139" t="s">
        <v>113</v>
      </c>
      <c r="BR21" s="139" t="s">
        <v>113</v>
      </c>
      <c r="BS21" s="131">
        <f t="shared" si="30"/>
        <v>28.548889210064527</v>
      </c>
      <c r="BT21" s="139"/>
      <c r="BU21" s="139"/>
      <c r="BV21" s="139"/>
      <c r="BW21" s="139"/>
      <c r="BX21" s="139"/>
      <c r="BY21" s="139"/>
      <c r="BZ21" s="139"/>
      <c r="CA21" s="139"/>
      <c r="CB21" s="139"/>
      <c r="CC21" s="142" t="s">
        <v>113</v>
      </c>
      <c r="CD21" s="142" t="s">
        <v>113</v>
      </c>
      <c r="CE21" s="142" t="s">
        <v>113</v>
      </c>
      <c r="CF21" s="142" t="s">
        <v>113</v>
      </c>
      <c r="CG21" s="142" t="s">
        <v>113</v>
      </c>
      <c r="CH21" s="142" t="s">
        <v>113</v>
      </c>
      <c r="CI21" s="142" t="s">
        <v>113</v>
      </c>
      <c r="CJ21" s="142"/>
      <c r="CK21" s="139" t="s">
        <v>113</v>
      </c>
      <c r="CL21" s="139" t="s">
        <v>113</v>
      </c>
      <c r="CM21" s="139" t="s">
        <v>113</v>
      </c>
      <c r="CN21" s="139" t="s">
        <v>113</v>
      </c>
      <c r="CO21" s="139" t="s">
        <v>113</v>
      </c>
      <c r="CP21" s="139" t="s">
        <v>113</v>
      </c>
      <c r="CQ21" s="139" t="s">
        <v>113</v>
      </c>
      <c r="CR21" s="139"/>
      <c r="CS21" s="143" t="s">
        <v>113</v>
      </c>
      <c r="CT21" s="143" t="s">
        <v>113</v>
      </c>
      <c r="CU21" s="143" t="s">
        <v>113</v>
      </c>
      <c r="CV21" s="143" t="s">
        <v>113</v>
      </c>
      <c r="CW21" s="143" t="s">
        <v>113</v>
      </c>
      <c r="CX21" s="143" t="s">
        <v>113</v>
      </c>
      <c r="CY21" s="143" t="s">
        <v>113</v>
      </c>
      <c r="CZ21" s="143"/>
      <c r="DA21" s="139" t="s">
        <v>113</v>
      </c>
      <c r="DB21" s="139" t="s">
        <v>113</v>
      </c>
      <c r="DC21" s="139" t="s">
        <v>113</v>
      </c>
      <c r="DD21" s="144">
        <f t="shared" si="31"/>
        <v>0</v>
      </c>
      <c r="DE21" s="145">
        <f>'[65]2. Distributional by deciles o'!$J37</f>
        <v>1</v>
      </c>
      <c r="DF21" s="1"/>
      <c r="DG21" s="1"/>
      <c r="DH21" s="1"/>
      <c r="DI21" s="1"/>
      <c r="DJ21" s="1"/>
      <c r="DK21" s="1"/>
      <c r="DL21" s="1"/>
      <c r="DM21" s="1"/>
      <c r="DN21" s="1"/>
      <c r="DO21" s="1"/>
      <c r="DP21" s="1"/>
      <c r="DQ21" s="1"/>
      <c r="DR21" s="1"/>
      <c r="DS21" s="1"/>
      <c r="DT21" s="1"/>
      <c r="DU21" s="1"/>
      <c r="DV21" s="1"/>
      <c r="DW21" s="1"/>
      <c r="DX21" s="1"/>
      <c r="DY21" s="1"/>
      <c r="DZ21" s="1"/>
      <c r="EA21" s="146">
        <f>'[66]2. Distributional by deciles o'!B73</f>
        <v>80864522351.68692</v>
      </c>
      <c r="EB21" s="146">
        <f>'[66]2. Distributional by deciles o'!C73</f>
        <v>81990309691.518021</v>
      </c>
      <c r="EC21" s="146">
        <f>'[66]2. Distributional by deciles o'!D73</f>
        <v>81705311446.08107</v>
      </c>
      <c r="ED21" s="146">
        <f>'[66]2. Distributional by deciles o'!E73</f>
        <v>81779668613.198395</v>
      </c>
      <c r="EE21" s="146">
        <f>'[66]2. Distributional by deciles o'!F73</f>
        <v>81707788035.393616</v>
      </c>
      <c r="EF21" s="146">
        <f>'[66]2. Distributional by deciles o'!G73</f>
        <v>81706095786.463226</v>
      </c>
      <c r="EG21" s="146">
        <f>'[66]2. Distributional by deciles o'!H73</f>
        <v>81701844969.385315</v>
      </c>
      <c r="EH21" s="122"/>
      <c r="EI21" s="130" t="s">
        <v>113</v>
      </c>
      <c r="EJ21" s="130" t="s">
        <v>113</v>
      </c>
      <c r="EK21" s="130" t="s">
        <v>113</v>
      </c>
      <c r="EL21" s="130" t="s">
        <v>113</v>
      </c>
      <c r="EM21" s="131">
        <f t="shared" si="32"/>
        <v>41.695562216628332</v>
      </c>
      <c r="EN21" s="146">
        <f>'[66]2. Distributional by deciles o'!B91</f>
        <v>286531656186.65881</v>
      </c>
      <c r="EO21" s="146">
        <f>'[66]2. Distributional by deciles o'!C91</f>
        <v>289396971851.69965</v>
      </c>
      <c r="EP21" s="131">
        <f t="shared" si="33"/>
        <v>0.99999968700639208</v>
      </c>
      <c r="EQ21" s="130" t="s">
        <v>113</v>
      </c>
      <c r="ER21" s="130" t="s">
        <v>113</v>
      </c>
      <c r="ES21" s="130" t="s">
        <v>113</v>
      </c>
      <c r="ET21" s="130" t="s">
        <v>113</v>
      </c>
      <c r="EU21" s="131">
        <f t="shared" si="34"/>
        <v>28.409302299501622</v>
      </c>
      <c r="EV21" s="132">
        <f t="shared" si="35"/>
        <v>1.3921898744412318</v>
      </c>
      <c r="EW21" s="132">
        <f t="shared" si="36"/>
        <v>1.0397506015050426</v>
      </c>
      <c r="EX21" s="132"/>
      <c r="EY21" s="148">
        <f t="shared" si="37"/>
        <v>1.9196375402178223E-2</v>
      </c>
      <c r="EZ21" s="144">
        <f t="shared" si="38"/>
        <v>0</v>
      </c>
      <c r="FA21" s="145">
        <f>'[66]2. Distributional by deciles o'!$J37</f>
        <v>1</v>
      </c>
      <c r="FB21" s="130" t="s">
        <v>113</v>
      </c>
      <c r="FC21" s="130" t="s">
        <v>113</v>
      </c>
      <c r="FD21" s="130" t="s">
        <v>113</v>
      </c>
      <c r="FE21" s="130" t="s">
        <v>113</v>
      </c>
      <c r="FF21" s="130" t="s">
        <v>113</v>
      </c>
      <c r="FG21" s="130" t="s">
        <v>113</v>
      </c>
      <c r="FH21" s="130" t="s">
        <v>113</v>
      </c>
      <c r="FI21" s="130" t="s">
        <v>113</v>
      </c>
      <c r="FJ21" s="1"/>
      <c r="FK21" s="1"/>
      <c r="FL21" s="1"/>
      <c r="FM21" s="1"/>
      <c r="FN21" s="1"/>
      <c r="FO21" s="1"/>
      <c r="FP21" s="1"/>
      <c r="FQ21" s="1"/>
    </row>
    <row r="22" spans="1:173" ht="13.2" customHeight="1" x14ac:dyDescent="0.3">
      <c r="A22" s="1"/>
      <c r="B22" s="34" t="s">
        <v>114</v>
      </c>
      <c r="C22" s="150">
        <f>'[65]2. Distributional by deciles o'!B74</f>
        <v>176709983677.61444</v>
      </c>
      <c r="D22" s="150">
        <f>'[65]2. Distributional by deciles o'!C74</f>
        <v>179983757640.85211</v>
      </c>
      <c r="E22" s="150">
        <f>'[65]2. Distributional by deciles o'!D74</f>
        <v>178557961937.58612</v>
      </c>
      <c r="F22" s="150">
        <f>'[65]2. Distributional by deciles o'!E74</f>
        <v>179478870912.12549</v>
      </c>
      <c r="G22" s="150">
        <f>'[65]2. Distributional by deciles o'!F74</f>
        <v>178945031365.04761</v>
      </c>
      <c r="H22" s="150">
        <f>'[65]2. Distributional by deciles o'!G74</f>
        <v>178707397318.13409</v>
      </c>
      <c r="I22" s="150">
        <f>'[65]2. Distributional by deciles o'!H74</f>
        <v>178559927898.37457</v>
      </c>
      <c r="J22" s="122"/>
      <c r="K22" s="151">
        <f>'[67]1. Fiscal'!D$184</f>
        <v>178664412659.90442</v>
      </c>
      <c r="L22" s="151">
        <f>'[67]1. Fiscal'!E$184</f>
        <v>177720829576.57718</v>
      </c>
      <c r="M22" s="151">
        <f>'[67]1. Fiscal'!F$184</f>
        <v>176949559591.18555</v>
      </c>
      <c r="N22" s="151">
        <f>'[67]1. Fiscal'!G$184</f>
        <v>176779191348.3559</v>
      </c>
      <c r="O22" s="152" t="s">
        <v>113</v>
      </c>
      <c r="P22" s="150">
        <f>'[65]2. Distributional by deciles o'!B92</f>
        <v>934294374804.14539</v>
      </c>
      <c r="Q22" s="150">
        <f>'[65]2. Distributional by deciles o'!C92</f>
        <v>943624545171.94824</v>
      </c>
      <c r="R22" s="153">
        <f t="shared" si="1"/>
        <v>0.99863283130210423</v>
      </c>
      <c r="S22" s="151">
        <f>'[67]1. Fiscal'!D$185</f>
        <v>939583376366.21155</v>
      </c>
      <c r="T22" s="151">
        <f>'[67]1. Fiscal'!E$185</f>
        <v>937169123499.94019</v>
      </c>
      <c r="U22" s="151">
        <f>'[67]1. Fiscal'!F$185</f>
        <v>935278138812.27319</v>
      </c>
      <c r="V22" s="151">
        <f>'[67]1. Fiscal'!G$185</f>
        <v>934477054649.95532</v>
      </c>
      <c r="W22" s="154">
        <f t="shared" si="2"/>
        <v>1.8551616744290942</v>
      </c>
      <c r="X22" s="154">
        <f t="shared" si="3"/>
        <v>1.0472007174518345</v>
      </c>
      <c r="Y22" s="154">
        <f t="shared" si="4"/>
        <v>1.56905563302873</v>
      </c>
      <c r="Z22" s="154">
        <f t="shared" si="5"/>
        <v>1.2665427903112587</v>
      </c>
      <c r="AA22" s="154">
        <f t="shared" si="6"/>
        <v>1.1318818206402044</v>
      </c>
      <c r="AB22" s="154">
        <f t="shared" si="7"/>
        <v>1.0483147757677485</v>
      </c>
      <c r="AC22" s="154">
        <f t="shared" si="8"/>
        <v>1.0483147757677485</v>
      </c>
      <c r="AD22" s="155">
        <f>(K22/$C22-1) / (S22/$P22-1)</f>
        <v>1.9537493484105335</v>
      </c>
      <c r="AE22" s="155">
        <f>(L22/$C22-1) / (T22/$P22-1)</f>
        <v>1.8591212509285036</v>
      </c>
      <c r="AF22" s="155">
        <f>(M22/$C22-1) / (U22/$P22-1)</f>
        <v>1.287581922864246</v>
      </c>
      <c r="AG22" s="155">
        <f>(N22/$C22-1) / (V22/$P22-1)</f>
        <v>2.0030244186384594</v>
      </c>
      <c r="AH22" s="156">
        <f t="shared" si="9"/>
        <v>1</v>
      </c>
      <c r="AI22" s="155">
        <f t="shared" si="10"/>
        <v>4.7200717451834517E-2</v>
      </c>
      <c r="AJ22" s="155">
        <f t="shared" si="11"/>
        <v>0.28610604140036422</v>
      </c>
      <c r="AK22" s="155">
        <f t="shared" si="12"/>
        <v>0.30251284271747125</v>
      </c>
      <c r="AL22" s="155">
        <f t="shared" si="13"/>
        <v>0.13466096967105434</v>
      </c>
      <c r="AM22" s="155">
        <f t="shared" si="14"/>
        <v>8.356704487245592E-2</v>
      </c>
      <c r="AN22" s="157">
        <f t="shared" si="15"/>
        <v>0</v>
      </c>
      <c r="AO22" s="155">
        <f t="shared" si="16"/>
        <v>1.114058315913935E-3</v>
      </c>
      <c r="AP22" s="155">
        <f t="shared" si="17"/>
        <v>4.8314775767748452E-2</v>
      </c>
      <c r="AQ22" s="136" t="s">
        <v>113</v>
      </c>
      <c r="AR22" s="137">
        <f t="shared" si="18"/>
        <v>5.519508048971641</v>
      </c>
      <c r="AS22" s="137">
        <f t="shared" si="19"/>
        <v>33.456368538892782</v>
      </c>
      <c r="AT22" s="137">
        <f t="shared" si="20"/>
        <v>35.374929883221064</v>
      </c>
      <c r="AU22" s="137">
        <f t="shared" si="21"/>
        <v>15.746843397881927</v>
      </c>
      <c r="AV22" s="137">
        <f t="shared" si="22"/>
        <v>9.7720755467959055</v>
      </c>
      <c r="AW22" s="138">
        <f t="shared" si="23"/>
        <v>0</v>
      </c>
      <c r="AX22" s="137">
        <f t="shared" si="24"/>
        <v>0.13027458423668017</v>
      </c>
      <c r="AY22" s="137">
        <f t="shared" si="25"/>
        <v>5.6497826332083214</v>
      </c>
      <c r="AZ22" s="158">
        <v>1.85</v>
      </c>
      <c r="BA22" s="158">
        <v>1.84</v>
      </c>
      <c r="BB22" s="158">
        <v>1.89</v>
      </c>
      <c r="BC22" s="158">
        <v>1.75</v>
      </c>
      <c r="BD22" s="159">
        <f>W22-AZ22</f>
        <v>5.1616744290940986E-3</v>
      </c>
      <c r="BE22" s="159">
        <f>AD22-BA22</f>
        <v>0.11374934841053341</v>
      </c>
      <c r="BF22" s="159">
        <f>AF22-BB22</f>
        <v>-0.6024180771357539</v>
      </c>
      <c r="BG22" s="159">
        <f>AG22-BC22</f>
        <v>0.25302441863845937</v>
      </c>
      <c r="BH22" s="160">
        <f>'[65]2. Distributional by deciles o'!$B110</f>
        <v>528896488796.78125</v>
      </c>
      <c r="BI22" s="160">
        <f>'[65]2. Distributional by deciles o'!$B128</f>
        <v>288753969320.32886</v>
      </c>
      <c r="BJ22" s="160">
        <f>'[65]2. Distributional by deciles o'!$B146</f>
        <v>98376218089.920074</v>
      </c>
      <c r="BK22" s="160">
        <f>'[65]2. Distributional by deciles o'!$B164</f>
        <v>18267703101.525604</v>
      </c>
      <c r="BL22" s="141">
        <f t="shared" si="26"/>
        <v>0.56609190904926798</v>
      </c>
      <c r="BM22" s="141">
        <f t="shared" si="27"/>
        <v>0.30906101515244833</v>
      </c>
      <c r="BN22" s="141">
        <f t="shared" si="28"/>
        <v>0.10529466971932921</v>
      </c>
      <c r="BO22" s="141">
        <f t="shared" si="29"/>
        <v>1.9552406078954476E-2</v>
      </c>
      <c r="BP22" s="159">
        <f>(AD22*BL22+AF22*BN22+AG22*BO22)/(BL22+BN22+BO22)</f>
        <v>1.8536241066957808</v>
      </c>
      <c r="BQ22" s="159">
        <f>W22-BP22</f>
        <v>1.5375677333133719E-3</v>
      </c>
      <c r="BR22" s="159">
        <f>BP22-AZ22</f>
        <v>3.6241066957807266E-3</v>
      </c>
      <c r="BS22" s="152" t="s">
        <v>113</v>
      </c>
      <c r="BT22" s="161"/>
      <c r="BU22" s="161"/>
      <c r="BV22" s="161"/>
      <c r="BW22" s="161"/>
      <c r="BX22" s="162"/>
      <c r="BY22" s="162"/>
      <c r="BZ22" s="163"/>
      <c r="CA22" s="164"/>
      <c r="CB22" s="165"/>
      <c r="CC22" s="166"/>
      <c r="CD22" s="166"/>
      <c r="CE22" s="166"/>
      <c r="CF22" s="166"/>
      <c r="CG22" s="167"/>
      <c r="CH22" s="167"/>
      <c r="CI22" s="168"/>
      <c r="CJ22" s="169"/>
      <c r="CK22" s="161">
        <f>'[65]3. Inequality and Poverty'!$B$7</f>
        <v>0.41597724523420598</v>
      </c>
      <c r="CL22" s="161">
        <f>'[65]3. Inequality and Poverty'!$B$8</f>
        <v>0.37185029858937502</v>
      </c>
      <c r="CM22" s="161">
        <f>'[65]3. Inequality and Poverty'!$C$7</f>
        <v>0.415970230660416</v>
      </c>
      <c r="CN22" s="161">
        <f>'[65]3. Inequality and Poverty'!$C$8</f>
        <v>0.37186009418656801</v>
      </c>
      <c r="CO22" s="162">
        <f>(CK22-CL22)/CK22</f>
        <v>0.10608019344901029</v>
      </c>
      <c r="CP22" s="162">
        <f>(CM22-CN22)/CM22</f>
        <v>0.1060415703398208</v>
      </c>
      <c r="CQ22" s="163">
        <f>(CP22-CO22)*100</f>
        <v>-3.86231091894923E-3</v>
      </c>
      <c r="CR22" s="165">
        <f>CN22-CL22</f>
        <v>9.7955971929963859E-6</v>
      </c>
      <c r="CS22" s="170">
        <f>(SUM(P20:P21))/(SUM(P12:P13))</f>
        <v>14.539508630282413</v>
      </c>
      <c r="CT22" s="170">
        <f>(SUM(P20:P21)-SUM(C20:C21))/(SUM(P12:P13)-SUM(C12:C13))</f>
        <v>10.706263388558742</v>
      </c>
      <c r="CU22" s="170">
        <f>(SUM(Q20:Q21))/(SUM(Q12:Q13))</f>
        <v>14.539058750509275</v>
      </c>
      <c r="CV22" s="170">
        <f>(SUM(Q20:Q21)-SUM(D20:D21))/(SUM(Q12:Q13)-SUM(D12:D13))</f>
        <v>10.694942885779753</v>
      </c>
      <c r="CW22" s="162">
        <f>(CS22-CT22)/CS22</f>
        <v>0.2636433829503641</v>
      </c>
      <c r="CX22" s="162">
        <f>(CU22-CV22)/CU22</f>
        <v>0.26439922492196205</v>
      </c>
      <c r="CY22" s="163">
        <f>(CX22-CW22)*100</f>
        <v>7.5584197159794808E-2</v>
      </c>
      <c r="CZ22" s="165">
        <f>CV22-CT22</f>
        <v>-1.132050277898955E-2</v>
      </c>
      <c r="DA22" s="171">
        <f>'[65]3. Inequality and Poverty'!$B$34</f>
        <v>0.196394354539802</v>
      </c>
      <c r="DB22" s="171">
        <f>'[65]3. Inequality and Poverty'!$C$34</f>
        <v>0.194235390642131</v>
      </c>
      <c r="DC22" s="172">
        <f>DB22-DA22</f>
        <v>-2.1589638976710068E-3</v>
      </c>
      <c r="DD22" s="144">
        <f t="shared" si="31"/>
        <v>16.685444287520568</v>
      </c>
      <c r="DE22" s="145">
        <f>'[65]2. Distributional by deciles o'!$J38</f>
        <v>0.83314555712479432</v>
      </c>
      <c r="DF22" s="1"/>
      <c r="DG22" s="1"/>
      <c r="DH22" s="1"/>
      <c r="DI22" s="1"/>
      <c r="DJ22" s="1"/>
      <c r="DK22" s="1"/>
      <c r="DL22" s="1"/>
      <c r="DM22" s="1"/>
      <c r="DN22" s="1"/>
      <c r="DO22" s="1"/>
      <c r="DP22" s="1"/>
      <c r="DQ22" s="1"/>
      <c r="DR22" s="1"/>
      <c r="DS22" s="1"/>
      <c r="DT22" s="1"/>
      <c r="DU22" s="1"/>
      <c r="DV22" s="1"/>
      <c r="DW22" s="1"/>
      <c r="DX22" s="1"/>
      <c r="DY22" s="1"/>
      <c r="DZ22" s="1"/>
      <c r="EA22" s="151">
        <f>'[66]2. Distributional by deciles o'!B74</f>
        <v>193940357325.21643</v>
      </c>
      <c r="EB22" s="151">
        <f>'[66]2. Distributional by deciles o'!C74</f>
        <v>197444781943.15921</v>
      </c>
      <c r="EC22" s="151">
        <f>'[66]2. Distributional by deciles o'!D74</f>
        <v>195993421761.40228</v>
      </c>
      <c r="ED22" s="151">
        <f>'[66]2. Distributional by deciles o'!E74</f>
        <v>196890155713.35184</v>
      </c>
      <c r="EE22" s="151">
        <f>'[66]2. Distributional by deciles o'!F74</f>
        <v>196170672738.42371</v>
      </c>
      <c r="EF22" s="151">
        <f>'[66]2. Distributional by deciles o'!G74</f>
        <v>196108472429.67743</v>
      </c>
      <c r="EG22" s="151">
        <f>'[66]2. Distributional by deciles o'!H74</f>
        <v>196016884148.47104</v>
      </c>
      <c r="EH22" s="123"/>
      <c r="EI22" s="151">
        <f>'[68]1. Fiscal'!D$196</f>
        <v>195940221758.1781</v>
      </c>
      <c r="EJ22" s="151">
        <f>'[68]1. Fiscal'!E$196</f>
        <v>195038744626.96313</v>
      </c>
      <c r="EK22" s="151">
        <f>'[68]1. Fiscal'!F$196</f>
        <v>194249634603.58716</v>
      </c>
      <c r="EL22" s="151">
        <f>'[68]1. Fiscal'!G$196</f>
        <v>194021841509.97638</v>
      </c>
      <c r="EM22" s="152" t="s">
        <v>113</v>
      </c>
      <c r="EN22" s="151">
        <f>'[66]2. Distributional by deciles o'!B92</f>
        <v>1008583924962.0903</v>
      </c>
      <c r="EO22" s="151">
        <f>'[66]2. Distributional by deciles o'!C92</f>
        <v>1018669772368.6199</v>
      </c>
      <c r="EP22" s="341">
        <f t="shared" si="33"/>
        <v>1.0000008087486245</v>
      </c>
      <c r="EQ22" s="151">
        <f>'[68]1. Fiscal'!D$197</f>
        <v>1014159011969.3606</v>
      </c>
      <c r="ER22" s="151">
        <f>'[68]1. Fiscal'!E$197</f>
        <v>1011729694428.3267</v>
      </c>
      <c r="ES22" s="151">
        <f>'[68]1. Fiscal'!F$197</f>
        <v>1009737559135.734</v>
      </c>
      <c r="ET22" s="151">
        <f>'[68]1. Fiscal'!G$197</f>
        <v>1008795271612.6146</v>
      </c>
      <c r="EU22" s="152" t="s">
        <v>113</v>
      </c>
      <c r="EV22" s="154">
        <f t="shared" si="35"/>
        <v>1.8069585062535263</v>
      </c>
      <c r="EW22" s="154">
        <f t="shared" si="36"/>
        <v>1.0586052351813491</v>
      </c>
      <c r="EX22" s="174">
        <f>EW22-X22</f>
        <v>1.1404517729514563E-2</v>
      </c>
      <c r="EY22" s="175">
        <f t="shared" si="37"/>
        <v>-4.8203168175567912E-2</v>
      </c>
      <c r="EZ22" s="144">
        <f t="shared" si="38"/>
        <v>15.633442658925322</v>
      </c>
      <c r="FA22" s="176">
        <f>'[66]2. Distributional by deciles o'!$J38</f>
        <v>0.84366557341074677</v>
      </c>
      <c r="FB22" s="155">
        <f>(EI22/$EA22-1) / (EQ22/$EN22-1)</f>
        <v>1.8654892796959153</v>
      </c>
      <c r="FC22" s="155">
        <f>(EJ22/$EA22-1) / (ER22/$EN22-1)</f>
        <v>1.8158186037050785</v>
      </c>
      <c r="FD22" s="155">
        <f>(EK22/$EA22-1) / (ES22/$EN22-1)</f>
        <v>1.3941957450629703</v>
      </c>
      <c r="FE22" s="155">
        <f>(EL22/$EA22-1) / (ET22/$EN22-1)</f>
        <v>2.0050342977562412</v>
      </c>
      <c r="FF22" s="75">
        <f>FB22-AD22</f>
        <v>-8.8260068714618223E-2</v>
      </c>
      <c r="FG22" s="75">
        <f>FC22-AE22</f>
        <v>-4.3302647223425028E-2</v>
      </c>
      <c r="FH22" s="75">
        <f>FD22-AF22</f>
        <v>0.10661382219872428</v>
      </c>
      <c r="FI22" s="75">
        <f>FE22-AG22</f>
        <v>2.009879117781832E-3</v>
      </c>
      <c r="FJ22" s="1"/>
      <c r="FK22" s="1"/>
      <c r="FL22" s="1"/>
      <c r="FM22" s="1"/>
      <c r="FN22" s="1"/>
      <c r="FO22" s="1"/>
      <c r="FP22" s="1"/>
      <c r="FQ22" s="1"/>
    </row>
    <row r="23" spans="1:173" x14ac:dyDescent="0.3">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c r="ET23" s="1"/>
      <c r="EU23" s="1"/>
      <c r="EV23" s="1"/>
      <c r="EW23" s="1"/>
      <c r="EX23" s="1"/>
      <c r="EY23" s="1"/>
      <c r="EZ23" s="1"/>
      <c r="FA23" s="1"/>
      <c r="FB23" s="1"/>
      <c r="FC23" s="1"/>
      <c r="FD23" s="1"/>
      <c r="FE23" s="1"/>
      <c r="FF23" s="1"/>
      <c r="FG23" s="1"/>
      <c r="FH23" s="1"/>
      <c r="FI23" s="1"/>
      <c r="FJ23" s="1"/>
      <c r="FK23" s="1"/>
      <c r="FL23" s="1"/>
      <c r="FM23" s="1"/>
      <c r="FN23" s="1"/>
      <c r="FO23" s="1"/>
      <c r="FP23" s="1"/>
      <c r="FQ23" s="1"/>
    </row>
    <row r="24" spans="1:173" x14ac:dyDescent="0.3">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c r="EJ24" s="1"/>
      <c r="EK24" s="1"/>
      <c r="EL24" s="1"/>
      <c r="EM24" s="1"/>
      <c r="EN24" s="1"/>
      <c r="EO24" s="1"/>
      <c r="EP24" s="1"/>
      <c r="EQ24" s="1"/>
      <c r="ER24" s="1"/>
      <c r="ES24" s="1"/>
      <c r="ET24" s="1"/>
      <c r="EU24" s="1"/>
      <c r="EV24" s="1"/>
      <c r="EW24" s="1"/>
      <c r="EX24" s="1"/>
      <c r="EY24" s="1"/>
      <c r="EZ24" s="1"/>
      <c r="FA24" s="1"/>
      <c r="FB24" s="1"/>
      <c r="FC24" s="1"/>
      <c r="FD24" s="1"/>
      <c r="FE24" s="1"/>
      <c r="FF24" s="1"/>
      <c r="FG24" s="1"/>
      <c r="FH24" s="1"/>
      <c r="FI24" s="1"/>
      <c r="FJ24" s="1"/>
      <c r="FK24" s="1"/>
      <c r="FL24" s="1"/>
      <c r="FM24" s="1"/>
      <c r="FN24" s="1"/>
      <c r="FO24" s="1"/>
      <c r="FP24" s="1"/>
      <c r="FQ24" s="1"/>
    </row>
    <row r="25" spans="1:173" x14ac:dyDescent="0.3">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Q25" s="1"/>
    </row>
    <row r="26" spans="1:173" x14ac:dyDescent="0.3">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c r="ER26" s="1"/>
      <c r="ES26" s="1"/>
      <c r="ET26" s="1"/>
      <c r="EU26" s="1"/>
      <c r="EV26" s="1"/>
      <c r="EW26" s="1"/>
      <c r="EX26" s="1"/>
      <c r="EY26" s="1"/>
      <c r="EZ26" s="1"/>
      <c r="FA26" s="1"/>
      <c r="FB26" s="1"/>
      <c r="FC26" s="1"/>
      <c r="FD26" s="1"/>
      <c r="FE26" s="1"/>
      <c r="FF26" s="1"/>
      <c r="FG26" s="1"/>
      <c r="FH26" s="1"/>
      <c r="FI26" s="1"/>
      <c r="FJ26" s="1"/>
      <c r="FK26" s="1"/>
      <c r="FL26" s="1"/>
      <c r="FM26" s="1"/>
      <c r="FN26" s="1"/>
      <c r="FO26" s="1"/>
      <c r="FP26" s="1"/>
      <c r="FQ26" s="1"/>
    </row>
    <row r="27" spans="1:173" x14ac:dyDescent="0.3">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c r="CW27" s="1"/>
      <c r="CX27" s="1"/>
      <c r="CY27" s="1"/>
      <c r="CZ27" s="1"/>
      <c r="DA27" s="1"/>
      <c r="DB27" s="1"/>
      <c r="DC27" s="1"/>
      <c r="DD27" s="1"/>
      <c r="DE27" s="1"/>
      <c r="DF27" s="1"/>
      <c r="DG27" s="1"/>
      <c r="DH27" s="1"/>
      <c r="DI27" s="1"/>
      <c r="DJ27" s="1"/>
      <c r="DK27" s="1"/>
      <c r="DL27" s="1"/>
      <c r="DM27" s="1"/>
      <c r="DN27" s="1"/>
      <c r="DO27" s="1"/>
      <c r="DP27" s="1"/>
      <c r="DQ27" s="1"/>
      <c r="DR27" s="1"/>
      <c r="DS27" s="1"/>
      <c r="DT27" s="1"/>
      <c r="DU27" s="1"/>
      <c r="DV27" s="1"/>
      <c r="DW27" s="1"/>
      <c r="DX27" s="1"/>
      <c r="DY27" s="1"/>
      <c r="DZ27" s="1"/>
      <c r="EA27" s="1"/>
      <c r="EB27" s="1"/>
      <c r="EC27" s="1"/>
      <c r="ED27" s="1"/>
      <c r="EE27" s="1"/>
      <c r="EF27" s="1"/>
      <c r="EG27" s="1"/>
      <c r="EH27" s="1"/>
      <c r="EI27" s="1"/>
      <c r="EJ27" s="1"/>
      <c r="EK27" s="1"/>
      <c r="EL27" s="1"/>
      <c r="EM27" s="1"/>
      <c r="EN27" s="1"/>
      <c r="EO27" s="1"/>
      <c r="EP27" s="1"/>
      <c r="EQ27" s="1"/>
      <c r="ER27" s="1"/>
      <c r="ES27" s="1"/>
      <c r="ET27" s="1"/>
      <c r="EU27" s="1"/>
      <c r="EV27" s="1"/>
      <c r="EW27" s="1"/>
      <c r="EX27" s="1"/>
      <c r="EY27" s="1"/>
      <c r="EZ27" s="1"/>
      <c r="FA27" s="1"/>
      <c r="FB27" s="1"/>
      <c r="FC27" s="1"/>
      <c r="FD27" s="1"/>
      <c r="FE27" s="1"/>
      <c r="FF27" s="1"/>
      <c r="FG27" s="1"/>
      <c r="FH27" s="1"/>
      <c r="FI27" s="1"/>
      <c r="FJ27" s="1"/>
      <c r="FK27" s="1"/>
      <c r="FL27" s="1"/>
      <c r="FM27" s="1"/>
      <c r="FN27" s="1"/>
      <c r="FO27" s="1"/>
      <c r="FP27" s="1"/>
      <c r="FQ27" s="1"/>
    </row>
  </sheetData>
  <pageMargins left="0.7" right="0.7" top="0.75" bottom="0.75" header="0.3" footer="0.3"/>
  <pageSetup paperSize="9" orientation="portrait" r:id="rId1"/>
  <headerFooter>
    <oddHeader>&amp;R&amp;"Arial"&amp;10&amp;K000000 ECB-RESTRICTED&amp;1#_x000D_</oddHeader>
  </headerFooter>
  <legacyDrawing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013F3-3DA7-4A14-ABC1-D6635F8B8F37}">
  <dimension ref="A1:BN121"/>
  <sheetViews>
    <sheetView zoomScale="55" zoomScaleNormal="55" workbookViewId="0">
      <selection activeCell="O4" sqref="O4"/>
    </sheetView>
  </sheetViews>
  <sheetFormatPr baseColWidth="10" defaultColWidth="8.6640625" defaultRowHeight="14.4" x14ac:dyDescent="0.3"/>
  <cols>
    <col min="1" max="1" width="4.33203125" customWidth="1"/>
    <col min="3" max="3" width="17.33203125" customWidth="1"/>
    <col min="4" max="4" width="15.6640625" customWidth="1"/>
    <col min="5" max="5" width="16.33203125" customWidth="1"/>
    <col min="6" max="6" width="15.6640625" customWidth="1"/>
    <col min="7" max="7" width="16" customWidth="1"/>
    <col min="8" max="8" width="19" customWidth="1"/>
    <col min="9" max="12" width="17" customWidth="1"/>
    <col min="13" max="13" width="17.33203125" customWidth="1"/>
    <col min="14" max="18" width="16.33203125" customWidth="1"/>
    <col min="19" max="19" width="17" customWidth="1"/>
    <col min="20" max="20" width="20.44140625" bestFit="1" customWidth="1"/>
    <col min="21" max="21" width="16.33203125" customWidth="1"/>
    <col min="22" max="22" width="18.33203125" bestFit="1" customWidth="1"/>
    <col min="23" max="33" width="16.33203125" customWidth="1"/>
    <col min="34" max="34" width="14.6640625" customWidth="1"/>
    <col min="35" max="36" width="12.6640625" customWidth="1"/>
    <col min="37" max="37" width="17.33203125" customWidth="1"/>
    <col min="38" max="38" width="12.33203125" customWidth="1"/>
    <col min="39" max="39" width="9.6640625" customWidth="1"/>
    <col min="40" max="42" width="19" customWidth="1"/>
    <col min="43" max="50" width="9.6640625" customWidth="1"/>
    <col min="51" max="59" width="0.5546875" customWidth="1"/>
  </cols>
  <sheetData>
    <row r="1" spans="1:66" ht="15" thickBot="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row>
    <row r="2" spans="1:66" ht="18" customHeight="1" thickBot="1" x14ac:dyDescent="0.35">
      <c r="A2" s="1"/>
      <c r="B2" s="2" t="s">
        <v>654</v>
      </c>
      <c r="C2" s="3"/>
      <c r="D2" s="3"/>
      <c r="E2" s="3"/>
      <c r="F2" s="3"/>
      <c r="G2" s="3"/>
      <c r="H2" s="3"/>
      <c r="I2" s="3"/>
      <c r="J2" s="3"/>
      <c r="K2" s="3"/>
      <c r="L2" s="3"/>
      <c r="M2" s="4"/>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row>
    <row r="3" spans="1:66" ht="18" customHeight="1" x14ac:dyDescent="0.3">
      <c r="A3" s="1"/>
      <c r="B3" s="5" t="s">
        <v>115</v>
      </c>
      <c r="C3" s="6"/>
      <c r="D3" s="6"/>
      <c r="E3" s="6"/>
      <c r="F3" s="6"/>
      <c r="G3" s="6"/>
      <c r="H3" s="6"/>
      <c r="I3" s="6"/>
      <c r="J3" s="6"/>
      <c r="K3" s="6"/>
      <c r="L3" s="6"/>
      <c r="M3" s="7"/>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row>
    <row r="4" spans="1:66" ht="18" customHeight="1" x14ac:dyDescent="0.3">
      <c r="A4" s="1"/>
      <c r="B4" s="99" t="s">
        <v>1</v>
      </c>
      <c r="C4" s="296"/>
      <c r="D4" s="296"/>
      <c r="E4" s="296"/>
      <c r="F4" s="296"/>
      <c r="G4" s="296"/>
      <c r="H4" s="296"/>
      <c r="I4" s="296"/>
      <c r="J4" s="296"/>
      <c r="K4" s="296"/>
      <c r="L4" s="296"/>
      <c r="M4" s="100"/>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row>
    <row r="5" spans="1:66" ht="14.25" customHeight="1" x14ac:dyDescent="0.3">
      <c r="A5" s="1"/>
      <c r="B5" s="293" t="s">
        <v>116</v>
      </c>
      <c r="C5" s="294"/>
      <c r="D5" s="294"/>
      <c r="E5" s="294"/>
      <c r="F5" s="294"/>
      <c r="G5" s="294"/>
      <c r="H5" s="294"/>
      <c r="I5" s="294"/>
      <c r="J5" s="294"/>
      <c r="K5" s="294"/>
      <c r="L5" s="294"/>
      <c r="M5" s="295"/>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row>
    <row r="6" spans="1:66" ht="12.6" customHeight="1" x14ac:dyDescent="0.3">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row>
    <row r="7" spans="1:66" ht="12.6" customHeight="1" x14ac:dyDescent="0.3">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row>
    <row r="8" spans="1:66" ht="17.7" customHeight="1" x14ac:dyDescent="0.3">
      <c r="A8" s="1"/>
      <c r="B8" s="11" t="s">
        <v>2</v>
      </c>
      <c r="C8" s="12" t="s">
        <v>234</v>
      </c>
      <c r="D8" s="12" t="s">
        <v>235</v>
      </c>
      <c r="E8" s="124" t="s">
        <v>237</v>
      </c>
      <c r="F8" s="125"/>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row>
    <row r="9" spans="1:66" ht="10.35" customHeight="1" x14ac:dyDescent="0.3">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row>
    <row r="10" spans="1:66" x14ac:dyDescent="0.3">
      <c r="A10" s="1"/>
      <c r="B10" s="1"/>
      <c r="C10" s="13" t="s">
        <v>6</v>
      </c>
      <c r="D10" s="14"/>
      <c r="E10" s="14"/>
      <c r="F10" s="14"/>
      <c r="G10" s="14"/>
      <c r="H10" s="14"/>
      <c r="I10" s="14"/>
      <c r="J10" s="14"/>
      <c r="K10" s="14"/>
      <c r="L10" s="14"/>
      <c r="M10" s="14"/>
      <c r="N10" s="14"/>
      <c r="O10" s="14"/>
      <c r="P10" s="15" t="s">
        <v>596</v>
      </c>
      <c r="Q10" s="16"/>
      <c r="R10" s="16"/>
      <c r="S10" s="16"/>
      <c r="T10" s="16"/>
      <c r="U10" s="16"/>
      <c r="V10" s="16"/>
      <c r="W10" s="16"/>
      <c r="X10" s="13"/>
      <c r="Y10" s="17"/>
      <c r="Z10" s="17"/>
      <c r="AA10" s="17"/>
      <c r="AB10" s="17"/>
      <c r="AC10" s="17"/>
      <c r="AD10" s="17"/>
      <c r="AE10" s="19"/>
      <c r="AF10" s="16"/>
      <c r="AG10" s="16"/>
      <c r="AH10" s="16"/>
      <c r="AI10" s="16"/>
      <c r="AJ10" s="16"/>
      <c r="AK10" s="1"/>
      <c r="AL10" s="1"/>
      <c r="AM10" s="99" t="s">
        <v>562</v>
      </c>
      <c r="AN10" s="9"/>
      <c r="AO10" s="9"/>
      <c r="AP10" s="9"/>
      <c r="AQ10" s="9"/>
      <c r="AR10" s="9"/>
      <c r="AS10" s="10"/>
      <c r="AT10" s="1"/>
      <c r="AU10" s="1"/>
      <c r="AV10" s="1"/>
      <c r="AW10" s="1"/>
      <c r="AX10" s="1"/>
      <c r="AY10" s="1"/>
      <c r="AZ10" s="1"/>
      <c r="BA10" s="1"/>
      <c r="BB10" s="1"/>
      <c r="BC10" s="1"/>
      <c r="BD10" s="1"/>
      <c r="BE10" s="1"/>
      <c r="BF10" s="1"/>
      <c r="BG10" s="1"/>
      <c r="BH10" s="1"/>
      <c r="BI10" s="1"/>
      <c r="BJ10" s="1"/>
      <c r="BK10" s="1"/>
      <c r="BL10" s="1"/>
      <c r="BM10" s="1"/>
      <c r="BN10" s="1"/>
    </row>
    <row r="11" spans="1:66" ht="78.75" customHeight="1" x14ac:dyDescent="0.3">
      <c r="A11" s="1"/>
      <c r="B11" s="25" t="s">
        <v>20</v>
      </c>
      <c r="C11" s="26" t="s">
        <v>119</v>
      </c>
      <c r="D11" s="27" t="s">
        <v>120</v>
      </c>
      <c r="E11" s="26" t="s">
        <v>121</v>
      </c>
      <c r="F11" s="27" t="s">
        <v>122</v>
      </c>
      <c r="G11" s="27" t="s">
        <v>123</v>
      </c>
      <c r="H11" s="27" t="s">
        <v>124</v>
      </c>
      <c r="I11" s="27" t="s">
        <v>125</v>
      </c>
      <c r="J11" s="27" t="s">
        <v>126</v>
      </c>
      <c r="K11" s="27" t="s">
        <v>127</v>
      </c>
      <c r="L11" s="27"/>
      <c r="M11" s="27"/>
      <c r="N11" s="27"/>
      <c r="O11" s="27"/>
      <c r="P11" s="26" t="s">
        <v>119</v>
      </c>
      <c r="Q11" s="27" t="s">
        <v>120</v>
      </c>
      <c r="R11" s="27" t="s">
        <v>121</v>
      </c>
      <c r="S11" s="27" t="s">
        <v>122</v>
      </c>
      <c r="T11" s="27" t="s">
        <v>123</v>
      </c>
      <c r="U11" s="27" t="s">
        <v>130</v>
      </c>
      <c r="V11" s="27"/>
      <c r="W11" s="27"/>
      <c r="X11" s="27"/>
      <c r="Y11" s="27"/>
      <c r="Z11" s="27"/>
      <c r="AA11" s="27"/>
      <c r="AB11" s="27"/>
      <c r="AC11" s="27"/>
      <c r="AD11" s="27"/>
      <c r="AE11" s="27"/>
      <c r="AF11" s="27"/>
      <c r="AG11" s="27"/>
      <c r="AH11" s="27"/>
      <c r="AI11" s="27"/>
      <c r="AJ11" s="27"/>
      <c r="AK11" s="27" t="s">
        <v>150</v>
      </c>
      <c r="AL11" s="1"/>
      <c r="AM11" s="522" t="s">
        <v>563</v>
      </c>
      <c r="AN11" s="523" t="s">
        <v>568</v>
      </c>
      <c r="AO11" s="523" t="s">
        <v>569</v>
      </c>
      <c r="AP11" s="523" t="s">
        <v>570</v>
      </c>
      <c r="AQ11" s="523" t="s">
        <v>564</v>
      </c>
      <c r="AR11" s="523" t="s">
        <v>565</v>
      </c>
      <c r="AS11" s="523" t="s">
        <v>566</v>
      </c>
      <c r="AT11" s="1"/>
      <c r="AU11" s="1"/>
      <c r="AV11" s="1"/>
      <c r="AW11" s="1"/>
      <c r="AX11" s="1"/>
      <c r="AY11" s="1"/>
      <c r="AZ11" s="1"/>
      <c r="BA11" s="1"/>
      <c r="BB11" s="1"/>
      <c r="BC11" s="1"/>
      <c r="BD11" s="1"/>
      <c r="BE11" s="1"/>
      <c r="BF11" s="1"/>
      <c r="BG11" s="1"/>
      <c r="BH11" s="1"/>
      <c r="BI11" s="1"/>
      <c r="BJ11" s="1"/>
      <c r="BK11" s="1"/>
      <c r="BL11" s="1"/>
      <c r="BM11" s="1"/>
      <c r="BN11" s="1"/>
    </row>
    <row r="12" spans="1:66" x14ac:dyDescent="0.3">
      <c r="A12" s="1"/>
      <c r="B12" s="28">
        <v>1</v>
      </c>
      <c r="C12" s="129">
        <f>'[69]2. Distributional by deciles o'!B64</f>
        <v>4263006.0348000014</v>
      </c>
      <c r="D12" s="129">
        <f>'[69]2. Distributional by deciles o'!C64</f>
        <v>2764538.8872000007</v>
      </c>
      <c r="E12" s="129">
        <f>'[69]2. Distributional by deciles o'!D64</f>
        <v>1415989.6979999996</v>
      </c>
      <c r="F12" s="129">
        <f>'[69]2. Distributional by deciles o'!E64</f>
        <v>17625950.481600001</v>
      </c>
      <c r="G12" s="129">
        <f>'[69]2. Distributional by deciles o'!F64</f>
        <v>22272371.042400002</v>
      </c>
      <c r="H12" s="129">
        <f>'[69]2. Distributional by deciles o'!H64</f>
        <v>5654437.2048000004</v>
      </c>
      <c r="I12" s="129">
        <f>'[69]2. Distributional by deciles o'!I64</f>
        <v>3408735.7764000017</v>
      </c>
      <c r="J12" s="129">
        <f>'[69]2. Distributional by deciles o'!J64</f>
        <v>7967947.7700000014</v>
      </c>
      <c r="K12" s="129">
        <f>'[69]2. Distributional by deciles o'!K64</f>
        <v>10221660.2064</v>
      </c>
      <c r="L12" s="423"/>
      <c r="M12" s="423"/>
      <c r="N12" s="423"/>
      <c r="O12" s="423"/>
      <c r="P12" s="129">
        <f>'[69]2. Distributional by deciles o'!B82</f>
        <v>4947069771.3803997</v>
      </c>
      <c r="Q12" s="129">
        <f>'[69]2. Distributional by deciles o'!C82</f>
        <v>4821905312.1719971</v>
      </c>
      <c r="R12" s="129">
        <f>'[69]2. Distributional by deciles o'!D82</f>
        <v>5054980878.9072084</v>
      </c>
      <c r="S12" s="129">
        <f>'[69]2. Distributional by deciles o'!E82</f>
        <v>5227161538.6044025</v>
      </c>
      <c r="T12" s="129">
        <f>'[69]2. Distributional by deciles o'!F82</f>
        <v>5493866102.2860022</v>
      </c>
      <c r="U12" s="209">
        <f t="shared" ref="U12:U22" si="0">T12/P12-1</f>
        <v>0.11052933477286042</v>
      </c>
      <c r="V12" s="423"/>
      <c r="W12" s="209"/>
      <c r="X12" s="132"/>
      <c r="Y12" s="132"/>
      <c r="Z12" s="132"/>
      <c r="AA12" s="132"/>
      <c r="AB12" s="132"/>
      <c r="AC12" s="132"/>
      <c r="AD12" s="132"/>
      <c r="AE12" s="139"/>
      <c r="AF12" s="139"/>
      <c r="AG12" s="139"/>
      <c r="AH12" s="139"/>
      <c r="AI12" s="139"/>
      <c r="AJ12" s="139"/>
      <c r="AK12" s="408">
        <f>'[70]2. Distributional by deciles o'!$L64</f>
        <v>22352538.303600002</v>
      </c>
      <c r="AL12" s="1"/>
      <c r="AM12" s="32" cm="1">
        <f t="array" aca="1" ref="AM12" ca="1">INDIRECT("'1"&amp;$C$8&amp;"'!W12")</f>
        <v>10.176960036495631</v>
      </c>
      <c r="AN12" s="524">
        <f t="shared" ref="AN12:AN21" ca="1" si="1">C12+C12*U12*AM12</f>
        <v>9058259.5542439334</v>
      </c>
      <c r="AO12" s="524">
        <f t="shared" ref="AO12:AO21" ca="1" si="2">C12+C12*U$22*AM12</f>
        <v>7712679.6823962955</v>
      </c>
      <c r="AP12" s="524">
        <f t="shared" ref="AP12:AP21" ca="1" si="3">C12+C12*AR12*AM12</f>
        <v>9058259.5542439334</v>
      </c>
      <c r="AQ12" s="525">
        <f t="shared" ref="AQ12:AQ21" si="4">U12</f>
        <v>0.11052933477286042</v>
      </c>
      <c r="AR12" s="344">
        <f>AQ12</f>
        <v>0.11052933477286042</v>
      </c>
      <c r="AS12" s="41">
        <f>P12/P$22</f>
        <v>5.2949797245835347E-3</v>
      </c>
      <c r="AT12" s="1"/>
      <c r="AU12" s="1"/>
      <c r="AV12" s="1"/>
      <c r="AW12" s="1"/>
      <c r="AX12" s="1"/>
      <c r="AY12" s="1"/>
      <c r="AZ12" s="1"/>
      <c r="BA12" s="1"/>
      <c r="BB12" s="1"/>
      <c r="BC12" s="1"/>
      <c r="BD12" s="1"/>
      <c r="BE12" s="1"/>
      <c r="BF12" s="1"/>
      <c r="BG12" s="1"/>
      <c r="BH12" s="1"/>
      <c r="BI12" s="1"/>
      <c r="BJ12" s="1"/>
      <c r="BK12" s="1"/>
      <c r="BL12" s="1"/>
      <c r="BM12" s="1"/>
      <c r="BN12" s="1"/>
    </row>
    <row r="13" spans="1:66" x14ac:dyDescent="0.3">
      <c r="A13" s="1"/>
      <c r="B13" s="28">
        <v>2</v>
      </c>
      <c r="C13" s="129">
        <f>'[69]2. Distributional by deciles o'!B65</f>
        <v>-264885651.43320009</v>
      </c>
      <c r="D13" s="129">
        <f>'[69]2. Distributional by deciles o'!C65</f>
        <v>-335248024.16880006</v>
      </c>
      <c r="E13" s="129">
        <f>'[69]2. Distributional by deciles o'!D65</f>
        <v>-381238895.38799977</v>
      </c>
      <c r="F13" s="129">
        <f>'[69]2. Distributional by deciles o'!E65</f>
        <v>-176033132.10360005</v>
      </c>
      <c r="G13" s="129">
        <f>'[69]2. Distributional by deciles o'!F65</f>
        <v>-12105381.685200037</v>
      </c>
      <c r="H13" s="129">
        <f>'[69]2. Distributional by deciles o'!H65</f>
        <v>-119260207.57800002</v>
      </c>
      <c r="I13" s="129">
        <f>'[69]2. Distributional by deciles o'!I65</f>
        <v>-205067363.2464</v>
      </c>
      <c r="J13" s="129">
        <f>'[69]2. Distributional by deciles o'!J65</f>
        <v>-237772786.30079994</v>
      </c>
      <c r="K13" s="129">
        <f>'[69]2. Distributional by deciles o'!K65</f>
        <v>-293298168.66119987</v>
      </c>
      <c r="L13" s="423"/>
      <c r="M13" s="423"/>
      <c r="N13" s="423"/>
      <c r="O13" s="423"/>
      <c r="P13" s="129">
        <f>'[69]2. Distributional by deciles o'!B83</f>
        <v>23979991062.689995</v>
      </c>
      <c r="Q13" s="129">
        <f>'[69]2. Distributional by deciles o'!C83</f>
        <v>23584694114.450375</v>
      </c>
      <c r="R13" s="129">
        <f>'[69]2. Distributional by deciles o'!D83</f>
        <v>24426584898.36837</v>
      </c>
      <c r="S13" s="129">
        <f>'[69]2. Distributional by deciles o'!E83</f>
        <v>25146797141.546391</v>
      </c>
      <c r="T13" s="129">
        <f>'[69]2. Distributional by deciles o'!F83</f>
        <v>26398324598.158825</v>
      </c>
      <c r="U13" s="209">
        <f t="shared" si="0"/>
        <v>0.1008479748448059</v>
      </c>
      <c r="V13" s="423"/>
      <c r="W13" s="209"/>
      <c r="X13" s="132"/>
      <c r="Y13" s="132"/>
      <c r="Z13" s="132"/>
      <c r="AA13" s="132"/>
      <c r="AB13" s="132"/>
      <c r="AC13" s="132"/>
      <c r="AD13" s="132"/>
      <c r="AE13" s="139"/>
      <c r="AF13" s="139"/>
      <c r="AG13" s="139"/>
      <c r="AH13" s="139"/>
      <c r="AI13" s="139"/>
      <c r="AJ13" s="139"/>
      <c r="AK13" s="408">
        <f>'[70]2. Distributional by deciles o'!$L65</f>
        <v>-10941018.2904</v>
      </c>
      <c r="AL13" s="1"/>
      <c r="AM13" s="32" cm="1">
        <f t="array" aca="1" ref="AM13" ca="1">INDIRECT("'1"&amp;$C$8&amp;"'!W13")</f>
        <v>6.6110463234210801</v>
      </c>
      <c r="AN13" s="524">
        <f t="shared" ca="1" si="1"/>
        <v>-441487731.85819656</v>
      </c>
      <c r="AO13" s="524">
        <f t="shared" ca="1" si="2"/>
        <v>-404128413.16748679</v>
      </c>
      <c r="AP13" s="524">
        <f t="shared" ca="1" si="3"/>
        <v>-441487731.85819656</v>
      </c>
      <c r="AQ13" s="525">
        <f t="shared" si="4"/>
        <v>0.1008479748448059</v>
      </c>
      <c r="AR13" s="344">
        <f t="shared" ref="AR13:AR18" si="5">AQ13</f>
        <v>0.1008479748448059</v>
      </c>
      <c r="AS13" s="41">
        <f t="shared" ref="AS13:AS21" si="6">P13/P$22</f>
        <v>2.5666419181552796E-2</v>
      </c>
      <c r="AT13" s="1"/>
      <c r="AU13" s="1"/>
      <c r="AV13" s="1"/>
      <c r="AW13" s="1"/>
      <c r="AX13" s="1"/>
      <c r="AY13" s="1"/>
      <c r="AZ13" s="1"/>
      <c r="BA13" s="1"/>
      <c r="BB13" s="1"/>
      <c r="BC13" s="1"/>
      <c r="BD13" s="1"/>
      <c r="BE13" s="1"/>
      <c r="BF13" s="1"/>
      <c r="BG13" s="1"/>
      <c r="BH13" s="1"/>
      <c r="BI13" s="1"/>
      <c r="BJ13" s="1"/>
      <c r="BK13" s="1"/>
      <c r="BL13" s="1"/>
      <c r="BM13" s="1"/>
      <c r="BN13" s="1"/>
    </row>
    <row r="14" spans="1:66" x14ac:dyDescent="0.3">
      <c r="A14" s="1"/>
      <c r="B14" s="28">
        <v>3</v>
      </c>
      <c r="C14" s="129">
        <f>'[69]2. Distributional by deciles o'!B66</f>
        <v>1937955505.5120013</v>
      </c>
      <c r="D14" s="129">
        <f>'[69]2. Distributional by deciles o'!C66</f>
        <v>1822793558.048399</v>
      </c>
      <c r="E14" s="129">
        <f>'[69]2. Distributional by deciles o'!D66</f>
        <v>1801181449.7544</v>
      </c>
      <c r="F14" s="129">
        <f>'[69]2. Distributional by deciles o'!E66</f>
        <v>2101048330.5695987</v>
      </c>
      <c r="G14" s="129">
        <f>'[69]2. Distributional by deciles o'!F66</f>
        <v>2849404568.8788004</v>
      </c>
      <c r="H14" s="129">
        <f>'[69]2. Distributional by deciles o'!H66</f>
        <v>2843720239.3607984</v>
      </c>
      <c r="I14" s="129">
        <f>'[69]2. Distributional by deciles o'!I66</f>
        <v>2224234114.036797</v>
      </c>
      <c r="J14" s="129">
        <f>'[69]2. Distributional by deciles o'!J66</f>
        <v>1988501190.674401</v>
      </c>
      <c r="K14" s="129">
        <f>'[69]2. Distributional by deciles o'!K66</f>
        <v>1618108060.7808003</v>
      </c>
      <c r="L14" s="423"/>
      <c r="M14" s="423"/>
      <c r="N14" s="423"/>
      <c r="O14" s="423"/>
      <c r="P14" s="129">
        <f>'[69]2. Distributional by deciles o'!B84</f>
        <v>41788847973.835182</v>
      </c>
      <c r="Q14" s="129">
        <f>'[69]2. Distributional by deciles o'!C84</f>
        <v>41675917415.79126</v>
      </c>
      <c r="R14" s="129">
        <f>'[69]2. Distributional by deciles o'!D84</f>
        <v>42321275032.472359</v>
      </c>
      <c r="S14" s="129">
        <f>'[69]2. Distributional by deciles o'!E84</f>
        <v>43276119748.694504</v>
      </c>
      <c r="T14" s="129">
        <f>'[69]2. Distributional by deciles o'!F84</f>
        <v>45524069107.761581</v>
      </c>
      <c r="U14" s="209">
        <f t="shared" si="0"/>
        <v>8.9383204252605708E-2</v>
      </c>
      <c r="V14" s="423"/>
      <c r="W14" s="209"/>
      <c r="X14" s="132"/>
      <c r="Y14" s="132"/>
      <c r="Z14" s="132"/>
      <c r="AA14" s="132"/>
      <c r="AB14" s="132"/>
      <c r="AC14" s="132"/>
      <c r="AD14" s="132"/>
      <c r="AE14" s="139"/>
      <c r="AF14" s="139"/>
      <c r="AG14" s="139"/>
      <c r="AH14" s="139"/>
      <c r="AI14" s="139"/>
      <c r="AJ14" s="139"/>
      <c r="AK14" s="408">
        <f>'[70]2. Distributional by deciles o'!$L66</f>
        <v>2852988739.8144002</v>
      </c>
      <c r="AL14" s="1"/>
      <c r="AM14" s="32" cm="1">
        <f t="array" aca="1" ref="AM14" ca="1">INDIRECT("'1"&amp;$C$8&amp;"'!W14")</f>
        <v>5.4354831472658027</v>
      </c>
      <c r="AN14" s="524">
        <f t="shared" ca="1" si="1"/>
        <v>2879493553.174655</v>
      </c>
      <c r="AO14" s="524">
        <f t="shared" ca="1" si="2"/>
        <v>2775534832.7349925</v>
      </c>
      <c r="AP14" s="524">
        <f t="shared" ca="1" si="3"/>
        <v>2879493553.174655</v>
      </c>
      <c r="AQ14" s="525">
        <f t="shared" si="4"/>
        <v>8.9383204252605708E-2</v>
      </c>
      <c r="AR14" s="344">
        <f t="shared" si="5"/>
        <v>8.9383204252605708E-2</v>
      </c>
      <c r="AS14" s="41">
        <f t="shared" si="6"/>
        <v>4.4727710131611691E-2</v>
      </c>
      <c r="AT14" s="1"/>
      <c r="AU14" s="1"/>
      <c r="AV14" s="1"/>
      <c r="AW14" s="1"/>
      <c r="AX14" s="1"/>
      <c r="AY14" s="1"/>
      <c r="AZ14" s="1"/>
      <c r="BA14" s="1"/>
      <c r="BB14" s="1"/>
      <c r="BC14" s="1"/>
      <c r="BD14" s="1"/>
      <c r="BE14" s="1"/>
      <c r="BF14" s="1"/>
      <c r="BG14" s="1"/>
      <c r="BH14" s="1"/>
      <c r="BI14" s="1"/>
      <c r="BJ14" s="1"/>
      <c r="BK14" s="1"/>
      <c r="BL14" s="1"/>
      <c r="BM14" s="1"/>
      <c r="BN14" s="1"/>
    </row>
    <row r="15" spans="1:66" x14ac:dyDescent="0.3">
      <c r="A15" s="1"/>
      <c r="B15" s="28">
        <v>4</v>
      </c>
      <c r="C15" s="129">
        <f>'[69]2. Distributional by deciles o'!B67</f>
        <v>5124268306.8011999</v>
      </c>
      <c r="D15" s="129">
        <f>'[69]2. Distributional by deciles o'!C67</f>
        <v>4881370827.9648094</v>
      </c>
      <c r="E15" s="129">
        <f>'[69]2. Distributional by deciles o'!D67</f>
        <v>4857502162.8732014</v>
      </c>
      <c r="F15" s="129">
        <f>'[69]2. Distributional by deciles o'!E67</f>
        <v>5206819543.582799</v>
      </c>
      <c r="G15" s="129">
        <f>'[69]2. Distributional by deciles o'!F67</f>
        <v>6306462625.5240002</v>
      </c>
      <c r="H15" s="129">
        <f>'[69]2. Distributional by deciles o'!H67</f>
        <v>6487563322.4352016</v>
      </c>
      <c r="I15" s="129">
        <f>'[69]2. Distributional by deciles o'!I67</f>
        <v>5571322168.1219969</v>
      </c>
      <c r="J15" s="129">
        <f>'[69]2. Distributional by deciles o'!J67</f>
        <v>5214825683.7768021</v>
      </c>
      <c r="K15" s="129">
        <f>'[69]2. Distributional by deciles o'!K67</f>
        <v>4633267175.1575994</v>
      </c>
      <c r="L15" s="423"/>
      <c r="M15" s="423"/>
      <c r="N15" s="423"/>
      <c r="O15" s="423"/>
      <c r="P15" s="129">
        <f>'[69]2. Distributional by deciles o'!B85</f>
        <v>55823634082.272079</v>
      </c>
      <c r="Q15" s="129">
        <f>'[69]2. Distributional by deciles o'!C85</f>
        <v>55616599583.193588</v>
      </c>
      <c r="R15" s="129">
        <f>'[69]2. Distributional by deciles o'!D85</f>
        <v>56540707410.624161</v>
      </c>
      <c r="S15" s="129">
        <f>'[69]2. Distributional by deciles o'!E85</f>
        <v>57777533577.953964</v>
      </c>
      <c r="T15" s="129">
        <f>'[69]2. Distributional by deciles o'!F85</f>
        <v>60703250426.947159</v>
      </c>
      <c r="U15" s="209">
        <f t="shared" si="0"/>
        <v>8.7411298545766014E-2</v>
      </c>
      <c r="V15" s="423"/>
      <c r="W15" s="209"/>
      <c r="X15" s="132"/>
      <c r="Y15" s="132"/>
      <c r="Z15" s="132"/>
      <c r="AA15" s="132"/>
      <c r="AB15" s="132"/>
      <c r="AC15" s="132"/>
      <c r="AD15" s="132"/>
      <c r="AE15" s="139"/>
      <c r="AF15" s="139"/>
      <c r="AG15" s="139"/>
      <c r="AH15" s="139"/>
      <c r="AI15" s="139"/>
      <c r="AJ15" s="139"/>
      <c r="AK15" s="408">
        <f>'[70]2. Distributional by deciles o'!$L67</f>
        <v>6311525119.1700039</v>
      </c>
      <c r="AL15" s="1"/>
      <c r="AM15" s="32" cm="1">
        <f t="array" aca="1" ref="AM15" ca="1">INDIRECT("'1"&amp;$C$8&amp;"'!W15")</f>
        <v>2.9734202227731155</v>
      </c>
      <c r="AN15" s="524">
        <f t="shared" ca="1" si="1"/>
        <v>6456119561.3629236</v>
      </c>
      <c r="AO15" s="524">
        <f t="shared" ca="1" si="2"/>
        <v>6335792655.1223288</v>
      </c>
      <c r="AP15" s="524">
        <f t="shared" ca="1" si="3"/>
        <v>6456119561.3629236</v>
      </c>
      <c r="AQ15" s="525">
        <f t="shared" si="4"/>
        <v>8.7411298545766014E-2</v>
      </c>
      <c r="AR15" s="344">
        <f t="shared" si="5"/>
        <v>8.7411298545766014E-2</v>
      </c>
      <c r="AS15" s="41">
        <f t="shared" si="6"/>
        <v>5.9749513202382594E-2</v>
      </c>
      <c r="AT15" s="1"/>
      <c r="AU15" s="1"/>
      <c r="AV15" s="1"/>
      <c r="AW15" s="1"/>
      <c r="AX15" s="1"/>
      <c r="AY15" s="1"/>
      <c r="AZ15" s="1"/>
      <c r="BA15" s="1"/>
      <c r="BB15" s="1"/>
      <c r="BC15" s="1"/>
      <c r="BD15" s="1"/>
      <c r="BE15" s="1"/>
      <c r="BF15" s="1"/>
      <c r="BG15" s="1"/>
      <c r="BH15" s="1"/>
      <c r="BI15" s="1"/>
      <c r="BJ15" s="1"/>
      <c r="BK15" s="1"/>
      <c r="BL15" s="1"/>
      <c r="BM15" s="1"/>
      <c r="BN15" s="1"/>
    </row>
    <row r="16" spans="1:66" x14ac:dyDescent="0.3">
      <c r="A16" s="1"/>
      <c r="B16" s="28">
        <v>5</v>
      </c>
      <c r="C16" s="129">
        <f>'[69]2. Distributional by deciles o'!B68</f>
        <v>9072629751.5700035</v>
      </c>
      <c r="D16" s="129">
        <f>'[69]2. Distributional by deciles o'!C68</f>
        <v>8745640921.4315929</v>
      </c>
      <c r="E16" s="129">
        <f>'[69]2. Distributional by deciles o'!D68</f>
        <v>8720633354.0976028</v>
      </c>
      <c r="F16" s="129">
        <f>'[69]2. Distributional by deciles o'!E68</f>
        <v>9060636997.1711845</v>
      </c>
      <c r="G16" s="129">
        <f>'[69]2. Distributional by deciles o'!F68</f>
        <v>10542255922.165176</v>
      </c>
      <c r="H16" s="129">
        <f>'[69]2. Distributional by deciles o'!H68</f>
        <v>10915319356.475988</v>
      </c>
      <c r="I16" s="129">
        <f>'[69]2. Distributional by deciles o'!I68</f>
        <v>9804882009.3168068</v>
      </c>
      <c r="J16" s="129">
        <f>'[69]2. Distributional by deciles o'!J68</f>
        <v>9348438158.1996078</v>
      </c>
      <c r="K16" s="129">
        <f>'[69]2. Distributional by deciles o'!K68</f>
        <v>8610341730.9719982</v>
      </c>
      <c r="L16" s="423"/>
      <c r="M16" s="423"/>
      <c r="N16" s="423"/>
      <c r="O16" s="423"/>
      <c r="P16" s="129">
        <f>'[69]2. Distributional by deciles o'!B86</f>
        <v>71812501087.02478</v>
      </c>
      <c r="Q16" s="129">
        <f>'[69]2. Distributional by deciles o'!C86</f>
        <v>71526756230.270386</v>
      </c>
      <c r="R16" s="129">
        <f>'[69]2. Distributional by deciles o'!D86</f>
        <v>72724079968.270752</v>
      </c>
      <c r="S16" s="129">
        <f>'[69]2. Distributional by deciles o'!E86</f>
        <v>74295736775.48027</v>
      </c>
      <c r="T16" s="129">
        <f>'[69]2. Distributional by deciles o'!F86</f>
        <v>77959137428.746796</v>
      </c>
      <c r="U16" s="209">
        <f t="shared" si="0"/>
        <v>8.5592845934628015E-2</v>
      </c>
      <c r="V16" s="423"/>
      <c r="W16" s="209"/>
      <c r="X16" s="132"/>
      <c r="Y16" s="132"/>
      <c r="Z16" s="132"/>
      <c r="AA16" s="132"/>
      <c r="AB16" s="132"/>
      <c r="AC16" s="132"/>
      <c r="AD16" s="132"/>
      <c r="AE16" s="139"/>
      <c r="AF16" s="139"/>
      <c r="AG16" s="139"/>
      <c r="AH16" s="139"/>
      <c r="AI16" s="139"/>
      <c r="AJ16" s="139"/>
      <c r="AK16" s="408">
        <f>'[70]2. Distributional by deciles o'!$L68</f>
        <v>10546687163.488781</v>
      </c>
      <c r="AL16" s="1"/>
      <c r="AM16" s="32" cm="1">
        <f t="array" aca="1" ref="AM16" ca="1">INDIRECT("'1"&amp;$C$8&amp;"'!W16")</f>
        <v>2.5618634414760444</v>
      </c>
      <c r="AN16" s="524">
        <f t="shared" ca="1" si="1"/>
        <v>11062050444.551836</v>
      </c>
      <c r="AO16" s="524">
        <f t="shared" ca="1" si="2"/>
        <v>10920762483.10932</v>
      </c>
      <c r="AP16" s="524">
        <f t="shared" ca="1" si="3"/>
        <v>11062050444.551836</v>
      </c>
      <c r="AQ16" s="525">
        <f t="shared" si="4"/>
        <v>8.5592845934628015E-2</v>
      </c>
      <c r="AR16" s="344">
        <f t="shared" si="5"/>
        <v>8.5592845934628015E-2</v>
      </c>
      <c r="AS16" s="41">
        <f t="shared" si="6"/>
        <v>7.6862820780740249E-2</v>
      </c>
      <c r="AT16" s="1"/>
      <c r="AU16" s="1"/>
      <c r="AV16" s="1"/>
      <c r="AW16" s="1"/>
      <c r="AX16" s="1"/>
      <c r="AY16" s="1"/>
      <c r="AZ16" s="1"/>
      <c r="BA16" s="1"/>
      <c r="BB16" s="1"/>
      <c r="BC16" s="1"/>
      <c r="BD16" s="1"/>
      <c r="BE16" s="1"/>
      <c r="BF16" s="1"/>
      <c r="BG16" s="1"/>
      <c r="BH16" s="1"/>
      <c r="BI16" s="1"/>
      <c r="BJ16" s="1"/>
      <c r="BK16" s="1"/>
      <c r="BL16" s="1"/>
      <c r="BM16" s="1"/>
      <c r="BN16" s="1"/>
    </row>
    <row r="17" spans="1:66" x14ac:dyDescent="0.3">
      <c r="A17" s="1"/>
      <c r="B17" s="28">
        <v>6</v>
      </c>
      <c r="C17" s="129">
        <f>'[69]2. Distributional by deciles o'!B69</f>
        <v>12401515881.824398</v>
      </c>
      <c r="D17" s="129">
        <f>'[69]2. Distributional by deciles o'!C69</f>
        <v>11980407927.079199</v>
      </c>
      <c r="E17" s="129">
        <f>'[69]2. Distributional by deciles o'!D69</f>
        <v>11922885447.104397</v>
      </c>
      <c r="F17" s="129">
        <f>'[69]2. Distributional by deciles o'!E69</f>
        <v>12394321356.066008</v>
      </c>
      <c r="G17" s="129">
        <f>'[69]2. Distributional by deciles o'!F69</f>
        <v>14173208074.07399</v>
      </c>
      <c r="H17" s="129">
        <f>'[69]2. Distributional by deciles o'!H69</f>
        <v>14575662132.769196</v>
      </c>
      <c r="I17" s="129">
        <f>'[69]2. Distributional by deciles o'!I69</f>
        <v>13317311678.396397</v>
      </c>
      <c r="J17" s="129">
        <f>'[69]2. Distributional by deciles o'!J69</f>
        <v>12802172722.384796</v>
      </c>
      <c r="K17" s="129">
        <f>'[69]2. Distributional by deciles o'!K69</f>
        <v>11933342508.228004</v>
      </c>
      <c r="L17" s="423"/>
      <c r="M17" s="423"/>
      <c r="N17" s="423"/>
      <c r="O17" s="423"/>
      <c r="P17" s="129">
        <f>'[69]2. Distributional by deciles o'!B87</f>
        <v>85273291803.188522</v>
      </c>
      <c r="Q17" s="129">
        <f>'[69]2. Distributional by deciles o'!C87</f>
        <v>84942614829.721222</v>
      </c>
      <c r="R17" s="129">
        <f>'[69]2. Distributional by deciles o'!D87</f>
        <v>86345101796.885895</v>
      </c>
      <c r="S17" s="129">
        <f>'[69]2. Distributional by deciles o'!E87</f>
        <v>88161675716.340057</v>
      </c>
      <c r="T17" s="129">
        <f>'[69]2. Distributional by deciles o'!F87</f>
        <v>92356690910.677048</v>
      </c>
      <c r="U17" s="209">
        <f t="shared" si="0"/>
        <v>8.3067030223684446E-2</v>
      </c>
      <c r="V17" s="423"/>
      <c r="W17" s="209"/>
      <c r="X17" s="132"/>
      <c r="Y17" s="132"/>
      <c r="Z17" s="132"/>
      <c r="AA17" s="132"/>
      <c r="AB17" s="132"/>
      <c r="AC17" s="132"/>
      <c r="AD17" s="132"/>
      <c r="AE17" s="139"/>
      <c r="AF17" s="139"/>
      <c r="AG17" s="139"/>
      <c r="AH17" s="139"/>
      <c r="AI17" s="139"/>
      <c r="AJ17" s="139"/>
      <c r="AK17" s="408">
        <f>'[70]2. Distributional by deciles o'!$L69</f>
        <v>14179505274.743992</v>
      </c>
      <c r="AL17" s="1"/>
      <c r="AM17" s="32" cm="1">
        <f t="array" aca="1" ref="AM17" ca="1">INDIRECT("'1"&amp;$C$8&amp;"'!W17")</f>
        <v>2.2941101748976651</v>
      </c>
      <c r="AN17" s="524">
        <f t="shared" ca="1" si="1"/>
        <v>14764809754.231945</v>
      </c>
      <c r="AO17" s="524">
        <f t="shared" ca="1" si="2"/>
        <v>14663726515.180569</v>
      </c>
      <c r="AP17" s="524">
        <f t="shared" ca="1" si="3"/>
        <v>14764809754.231945</v>
      </c>
      <c r="AQ17" s="525">
        <f t="shared" si="4"/>
        <v>8.3067030223684446E-2</v>
      </c>
      <c r="AR17" s="344">
        <f t="shared" si="5"/>
        <v>8.3067030223684446E-2</v>
      </c>
      <c r="AS17" s="41">
        <f t="shared" si="6"/>
        <v>9.1270261389579943E-2</v>
      </c>
      <c r="AT17" s="1"/>
      <c r="AU17" s="1"/>
      <c r="AV17" s="1"/>
      <c r="AW17" s="1"/>
      <c r="AX17" s="1"/>
      <c r="AY17" s="1"/>
      <c r="AZ17" s="1"/>
      <c r="BA17" s="1"/>
      <c r="BB17" s="1"/>
      <c r="BC17" s="1"/>
      <c r="BD17" s="1"/>
      <c r="BE17" s="1"/>
      <c r="BF17" s="1"/>
      <c r="BG17" s="1"/>
      <c r="BH17" s="1"/>
      <c r="BI17" s="1"/>
      <c r="BJ17" s="1"/>
      <c r="BK17" s="1"/>
      <c r="BL17" s="1"/>
      <c r="BM17" s="1"/>
      <c r="BN17" s="1"/>
    </row>
    <row r="18" spans="1:66" x14ac:dyDescent="0.3">
      <c r="A18" s="1"/>
      <c r="B18" s="28">
        <v>7</v>
      </c>
      <c r="C18" s="129">
        <f>'[69]2. Distributional by deciles o'!B70</f>
        <v>17253946837.760384</v>
      </c>
      <c r="D18" s="129">
        <f>'[69]2. Distributional by deciles o'!C70</f>
        <v>16768128120.814785</v>
      </c>
      <c r="E18" s="129">
        <f>'[69]2. Distributional by deciles o'!D70</f>
        <v>16696967774.203201</v>
      </c>
      <c r="F18" s="129">
        <f>'[69]2. Distributional by deciles o'!E70</f>
        <v>17036341703.492409</v>
      </c>
      <c r="G18" s="129">
        <f>'[69]2. Distributional by deciles o'!F70</f>
        <v>19114825320.834007</v>
      </c>
      <c r="H18" s="129">
        <f>'[69]2. Distributional by deciles o'!H70</f>
        <v>19895489342.724003</v>
      </c>
      <c r="I18" s="129">
        <f>'[69]2. Distributional by deciles o'!I70</f>
        <v>18377842358.109612</v>
      </c>
      <c r="J18" s="129">
        <f>'[69]2. Distributional by deciles o'!J70</f>
        <v>17759103665.679642</v>
      </c>
      <c r="K18" s="129">
        <f>'[69]2. Distributional by deciles o'!K70</f>
        <v>16750467922.357224</v>
      </c>
      <c r="L18" s="423"/>
      <c r="M18" s="423"/>
      <c r="N18" s="423"/>
      <c r="O18" s="423"/>
      <c r="P18" s="129">
        <f>'[69]2. Distributional by deciles o'!B88</f>
        <v>103813992816.1655</v>
      </c>
      <c r="Q18" s="129">
        <f>'[69]2. Distributional by deciles o'!C88</f>
        <v>103550812003.68735</v>
      </c>
      <c r="R18" s="129">
        <f>'[69]2. Distributional by deciles o'!D88</f>
        <v>105086691937.58766</v>
      </c>
      <c r="S18" s="129">
        <f>'[69]2. Distributional by deciles o'!E88</f>
        <v>107117233835.89786</v>
      </c>
      <c r="T18" s="129">
        <f>'[69]2. Distributional by deciles o'!F88</f>
        <v>111953809095.27359</v>
      </c>
      <c r="U18" s="209">
        <f t="shared" si="0"/>
        <v>7.8407698791839398E-2</v>
      </c>
      <c r="V18" s="423"/>
      <c r="W18" s="209"/>
      <c r="X18" s="132"/>
      <c r="Y18" s="132"/>
      <c r="Z18" s="132"/>
      <c r="AA18" s="132"/>
      <c r="AB18" s="132"/>
      <c r="AC18" s="132"/>
      <c r="AD18" s="132"/>
      <c r="AE18" s="139"/>
      <c r="AF18" s="139"/>
      <c r="AG18" s="139"/>
      <c r="AH18" s="139"/>
      <c r="AI18" s="139"/>
      <c r="AJ18" s="139"/>
      <c r="AK18" s="408">
        <f>'[70]2. Distributional by deciles o'!$L70</f>
        <v>19121054928.860397</v>
      </c>
      <c r="AL18" s="1"/>
      <c r="AM18" s="32" cm="1">
        <f t="array" aca="1" ref="AM18" ca="1">INDIRECT("'1"&amp;$C$8&amp;"'!W18")</f>
        <v>2.1304914923572551</v>
      </c>
      <c r="AN18" s="524">
        <f t="shared" ca="1" si="1"/>
        <v>20136165777.307373</v>
      </c>
      <c r="AO18" s="524">
        <f t="shared" ca="1" si="2"/>
        <v>20176835377.016636</v>
      </c>
      <c r="AP18" s="524">
        <f t="shared" ca="1" si="3"/>
        <v>20136165777.307373</v>
      </c>
      <c r="AQ18" s="525">
        <f t="shared" si="4"/>
        <v>7.8407698791839398E-2</v>
      </c>
      <c r="AR18" s="344">
        <f t="shared" si="5"/>
        <v>7.8407698791839398E-2</v>
      </c>
      <c r="AS18" s="41">
        <f t="shared" si="6"/>
        <v>0.11111486445364488</v>
      </c>
      <c r="AT18" s="1"/>
      <c r="AU18" s="1"/>
      <c r="AV18" s="1"/>
      <c r="AW18" s="1"/>
      <c r="AX18" s="1"/>
      <c r="AY18" s="1"/>
      <c r="AZ18" s="1"/>
      <c r="BA18" s="1"/>
      <c r="BB18" s="1"/>
      <c r="BC18" s="1"/>
      <c r="BD18" s="1"/>
      <c r="BE18" s="1"/>
      <c r="BF18" s="1"/>
      <c r="BG18" s="1"/>
      <c r="BH18" s="1"/>
      <c r="BI18" s="1"/>
      <c r="BJ18" s="1"/>
      <c r="BK18" s="1"/>
      <c r="BL18" s="1"/>
      <c r="BM18" s="1"/>
      <c r="BN18" s="1"/>
    </row>
    <row r="19" spans="1:66" x14ac:dyDescent="0.3">
      <c r="A19" s="1"/>
      <c r="B19" s="28">
        <v>8</v>
      </c>
      <c r="C19" s="129">
        <f>'[69]2. Distributional by deciles o'!B71</f>
        <v>23086066426.95121</v>
      </c>
      <c r="D19" s="129">
        <f>'[69]2. Distributional by deciles o'!C71</f>
        <v>22397492390.806816</v>
      </c>
      <c r="E19" s="129">
        <f>'[69]2. Distributional by deciles o'!D71</f>
        <v>22197002634.086372</v>
      </c>
      <c r="F19" s="129">
        <f>'[69]2. Distributional by deciles o'!E71</f>
        <v>22534621796.211609</v>
      </c>
      <c r="G19" s="129">
        <f>'[69]2. Distributional by deciles o'!F71</f>
        <v>25111611046.031986</v>
      </c>
      <c r="H19" s="129">
        <f>'[69]2. Distributional by deciles o'!H71</f>
        <v>26411554292.383156</v>
      </c>
      <c r="I19" s="129">
        <f>'[69]2. Distributional by deciles o'!I71</f>
        <v>24445403406.04203</v>
      </c>
      <c r="J19" s="129">
        <f>'[69]2. Distributional by deciles o'!J71</f>
        <v>23612918156.201984</v>
      </c>
      <c r="K19" s="129">
        <f>'[69]2. Distributional by deciles o'!K71</f>
        <v>22339948620.054016</v>
      </c>
      <c r="L19" s="423"/>
      <c r="M19" s="423"/>
      <c r="N19" s="423"/>
      <c r="O19" s="423"/>
      <c r="P19" s="129">
        <f>'[69]2. Distributional by deciles o'!B89</f>
        <v>126269795561.9147</v>
      </c>
      <c r="Q19" s="129">
        <f>'[69]2. Distributional by deciles o'!C89</f>
        <v>125976253642.40872</v>
      </c>
      <c r="R19" s="129">
        <f>'[69]2. Distributional by deciles o'!D89</f>
        <v>127828797797.75308</v>
      </c>
      <c r="S19" s="129">
        <f>'[69]2. Distributional by deciles o'!E89</f>
        <v>130225113790.94409</v>
      </c>
      <c r="T19" s="129">
        <f>'[69]2. Distributional by deciles o'!F89</f>
        <v>135836950143.23845</v>
      </c>
      <c r="U19" s="209">
        <f t="shared" si="0"/>
        <v>7.5767562137475819E-2</v>
      </c>
      <c r="V19" s="423"/>
      <c r="W19" s="209"/>
      <c r="X19" s="132"/>
      <c r="Y19" s="132"/>
      <c r="Z19" s="132"/>
      <c r="AA19" s="132"/>
      <c r="AB19" s="132"/>
      <c r="AC19" s="132"/>
      <c r="AD19" s="132"/>
      <c r="AE19" s="139"/>
      <c r="AF19" s="139"/>
      <c r="AG19" s="139"/>
      <c r="AH19" s="139"/>
      <c r="AI19" s="139"/>
      <c r="AJ19" s="139"/>
      <c r="AK19" s="408">
        <f>'[70]2. Distributional by deciles o'!$L71</f>
        <v>25119316587.073204</v>
      </c>
      <c r="AL19" s="1"/>
      <c r="AM19" s="32" cm="1">
        <f t="array" aca="1" ref="AM19" ca="1">INDIRECT("'1"&amp;$C$8&amp;"'!W19")</f>
        <v>2.1318951490954854</v>
      </c>
      <c r="AN19" s="524">
        <f t="shared" ca="1" si="1"/>
        <v>26815124065.772865</v>
      </c>
      <c r="AO19" s="524">
        <f t="shared" ca="1" si="2"/>
        <v>26999516313.724113</v>
      </c>
      <c r="AP19" s="524">
        <f t="shared" ca="1" si="3"/>
        <v>24471932328.329376</v>
      </c>
      <c r="AQ19" s="525">
        <f t="shared" si="4"/>
        <v>7.5767562137475819E-2</v>
      </c>
      <c r="AR19" s="526">
        <f>U19-AP31*AS21/SUM(AS19:AS20)</f>
        <v>2.8158234859051244E-2</v>
      </c>
      <c r="AS19" s="41">
        <f t="shared" si="6"/>
        <v>0.13514990453451509</v>
      </c>
      <c r="AT19" s="1"/>
      <c r="AU19" s="1"/>
      <c r="AV19" s="1"/>
      <c r="AW19" s="1"/>
      <c r="AX19" s="1"/>
      <c r="AY19" s="1"/>
      <c r="AZ19" s="1"/>
      <c r="BA19" s="1"/>
      <c r="BB19" s="1"/>
      <c r="BC19" s="1"/>
      <c r="BD19" s="1"/>
      <c r="BE19" s="1"/>
      <c r="BF19" s="1"/>
      <c r="BG19" s="1"/>
      <c r="BH19" s="1"/>
      <c r="BI19" s="1"/>
      <c r="BJ19" s="1"/>
      <c r="BK19" s="1"/>
      <c r="BL19" s="1"/>
      <c r="BM19" s="1"/>
      <c r="BN19" s="1"/>
    </row>
    <row r="20" spans="1:66" x14ac:dyDescent="0.3">
      <c r="A20" s="1"/>
      <c r="B20" s="28">
        <v>9</v>
      </c>
      <c r="C20" s="129">
        <f>'[69]2. Distributional by deciles o'!B72</f>
        <v>32607804387.438091</v>
      </c>
      <c r="D20" s="129">
        <f>'[69]2. Distributional by deciles o'!C72</f>
        <v>31917530048.917202</v>
      </c>
      <c r="E20" s="129">
        <f>'[69]2. Distributional by deciles o'!D72</f>
        <v>31906817329.17601</v>
      </c>
      <c r="F20" s="129">
        <f>'[69]2. Distributional by deciles o'!E72</f>
        <v>32003995711.514427</v>
      </c>
      <c r="G20" s="129">
        <f>'[69]2. Distributional by deciles o'!F72</f>
        <v>34734707696.229553</v>
      </c>
      <c r="H20" s="129">
        <f>'[69]2. Distributional by deciles o'!H72</f>
        <v>36488214269.779175</v>
      </c>
      <c r="I20" s="129">
        <f>'[69]2. Distributional by deciles o'!I72</f>
        <v>34506744216.746353</v>
      </c>
      <c r="J20" s="129">
        <f>'[69]2. Distributional by deciles o'!J72</f>
        <v>33641601873.113976</v>
      </c>
      <c r="K20" s="129">
        <f>'[69]2. Distributional by deciles o'!K72</f>
        <v>32203015039.830017</v>
      </c>
      <c r="L20" s="423"/>
      <c r="M20" s="423"/>
      <c r="N20" s="423"/>
      <c r="O20" s="423"/>
      <c r="P20" s="129">
        <f>'[69]2. Distributional by deciles o'!B90</f>
        <v>153854584686.97043</v>
      </c>
      <c r="Q20" s="129">
        <f>'[69]2. Distributional by deciles o'!C90</f>
        <v>153505377984.30957</v>
      </c>
      <c r="R20" s="129">
        <f>'[69]2. Distributional by deciles o'!D90</f>
        <v>155756939153.3678</v>
      </c>
      <c r="S20" s="129">
        <f>'[69]2. Distributional by deciles o'!E90</f>
        <v>158607385325.39624</v>
      </c>
      <c r="T20" s="129">
        <f>'[69]2. Distributional by deciles o'!F90</f>
        <v>164994221924.96271</v>
      </c>
      <c r="U20" s="209">
        <f t="shared" si="0"/>
        <v>7.2403674291908526E-2</v>
      </c>
      <c r="V20" s="423"/>
      <c r="W20" s="209"/>
      <c r="X20" s="132"/>
      <c r="Y20" s="132"/>
      <c r="Z20" s="132"/>
      <c r="AA20" s="132"/>
      <c r="AB20" s="132"/>
      <c r="AC20" s="132"/>
      <c r="AD20" s="132"/>
      <c r="AE20" s="139"/>
      <c r="AF20" s="139"/>
      <c r="AG20" s="139"/>
      <c r="AH20" s="139"/>
      <c r="AI20" s="139"/>
      <c r="AJ20" s="139"/>
      <c r="AK20" s="408">
        <f>'[70]2. Distributional by deciles o'!$L72</f>
        <v>34745706553.617569</v>
      </c>
      <c r="AL20" s="1"/>
      <c r="AM20" s="32" cm="1">
        <f t="array" aca="1" ref="AM20" ca="1">INDIRECT("'1"&amp;$C$8&amp;"'!W20")</f>
        <v>1.809302171879404</v>
      </c>
      <c r="AN20" s="524">
        <f t="shared" ca="1" si="1"/>
        <v>36879430843.006996</v>
      </c>
      <c r="AO20" s="524">
        <f t="shared" ca="1" si="2"/>
        <v>37298925614.812439</v>
      </c>
      <c r="AP20" s="524">
        <f t="shared" ca="1" si="3"/>
        <v>34070605684.294239</v>
      </c>
      <c r="AQ20" s="525">
        <f t="shared" si="4"/>
        <v>7.2403674291908526E-2</v>
      </c>
      <c r="AR20" s="526">
        <f>U20-AP31*AS21/SUM(AS19:AS20)</f>
        <v>2.4794347013483951E-2</v>
      </c>
      <c r="AS20" s="41">
        <f t="shared" si="6"/>
        <v>0.16467463450074044</v>
      </c>
      <c r="AT20" s="1"/>
      <c r="AU20" s="1"/>
      <c r="AV20" s="1"/>
      <c r="AW20" s="1"/>
      <c r="AX20" s="1"/>
      <c r="AY20" s="1"/>
      <c r="AZ20" s="1"/>
      <c r="BA20" s="1"/>
      <c r="BB20" s="1"/>
      <c r="BC20" s="1"/>
      <c r="BD20" s="1"/>
      <c r="BE20" s="1"/>
      <c r="BF20" s="1"/>
      <c r="BG20" s="1"/>
      <c r="BH20" s="1"/>
      <c r="BI20" s="1"/>
      <c r="BJ20" s="1"/>
      <c r="BK20" s="1"/>
      <c r="BL20" s="1"/>
      <c r="BM20" s="1"/>
      <c r="BN20" s="1"/>
    </row>
    <row r="21" spans="1:66" x14ac:dyDescent="0.3">
      <c r="A21" s="1"/>
      <c r="B21" s="33">
        <v>10</v>
      </c>
      <c r="C21" s="129">
        <f>'[69]2. Distributional by deciles o'!B73</f>
        <v>75486419225.155167</v>
      </c>
      <c r="D21" s="129">
        <f>'[69]2. Distributional by deciles o'!C73</f>
        <v>74799164335.9608</v>
      </c>
      <c r="E21" s="129">
        <f>'[69]2. Distributional by deciles o'!D73</f>
        <v>76493346091.028503</v>
      </c>
      <c r="F21" s="129">
        <f>'[69]2. Distributional by deciles o'!E73</f>
        <v>77061408963.716263</v>
      </c>
      <c r="G21" s="129">
        <f>'[69]2. Distributional by deciles o'!F73</f>
        <v>81097715082.122513</v>
      </c>
      <c r="H21" s="129">
        <f>'[69]2. Distributional by deciles o'!H73</f>
        <v>82873351945.148422</v>
      </c>
      <c r="I21" s="129">
        <f>'[69]2. Distributional by deciles o'!I73</f>
        <v>80794314189.382629</v>
      </c>
      <c r="J21" s="129">
        <f>'[69]2. Distributional by deciles o'!J73</f>
        <v>79900765847.252411</v>
      </c>
      <c r="K21" s="129">
        <f>'[69]2. Distributional by deciles o'!K73</f>
        <v>78419532691.830017</v>
      </c>
      <c r="L21" s="423"/>
      <c r="M21" s="423"/>
      <c r="N21" s="423"/>
      <c r="O21" s="423"/>
      <c r="P21" s="129">
        <f>'[69]2. Distributional by deciles o'!B91</f>
        <v>266730665958.70047</v>
      </c>
      <c r="Q21" s="129">
        <f>'[69]2. Distributional by deciles o'!C91</f>
        <v>264608524117.44446</v>
      </c>
      <c r="R21" s="129">
        <f>'[69]2. Distributional by deciles o'!D91</f>
        <v>270572288341.60901</v>
      </c>
      <c r="S21" s="129">
        <f>'[69]2. Distributional by deciles o'!E91</f>
        <v>276995807506.18555</v>
      </c>
      <c r="T21" s="129">
        <f>'[69]2. Distributional by deciles o'!F91</f>
        <v>287363605224.03375</v>
      </c>
      <c r="U21" s="209">
        <f t="shared" si="0"/>
        <v>7.7354957260624913E-2</v>
      </c>
      <c r="V21" s="423"/>
      <c r="W21" s="209"/>
      <c r="X21" s="132"/>
      <c r="Y21" s="132"/>
      <c r="Z21" s="132"/>
      <c r="AA21" s="132"/>
      <c r="AB21" s="132"/>
      <c r="AC21" s="132"/>
      <c r="AD21" s="132"/>
      <c r="AE21" s="139"/>
      <c r="AF21" s="139"/>
      <c r="AG21" s="139"/>
      <c r="AH21" s="139"/>
      <c r="AI21" s="139"/>
      <c r="AJ21" s="139"/>
      <c r="AK21" s="408">
        <f>'[70]2. Distributional by deciles o'!$L73</f>
        <v>81299259273.277283</v>
      </c>
      <c r="AL21" s="1"/>
      <c r="AM21" s="32" cm="1">
        <f t="array" aca="1" ref="AM21" ca="1">INDIRECT("'1"&amp;$C$8&amp;"'!W21")</f>
        <v>1.3729934990390535</v>
      </c>
      <c r="AN21" s="524">
        <f t="shared" ca="1" si="1"/>
        <v>83503669774.725662</v>
      </c>
      <c r="AO21" s="524">
        <f t="shared" ca="1" si="2"/>
        <v>83727445524.740051</v>
      </c>
      <c r="AP21" s="524">
        <f t="shared" ca="1" si="3"/>
        <v>88685787917.819397</v>
      </c>
      <c r="AQ21" s="525">
        <f t="shared" si="4"/>
        <v>7.7354957260624913E-2</v>
      </c>
      <c r="AR21" s="527">
        <f>U21+AP31</f>
        <v>0.1273549572606249</v>
      </c>
      <c r="AS21" s="41">
        <f t="shared" si="6"/>
        <v>0.28548889210064526</v>
      </c>
      <c r="AT21" s="1"/>
      <c r="AU21" s="1"/>
      <c r="AV21" s="1"/>
      <c r="AW21" s="1"/>
      <c r="AX21" s="1"/>
      <c r="AY21" s="1"/>
      <c r="AZ21" s="1"/>
      <c r="BA21" s="1"/>
      <c r="BB21" s="1"/>
      <c r="BC21" s="1"/>
      <c r="BD21" s="1"/>
      <c r="BE21" s="1"/>
      <c r="BF21" s="1"/>
      <c r="BG21" s="1"/>
      <c r="BH21" s="1"/>
      <c r="BI21" s="1"/>
      <c r="BJ21" s="1"/>
      <c r="BK21" s="1"/>
      <c r="BL21" s="1"/>
      <c r="BM21" s="1"/>
      <c r="BN21" s="1"/>
    </row>
    <row r="22" spans="1:66" ht="13.2" customHeight="1" x14ac:dyDescent="0.3">
      <c r="A22" s="1"/>
      <c r="B22" s="34" t="s">
        <v>114</v>
      </c>
      <c r="C22" s="150">
        <f>'[69]2. Distributional by deciles o'!B74</f>
        <v>176709983677.61444</v>
      </c>
      <c r="D22" s="150">
        <f>'[69]2. Distributional by deciles o'!C74</f>
        <v>172980044645.74103</v>
      </c>
      <c r="E22" s="150">
        <f>'[69]2. Distributional by deciles o'!D74</f>
        <v>174216513336.63385</v>
      </c>
      <c r="F22" s="150">
        <f>'[69]2. Distributional by deciles o'!E74</f>
        <v>177240787220.70224</v>
      </c>
      <c r="G22" s="150">
        <f>'[69]2. Distributional by deciles o'!F74</f>
        <v>193940357325.21643</v>
      </c>
      <c r="H22" s="150">
        <f>'[69]2. Distributional by deciles o'!H74</f>
        <v>200377269130.70276</v>
      </c>
      <c r="I22" s="150">
        <f>'[69]2. Distributional by deciles o'!I74</f>
        <v>188840395512.68277</v>
      </c>
      <c r="J22" s="150">
        <f>'[69]2. Distributional by deciles o'!J74</f>
        <v>184038522458.75284</v>
      </c>
      <c r="K22" s="150">
        <f>'[69]2. Distributional by deciles o'!K74</f>
        <v>176224947240.75488</v>
      </c>
      <c r="L22" s="424"/>
      <c r="M22" s="424"/>
      <c r="N22" s="424"/>
      <c r="O22" s="424"/>
      <c r="P22" s="150">
        <f>'[69]2. Distributional by deciles o'!B92</f>
        <v>934294374804.14539</v>
      </c>
      <c r="Q22" s="150">
        <f>'[69]2. Distributional by deciles o'!C92</f>
        <v>929809455233.43823</v>
      </c>
      <c r="R22" s="150">
        <f>'[69]2. Distributional by deciles o'!D92</f>
        <v>946657447215.84338</v>
      </c>
      <c r="S22" s="150">
        <f>'[69]2. Distributional by deciles o'!E92</f>
        <v>966830564957.03833</v>
      </c>
      <c r="T22" s="150">
        <f>'[69]2. Distributional by deciles o'!F92</f>
        <v>1008583924962.0903</v>
      </c>
      <c r="U22" s="210">
        <f t="shared" si="0"/>
        <v>7.9514071968503686E-2</v>
      </c>
      <c r="V22" s="424"/>
      <c r="W22" s="210"/>
      <c r="X22" s="154"/>
      <c r="Y22" s="154"/>
      <c r="Z22" s="154"/>
      <c r="AA22" s="154"/>
      <c r="AB22" s="154"/>
      <c r="AC22" s="154"/>
      <c r="AD22" s="154"/>
      <c r="AE22" s="161"/>
      <c r="AF22" s="161"/>
      <c r="AG22" s="161"/>
      <c r="AH22" s="161"/>
      <c r="AI22" s="162"/>
      <c r="AJ22" s="162"/>
      <c r="AK22" s="409">
        <f>'[70]2. Distributional by deciles o'!$L74</f>
        <v>194187455160.05807</v>
      </c>
      <c r="AL22" s="1"/>
      <c r="AM22" s="534" cm="1">
        <f t="array" aca="1" ref="AM22" ca="1">INDIRECT("'1"&amp;$C$8&amp;"'!W22")</f>
        <v>1.8551616744290942</v>
      </c>
      <c r="AN22" s="528">
        <f ca="1">SUM(AN12:AN21)</f>
        <v>202064434301.83032</v>
      </c>
      <c r="AO22" s="528">
        <f ca="1">SUM(AO12:AO21)</f>
        <v>202502123582.95535</v>
      </c>
      <c r="AP22" s="528">
        <f ca="1">SUM(AP12:AP21)</f>
        <v>202094535548.76779</v>
      </c>
      <c r="AQ22" s="529">
        <f>SUMPRODUCT(AQ12:AQ21,AS12:AS21)</f>
        <v>7.9514071968502492E-2</v>
      </c>
      <c r="AR22" s="529">
        <f>SUMPRODUCT(AR12:AR21,AS12:AS21)</f>
        <v>7.9514071968502478E-2</v>
      </c>
      <c r="AS22" s="530"/>
      <c r="AT22" s="1"/>
      <c r="AU22" s="1"/>
      <c r="AV22" s="1"/>
      <c r="AW22" s="1"/>
      <c r="AX22" s="1"/>
      <c r="AY22" s="1"/>
      <c r="AZ22" s="1"/>
      <c r="BA22" s="1"/>
      <c r="BB22" s="1"/>
      <c r="BC22" s="1"/>
      <c r="BD22" s="1"/>
      <c r="BE22" s="1"/>
      <c r="BF22" s="1"/>
      <c r="BG22" s="1"/>
      <c r="BH22" s="1"/>
      <c r="BI22" s="1"/>
      <c r="BJ22" s="1"/>
      <c r="BK22" s="1"/>
      <c r="BL22" s="1"/>
      <c r="BM22" s="1"/>
      <c r="BN22" s="1"/>
    </row>
    <row r="23" spans="1:66" ht="12.6" customHeight="1" x14ac:dyDescent="0.3">
      <c r="A23" s="1"/>
      <c r="B23" s="1"/>
      <c r="C23" s="1"/>
      <c r="D23" s="1"/>
      <c r="E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531"/>
      <c r="AO23" s="531"/>
      <c r="AP23" s="1"/>
      <c r="AQ23" s="1"/>
      <c r="AR23" s="525">
        <f>U22</f>
        <v>7.9514071968503686E-2</v>
      </c>
      <c r="AS23" s="1"/>
      <c r="AT23" s="1"/>
      <c r="AU23" s="1"/>
      <c r="AV23" s="1"/>
      <c r="AW23" s="1"/>
      <c r="AX23" s="1"/>
      <c r="AY23" s="1"/>
      <c r="AZ23" s="1"/>
      <c r="BA23" s="1"/>
      <c r="BB23" s="1"/>
      <c r="BC23" s="1"/>
      <c r="BD23" s="1"/>
      <c r="BE23" s="1"/>
      <c r="BF23" s="1"/>
      <c r="BG23" s="1"/>
      <c r="BH23" s="1"/>
      <c r="BI23" s="1"/>
      <c r="BJ23" s="1"/>
      <c r="BK23" s="1"/>
      <c r="BL23" s="1"/>
      <c r="BM23" s="1"/>
      <c r="BN23" s="1"/>
    </row>
    <row r="24" spans="1:66" ht="13.95" customHeight="1" x14ac:dyDescent="0.3">
      <c r="A24" s="1"/>
      <c r="B24" s="1"/>
      <c r="C24" s="1"/>
      <c r="D24" s="1"/>
      <c r="E24" s="1"/>
      <c r="F24" s="1"/>
      <c r="G24" s="11" t="s">
        <v>151</v>
      </c>
      <c r="H24" s="212">
        <f>U22</f>
        <v>7.9514071968503686E-2</v>
      </c>
      <c r="I24" s="1"/>
      <c r="J24" s="1"/>
      <c r="K24" s="11" t="s">
        <v>151</v>
      </c>
      <c r="L24" s="368">
        <f>W22</f>
        <v>0</v>
      </c>
      <c r="M24" s="1"/>
      <c r="O24" s="1"/>
      <c r="P24" s="1"/>
      <c r="Q24" s="1"/>
      <c r="R24" s="1"/>
      <c r="S24" s="1"/>
      <c r="T24" s="1"/>
      <c r="U24" s="1"/>
      <c r="V24" s="1"/>
      <c r="W24" s="1"/>
      <c r="X24" s="1"/>
      <c r="Y24" s="55"/>
      <c r="Z24" s="55"/>
      <c r="AA24" s="55"/>
      <c r="AB24" s="55"/>
      <c r="AC24" s="55"/>
      <c r="AD24" s="55"/>
      <c r="AE24" s="55"/>
      <c r="AF24" s="55"/>
      <c r="AG24" s="55"/>
      <c r="AH24" s="1"/>
      <c r="AI24" s="1"/>
      <c r="AJ24" s="1"/>
      <c r="AK24" s="1"/>
      <c r="AL24" s="1"/>
      <c r="AM24" s="1"/>
      <c r="AN24" s="531">
        <f ca="1">AN22/G22-1</f>
        <v>4.1889563826010168E-2</v>
      </c>
      <c r="AO24" s="531"/>
      <c r="AP24" s="1"/>
      <c r="AQ24" s="1"/>
      <c r="AR24" s="532" t="str">
        <f>IF(AR23-AR22&lt;0.0000000001,"ok","wrong")</f>
        <v>ok</v>
      </c>
      <c r="AS24" s="1"/>
      <c r="AT24" s="1"/>
      <c r="AU24" s="1"/>
      <c r="AV24" s="1"/>
      <c r="AW24" s="1"/>
      <c r="AX24" s="1"/>
      <c r="AY24" s="1"/>
      <c r="AZ24" s="1"/>
      <c r="BA24" s="1"/>
      <c r="BB24" s="1"/>
      <c r="BC24" s="1"/>
      <c r="BD24" s="1"/>
      <c r="BE24" s="1"/>
      <c r="BF24" s="1"/>
      <c r="BG24" s="1"/>
      <c r="BH24" s="1"/>
      <c r="BI24" s="1"/>
      <c r="BJ24" s="1"/>
      <c r="BK24" s="1"/>
      <c r="BL24" s="1"/>
      <c r="BM24" s="1"/>
      <c r="BN24" s="1"/>
    </row>
    <row r="25" spans="1:66" ht="13.95" customHeight="1" x14ac:dyDescent="0.3">
      <c r="A25" s="1"/>
      <c r="B25" s="1"/>
      <c r="C25" s="1"/>
      <c r="D25" s="1"/>
      <c r="E25" s="1"/>
      <c r="F25" s="1"/>
      <c r="G25" s="11" t="s">
        <v>152</v>
      </c>
      <c r="H25" s="213">
        <v>0.11409999999999999</v>
      </c>
      <c r="I25" s="1"/>
      <c r="J25" s="1"/>
      <c r="K25" s="11" t="s">
        <v>152</v>
      </c>
      <c r="L25" s="139"/>
      <c r="M25" s="1"/>
      <c r="N25" s="1"/>
      <c r="O25" s="1"/>
      <c r="P25" s="1"/>
      <c r="Q25" s="1"/>
      <c r="R25" s="1"/>
      <c r="S25" s="1"/>
      <c r="T25" s="1"/>
      <c r="U25" s="1"/>
      <c r="V25" s="1"/>
      <c r="W25" s="1"/>
      <c r="X25" s="1"/>
      <c r="Y25" s="55"/>
      <c r="Z25" s="55"/>
      <c r="AA25" s="55"/>
      <c r="AB25" s="55"/>
      <c r="AC25" s="55"/>
      <c r="AD25" s="55"/>
      <c r="AE25" s="55"/>
      <c r="AF25" s="55"/>
      <c r="AG25" s="55"/>
      <c r="AH25" s="1"/>
      <c r="AI25" s="1"/>
      <c r="AJ25" s="1"/>
      <c r="AK25" s="1"/>
      <c r="AL25" s="1"/>
      <c r="AM25" s="1"/>
      <c r="AN25" s="1"/>
      <c r="AO25" s="531"/>
      <c r="AP25" s="1"/>
      <c r="AQ25" s="1"/>
      <c r="AR25" s="532" t="str">
        <f>IF(AQ22-AR22&lt;0.0000000001,"ok","wrong")</f>
        <v>ok</v>
      </c>
      <c r="AS25" s="1"/>
      <c r="AT25" s="1"/>
      <c r="AU25" s="1"/>
      <c r="AV25" s="1"/>
      <c r="AW25" s="1"/>
      <c r="AX25" s="1"/>
      <c r="AY25" s="1"/>
      <c r="AZ25" s="1"/>
      <c r="BA25" s="1"/>
      <c r="BB25" s="1"/>
      <c r="BC25" s="1"/>
      <c r="BD25" s="1"/>
      <c r="BE25" s="1"/>
      <c r="BF25" s="1"/>
      <c r="BG25" s="1"/>
      <c r="BH25" s="1"/>
      <c r="BI25" s="1"/>
      <c r="BJ25" s="1"/>
      <c r="BK25" s="1"/>
      <c r="BL25" s="1"/>
      <c r="BM25" s="1"/>
      <c r="BN25" s="1"/>
    </row>
    <row r="26" spans="1:66" ht="13.95" customHeight="1" x14ac:dyDescent="0.3">
      <c r="A26" s="1"/>
      <c r="B26" s="1"/>
      <c r="C26" s="1"/>
      <c r="D26" s="1"/>
      <c r="E26" s="1"/>
      <c r="F26" s="1"/>
      <c r="G26" s="11" t="s">
        <v>153</v>
      </c>
      <c r="H26" s="213">
        <v>0.17150000000000001</v>
      </c>
      <c r="I26" s="1"/>
      <c r="J26" s="1"/>
      <c r="K26" s="11" t="s">
        <v>153</v>
      </c>
      <c r="L26" s="139"/>
      <c r="M26" s="1"/>
      <c r="N26" s="1"/>
      <c r="O26" s="1"/>
      <c r="P26" s="1"/>
      <c r="Q26" s="1"/>
      <c r="R26" s="1"/>
      <c r="S26" s="1"/>
      <c r="T26" s="1"/>
      <c r="U26" s="1"/>
      <c r="V26" s="1"/>
      <c r="W26" s="1"/>
      <c r="X26" s="1"/>
      <c r="Y26" s="55"/>
      <c r="Z26" s="55"/>
      <c r="AA26" s="55"/>
      <c r="AB26" s="55"/>
      <c r="AC26" s="55"/>
      <c r="AD26" s="55"/>
      <c r="AE26" s="55"/>
      <c r="AF26" s="55"/>
      <c r="AG26" s="55"/>
      <c r="AH26" s="1"/>
      <c r="AI26" s="1"/>
      <c r="AJ26" s="1"/>
      <c r="AK26" s="1"/>
      <c r="AL26" s="1"/>
      <c r="AM26" s="8" t="s">
        <v>571</v>
      </c>
      <c r="AN26" s="533"/>
      <c r="AO26" s="535">
        <f ca="1">AO22/$AN22-1</f>
        <v>2.1660876771181226E-3</v>
      </c>
      <c r="AP26" s="536">
        <f ca="1">AP22/$AN22-1</f>
        <v>1.4896855570589729E-4</v>
      </c>
      <c r="AQ26" s="1"/>
      <c r="AR26" s="1"/>
      <c r="AS26" s="1"/>
      <c r="AT26" s="1"/>
      <c r="AU26" s="1"/>
      <c r="AV26" s="1"/>
      <c r="AW26" s="1"/>
      <c r="AX26" s="1"/>
      <c r="AY26" s="1"/>
      <c r="AZ26" s="1"/>
      <c r="BA26" s="1"/>
      <c r="BB26" s="1"/>
      <c r="BC26" s="1"/>
      <c r="BD26" s="1"/>
      <c r="BE26" s="1"/>
      <c r="BF26" s="1"/>
      <c r="BG26" s="1"/>
      <c r="BH26" s="1"/>
      <c r="BI26" s="1"/>
      <c r="BJ26" s="1"/>
      <c r="BK26" s="1"/>
      <c r="BL26" s="1"/>
      <c r="BM26" s="1"/>
      <c r="BN26" s="1"/>
    </row>
    <row r="27" spans="1:66" ht="9" customHeight="1" x14ac:dyDescent="0.3">
      <c r="A27" s="1"/>
      <c r="B27" s="1"/>
      <c r="C27" s="1"/>
      <c r="D27" s="1"/>
      <c r="E27" s="1"/>
      <c r="F27" s="1"/>
      <c r="G27" s="1"/>
      <c r="H27" s="1"/>
      <c r="I27" s="1"/>
      <c r="J27" s="1"/>
      <c r="K27" s="1"/>
      <c r="L27" s="1"/>
      <c r="M27" s="1"/>
      <c r="N27" s="1"/>
      <c r="O27" s="1"/>
      <c r="P27" s="1"/>
      <c r="Q27" s="1"/>
      <c r="R27" s="1"/>
      <c r="S27" s="1"/>
      <c r="T27" s="55"/>
      <c r="U27" s="55"/>
      <c r="V27" s="55"/>
      <c r="W27" s="55"/>
      <c r="X27" s="55"/>
      <c r="Y27" s="55"/>
      <c r="Z27" s="55"/>
      <c r="AA27" s="55"/>
      <c r="AB27" s="55"/>
      <c r="AC27" s="55"/>
      <c r="AD27" s="55"/>
      <c r="AE27" s="55"/>
      <c r="AF27" s="55"/>
      <c r="AG27" s="55"/>
      <c r="AH27" s="1"/>
      <c r="AI27" s="1"/>
      <c r="AJ27" s="1"/>
      <c r="AK27" s="1"/>
      <c r="AL27" s="1"/>
      <c r="AM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row>
    <row r="28" spans="1:66" ht="12" customHeight="1" thickBot="1" x14ac:dyDescent="0.35">
      <c r="A28" s="214"/>
      <c r="B28" s="214"/>
      <c r="C28" s="214"/>
      <c r="D28" s="214"/>
      <c r="E28" s="214"/>
      <c r="F28" s="214"/>
      <c r="G28" s="214"/>
      <c r="H28" s="214"/>
      <c r="I28" s="214"/>
      <c r="J28" s="214"/>
      <c r="K28" s="214"/>
      <c r="L28" s="214"/>
      <c r="M28" s="214"/>
      <c r="N28" s="214"/>
      <c r="O28" s="214"/>
      <c r="P28" s="214"/>
      <c r="Q28" s="214"/>
      <c r="R28" s="214"/>
      <c r="S28" s="214"/>
      <c r="T28" s="215"/>
      <c r="U28" s="215"/>
      <c r="V28" s="215"/>
      <c r="W28" s="215"/>
      <c r="X28" s="215"/>
      <c r="Y28" s="215"/>
      <c r="Z28" s="215"/>
      <c r="AA28" s="214"/>
      <c r="AB28" s="214"/>
      <c r="AC28" s="214"/>
      <c r="AD28" s="214"/>
      <c r="AE28" s="214"/>
      <c r="AF28" s="214"/>
      <c r="AG28" s="214"/>
      <c r="AH28" s="214"/>
      <c r="AI28" s="214"/>
      <c r="AJ28" s="1"/>
      <c r="AK28" s="1"/>
      <c r="AL28" s="1"/>
      <c r="AM28" s="8" t="s">
        <v>572</v>
      </c>
      <c r="AN28" s="8"/>
      <c r="AO28" s="535">
        <f ca="1">(AO22-$AN22)/($W$37*1000000)</f>
        <v>2.365463431328637E-2</v>
      </c>
      <c r="AP28" s="536">
        <f ca="1">(AP22-$AN22)/($W$37*1000000)</f>
        <v>1.6268024358503125E-3</v>
      </c>
      <c r="AQ28" s="1"/>
      <c r="AR28" s="1"/>
      <c r="AS28" s="1"/>
      <c r="AT28" s="1"/>
      <c r="AU28" s="1"/>
      <c r="AV28" s="1"/>
      <c r="AW28" s="1"/>
      <c r="AX28" s="1"/>
      <c r="AY28" s="1"/>
      <c r="AZ28" s="1"/>
      <c r="BA28" s="1"/>
      <c r="BB28" s="1"/>
      <c r="BC28" s="1"/>
      <c r="BD28" s="1"/>
      <c r="BE28" s="1"/>
      <c r="BF28" s="1"/>
      <c r="BG28" s="1"/>
      <c r="BH28" s="1"/>
      <c r="BI28" s="1"/>
      <c r="BJ28" s="1"/>
      <c r="BK28" s="1"/>
      <c r="BL28" s="1"/>
      <c r="BM28" s="1"/>
      <c r="BN28" s="1"/>
    </row>
    <row r="29" spans="1:66" ht="12" customHeight="1" thickBot="1" x14ac:dyDescent="0.35">
      <c r="A29" s="214"/>
      <c r="B29" s="216" t="s">
        <v>154</v>
      </c>
      <c r="C29" s="217"/>
      <c r="D29" s="217"/>
      <c r="E29" s="217"/>
      <c r="F29" s="217"/>
      <c r="G29" s="217"/>
      <c r="H29" s="217"/>
      <c r="I29" s="217"/>
      <c r="J29" s="217"/>
      <c r="K29" s="217"/>
      <c r="L29" s="217"/>
      <c r="M29" s="217"/>
      <c r="N29" s="217"/>
      <c r="O29" s="217"/>
      <c r="P29" s="217"/>
      <c r="Q29" s="217"/>
      <c r="R29" s="217"/>
      <c r="S29" s="217"/>
      <c r="T29" s="218"/>
      <c r="U29" s="218"/>
      <c r="V29" s="219"/>
      <c r="W29" s="215"/>
      <c r="X29" s="215"/>
      <c r="Y29" s="215"/>
      <c r="Z29" s="215"/>
      <c r="AA29" s="214"/>
      <c r="AB29" s="214"/>
      <c r="AC29" s="214"/>
      <c r="AD29" s="214"/>
      <c r="AE29" s="214"/>
      <c r="AF29" s="214"/>
      <c r="AG29" s="214"/>
      <c r="AH29" s="214"/>
      <c r="AI29" s="214"/>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row>
    <row r="30" spans="1:66" ht="21.6" customHeight="1" thickBot="1" x14ac:dyDescent="0.35">
      <c r="A30" s="214"/>
      <c r="B30" s="220"/>
      <c r="C30" s="214"/>
      <c r="D30" s="214"/>
      <c r="E30" s="214"/>
      <c r="F30" s="214"/>
      <c r="G30" s="214"/>
      <c r="H30" s="214"/>
      <c r="I30" s="214"/>
      <c r="J30" s="214"/>
      <c r="K30" s="214"/>
      <c r="L30" s="214"/>
      <c r="M30" s="214"/>
      <c r="N30" s="214"/>
      <c r="O30" s="214"/>
      <c r="P30" s="214"/>
      <c r="Q30" s="214"/>
      <c r="R30" s="214"/>
      <c r="S30" s="214"/>
      <c r="T30" s="214"/>
      <c r="U30" s="214"/>
      <c r="V30" s="214"/>
      <c r="W30" s="214"/>
      <c r="X30" s="214"/>
      <c r="Y30" s="214"/>
      <c r="Z30" s="214"/>
      <c r="AA30" s="214"/>
      <c r="AB30" s="214"/>
      <c r="AC30" s="216" t="s">
        <v>158</v>
      </c>
      <c r="AD30" s="221"/>
      <c r="AE30" s="214"/>
      <c r="AF30" s="214"/>
      <c r="AG30" s="214"/>
      <c r="AH30" s="214"/>
      <c r="AI30" s="214"/>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row>
    <row r="31" spans="1:66" ht="21" customHeight="1" thickBot="1" x14ac:dyDescent="0.35">
      <c r="A31" s="214"/>
      <c r="B31" s="216" t="s">
        <v>159</v>
      </c>
      <c r="C31" s="221"/>
      <c r="D31" s="223"/>
      <c r="E31" s="222" t="s">
        <v>160</v>
      </c>
      <c r="F31" s="222" t="s">
        <v>160</v>
      </c>
      <c r="G31" s="223"/>
      <c r="H31" s="224" t="s">
        <v>161</v>
      </c>
      <c r="I31" s="222"/>
      <c r="J31" s="222"/>
      <c r="K31" s="222"/>
      <c r="L31" s="222"/>
      <c r="M31" s="223"/>
      <c r="N31" s="216" t="s">
        <v>162</v>
      </c>
      <c r="O31" s="221"/>
      <c r="P31" s="222" t="s">
        <v>163</v>
      </c>
      <c r="Q31" s="222"/>
      <c r="R31" s="222"/>
      <c r="S31" s="223"/>
      <c r="T31" s="224" t="s">
        <v>164</v>
      </c>
      <c r="U31" s="222"/>
      <c r="V31" s="222"/>
      <c r="W31" s="223"/>
      <c r="X31" s="225" t="s">
        <v>165</v>
      </c>
      <c r="Y31" s="222"/>
      <c r="Z31" s="222"/>
      <c r="AA31" s="223"/>
      <c r="AB31" s="214"/>
      <c r="AC31" s="347" t="s">
        <v>163</v>
      </c>
      <c r="AD31" s="348"/>
      <c r="AE31" s="223"/>
      <c r="AF31" s="224" t="s">
        <v>164</v>
      </c>
      <c r="AG31" s="222"/>
      <c r="AH31" s="223"/>
      <c r="AI31" s="214"/>
      <c r="AJ31" s="1"/>
      <c r="AK31" s="1"/>
      <c r="AL31" s="1"/>
      <c r="AM31" s="1"/>
      <c r="AN31" s="1"/>
      <c r="AO31" s="8" t="s">
        <v>567</v>
      </c>
      <c r="AP31" s="10">
        <v>0.05</v>
      </c>
      <c r="AQ31" s="1"/>
      <c r="AR31" s="1"/>
      <c r="AS31" s="1"/>
      <c r="AT31" s="1"/>
      <c r="AU31" s="1"/>
      <c r="AV31" s="1"/>
      <c r="AW31" s="1"/>
      <c r="AX31" s="1"/>
      <c r="AY31" s="1"/>
      <c r="AZ31" s="1"/>
      <c r="BA31" s="1"/>
      <c r="BB31" s="1"/>
      <c r="BC31" s="1"/>
      <c r="BD31" s="1"/>
      <c r="BE31" s="1"/>
      <c r="BF31" s="1"/>
      <c r="BG31" s="1"/>
      <c r="BH31" s="1"/>
      <c r="BI31" s="1"/>
      <c r="BJ31" s="1"/>
      <c r="BK31" s="1"/>
      <c r="BL31" s="1"/>
      <c r="BM31" s="1"/>
      <c r="BN31" s="1"/>
    </row>
    <row r="32" spans="1:66" ht="51" customHeight="1" x14ac:dyDescent="0.3">
      <c r="A32" s="214"/>
      <c r="B32" s="226"/>
      <c r="C32" s="227" t="s">
        <v>166</v>
      </c>
      <c r="D32" s="228" t="s">
        <v>167</v>
      </c>
      <c r="E32" s="228" t="s">
        <v>168</v>
      </c>
      <c r="F32" s="410" t="s">
        <v>169</v>
      </c>
      <c r="G32" s="228" t="s">
        <v>170</v>
      </c>
      <c r="H32" s="228" t="s">
        <v>171</v>
      </c>
      <c r="I32" s="229" t="s">
        <v>172</v>
      </c>
      <c r="J32" s="229" t="s">
        <v>173</v>
      </c>
      <c r="K32" s="230" t="s">
        <v>174</v>
      </c>
      <c r="L32" s="229" t="s">
        <v>175</v>
      </c>
      <c r="M32" s="411" t="s">
        <v>176</v>
      </c>
      <c r="N32" s="227"/>
      <c r="O32" s="227" t="s">
        <v>177</v>
      </c>
      <c r="P32" s="231" t="s">
        <v>178</v>
      </c>
      <c r="Q32" s="231" t="s">
        <v>179</v>
      </c>
      <c r="R32" s="231" t="s">
        <v>180</v>
      </c>
      <c r="S32" s="231" t="s">
        <v>181</v>
      </c>
      <c r="T32" s="231" t="s">
        <v>182</v>
      </c>
      <c r="U32" s="231" t="s">
        <v>183</v>
      </c>
      <c r="V32" s="231" t="s">
        <v>184</v>
      </c>
      <c r="W32" s="231" t="s">
        <v>185</v>
      </c>
      <c r="X32" s="231" t="s">
        <v>186</v>
      </c>
      <c r="Y32" s="231" t="s">
        <v>187</v>
      </c>
      <c r="Z32" s="231" t="s">
        <v>188</v>
      </c>
      <c r="AA32" s="231" t="s">
        <v>189</v>
      </c>
      <c r="AB32" s="214"/>
      <c r="AC32" s="231" t="s">
        <v>178</v>
      </c>
      <c r="AD32" s="231" t="s">
        <v>179</v>
      </c>
      <c r="AE32" s="231" t="s">
        <v>180</v>
      </c>
      <c r="AF32" s="231" t="s">
        <v>182</v>
      </c>
      <c r="AG32" s="231" t="s">
        <v>183</v>
      </c>
      <c r="AH32" s="231" t="s">
        <v>184</v>
      </c>
      <c r="AI32" s="214"/>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row>
    <row r="33" spans="1:66" ht="15.6" customHeight="1" x14ac:dyDescent="0.3">
      <c r="A33" s="214"/>
      <c r="B33" s="232">
        <v>2019</v>
      </c>
      <c r="C33" s="233">
        <f>C22</f>
        <v>176709983677.61444</v>
      </c>
      <c r="D33" s="146">
        <v>1804066.8</v>
      </c>
      <c r="E33" s="259">
        <f>(F33/1000000/D33)*100</f>
        <v>9.83</v>
      </c>
      <c r="F33" s="146">
        <v>177339766440</v>
      </c>
      <c r="G33" s="234">
        <f>F33/C33</f>
        <v>1.003563934245699</v>
      </c>
      <c r="H33" s="235">
        <f>C33*G33</f>
        <v>177339766440</v>
      </c>
      <c r="I33" s="235" t="s">
        <v>113</v>
      </c>
      <c r="J33" s="235" t="s">
        <v>113</v>
      </c>
      <c r="K33" s="235" t="s">
        <v>113</v>
      </c>
      <c r="L33" s="235" t="s">
        <v>113</v>
      </c>
      <c r="M33" s="214"/>
      <c r="N33" s="232">
        <v>2019</v>
      </c>
      <c r="O33" s="236">
        <f>G33</f>
        <v>1.003563934245699</v>
      </c>
      <c r="P33" s="237"/>
      <c r="Q33" s="237"/>
      <c r="R33" s="237"/>
      <c r="S33" s="237"/>
      <c r="T33" s="237"/>
      <c r="U33" s="237"/>
      <c r="V33" s="238"/>
      <c r="W33" s="238"/>
      <c r="X33" s="238"/>
      <c r="Y33" s="238"/>
      <c r="Z33" s="238"/>
      <c r="AA33" s="238"/>
      <c r="AB33" s="214"/>
      <c r="AC33" s="237"/>
      <c r="AD33" s="237"/>
      <c r="AE33" s="237"/>
      <c r="AF33" s="237"/>
      <c r="AG33" s="237"/>
      <c r="AH33" s="238"/>
      <c r="AI33" s="214"/>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row>
    <row r="34" spans="1:66" s="51" customFormat="1" ht="15.6" customHeight="1" x14ac:dyDescent="0.3">
      <c r="A34" s="239"/>
      <c r="B34" s="240">
        <v>2020</v>
      </c>
      <c r="C34" s="241">
        <f>D22</f>
        <v>172980044645.74103</v>
      </c>
      <c r="D34" s="146">
        <v>1670011.9</v>
      </c>
      <c r="E34" s="259">
        <f t="shared" ref="E34:E36" si="7">(F34/1000000/D34)*100</f>
        <v>10.260000000000002</v>
      </c>
      <c r="F34" s="146">
        <v>171343220940</v>
      </c>
      <c r="G34" s="234">
        <f>F34/C34</f>
        <v>0.99053749980760375</v>
      </c>
      <c r="H34" s="242">
        <f>C34*G34</f>
        <v>171343220940</v>
      </c>
      <c r="I34" s="243"/>
      <c r="J34" s="243"/>
      <c r="K34" s="243"/>
      <c r="L34" s="243"/>
      <c r="M34" s="214"/>
      <c r="N34" s="240">
        <v>2020</v>
      </c>
      <c r="O34" s="244"/>
      <c r="P34" s="245"/>
      <c r="Q34" s="245"/>
      <c r="R34" s="245"/>
      <c r="S34" s="245"/>
      <c r="T34" s="245"/>
      <c r="U34" s="245"/>
      <c r="V34" s="245"/>
      <c r="W34" s="245"/>
      <c r="X34" s="245"/>
      <c r="Y34" s="245"/>
      <c r="Z34" s="245"/>
      <c r="AA34" s="245"/>
      <c r="AB34" s="239"/>
      <c r="AC34" s="245"/>
      <c r="AD34" s="245"/>
      <c r="AE34" s="245"/>
      <c r="AF34" s="245"/>
      <c r="AG34" s="245"/>
      <c r="AH34" s="245"/>
      <c r="AI34" s="239"/>
      <c r="AJ34" s="47"/>
      <c r="AK34" s="47"/>
      <c r="AL34" s="47"/>
      <c r="AM34" s="47"/>
      <c r="AN34" s="47"/>
      <c r="AO34" s="47"/>
      <c r="AP34" s="47"/>
      <c r="AQ34" s="47"/>
      <c r="AR34" s="47"/>
      <c r="AS34" s="47"/>
      <c r="AT34" s="47"/>
      <c r="AU34" s="47"/>
      <c r="AV34" s="47"/>
      <c r="AW34" s="47"/>
      <c r="AX34" s="47"/>
      <c r="AY34" s="47"/>
      <c r="AZ34" s="47"/>
      <c r="BA34" s="47"/>
      <c r="BB34" s="47"/>
      <c r="BC34" s="47"/>
      <c r="BD34" s="47"/>
      <c r="BE34" s="47"/>
      <c r="BF34" s="47"/>
      <c r="BG34" s="47"/>
      <c r="BH34" s="47"/>
      <c r="BI34" s="47"/>
      <c r="BJ34" s="47"/>
      <c r="BK34" s="47"/>
      <c r="BL34" s="47"/>
      <c r="BM34" s="47"/>
      <c r="BN34" s="47"/>
    </row>
    <row r="35" spans="1:66" ht="15.6" customHeight="1" x14ac:dyDescent="0.3">
      <c r="A35" s="214"/>
      <c r="B35" s="232">
        <v>2021</v>
      </c>
      <c r="C35" s="241">
        <f>E22</f>
        <v>174216513336.63385</v>
      </c>
      <c r="D35" s="146">
        <v>1842507.4</v>
      </c>
      <c r="E35" s="259">
        <f t="shared" si="7"/>
        <v>9.9799999999999986</v>
      </c>
      <c r="F35" s="146">
        <v>183882238519.99997</v>
      </c>
      <c r="G35" s="234">
        <f>F35/C35</f>
        <v>1.0554811079515138</v>
      </c>
      <c r="H35" s="242">
        <f>C35*G35</f>
        <v>183882238519.99997</v>
      </c>
      <c r="I35" s="243"/>
      <c r="J35" s="243"/>
      <c r="K35" s="243"/>
      <c r="L35" s="243"/>
      <c r="M35" s="214"/>
      <c r="N35" s="232">
        <v>2021</v>
      </c>
      <c r="O35" s="244"/>
      <c r="P35" s="246"/>
      <c r="Q35" s="246"/>
      <c r="R35" s="246"/>
      <c r="S35" s="246"/>
      <c r="T35" s="246"/>
      <c r="U35" s="246"/>
      <c r="V35" s="247"/>
      <c r="W35" s="247"/>
      <c r="X35" s="247"/>
      <c r="Y35" s="247"/>
      <c r="Z35" s="247"/>
      <c r="AA35" s="247"/>
      <c r="AB35" s="214"/>
      <c r="AC35" s="246"/>
      <c r="AD35" s="246"/>
      <c r="AE35" s="246"/>
      <c r="AF35" s="246"/>
      <c r="AG35" s="246"/>
      <c r="AH35" s="247"/>
      <c r="AI35" s="214"/>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row>
    <row r="36" spans="1:66" ht="15.6" customHeight="1" x14ac:dyDescent="0.3">
      <c r="A36" s="214"/>
      <c r="B36" s="240">
        <v>2022</v>
      </c>
      <c r="C36" s="248">
        <f>F22</f>
        <v>177240787220.70224</v>
      </c>
      <c r="D36" s="146">
        <v>1997054.9</v>
      </c>
      <c r="E36" s="259">
        <f t="shared" si="7"/>
        <v>9.42</v>
      </c>
      <c r="F36" s="146">
        <v>188122571580</v>
      </c>
      <c r="G36" s="234">
        <f>F36/C36</f>
        <v>1.0613954865013528</v>
      </c>
      <c r="H36" s="242">
        <f>C36*G36</f>
        <v>188122571580.00003</v>
      </c>
      <c r="I36" s="249"/>
      <c r="J36" s="249"/>
      <c r="K36" s="249"/>
      <c r="L36" s="249"/>
      <c r="M36" s="214"/>
      <c r="N36" s="240">
        <v>2022</v>
      </c>
      <c r="O36" s="250"/>
      <c r="P36" s="225"/>
      <c r="Q36" s="225"/>
      <c r="R36" s="225"/>
      <c r="S36" s="225"/>
      <c r="T36" s="225"/>
      <c r="U36" s="225"/>
      <c r="V36" s="225"/>
      <c r="W36" s="225"/>
      <c r="X36" s="225"/>
      <c r="Y36" s="225"/>
      <c r="Z36" s="225"/>
      <c r="AA36" s="225"/>
      <c r="AB36" s="214"/>
      <c r="AC36" s="225"/>
      <c r="AD36" s="225"/>
      <c r="AE36" s="225"/>
      <c r="AF36" s="225"/>
      <c r="AG36" s="225"/>
      <c r="AH36" s="225"/>
      <c r="AI36" s="214"/>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row>
    <row r="37" spans="1:66" ht="15.6" customHeight="1" x14ac:dyDescent="0.3">
      <c r="A37" s="214"/>
      <c r="B37" s="232">
        <v>2023</v>
      </c>
      <c r="C37" s="251">
        <f>G22</f>
        <v>193940357325.21643</v>
      </c>
      <c r="D37" s="146">
        <v>2128001.4</v>
      </c>
      <c r="E37" s="259">
        <f>(F37/1000000/D37)*100</f>
        <v>9.7236778133698607</v>
      </c>
      <c r="F37" s="146">
        <v>206920000000</v>
      </c>
      <c r="G37" s="234">
        <f>F37/C37</f>
        <v>1.0669259500899968</v>
      </c>
      <c r="H37" s="242">
        <f>C37*G37</f>
        <v>206920000000</v>
      </c>
      <c r="I37" s="235">
        <f>H22*$G37</f>
        <v>213787708243.71402</v>
      </c>
      <c r="J37" s="235">
        <f>I22*$G37</f>
        <v>201478718397.73984</v>
      </c>
      <c r="K37" s="235">
        <f>J22*$G37</f>
        <v>196355475427.46408</v>
      </c>
      <c r="L37" s="235">
        <f>K22*$G37</f>
        <v>188018969264.40198</v>
      </c>
      <c r="M37" s="412">
        <f>AK22*$G37</f>
        <v>207183635092.20361</v>
      </c>
      <c r="N37" s="232">
        <v>2023</v>
      </c>
      <c r="O37" s="252">
        <f>G37</f>
        <v>1.0669259500899968</v>
      </c>
      <c r="P37" s="253">
        <f>($H37-J37)/1000000</f>
        <v>5441.2816022601628</v>
      </c>
      <c r="Q37" s="253">
        <f>($H37-K37)/1000000</f>
        <v>10564.52457253592</v>
      </c>
      <c r="R37" s="253">
        <f>($H37-L37)/1000000</f>
        <v>18901.030735598022</v>
      </c>
      <c r="S37" s="253">
        <f>AVERAGE(P37:R37)</f>
        <v>11635.612303464703</v>
      </c>
      <c r="T37" s="253">
        <f t="shared" ref="T37:V37" si="8">($I37-J37)/1000000</f>
        <v>12308.989845974182</v>
      </c>
      <c r="U37" s="253">
        <f t="shared" si="8"/>
        <v>17432.23281624994</v>
      </c>
      <c r="V37" s="253">
        <f t="shared" si="8"/>
        <v>25768.738979312042</v>
      </c>
      <c r="W37" s="253">
        <f>AVERAGE(T37:V37)</f>
        <v>18503.320547178722</v>
      </c>
      <c r="X37" s="254">
        <f>(T37-P37)/T37</f>
        <v>0.55794247372461636</v>
      </c>
      <c r="Y37" s="254">
        <f>(U37-Q37)/U37</f>
        <v>0.39396606941321338</v>
      </c>
      <c r="Z37" s="254">
        <f>(V37-R37)/V37</f>
        <v>0.26651316733921798</v>
      </c>
      <c r="AA37" s="254">
        <f>AVERAGE(X37:Z37)</f>
        <v>0.40614057015901595</v>
      </c>
      <c r="AB37" s="214"/>
      <c r="AC37" s="351">
        <f>P37/$D37</f>
        <v>2.5569915519135294E-3</v>
      </c>
      <c r="AD37" s="351">
        <f>Q37/$D37</f>
        <v>4.9645289577985802E-3</v>
      </c>
      <c r="AE37" s="351">
        <f>R37/$D37</f>
        <v>8.8820574721417116E-3</v>
      </c>
      <c r="AF37" s="351">
        <f>T37/$D37</f>
        <v>5.7842959341916703E-3</v>
      </c>
      <c r="AG37" s="351">
        <f>U37/$D37</f>
        <v>8.1918333400767228E-3</v>
      </c>
      <c r="AH37" s="351">
        <f>V37/$D37</f>
        <v>1.2109361854419853E-2</v>
      </c>
      <c r="AI37" s="214"/>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row>
    <row r="38" spans="1:66" ht="15.6" customHeight="1" x14ac:dyDescent="0.3">
      <c r="A38" s="214"/>
      <c r="B38" s="240">
        <v>2024</v>
      </c>
      <c r="C38" s="255"/>
      <c r="D38" s="256">
        <f>F33/D33/1000000</f>
        <v>9.8299999999999998E-2</v>
      </c>
      <c r="E38" s="256"/>
      <c r="F38" s="256"/>
      <c r="G38" s="257"/>
      <c r="H38" s="256"/>
      <c r="I38" s="249"/>
      <c r="J38" s="249"/>
      <c r="K38" s="249"/>
      <c r="L38" s="249"/>
      <c r="M38" s="214"/>
      <c r="N38" s="240">
        <v>2024</v>
      </c>
      <c r="O38" s="250"/>
      <c r="P38" s="225"/>
      <c r="Q38" s="225"/>
      <c r="R38" s="225"/>
      <c r="S38" s="225"/>
      <c r="T38" s="258"/>
      <c r="U38" s="258"/>
      <c r="V38" s="258"/>
      <c r="W38" s="258"/>
      <c r="X38" s="225"/>
      <c r="Y38" s="225"/>
      <c r="Z38" s="225"/>
      <c r="AA38" s="225"/>
      <c r="AB38" s="214"/>
      <c r="AC38" s="353"/>
      <c r="AD38" s="353"/>
      <c r="AE38" s="353"/>
      <c r="AF38" s="354"/>
      <c r="AG38" s="354"/>
      <c r="AH38" s="354"/>
      <c r="AI38" s="214"/>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row>
    <row r="39" spans="1:66" ht="15.6" customHeight="1" x14ac:dyDescent="0.3">
      <c r="A39" s="214"/>
      <c r="B39" s="232">
        <v>2025</v>
      </c>
      <c r="C39" s="255"/>
      <c r="D39" s="426">
        <f>F37/D37/1000000</f>
        <v>9.723677813369859E-2</v>
      </c>
      <c r="E39" s="256"/>
      <c r="F39" s="233">
        <f>F37-F33</f>
        <v>29580233560</v>
      </c>
      <c r="G39" s="257"/>
      <c r="H39" s="256"/>
      <c r="I39" s="249"/>
      <c r="J39" s="249"/>
      <c r="K39" s="249"/>
      <c r="L39" s="249"/>
      <c r="M39" s="214"/>
      <c r="N39" s="232">
        <v>2025</v>
      </c>
      <c r="O39" s="250"/>
      <c r="P39" s="225"/>
      <c r="Q39" s="225"/>
      <c r="R39" s="225"/>
      <c r="S39" s="225"/>
      <c r="T39" s="258"/>
      <c r="U39" s="258"/>
      <c r="V39" s="258"/>
      <c r="W39" s="258"/>
      <c r="X39" s="225"/>
      <c r="Y39" s="225"/>
      <c r="Z39" s="225"/>
      <c r="AA39" s="225"/>
      <c r="AB39" s="214"/>
      <c r="AC39" s="353"/>
      <c r="AD39" s="353"/>
      <c r="AE39" s="353"/>
      <c r="AF39" s="354"/>
      <c r="AG39" s="354"/>
      <c r="AH39" s="354"/>
      <c r="AI39" s="214"/>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row>
    <row r="40" spans="1:66" ht="15.6" customHeight="1" x14ac:dyDescent="0.3">
      <c r="A40" s="214"/>
      <c r="B40" s="240">
        <v>2026</v>
      </c>
      <c r="C40" s="251"/>
      <c r="D40" s="256"/>
      <c r="E40" s="256"/>
      <c r="F40" s="256"/>
      <c r="G40" s="259"/>
      <c r="H40" s="256"/>
      <c r="I40" s="235"/>
      <c r="J40" s="235"/>
      <c r="K40" s="235"/>
      <c r="L40" s="235"/>
      <c r="M40" s="214"/>
      <c r="N40" s="240">
        <v>2026</v>
      </c>
      <c r="O40" s="252"/>
      <c r="P40" s="225"/>
      <c r="Q40" s="225"/>
      <c r="R40" s="225"/>
      <c r="S40" s="225"/>
      <c r="T40" s="253"/>
      <c r="U40" s="253"/>
      <c r="V40" s="253"/>
      <c r="W40" s="253"/>
      <c r="X40" s="225"/>
      <c r="Y40" s="225"/>
      <c r="Z40" s="225"/>
      <c r="AA40" s="225"/>
      <c r="AB40" s="214"/>
      <c r="AC40" s="353"/>
      <c r="AD40" s="353"/>
      <c r="AE40" s="353"/>
      <c r="AF40" s="351"/>
      <c r="AG40" s="351"/>
      <c r="AH40" s="351"/>
      <c r="AI40" s="214"/>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row>
    <row r="41" spans="1:66" ht="12.6" customHeight="1" x14ac:dyDescent="0.3">
      <c r="A41" s="214"/>
      <c r="B41" s="214"/>
      <c r="C41" s="214"/>
      <c r="D41" s="214"/>
      <c r="E41" s="214"/>
      <c r="F41" s="214"/>
      <c r="G41" s="214"/>
      <c r="H41" s="214"/>
      <c r="I41" s="260"/>
      <c r="J41" s="214"/>
      <c r="K41" s="214"/>
      <c r="L41" s="214"/>
      <c r="M41" s="214"/>
      <c r="N41" s="214"/>
      <c r="O41" s="214"/>
      <c r="P41" s="214"/>
      <c r="Q41" s="214"/>
      <c r="R41" s="214"/>
      <c r="S41" s="214"/>
      <c r="T41" s="260"/>
      <c r="U41" s="214"/>
      <c r="V41" s="214"/>
      <c r="W41" s="214"/>
      <c r="X41" s="413" t="s">
        <v>190</v>
      </c>
      <c r="Y41" s="414"/>
      <c r="Z41" s="414"/>
      <c r="AA41" s="415"/>
      <c r="AB41" s="214"/>
      <c r="AC41" s="214"/>
      <c r="AD41" s="214"/>
      <c r="AE41" s="214"/>
      <c r="AF41" s="260"/>
      <c r="AG41" s="214"/>
      <c r="AH41" s="214"/>
      <c r="AI41" s="214"/>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row>
    <row r="42" spans="1:66" ht="12.6" customHeight="1" x14ac:dyDescent="0.3">
      <c r="A42" s="214"/>
      <c r="B42" s="214"/>
      <c r="C42" s="214"/>
      <c r="D42" s="214"/>
      <c r="E42" s="214"/>
      <c r="F42" s="214"/>
      <c r="G42" s="214"/>
      <c r="H42" s="214"/>
      <c r="I42" s="214"/>
      <c r="J42" s="214"/>
      <c r="K42" s="214"/>
      <c r="L42" s="214"/>
      <c r="M42" s="214"/>
      <c r="N42" s="214"/>
      <c r="O42" s="214"/>
      <c r="P42" s="214"/>
      <c r="Q42" s="214"/>
      <c r="R42" s="214"/>
      <c r="S42" s="214"/>
      <c r="T42" s="214"/>
      <c r="U42" s="214"/>
      <c r="V42" s="214"/>
      <c r="W42" s="416">
        <v>2023</v>
      </c>
      <c r="X42" s="417">
        <f>(($M37-$H37)/1000000)/T37</f>
        <v>2.1418093239376473E-2</v>
      </c>
      <c r="Y42" s="417">
        <f>(($M37-$H37)/1000000)/U37</f>
        <v>1.5123426527315452E-2</v>
      </c>
      <c r="Z42" s="417">
        <f>(($M37-$H37)/1000000)/V37</f>
        <v>1.023081076707975E-2</v>
      </c>
      <c r="AA42" s="417">
        <f>AVERAGE(X42:Z42)</f>
        <v>1.559077684459056E-2</v>
      </c>
      <c r="AB42" s="214"/>
      <c r="AC42" s="214"/>
      <c r="AD42" s="214"/>
      <c r="AE42" s="214"/>
      <c r="AF42" s="214"/>
      <c r="AG42" s="214"/>
      <c r="AH42" s="214"/>
      <c r="AI42" s="214"/>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row>
    <row r="43" spans="1:66" ht="12.6" customHeight="1" thickBot="1" x14ac:dyDescent="0.35">
      <c r="A43" s="214"/>
      <c r="B43" s="214"/>
      <c r="C43" s="214"/>
      <c r="D43" s="214"/>
      <c r="E43" s="214"/>
      <c r="F43" s="214"/>
      <c r="G43" s="214"/>
      <c r="H43" s="214"/>
      <c r="I43" s="214"/>
      <c r="J43" s="214"/>
      <c r="K43" s="214"/>
      <c r="L43" s="214"/>
      <c r="M43" s="214"/>
      <c r="N43" s="214"/>
      <c r="O43" s="214"/>
      <c r="P43" s="214"/>
      <c r="Q43" s="214"/>
      <c r="R43" s="214"/>
      <c r="S43" s="214"/>
      <c r="T43" s="214"/>
      <c r="U43" s="214"/>
      <c r="V43" s="214"/>
      <c r="W43" s="214"/>
      <c r="X43" s="214"/>
      <c r="Y43" s="214"/>
      <c r="Z43" s="214"/>
      <c r="AA43" s="214"/>
      <c r="AB43" s="214"/>
      <c r="AC43" s="214"/>
      <c r="AD43" s="214"/>
      <c r="AE43" s="214"/>
      <c r="AF43" s="214"/>
      <c r="AG43" s="214"/>
      <c r="AH43" s="214"/>
      <c r="AI43" s="214"/>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row>
    <row r="44" spans="1:66" ht="18" customHeight="1" thickBot="1" x14ac:dyDescent="0.35">
      <c r="A44" s="214"/>
      <c r="B44" s="216" t="s">
        <v>191</v>
      </c>
      <c r="C44" s="221"/>
      <c r="D44" s="222" t="s">
        <v>160</v>
      </c>
      <c r="E44" s="223"/>
      <c r="F44" s="224" t="s">
        <v>161</v>
      </c>
      <c r="G44" s="222"/>
      <c r="H44" s="222"/>
      <c r="I44" s="222"/>
      <c r="J44" s="223"/>
      <c r="K44" s="214"/>
      <c r="L44" s="214"/>
      <c r="M44" s="214"/>
      <c r="N44" s="214"/>
      <c r="O44" s="214"/>
      <c r="P44" s="214"/>
      <c r="Q44" s="214"/>
      <c r="R44" s="214"/>
      <c r="S44" s="214"/>
      <c r="T44" s="214"/>
      <c r="U44" s="216" t="s">
        <v>192</v>
      </c>
      <c r="V44" s="221"/>
      <c r="W44" s="222" t="s">
        <v>160</v>
      </c>
      <c r="X44" s="223"/>
      <c r="Y44" s="224" t="s">
        <v>161</v>
      </c>
      <c r="Z44" s="222"/>
      <c r="AA44" s="222"/>
      <c r="AB44" s="222"/>
      <c r="AC44" s="223"/>
      <c r="AD44" s="214"/>
      <c r="AE44" s="214"/>
      <c r="AF44" s="214"/>
      <c r="AG44" s="214"/>
      <c r="AH44" s="214"/>
      <c r="AI44" s="214"/>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row>
    <row r="45" spans="1:66" ht="42" customHeight="1" x14ac:dyDescent="0.3">
      <c r="A45" s="214"/>
      <c r="B45" s="227"/>
      <c r="C45" s="231" t="s">
        <v>193</v>
      </c>
      <c r="D45" s="228" t="s">
        <v>194</v>
      </c>
      <c r="E45" s="228" t="s">
        <v>170</v>
      </c>
      <c r="F45" s="229" t="s">
        <v>195</v>
      </c>
      <c r="G45" s="229" t="s">
        <v>196</v>
      </c>
      <c r="H45" s="261" t="s">
        <v>197</v>
      </c>
      <c r="I45" s="261" t="s">
        <v>198</v>
      </c>
      <c r="J45" s="261" t="s">
        <v>199</v>
      </c>
      <c r="K45" s="411" t="s">
        <v>176</v>
      </c>
      <c r="L45" s="214"/>
      <c r="M45" s="214"/>
      <c r="N45" s="214"/>
      <c r="O45" s="214"/>
      <c r="P45" s="214"/>
      <c r="Q45" s="214"/>
      <c r="R45" s="214"/>
      <c r="S45" s="214"/>
      <c r="T45" s="214"/>
      <c r="U45" s="227"/>
      <c r="V45" s="231" t="s">
        <v>193</v>
      </c>
      <c r="W45" s="228" t="s">
        <v>194</v>
      </c>
      <c r="X45" s="228" t="s">
        <v>170</v>
      </c>
      <c r="Y45" s="229" t="s">
        <v>195</v>
      </c>
      <c r="Z45" s="229" t="s">
        <v>196</v>
      </c>
      <c r="AA45" s="261" t="s">
        <v>197</v>
      </c>
      <c r="AB45" s="261" t="s">
        <v>198</v>
      </c>
      <c r="AC45" s="261" t="s">
        <v>199</v>
      </c>
      <c r="AD45" s="214"/>
      <c r="AE45" s="214"/>
      <c r="AF45" s="214"/>
      <c r="AG45" s="214"/>
      <c r="AH45" s="214"/>
      <c r="AI45" s="214"/>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row>
    <row r="46" spans="1:66" ht="15" customHeight="1" x14ac:dyDescent="0.3">
      <c r="A46" s="214"/>
      <c r="B46" s="232">
        <v>2019</v>
      </c>
      <c r="C46" s="262">
        <f>C33/1000000</f>
        <v>176709.98367761445</v>
      </c>
      <c r="D46" s="263">
        <f>F33/1000000</f>
        <v>177339.76644000001</v>
      </c>
      <c r="E46" s="264"/>
      <c r="F46" s="262">
        <f>H33/1000000</f>
        <v>177339.76644000001</v>
      </c>
      <c r="G46" s="264"/>
      <c r="H46" s="264"/>
      <c r="I46" s="264"/>
      <c r="J46" s="264"/>
      <c r="K46" s="214"/>
      <c r="L46" s="214"/>
      <c r="M46" s="214"/>
      <c r="N46" s="214"/>
      <c r="O46" s="214"/>
      <c r="P46" s="214"/>
      <c r="Q46" s="214"/>
      <c r="R46" s="214"/>
      <c r="S46" s="214"/>
      <c r="T46" s="214"/>
      <c r="U46" s="232">
        <v>2019</v>
      </c>
      <c r="V46" s="355">
        <f>C33/1000000/D33</f>
        <v>9.795090939959343E-2</v>
      </c>
      <c r="W46" s="355">
        <f>F33/(D33*1000000)</f>
        <v>9.8299999999999998E-2</v>
      </c>
      <c r="X46" s="264"/>
      <c r="Y46" s="355">
        <f>H33/($D33*1000000)</f>
        <v>9.8299999999999998E-2</v>
      </c>
      <c r="Z46" s="355"/>
      <c r="AA46" s="355"/>
      <c r="AB46" s="355"/>
      <c r="AC46" s="355"/>
      <c r="AD46" s="214"/>
      <c r="AE46" s="214"/>
      <c r="AF46" s="214"/>
      <c r="AG46" s="214"/>
      <c r="AH46" s="214"/>
      <c r="AI46" s="214"/>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row>
    <row r="47" spans="1:66" ht="15" customHeight="1" x14ac:dyDescent="0.3">
      <c r="A47" s="214"/>
      <c r="B47" s="240">
        <v>2020</v>
      </c>
      <c r="C47" s="262">
        <f t="shared" ref="C47:C49" si="9">C34/1000000</f>
        <v>172980.04464574103</v>
      </c>
      <c r="D47" s="263">
        <f>F34/1000000</f>
        <v>171343.22094</v>
      </c>
      <c r="E47" s="264"/>
      <c r="F47" s="264"/>
      <c r="G47" s="264"/>
      <c r="H47" s="264"/>
      <c r="I47" s="264"/>
      <c r="J47" s="264"/>
      <c r="K47" s="214"/>
      <c r="L47" s="214"/>
      <c r="M47" s="214"/>
      <c r="N47" s="214"/>
      <c r="O47" s="214"/>
      <c r="P47" s="214"/>
      <c r="Q47" s="214"/>
      <c r="R47" s="214"/>
      <c r="S47" s="214"/>
      <c r="T47" s="214"/>
      <c r="U47" s="240">
        <v>2020</v>
      </c>
      <c r="V47" s="355">
        <f t="shared" ref="V47:V50" si="10">C34/1000000/D34</f>
        <v>0.10358012697139525</v>
      </c>
      <c r="W47" s="355">
        <f t="shared" ref="W47:W50" si="11">F34/(D34*1000000)</f>
        <v>0.1026</v>
      </c>
      <c r="X47" s="264"/>
      <c r="Y47" s="355"/>
      <c r="Z47" s="355"/>
      <c r="AA47" s="355"/>
      <c r="AB47" s="355"/>
      <c r="AC47" s="355"/>
      <c r="AD47" s="214"/>
      <c r="AE47" s="214"/>
      <c r="AF47" s="214"/>
      <c r="AG47" s="214"/>
      <c r="AH47" s="214"/>
      <c r="AI47" s="214"/>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row>
    <row r="48" spans="1:66" ht="15" customHeight="1" x14ac:dyDescent="0.3">
      <c r="A48" s="214"/>
      <c r="B48" s="232">
        <v>2021</v>
      </c>
      <c r="C48" s="262">
        <f t="shared" si="9"/>
        <v>174216.51333663386</v>
      </c>
      <c r="D48" s="263">
        <f>F35/1000000</f>
        <v>183882.23851999996</v>
      </c>
      <c r="E48" s="264"/>
      <c r="F48" s="264"/>
      <c r="G48" s="264"/>
      <c r="H48" s="264"/>
      <c r="I48" s="264"/>
      <c r="J48" s="264"/>
      <c r="K48" s="214"/>
      <c r="L48" s="214"/>
      <c r="M48" s="214"/>
      <c r="N48" s="214"/>
      <c r="O48" s="214"/>
      <c r="P48" s="214"/>
      <c r="Q48" s="214"/>
      <c r="R48" s="214"/>
      <c r="S48" s="214"/>
      <c r="T48" s="214"/>
      <c r="U48" s="232">
        <v>2021</v>
      </c>
      <c r="V48" s="355">
        <f t="shared" si="10"/>
        <v>9.4554037251971881E-2</v>
      </c>
      <c r="W48" s="355">
        <f t="shared" si="11"/>
        <v>9.9799999999999986E-2</v>
      </c>
      <c r="X48" s="264"/>
      <c r="Y48" s="355"/>
      <c r="Z48" s="355"/>
      <c r="AA48" s="355"/>
      <c r="AB48" s="355"/>
      <c r="AC48" s="355"/>
      <c r="AD48" s="214"/>
      <c r="AE48" s="214"/>
      <c r="AF48" s="214"/>
      <c r="AG48" s="214"/>
      <c r="AH48" s="214"/>
      <c r="AI48" s="214"/>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row>
    <row r="49" spans="1:66" ht="15" customHeight="1" x14ac:dyDescent="0.3">
      <c r="A49" s="214"/>
      <c r="B49" s="240">
        <v>2022</v>
      </c>
      <c r="C49" s="262">
        <f t="shared" si="9"/>
        <v>177240.78722070224</v>
      </c>
      <c r="D49" s="263">
        <f>F36/1000000</f>
        <v>188122.57157999999</v>
      </c>
      <c r="E49" s="264"/>
      <c r="F49" s="264"/>
      <c r="G49" s="264"/>
      <c r="H49" s="264"/>
      <c r="I49" s="264"/>
      <c r="J49" s="264"/>
      <c r="K49" s="214"/>
      <c r="L49" s="214"/>
      <c r="M49" s="214"/>
      <c r="N49" s="214"/>
      <c r="O49" s="214"/>
      <c r="P49" s="214"/>
      <c r="Q49" s="214"/>
      <c r="R49" s="214"/>
      <c r="S49" s="214"/>
      <c r="T49" s="214"/>
      <c r="U49" s="240">
        <v>2022</v>
      </c>
      <c r="V49" s="355">
        <f t="shared" si="10"/>
        <v>8.8751084019123488E-2</v>
      </c>
      <c r="W49" s="355">
        <f t="shared" si="11"/>
        <v>9.4200000000000006E-2</v>
      </c>
      <c r="X49" s="264"/>
      <c r="Y49" s="355"/>
      <c r="Z49" s="355"/>
      <c r="AA49" s="355"/>
      <c r="AB49" s="355"/>
      <c r="AC49" s="355"/>
      <c r="AD49" s="214"/>
      <c r="AE49" s="214"/>
      <c r="AF49" s="214"/>
      <c r="AG49" s="214"/>
      <c r="AH49" s="214"/>
      <c r="AI49" s="214"/>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row>
    <row r="50" spans="1:66" ht="15" customHeight="1" x14ac:dyDescent="0.3">
      <c r="A50" s="214"/>
      <c r="B50" s="232">
        <v>2023</v>
      </c>
      <c r="C50" s="262">
        <f>C37/1000000</f>
        <v>193940.35732521644</v>
      </c>
      <c r="D50" s="263">
        <f>F37/1000000</f>
        <v>206920</v>
      </c>
      <c r="E50" s="264"/>
      <c r="F50" s="262">
        <f t="shared" ref="F50:K50" si="12">H37/1000000</f>
        <v>206920</v>
      </c>
      <c r="G50" s="262">
        <f t="shared" si="12"/>
        <v>213787.70824371401</v>
      </c>
      <c r="H50" s="262">
        <f t="shared" si="12"/>
        <v>201478.71839773984</v>
      </c>
      <c r="I50" s="262">
        <f t="shared" si="12"/>
        <v>196355.47542746409</v>
      </c>
      <c r="J50" s="262">
        <f t="shared" si="12"/>
        <v>188018.96926440197</v>
      </c>
      <c r="K50" s="418">
        <f t="shared" si="12"/>
        <v>207183.63509220362</v>
      </c>
      <c r="L50" s="214"/>
      <c r="M50" s="214"/>
      <c r="N50" s="214"/>
      <c r="O50" s="214"/>
      <c r="P50" s="214"/>
      <c r="Q50" s="214"/>
      <c r="R50" s="214"/>
      <c r="S50" s="214"/>
      <c r="T50" s="214"/>
      <c r="U50" s="232">
        <v>2023</v>
      </c>
      <c r="V50" s="355">
        <f t="shared" si="10"/>
        <v>9.1137326002330848E-2</v>
      </c>
      <c r="W50" s="355">
        <f t="shared" si="11"/>
        <v>9.723677813369859E-2</v>
      </c>
      <c r="X50" s="264"/>
      <c r="Y50" s="355">
        <f>H37/($D37*1000000)</f>
        <v>9.723677813369859E-2</v>
      </c>
      <c r="Z50" s="355">
        <f t="shared" ref="Z50:AC50" si="13">I37/($D37*1000000)</f>
        <v>0.10046408251597674</v>
      </c>
      <c r="AA50" s="355">
        <f t="shared" si="13"/>
        <v>9.4679786581785066E-2</v>
      </c>
      <c r="AB50" s="355">
        <f t="shared" si="13"/>
        <v>9.2272249175900017E-2</v>
      </c>
      <c r="AC50" s="355">
        <f t="shared" si="13"/>
        <v>8.835472066155689E-2</v>
      </c>
      <c r="AD50" s="214"/>
      <c r="AE50" s="214"/>
      <c r="AF50" s="214"/>
      <c r="AG50" s="214"/>
      <c r="AH50" s="214"/>
      <c r="AI50" s="214"/>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row>
    <row r="51" spans="1:66" ht="15" customHeight="1" x14ac:dyDescent="0.3">
      <c r="A51" s="214"/>
      <c r="B51" s="240">
        <v>2024</v>
      </c>
      <c r="C51" s="264"/>
      <c r="D51" s="264"/>
      <c r="E51" s="264"/>
      <c r="F51" s="264"/>
      <c r="G51" s="264"/>
      <c r="H51" s="264"/>
      <c r="I51" s="264"/>
      <c r="J51" s="264"/>
      <c r="K51" s="214"/>
      <c r="L51" s="214"/>
      <c r="M51" s="214"/>
      <c r="N51" s="214"/>
      <c r="O51" s="214"/>
      <c r="P51" s="214"/>
      <c r="Q51" s="214"/>
      <c r="R51" s="214"/>
      <c r="S51" s="214"/>
      <c r="T51" s="214"/>
      <c r="U51" s="240">
        <v>2024</v>
      </c>
      <c r="V51" s="264"/>
      <c r="W51" s="264"/>
      <c r="X51" s="264"/>
      <c r="Y51" s="355"/>
      <c r="Z51" s="355"/>
      <c r="AA51" s="355"/>
      <c r="AB51" s="355"/>
      <c r="AC51" s="355"/>
      <c r="AD51" s="214"/>
      <c r="AE51" s="214"/>
      <c r="AF51" s="214"/>
      <c r="AG51" s="214"/>
      <c r="AH51" s="214"/>
      <c r="AI51" s="214"/>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row>
    <row r="52" spans="1:66" ht="15" customHeight="1" x14ac:dyDescent="0.3">
      <c r="A52" s="214"/>
      <c r="B52" s="232">
        <v>2025</v>
      </c>
      <c r="C52" s="264"/>
      <c r="D52" s="264"/>
      <c r="E52" s="264"/>
      <c r="F52" s="264"/>
      <c r="G52" s="264"/>
      <c r="H52" s="264"/>
      <c r="I52" s="264"/>
      <c r="J52" s="264"/>
      <c r="K52" s="214"/>
      <c r="L52" s="214"/>
      <c r="M52" s="214"/>
      <c r="N52" s="214"/>
      <c r="O52" s="214"/>
      <c r="P52" s="214"/>
      <c r="Q52" s="214"/>
      <c r="R52" s="214"/>
      <c r="S52" s="214"/>
      <c r="T52" s="214"/>
      <c r="U52" s="232">
        <v>2025</v>
      </c>
      <c r="V52" s="264"/>
      <c r="W52" s="264"/>
      <c r="X52" s="264"/>
      <c r="Y52" s="355"/>
      <c r="Z52" s="355"/>
      <c r="AA52" s="355"/>
      <c r="AB52" s="355"/>
      <c r="AC52" s="355"/>
      <c r="AD52" s="214"/>
      <c r="AE52" s="214"/>
      <c r="AF52" s="214"/>
      <c r="AG52" s="214"/>
      <c r="AH52" s="214"/>
      <c r="AI52" s="214"/>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row>
    <row r="53" spans="1:66" ht="15" customHeight="1" x14ac:dyDescent="0.3">
      <c r="A53" s="214"/>
      <c r="B53" s="240">
        <v>2026</v>
      </c>
      <c r="C53" s="262"/>
      <c r="D53" s="264"/>
      <c r="E53" s="264"/>
      <c r="F53" s="264"/>
      <c r="G53" s="262"/>
      <c r="H53" s="262"/>
      <c r="I53" s="262"/>
      <c r="J53" s="262"/>
      <c r="K53" s="214"/>
      <c r="L53" s="214"/>
      <c r="M53" s="214"/>
      <c r="N53" s="214"/>
      <c r="O53" s="214"/>
      <c r="P53" s="214"/>
      <c r="Q53" s="214"/>
      <c r="R53" s="214"/>
      <c r="S53" s="214"/>
      <c r="T53" s="214"/>
      <c r="U53" s="240">
        <v>2026</v>
      </c>
      <c r="V53" s="262"/>
      <c r="W53" s="264"/>
      <c r="X53" s="264"/>
      <c r="Y53" s="355"/>
      <c r="Z53" s="355"/>
      <c r="AA53" s="355"/>
      <c r="AB53" s="355"/>
      <c r="AC53" s="355"/>
      <c r="AD53" s="214"/>
      <c r="AE53" s="214"/>
      <c r="AF53" s="214"/>
      <c r="AG53" s="214"/>
      <c r="AH53" s="214"/>
      <c r="AI53" s="214"/>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row>
    <row r="54" spans="1:66" ht="12.6" customHeight="1" x14ac:dyDescent="0.3">
      <c r="A54" s="214"/>
      <c r="B54" s="214"/>
      <c r="C54" s="214"/>
      <c r="D54" s="214"/>
      <c r="E54" s="214"/>
      <c r="F54" s="214"/>
      <c r="G54" s="214"/>
      <c r="H54" s="214"/>
      <c r="I54" s="214"/>
      <c r="J54" s="214"/>
      <c r="K54" s="214"/>
      <c r="L54" s="214"/>
      <c r="M54" s="214"/>
      <c r="N54" s="214"/>
      <c r="O54" s="214"/>
      <c r="P54" s="214"/>
      <c r="Q54" s="214"/>
      <c r="R54" s="214"/>
      <c r="S54" s="214"/>
      <c r="T54" s="214"/>
      <c r="U54" s="214"/>
      <c r="V54" s="214"/>
      <c r="W54" s="214"/>
      <c r="X54" s="214"/>
      <c r="Y54" s="214"/>
      <c r="Z54" s="214"/>
      <c r="AA54" s="214"/>
      <c r="AB54" s="214"/>
      <c r="AC54" s="214"/>
      <c r="AD54" s="214"/>
      <c r="AE54" s="214"/>
      <c r="AF54" s="214"/>
      <c r="AG54" s="214"/>
      <c r="AH54" s="214"/>
      <c r="AI54" s="214"/>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row>
    <row r="55" spans="1:66" ht="12.6" customHeight="1" x14ac:dyDescent="0.3">
      <c r="A55" s="214"/>
      <c r="B55" s="214"/>
      <c r="C55" s="214"/>
      <c r="D55" s="214"/>
      <c r="E55" s="214"/>
      <c r="F55" s="214"/>
      <c r="G55" s="214"/>
      <c r="H55" s="214"/>
      <c r="I55" s="214"/>
      <c r="J55" s="214"/>
      <c r="K55" s="214"/>
      <c r="L55" s="214"/>
      <c r="M55" s="214"/>
      <c r="N55" s="214"/>
      <c r="O55" s="214"/>
      <c r="P55" s="214"/>
      <c r="Q55" s="214"/>
      <c r="R55" s="214"/>
      <c r="S55" s="214"/>
      <c r="T55" s="214"/>
      <c r="U55" s="214"/>
      <c r="V55" s="214"/>
      <c r="W55" s="214"/>
      <c r="X55" s="214"/>
      <c r="Y55" s="214"/>
      <c r="Z55" s="214"/>
      <c r="AA55" s="214"/>
      <c r="AB55" s="214"/>
      <c r="AC55" s="214"/>
      <c r="AD55" s="214"/>
      <c r="AE55" s="214"/>
      <c r="AF55" s="214"/>
      <c r="AG55" s="214"/>
      <c r="AH55" s="214"/>
      <c r="AI55" s="214"/>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row>
    <row r="56" spans="1:66" ht="12.6" customHeight="1" x14ac:dyDescent="0.3">
      <c r="A56" s="214"/>
      <c r="B56" s="214"/>
      <c r="C56" s="214"/>
      <c r="D56" s="214"/>
      <c r="E56" s="214"/>
      <c r="F56" s="214"/>
      <c r="G56" s="214"/>
      <c r="H56" s="214"/>
      <c r="I56" s="214"/>
      <c r="J56" s="214"/>
      <c r="K56" s="214"/>
      <c r="L56" s="214"/>
      <c r="M56" s="214"/>
      <c r="N56" s="214"/>
      <c r="O56" s="214"/>
      <c r="P56" s="214"/>
      <c r="Q56" s="214"/>
      <c r="R56" s="214"/>
      <c r="S56" s="214"/>
      <c r="T56" s="214"/>
      <c r="U56" s="214"/>
      <c r="V56" s="214"/>
      <c r="W56" s="214"/>
      <c r="X56" s="214"/>
      <c r="Y56" s="214"/>
      <c r="Z56" s="214"/>
      <c r="AA56" s="214"/>
      <c r="AB56" s="214"/>
      <c r="AC56" s="214"/>
      <c r="AD56" s="214"/>
      <c r="AE56" s="214"/>
      <c r="AF56" s="214"/>
      <c r="AG56" s="214"/>
      <c r="AH56" s="214"/>
      <c r="AI56" s="214"/>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row>
    <row r="57" spans="1:66" ht="12.6" customHeight="1" x14ac:dyDescent="0.3">
      <c r="A57" s="214"/>
      <c r="B57" s="214"/>
      <c r="C57" s="214"/>
      <c r="D57" s="214"/>
      <c r="E57" s="214"/>
      <c r="F57" s="214"/>
      <c r="G57" s="214"/>
      <c r="H57" s="214"/>
      <c r="I57" s="214"/>
      <c r="J57" s="214"/>
      <c r="K57" s="214"/>
      <c r="L57" s="214"/>
      <c r="M57" s="214"/>
      <c r="N57" s="214"/>
      <c r="O57" s="214"/>
      <c r="P57" s="214"/>
      <c r="Q57" s="214"/>
      <c r="R57" s="214"/>
      <c r="S57" s="214"/>
      <c r="T57" s="214"/>
      <c r="U57" s="214"/>
      <c r="V57" s="214"/>
      <c r="W57" s="214"/>
      <c r="X57" s="214"/>
      <c r="Y57" s="214"/>
      <c r="Z57" s="214"/>
      <c r="AA57" s="214"/>
      <c r="AB57" s="214"/>
      <c r="AC57" s="214"/>
      <c r="AD57" s="214"/>
      <c r="AE57" s="214"/>
      <c r="AF57" s="214"/>
      <c r="AG57" s="214"/>
      <c r="AH57" s="214"/>
      <c r="AI57" s="214"/>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row>
    <row r="58" spans="1:66" ht="12.6" customHeight="1" x14ac:dyDescent="0.3">
      <c r="A58" s="214"/>
      <c r="B58" s="214"/>
      <c r="C58" s="214"/>
      <c r="D58" s="214"/>
      <c r="E58" s="214"/>
      <c r="F58" s="214"/>
      <c r="G58" s="214"/>
      <c r="H58" s="214"/>
      <c r="I58" s="214"/>
      <c r="J58" s="214"/>
      <c r="K58" s="214"/>
      <c r="L58" s="214"/>
      <c r="M58" s="214"/>
      <c r="N58" s="214"/>
      <c r="O58" s="214"/>
      <c r="P58" s="214"/>
      <c r="Q58" s="214"/>
      <c r="R58" s="214"/>
      <c r="S58" s="214"/>
      <c r="T58" s="214"/>
      <c r="U58" s="214"/>
      <c r="V58" s="214"/>
      <c r="W58" s="214"/>
      <c r="X58" s="214"/>
      <c r="Y58" s="214"/>
      <c r="Z58" s="214"/>
      <c r="AA58" s="214"/>
      <c r="AB58" s="214"/>
      <c r="AC58" s="214"/>
      <c r="AD58" s="214"/>
      <c r="AE58" s="214"/>
      <c r="AF58" s="214"/>
      <c r="AG58" s="214"/>
      <c r="AH58" s="214"/>
      <c r="AI58" s="214"/>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row>
    <row r="59" spans="1:66" ht="12.6"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row>
    <row r="60" spans="1:66" ht="12" customHeight="1" thickBot="1" x14ac:dyDescent="0.35">
      <c r="A60" s="98"/>
      <c r="B60" s="98"/>
      <c r="C60" s="98"/>
      <c r="D60" s="98"/>
      <c r="E60" s="98"/>
      <c r="F60" s="98"/>
      <c r="G60" s="98"/>
      <c r="H60" s="98"/>
      <c r="I60" s="98"/>
      <c r="J60" s="98"/>
      <c r="K60" s="98"/>
      <c r="L60" s="98"/>
      <c r="M60" s="98"/>
      <c r="N60" s="98"/>
      <c r="O60" s="98"/>
      <c r="P60" s="98"/>
      <c r="Q60" s="98"/>
      <c r="R60" s="98"/>
      <c r="S60" s="98"/>
      <c r="T60" s="265"/>
      <c r="U60" s="265"/>
      <c r="V60" s="265"/>
      <c r="W60" s="265"/>
      <c r="X60" s="55"/>
      <c r="Y60" s="55"/>
      <c r="Z60" s="55"/>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row>
    <row r="61" spans="1:66" ht="12" customHeight="1" thickBot="1" x14ac:dyDescent="0.35">
      <c r="A61" s="98"/>
      <c r="B61" s="266" t="s">
        <v>200</v>
      </c>
      <c r="C61" s="267"/>
      <c r="D61" s="267"/>
      <c r="E61" s="267"/>
      <c r="F61" s="267"/>
      <c r="G61" s="267"/>
      <c r="H61" s="267"/>
      <c r="I61" s="267"/>
      <c r="J61" s="267"/>
      <c r="K61" s="267"/>
      <c r="L61" s="267"/>
      <c r="M61" s="267"/>
      <c r="N61" s="267"/>
      <c r="O61" s="267"/>
      <c r="P61" s="267"/>
      <c r="Q61" s="267"/>
      <c r="R61" s="267"/>
      <c r="S61" s="267"/>
      <c r="T61" s="268"/>
      <c r="U61" s="268"/>
      <c r="V61" s="269"/>
      <c r="W61" s="265"/>
      <c r="X61" s="55"/>
      <c r="Y61" s="55"/>
      <c r="Z61" s="55"/>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row>
    <row r="62" spans="1:66" ht="21.6" customHeight="1" x14ac:dyDescent="0.3">
      <c r="A62" s="98"/>
      <c r="B62" s="270"/>
      <c r="C62" s="98"/>
      <c r="D62" s="98"/>
      <c r="E62" s="98"/>
      <c r="F62" s="98"/>
      <c r="G62" s="98"/>
      <c r="H62" s="98"/>
      <c r="I62" s="98"/>
      <c r="J62" s="98"/>
      <c r="K62" s="98"/>
      <c r="L62" s="98"/>
      <c r="M62" s="98"/>
      <c r="N62" s="98"/>
      <c r="O62" s="98"/>
      <c r="P62" s="98"/>
      <c r="Q62" s="98"/>
      <c r="R62" s="98"/>
      <c r="S62" s="98"/>
      <c r="T62" s="98"/>
      <c r="U62" s="98"/>
      <c r="V62" s="98"/>
      <c r="W62" s="98"/>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row>
    <row r="63" spans="1:66" ht="21" customHeight="1" x14ac:dyDescent="0.3">
      <c r="A63" s="98"/>
      <c r="B63" s="98"/>
      <c r="C63" s="98"/>
      <c r="D63" s="98"/>
      <c r="E63" s="98"/>
      <c r="F63" s="98"/>
      <c r="G63" s="98"/>
      <c r="H63" s="98"/>
      <c r="I63" s="98"/>
      <c r="J63" s="98"/>
      <c r="K63" s="98"/>
      <c r="L63" s="98"/>
      <c r="M63" s="98"/>
      <c r="N63" s="98"/>
      <c r="O63" s="98"/>
      <c r="P63" s="98"/>
      <c r="Q63" s="98"/>
      <c r="R63" s="98"/>
      <c r="S63" s="98"/>
      <c r="T63" s="98"/>
      <c r="U63" s="98"/>
      <c r="V63" s="98"/>
      <c r="W63" s="98"/>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row>
    <row r="64" spans="1:66" ht="42.6" customHeight="1" x14ac:dyDescent="0.3">
      <c r="A64" s="98"/>
      <c r="B64" s="356" t="s">
        <v>201</v>
      </c>
      <c r="C64" s="271" t="s">
        <v>202</v>
      </c>
      <c r="D64" s="272" t="s">
        <v>172</v>
      </c>
      <c r="E64" s="272" t="s">
        <v>173</v>
      </c>
      <c r="F64" s="273" t="s">
        <v>174</v>
      </c>
      <c r="G64" s="272" t="s">
        <v>175</v>
      </c>
      <c r="H64" s="274"/>
      <c r="I64" s="274"/>
      <c r="J64" s="274"/>
      <c r="K64" s="274"/>
      <c r="L64" s="274"/>
      <c r="M64" s="274"/>
      <c r="N64" s="274"/>
      <c r="O64" s="274"/>
      <c r="P64" s="274"/>
      <c r="Q64" s="274"/>
      <c r="R64" s="274"/>
      <c r="S64" s="274"/>
      <c r="T64" s="274"/>
      <c r="U64" s="274"/>
      <c r="V64" s="274"/>
      <c r="W64" s="98"/>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row>
    <row r="65" spans="1:66" ht="15.6" customHeight="1" x14ac:dyDescent="0.3">
      <c r="A65" s="98"/>
      <c r="B65" s="275">
        <v>2019</v>
      </c>
      <c r="C65" s="357">
        <f>C22/P22*100</f>
        <v>18.91373730197807</v>
      </c>
      <c r="D65" s="276"/>
      <c r="E65" s="276"/>
      <c r="F65" s="276"/>
      <c r="G65" s="276"/>
      <c r="H65" s="277"/>
      <c r="I65" s="277"/>
      <c r="J65" s="277"/>
      <c r="K65" s="277"/>
      <c r="L65" s="277"/>
      <c r="M65" s="277"/>
      <c r="N65" s="277"/>
      <c r="O65" s="277"/>
      <c r="P65" s="277"/>
      <c r="Q65" s="277"/>
      <c r="R65" s="277"/>
      <c r="S65" s="277"/>
      <c r="T65" s="277"/>
      <c r="U65" s="277"/>
      <c r="V65" s="277"/>
      <c r="W65" s="278"/>
      <c r="X65" s="44"/>
      <c r="Y65" s="44"/>
      <c r="Z65" s="44"/>
      <c r="AA65" s="46"/>
      <c r="AB65" s="46"/>
      <c r="AC65" s="46"/>
      <c r="AD65" s="46"/>
      <c r="AE65" s="46"/>
      <c r="AF65" s="46"/>
      <c r="AG65" s="44"/>
      <c r="AH65" s="44"/>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row>
    <row r="66" spans="1:66" s="51" customFormat="1" ht="15.6" customHeight="1" x14ac:dyDescent="0.3">
      <c r="A66" s="279"/>
      <c r="B66" s="280">
        <v>2020</v>
      </c>
      <c r="C66" s="357">
        <f>D22/Q22*100</f>
        <v>18.603816477894668</v>
      </c>
      <c r="D66" s="276"/>
      <c r="E66" s="276"/>
      <c r="F66" s="276"/>
      <c r="G66" s="276"/>
      <c r="H66" s="281"/>
      <c r="I66" s="281"/>
      <c r="J66" s="281"/>
      <c r="K66" s="281"/>
      <c r="L66" s="281"/>
      <c r="M66" s="281"/>
      <c r="N66" s="281"/>
      <c r="O66" s="281"/>
      <c r="P66" s="281"/>
      <c r="Q66" s="281"/>
      <c r="R66" s="281"/>
      <c r="S66" s="281"/>
      <c r="T66" s="281"/>
      <c r="U66" s="281"/>
      <c r="V66" s="281"/>
      <c r="W66" s="282"/>
      <c r="X66" s="48"/>
      <c r="Y66" s="48"/>
      <c r="Z66" s="48"/>
      <c r="AA66" s="48"/>
      <c r="AB66" s="48"/>
      <c r="AC66" s="48"/>
      <c r="AD66" s="48"/>
      <c r="AE66" s="48"/>
      <c r="AF66" s="48"/>
      <c r="AG66" s="48"/>
      <c r="AH66" s="48"/>
      <c r="AI66" s="47"/>
      <c r="AJ66" s="47"/>
      <c r="AK66" s="47"/>
      <c r="AL66" s="47"/>
      <c r="AM66" s="47"/>
      <c r="AN66" s="47"/>
      <c r="AO66" s="47"/>
      <c r="AP66" s="47"/>
      <c r="AQ66" s="47"/>
      <c r="AR66" s="47"/>
      <c r="AS66" s="47"/>
      <c r="AT66" s="47"/>
      <c r="AU66" s="47"/>
      <c r="AV66" s="47"/>
      <c r="AW66" s="47"/>
      <c r="AX66" s="47"/>
      <c r="AY66" s="47"/>
      <c r="AZ66" s="47"/>
      <c r="BA66" s="47"/>
      <c r="BB66" s="47"/>
      <c r="BC66" s="47"/>
      <c r="BD66" s="47"/>
      <c r="BE66" s="47"/>
      <c r="BF66" s="47"/>
      <c r="BG66" s="47"/>
      <c r="BH66" s="47"/>
      <c r="BI66" s="47"/>
      <c r="BJ66" s="47"/>
      <c r="BK66" s="47"/>
      <c r="BL66" s="47"/>
      <c r="BM66" s="47"/>
      <c r="BN66" s="47"/>
    </row>
    <row r="67" spans="1:66" ht="15.6" customHeight="1" x14ac:dyDescent="0.3">
      <c r="A67" s="98"/>
      <c r="B67" s="275">
        <v>2021</v>
      </c>
      <c r="C67" s="357">
        <f>E22/R22*100</f>
        <v>18.403332044660022</v>
      </c>
      <c r="D67" s="276"/>
      <c r="E67" s="276"/>
      <c r="F67" s="276"/>
      <c r="G67" s="276"/>
      <c r="H67" s="281"/>
      <c r="I67" s="281"/>
      <c r="J67" s="281"/>
      <c r="K67" s="281"/>
      <c r="L67" s="281"/>
      <c r="M67" s="281"/>
      <c r="N67" s="281"/>
      <c r="O67" s="281"/>
      <c r="P67" s="281"/>
      <c r="Q67" s="281"/>
      <c r="R67" s="281"/>
      <c r="S67" s="281"/>
      <c r="T67" s="281"/>
      <c r="U67" s="281"/>
      <c r="V67" s="281"/>
      <c r="W67" s="283"/>
      <c r="X67" s="52"/>
      <c r="Y67" s="52"/>
      <c r="Z67" s="52"/>
      <c r="AA67" s="43"/>
      <c r="AB67" s="43"/>
      <c r="AC67" s="43"/>
      <c r="AD67" s="43"/>
      <c r="AE67" s="43"/>
      <c r="AF67" s="43"/>
      <c r="AG67" s="43"/>
      <c r="AH67" s="43"/>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row>
    <row r="68" spans="1:66" ht="15.6" customHeight="1" x14ac:dyDescent="0.3">
      <c r="A68" s="98"/>
      <c r="B68" s="280">
        <v>2022</v>
      </c>
      <c r="C68" s="357">
        <f>F22/S22*100</f>
        <v>18.332145635939636</v>
      </c>
      <c r="D68" s="276"/>
      <c r="E68" s="276"/>
      <c r="F68" s="276"/>
      <c r="G68" s="276"/>
      <c r="H68" s="284"/>
      <c r="I68" s="284"/>
      <c r="J68" s="284"/>
      <c r="K68" s="284"/>
      <c r="L68" s="284"/>
      <c r="M68" s="284"/>
      <c r="N68" s="284"/>
      <c r="O68" s="284"/>
      <c r="P68" s="284"/>
      <c r="Q68" s="284"/>
      <c r="R68" s="284"/>
      <c r="S68" s="284"/>
      <c r="T68" s="284"/>
      <c r="U68" s="284"/>
      <c r="V68" s="284"/>
      <c r="W68" s="98"/>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row>
    <row r="69" spans="1:66" ht="15.6" customHeight="1" x14ac:dyDescent="0.3">
      <c r="A69" s="98"/>
      <c r="B69" s="275">
        <v>2023</v>
      </c>
      <c r="C69" s="357">
        <f>G22/$T22*100</f>
        <v>19.228975648457421</v>
      </c>
      <c r="D69" s="357">
        <f>H22/$T22*100</f>
        <v>19.867188458137914</v>
      </c>
      <c r="E69" s="357">
        <f>I22/$T22*100</f>
        <v>18.72331997753987</v>
      </c>
      <c r="F69" s="357">
        <f>J22/$T22*100</f>
        <v>18.247219483065855</v>
      </c>
      <c r="G69" s="357">
        <f>K22/$T22*100</f>
        <v>17.472511992234921</v>
      </c>
      <c r="H69" s="277"/>
      <c r="I69" s="277"/>
      <c r="J69" s="277"/>
      <c r="K69" s="277"/>
      <c r="L69" s="277"/>
      <c r="M69" s="277"/>
      <c r="N69" s="277"/>
      <c r="O69" s="277"/>
      <c r="P69" s="277"/>
      <c r="Q69" s="277"/>
      <c r="R69" s="277"/>
      <c r="S69" s="277"/>
      <c r="T69" s="277"/>
      <c r="U69" s="277"/>
      <c r="V69" s="277"/>
      <c r="W69" s="98"/>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row>
    <row r="70" spans="1:66" ht="15.6" customHeight="1" x14ac:dyDescent="0.3">
      <c r="A70" s="98"/>
      <c r="B70" s="280">
        <v>2024</v>
      </c>
      <c r="C70" s="276"/>
      <c r="D70" s="358"/>
      <c r="E70" s="357"/>
      <c r="F70" s="357"/>
      <c r="G70" s="357"/>
      <c r="H70" s="284"/>
      <c r="I70" s="284"/>
      <c r="J70" s="284"/>
      <c r="K70" s="284"/>
      <c r="L70" s="284"/>
      <c r="M70" s="284"/>
      <c r="N70" s="284"/>
      <c r="O70" s="284"/>
      <c r="P70" s="284"/>
      <c r="Q70" s="284"/>
      <c r="R70" s="284"/>
      <c r="S70" s="284"/>
      <c r="T70" s="284"/>
      <c r="U70" s="284"/>
      <c r="V70" s="284"/>
      <c r="W70" s="98"/>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row>
    <row r="71" spans="1:66" ht="15.6" customHeight="1" x14ac:dyDescent="0.3">
      <c r="A71" s="98"/>
      <c r="B71" s="275">
        <v>2025</v>
      </c>
      <c r="C71" s="276"/>
      <c r="D71" s="358"/>
      <c r="E71" s="357"/>
      <c r="F71" s="357"/>
      <c r="G71" s="357"/>
      <c r="H71" s="284"/>
      <c r="I71" s="284"/>
      <c r="J71" s="284"/>
      <c r="K71" s="284"/>
      <c r="L71" s="284"/>
      <c r="M71" s="284"/>
      <c r="N71" s="284"/>
      <c r="O71" s="284"/>
      <c r="P71" s="284"/>
      <c r="Q71" s="284"/>
      <c r="R71" s="284"/>
      <c r="S71" s="284"/>
      <c r="T71" s="284"/>
      <c r="U71" s="284"/>
      <c r="V71" s="284"/>
      <c r="W71" s="98"/>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row>
    <row r="72" spans="1:66" ht="15.6" customHeight="1" x14ac:dyDescent="0.3">
      <c r="A72" s="98"/>
      <c r="B72" s="280">
        <v>2026</v>
      </c>
      <c r="C72" s="276"/>
      <c r="D72" s="357"/>
      <c r="E72" s="357"/>
      <c r="F72" s="357"/>
      <c r="G72" s="357"/>
      <c r="H72" s="277"/>
      <c r="I72" s="277"/>
      <c r="J72" s="277"/>
      <c r="K72" s="277"/>
      <c r="L72" s="277"/>
      <c r="M72" s="277"/>
      <c r="N72" s="277"/>
      <c r="O72" s="277"/>
      <c r="P72" s="277"/>
      <c r="Q72" s="277"/>
      <c r="R72" s="277"/>
      <c r="S72" s="277"/>
      <c r="T72" s="277"/>
      <c r="U72" s="277"/>
      <c r="V72" s="277"/>
      <c r="W72" s="98"/>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row>
    <row r="73" spans="1:66" ht="12.6" customHeight="1" x14ac:dyDescent="0.3">
      <c r="A73" s="98"/>
      <c r="B73" s="98"/>
      <c r="C73" s="98"/>
      <c r="D73" s="98"/>
      <c r="E73" s="98"/>
      <c r="F73" s="98"/>
      <c r="G73" s="98"/>
      <c r="H73" s="98"/>
      <c r="I73" s="98"/>
      <c r="J73" s="98"/>
      <c r="K73" s="98"/>
      <c r="L73" s="98"/>
      <c r="M73" s="98"/>
      <c r="N73" s="98"/>
      <c r="O73" s="98"/>
      <c r="P73" s="98"/>
      <c r="Q73" s="98"/>
      <c r="R73" s="98"/>
      <c r="S73" s="98"/>
      <c r="T73" s="98"/>
      <c r="U73" s="98"/>
      <c r="V73" s="98"/>
      <c r="W73" s="98"/>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row>
    <row r="74" spans="1:66" ht="12.6" customHeight="1" x14ac:dyDescent="0.3">
      <c r="A74" s="98"/>
      <c r="B74" s="98"/>
      <c r="C74" s="285"/>
      <c r="D74" s="98"/>
      <c r="E74" s="98"/>
      <c r="F74" s="98"/>
      <c r="G74" s="98"/>
      <c r="H74" s="98"/>
      <c r="I74" s="98"/>
      <c r="J74" s="98"/>
      <c r="K74" s="98"/>
      <c r="L74" s="98"/>
      <c r="M74" s="98"/>
      <c r="N74" s="98"/>
      <c r="O74" s="98"/>
      <c r="P74" s="98"/>
      <c r="Q74" s="98"/>
      <c r="R74" s="98"/>
      <c r="S74" s="98"/>
      <c r="T74" s="98"/>
      <c r="U74" s="98"/>
      <c r="V74" s="98"/>
      <c r="W74" s="98"/>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row>
    <row r="75" spans="1:66" ht="12.6" customHeight="1" x14ac:dyDescent="0.3">
      <c r="A75" s="98"/>
      <c r="B75" s="98"/>
      <c r="C75" s="98"/>
      <c r="D75" s="98"/>
      <c r="E75" s="98"/>
      <c r="F75" s="98"/>
      <c r="G75" s="98"/>
      <c r="H75" s="98"/>
      <c r="I75" s="98"/>
      <c r="J75" s="98"/>
      <c r="K75" s="98"/>
      <c r="L75" s="98"/>
      <c r="M75" s="98"/>
      <c r="N75" s="98"/>
      <c r="O75" s="98"/>
      <c r="P75" s="98"/>
      <c r="Q75" s="98"/>
      <c r="R75" s="98"/>
      <c r="S75" s="98"/>
      <c r="T75" s="98"/>
      <c r="U75" s="98"/>
      <c r="V75" s="98"/>
      <c r="W75" s="98"/>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row>
    <row r="76" spans="1:66" ht="18" customHeight="1" x14ac:dyDescent="0.3">
      <c r="A76" s="98"/>
      <c r="B76" s="98"/>
      <c r="C76" s="98"/>
      <c r="D76" s="98"/>
      <c r="E76" s="98"/>
      <c r="F76" s="98"/>
      <c r="G76" s="98"/>
      <c r="H76" s="98"/>
      <c r="I76" s="98"/>
      <c r="J76" s="98"/>
      <c r="K76" s="98"/>
      <c r="L76" s="98"/>
      <c r="M76" s="98"/>
      <c r="N76" s="98"/>
      <c r="O76" s="98"/>
      <c r="P76" s="98"/>
      <c r="Q76" s="98"/>
      <c r="R76" s="98"/>
      <c r="S76" s="98"/>
      <c r="T76" s="98"/>
      <c r="U76" s="98"/>
      <c r="V76" s="98"/>
      <c r="W76" s="98"/>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row>
    <row r="77" spans="1:66" ht="42" customHeight="1" x14ac:dyDescent="0.3">
      <c r="A77" s="98"/>
      <c r="B77" s="356" t="s">
        <v>203</v>
      </c>
      <c r="C77" s="271" t="s">
        <v>202</v>
      </c>
      <c r="D77" s="272" t="s">
        <v>172</v>
      </c>
      <c r="E77" s="272" t="s">
        <v>173</v>
      </c>
      <c r="F77" s="273" t="s">
        <v>174</v>
      </c>
      <c r="G77" s="272" t="s">
        <v>175</v>
      </c>
      <c r="H77" s="98"/>
      <c r="I77" s="98"/>
      <c r="J77" s="98"/>
      <c r="K77" s="98"/>
      <c r="L77" s="98"/>
      <c r="M77" s="98"/>
      <c r="N77" s="98"/>
      <c r="O77" s="98"/>
      <c r="P77" s="98"/>
      <c r="Q77" s="98"/>
      <c r="R77" s="98"/>
      <c r="S77" s="98"/>
      <c r="T77" s="98"/>
      <c r="U77" s="98"/>
      <c r="V77" s="98"/>
      <c r="W77" s="98"/>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row>
    <row r="78" spans="1:66" ht="15.6" customHeight="1" x14ac:dyDescent="0.3">
      <c r="A78" s="98"/>
      <c r="B78" s="275">
        <v>2019</v>
      </c>
      <c r="C78" s="357">
        <f>C65</f>
        <v>18.91373730197807</v>
      </c>
      <c r="D78" s="276"/>
      <c r="E78" s="276"/>
      <c r="F78" s="276"/>
      <c r="G78" s="276"/>
      <c r="H78" s="98"/>
      <c r="I78" s="98"/>
      <c r="J78" s="98"/>
      <c r="K78" s="98"/>
      <c r="L78" s="98"/>
      <c r="M78" s="98"/>
      <c r="N78" s="98"/>
      <c r="O78" s="98"/>
      <c r="P78" s="98"/>
      <c r="Q78" s="98"/>
      <c r="R78" s="98"/>
      <c r="S78" s="98"/>
      <c r="T78" s="98"/>
      <c r="U78" s="98"/>
      <c r="V78" s="98"/>
      <c r="W78" s="98"/>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row>
    <row r="79" spans="1:66" s="1" customFormat="1" ht="15" customHeight="1" x14ac:dyDescent="0.3">
      <c r="A79" s="98"/>
      <c r="B79" s="280">
        <v>2020</v>
      </c>
      <c r="C79" s="357">
        <f>C66</f>
        <v>18.603816477894668</v>
      </c>
      <c r="D79" s="276"/>
      <c r="E79" s="276"/>
      <c r="F79" s="276"/>
      <c r="G79" s="276"/>
      <c r="H79" s="98"/>
      <c r="I79" s="98"/>
      <c r="J79" s="98"/>
      <c r="K79" s="98"/>
      <c r="L79" s="98"/>
      <c r="M79" s="98"/>
      <c r="N79" s="98"/>
      <c r="O79" s="98"/>
      <c r="P79" s="98"/>
      <c r="Q79" s="98"/>
      <c r="R79" s="98"/>
      <c r="S79" s="98"/>
      <c r="T79" s="98"/>
      <c r="U79" s="98"/>
      <c r="V79" s="98"/>
      <c r="W79" s="98"/>
    </row>
    <row r="80" spans="1:66" s="1" customFormat="1" ht="15" customHeight="1" x14ac:dyDescent="0.3">
      <c r="A80" s="98"/>
      <c r="B80" s="275">
        <v>2021</v>
      </c>
      <c r="C80" s="357">
        <f>C67</f>
        <v>18.403332044660022</v>
      </c>
      <c r="D80" s="276"/>
      <c r="E80" s="276"/>
      <c r="F80" s="276"/>
      <c r="G80" s="276"/>
      <c r="H80" s="98"/>
      <c r="I80" s="98"/>
      <c r="J80" s="98"/>
      <c r="K80" s="98"/>
      <c r="L80" s="98"/>
      <c r="M80" s="98"/>
      <c r="N80" s="98"/>
      <c r="O80" s="98"/>
      <c r="P80" s="98"/>
      <c r="Q80" s="98"/>
      <c r="R80" s="98"/>
      <c r="S80" s="98"/>
      <c r="T80" s="98"/>
      <c r="U80" s="98"/>
      <c r="V80" s="98"/>
      <c r="W80" s="98"/>
    </row>
    <row r="81" spans="1:23" s="1" customFormat="1" ht="15" customHeight="1" x14ac:dyDescent="0.3">
      <c r="A81" s="98"/>
      <c r="B81" s="280">
        <v>2022</v>
      </c>
      <c r="C81" s="357">
        <f>C68</f>
        <v>18.332145635939636</v>
      </c>
      <c r="D81" s="276"/>
      <c r="E81" s="276"/>
      <c r="F81" s="276"/>
      <c r="G81" s="276"/>
      <c r="H81" s="98"/>
      <c r="I81" s="98"/>
      <c r="J81" s="98"/>
      <c r="K81" s="98"/>
      <c r="L81" s="98"/>
      <c r="M81" s="98"/>
      <c r="N81" s="98"/>
      <c r="O81" s="98"/>
      <c r="P81" s="98"/>
      <c r="Q81" s="98"/>
      <c r="R81" s="98"/>
      <c r="S81" s="98"/>
      <c r="T81" s="98"/>
      <c r="U81" s="98"/>
      <c r="V81" s="98"/>
      <c r="W81" s="98"/>
    </row>
    <row r="82" spans="1:23" s="1" customFormat="1" ht="15" customHeight="1" x14ac:dyDescent="0.3">
      <c r="A82" s="98"/>
      <c r="B82" s="275">
        <v>2023</v>
      </c>
      <c r="C82" s="357">
        <f>C69</f>
        <v>19.228975648457421</v>
      </c>
      <c r="D82" s="357">
        <f>D69</f>
        <v>19.867188458137914</v>
      </c>
      <c r="E82" s="357">
        <f>E69</f>
        <v>18.72331997753987</v>
      </c>
      <c r="F82" s="357">
        <f>F69</f>
        <v>18.247219483065855</v>
      </c>
      <c r="G82" s="357">
        <f>G69</f>
        <v>17.472511992234921</v>
      </c>
      <c r="H82" s="98"/>
      <c r="I82" s="98"/>
      <c r="J82" s="98"/>
      <c r="K82" s="98"/>
      <c r="L82" s="98"/>
      <c r="M82" s="98"/>
      <c r="N82" s="98"/>
      <c r="O82" s="98"/>
      <c r="P82" s="98"/>
      <c r="Q82" s="98"/>
      <c r="R82" s="98"/>
      <c r="S82" s="98"/>
      <c r="T82" s="98"/>
      <c r="U82" s="98"/>
      <c r="V82" s="98"/>
      <c r="W82" s="98"/>
    </row>
    <row r="83" spans="1:23" s="1" customFormat="1" ht="15" customHeight="1" x14ac:dyDescent="0.3">
      <c r="A83" s="98"/>
      <c r="B83" s="280">
        <v>2024</v>
      </c>
      <c r="C83" s="357"/>
      <c r="D83" s="358"/>
      <c r="E83" s="358"/>
      <c r="F83" s="358"/>
      <c r="G83" s="358"/>
      <c r="H83" s="98"/>
      <c r="I83" s="98"/>
      <c r="J83" s="98"/>
      <c r="K83" s="98"/>
      <c r="L83" s="98"/>
      <c r="M83" s="98"/>
      <c r="N83" s="98"/>
      <c r="O83" s="98"/>
      <c r="P83" s="98"/>
      <c r="Q83" s="98"/>
      <c r="R83" s="98"/>
      <c r="S83" s="98"/>
      <c r="T83" s="98"/>
      <c r="U83" s="98"/>
      <c r="V83" s="98"/>
      <c r="W83" s="98"/>
    </row>
    <row r="84" spans="1:23" s="1" customFormat="1" ht="15" customHeight="1" x14ac:dyDescent="0.3">
      <c r="A84" s="98"/>
      <c r="B84" s="275">
        <v>2025</v>
      </c>
      <c r="C84" s="357"/>
      <c r="D84" s="358"/>
      <c r="E84" s="358"/>
      <c r="F84" s="358"/>
      <c r="G84" s="358"/>
      <c r="H84" s="98"/>
      <c r="I84" s="98"/>
      <c r="J84" s="98"/>
      <c r="K84" s="98"/>
      <c r="L84" s="98"/>
      <c r="M84" s="98"/>
      <c r="N84" s="98"/>
      <c r="O84" s="98"/>
      <c r="P84" s="98"/>
      <c r="Q84" s="98"/>
      <c r="R84" s="98"/>
      <c r="S84" s="98"/>
      <c r="T84" s="98"/>
      <c r="U84" s="98"/>
      <c r="V84" s="98"/>
      <c r="W84" s="98"/>
    </row>
    <row r="85" spans="1:23" s="1" customFormat="1" ht="15" customHeight="1" x14ac:dyDescent="0.3">
      <c r="A85" s="98"/>
      <c r="B85" s="280">
        <v>2026</v>
      </c>
      <c r="C85" s="357"/>
      <c r="D85" s="357"/>
      <c r="E85" s="357"/>
      <c r="F85" s="357"/>
      <c r="G85" s="357"/>
      <c r="H85" s="98"/>
      <c r="I85" s="98"/>
      <c r="J85" s="98"/>
      <c r="K85" s="98"/>
      <c r="L85" s="98"/>
      <c r="M85" s="98"/>
      <c r="N85" s="98"/>
      <c r="O85" s="98"/>
      <c r="P85" s="98"/>
      <c r="Q85" s="98"/>
      <c r="R85" s="98"/>
      <c r="S85" s="98"/>
      <c r="T85" s="98"/>
      <c r="U85" s="98"/>
      <c r="V85" s="98"/>
      <c r="W85" s="98"/>
    </row>
    <row r="86" spans="1:23" s="1" customFormat="1" ht="12.6" customHeight="1" x14ac:dyDescent="0.3">
      <c r="A86" s="98"/>
      <c r="B86" s="98"/>
      <c r="C86" s="98"/>
      <c r="D86" s="285"/>
      <c r="E86" s="98"/>
      <c r="F86" s="98"/>
      <c r="G86" s="98"/>
      <c r="H86" s="98"/>
      <c r="I86" s="98"/>
      <c r="J86" s="98"/>
      <c r="K86" s="98"/>
      <c r="L86" s="98"/>
      <c r="M86" s="98"/>
      <c r="N86" s="98"/>
      <c r="O86" s="98"/>
      <c r="P86" s="98"/>
      <c r="Q86" s="98"/>
      <c r="R86" s="98"/>
      <c r="S86" s="98"/>
      <c r="T86" s="98"/>
      <c r="U86" s="98"/>
      <c r="V86" s="98"/>
      <c r="W86" s="98"/>
    </row>
    <row r="87" spans="1:23" s="1" customFormat="1" ht="12.6" customHeight="1" x14ac:dyDescent="0.3">
      <c r="A87" s="98"/>
      <c r="B87" s="98"/>
      <c r="C87" s="98"/>
      <c r="D87" s="98"/>
      <c r="E87" s="98"/>
      <c r="F87" s="98"/>
      <c r="G87" s="98"/>
      <c r="H87" s="98"/>
      <c r="I87" s="98"/>
      <c r="J87" s="98"/>
      <c r="K87" s="98"/>
      <c r="L87" s="98"/>
      <c r="M87" s="98"/>
      <c r="N87" s="98"/>
      <c r="O87" s="98"/>
      <c r="P87" s="98"/>
      <c r="Q87" s="98"/>
      <c r="R87" s="98"/>
      <c r="S87" s="98"/>
      <c r="T87" s="98"/>
      <c r="U87" s="98"/>
      <c r="V87" s="98"/>
      <c r="W87" s="98"/>
    </row>
    <row r="88" spans="1:23" s="1" customFormat="1" ht="12.6" customHeight="1" x14ac:dyDescent="0.3">
      <c r="A88" s="98"/>
      <c r="B88" s="98"/>
      <c r="C88" s="98"/>
      <c r="D88" s="98"/>
      <c r="E88" s="98"/>
      <c r="F88" s="98"/>
      <c r="G88" s="98"/>
      <c r="H88" s="98"/>
      <c r="I88" s="98"/>
      <c r="J88" s="98"/>
      <c r="K88" s="98"/>
      <c r="L88" s="98"/>
      <c r="M88" s="98"/>
      <c r="N88" s="98"/>
      <c r="O88" s="98"/>
      <c r="P88" s="98"/>
      <c r="Q88" s="98"/>
      <c r="R88" s="98"/>
      <c r="S88" s="98"/>
      <c r="T88" s="98"/>
      <c r="U88" s="98"/>
      <c r="V88" s="98"/>
      <c r="W88" s="98"/>
    </row>
    <row r="89" spans="1:23" s="1" customFormat="1" ht="12.6" customHeight="1" x14ac:dyDescent="0.3"/>
    <row r="90" spans="1:23" s="1" customFormat="1" ht="12.6" customHeight="1" x14ac:dyDescent="0.3"/>
    <row r="91" spans="1:23" s="1" customFormat="1" x14ac:dyDescent="0.3"/>
    <row r="92" spans="1:23" s="1" customFormat="1" x14ac:dyDescent="0.3"/>
    <row r="93" spans="1:23" s="1" customFormat="1" x14ac:dyDescent="0.3"/>
    <row r="94" spans="1:23" s="1" customFormat="1" x14ac:dyDescent="0.3"/>
    <row r="95" spans="1:23" s="1" customFormat="1" x14ac:dyDescent="0.3"/>
    <row r="96" spans="1:23" s="1" customFormat="1" x14ac:dyDescent="0.3"/>
    <row r="97" s="1" customFormat="1" x14ac:dyDescent="0.3"/>
    <row r="98" s="1" customFormat="1" x14ac:dyDescent="0.3"/>
    <row r="99" s="1" customFormat="1" x14ac:dyDescent="0.3"/>
    <row r="100" s="1" customFormat="1" x14ac:dyDescent="0.3"/>
    <row r="101" s="1" customFormat="1" x14ac:dyDescent="0.3"/>
    <row r="102" s="1" customFormat="1" x14ac:dyDescent="0.3"/>
    <row r="103" s="1" customFormat="1" x14ac:dyDescent="0.3"/>
    <row r="104" s="1" customFormat="1" x14ac:dyDescent="0.3"/>
    <row r="105" s="1" customFormat="1" x14ac:dyDescent="0.3"/>
    <row r="106" s="1" customFormat="1" x14ac:dyDescent="0.3"/>
    <row r="107" s="1" customFormat="1" x14ac:dyDescent="0.3"/>
    <row r="108" s="1" customFormat="1" x14ac:dyDescent="0.3"/>
    <row r="109" s="1" customFormat="1" x14ac:dyDescent="0.3"/>
    <row r="110" s="1" customFormat="1" x14ac:dyDescent="0.3"/>
    <row r="111" s="1" customFormat="1" x14ac:dyDescent="0.3"/>
    <row r="112" s="1" customFormat="1" x14ac:dyDescent="0.3"/>
    <row r="113" s="1" customFormat="1" x14ac:dyDescent="0.3"/>
    <row r="114" s="1" customFormat="1" x14ac:dyDescent="0.3"/>
    <row r="115" s="1" customFormat="1" x14ac:dyDescent="0.3"/>
    <row r="116" s="1" customFormat="1" x14ac:dyDescent="0.3"/>
    <row r="117" s="1" customFormat="1" x14ac:dyDescent="0.3"/>
    <row r="118" s="1" customFormat="1" x14ac:dyDescent="0.3"/>
    <row r="119" s="1" customFormat="1" x14ac:dyDescent="0.3"/>
    <row r="120" s="1" customFormat="1" x14ac:dyDescent="0.3"/>
    <row r="121" s="1" customFormat="1" x14ac:dyDescent="0.3"/>
  </sheetData>
  <pageMargins left="0.7" right="0.7" top="0.75" bottom="0.75" header="0.3" footer="0.3"/>
  <pageSetup paperSize="9" orientation="portrait" r:id="rId1"/>
  <drawing r:id="rId2"/>
  <legacyDrawing r:id="rId3"/>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286D0-F0C6-423D-B924-B91C379250ED}">
  <dimension ref="A1:FQ27"/>
  <sheetViews>
    <sheetView zoomScale="85" zoomScaleNormal="85" workbookViewId="0">
      <selection activeCell="D8" sqref="D8"/>
    </sheetView>
  </sheetViews>
  <sheetFormatPr baseColWidth="10" defaultColWidth="8.6640625" defaultRowHeight="14.4" x14ac:dyDescent="0.3"/>
  <cols>
    <col min="1" max="1" width="4.33203125" customWidth="1"/>
    <col min="3" max="3" width="15.6640625" customWidth="1"/>
    <col min="4" max="7" width="14.5546875" customWidth="1"/>
    <col min="8" max="15" width="18" customWidth="1"/>
    <col min="16" max="17" width="18.6640625" customWidth="1"/>
    <col min="18" max="18" width="15.33203125" customWidth="1"/>
    <col min="19" max="22" width="18" customWidth="1"/>
    <col min="23" max="31" width="14.6640625" customWidth="1"/>
    <col min="32" max="32" width="15.33203125" customWidth="1"/>
    <col min="33" max="33" width="14.6640625" customWidth="1"/>
    <col min="34" max="41" width="13.5546875" customWidth="1"/>
    <col min="42" max="42" width="15.5546875" customWidth="1"/>
    <col min="43" max="43" width="13" customWidth="1"/>
    <col min="44" max="44" width="11.33203125" customWidth="1"/>
    <col min="45" max="45" width="12.33203125" customWidth="1"/>
    <col min="46" max="50" width="11.33203125" customWidth="1"/>
    <col min="51" max="51" width="13.44140625" customWidth="1"/>
    <col min="56" max="56" width="9.6640625" customWidth="1"/>
    <col min="60" max="60" width="16.44140625" customWidth="1"/>
    <col min="61" max="61" width="16.33203125" customWidth="1"/>
    <col min="62" max="63" width="15.33203125" customWidth="1"/>
    <col min="68" max="68" width="11.44140625" bestFit="1" customWidth="1"/>
    <col min="69" max="69" width="13.5546875" customWidth="1"/>
    <col min="70" max="70" width="13.6640625" customWidth="1"/>
    <col min="71" max="71" width="12.44140625" customWidth="1"/>
    <col min="72" max="77" width="12.6640625" customWidth="1"/>
    <col min="78" max="80" width="11.33203125" customWidth="1"/>
    <col min="81" max="85" width="11.6640625" hidden="1" customWidth="1"/>
    <col min="86" max="86" width="13.33203125" hidden="1" customWidth="1"/>
    <col min="87" max="88" width="11.6640625" hidden="1" customWidth="1"/>
    <col min="89" max="94" width="12.6640625" customWidth="1"/>
    <col min="95" max="96" width="11.33203125" customWidth="1"/>
    <col min="97" max="104" width="11.6640625" customWidth="1"/>
    <col min="105" max="108" width="13.44140625" customWidth="1"/>
    <col min="110" max="130" width="0.5546875" customWidth="1"/>
    <col min="131" max="132" width="15.5546875" customWidth="1"/>
    <col min="133" max="133" width="15.33203125" customWidth="1"/>
    <col min="134" max="134" width="14.5546875" customWidth="1"/>
    <col min="135" max="135" width="16.5546875" customWidth="1"/>
    <col min="136" max="138" width="18" customWidth="1"/>
    <col min="139" max="142" width="15.33203125" customWidth="1"/>
    <col min="143" max="143" width="11" customWidth="1"/>
    <col min="144" max="145" width="16" customWidth="1"/>
    <col min="146" max="146" width="9.33203125" customWidth="1"/>
    <col min="147" max="150" width="17" customWidth="1"/>
    <col min="153" max="153" width="10.6640625" customWidth="1"/>
    <col min="156" max="157" width="11.33203125" customWidth="1"/>
    <col min="158" max="161" width="9.6640625" customWidth="1"/>
    <col min="162" max="165" width="11.5546875" customWidth="1"/>
  </cols>
  <sheetData>
    <row r="1" spans="1:173" ht="15" thickBot="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ht="18" customHeight="1" thickBot="1" x14ac:dyDescent="0.35">
      <c r="A2" s="1"/>
      <c r="B2" s="2" t="s">
        <v>579</v>
      </c>
      <c r="C2" s="3"/>
      <c r="D2" s="3"/>
      <c r="E2" s="3"/>
      <c r="F2" s="3"/>
      <c r="G2" s="3"/>
      <c r="H2" s="4"/>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18" customHeight="1" x14ac:dyDescent="0.3">
      <c r="A3" s="1"/>
      <c r="B3" s="5" t="s">
        <v>0</v>
      </c>
      <c r="C3" s="6"/>
      <c r="D3" s="6"/>
      <c r="E3" s="6"/>
      <c r="F3" s="6"/>
      <c r="G3" s="6"/>
      <c r="H3" s="7"/>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18" customHeight="1" x14ac:dyDescent="0.3">
      <c r="A4" s="1"/>
      <c r="B4" s="8" t="s">
        <v>1</v>
      </c>
      <c r="C4" s="9"/>
      <c r="D4" s="9"/>
      <c r="E4" s="9"/>
      <c r="F4" s="9"/>
      <c r="G4" s="9"/>
      <c r="H4" s="10"/>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12.6" customHeight="1" x14ac:dyDescent="0.3">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row>
    <row r="6" spans="1:173" ht="12.6" customHeight="1" x14ac:dyDescent="0.3">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row>
    <row r="7" spans="1:173" ht="12.6" customHeight="1" x14ac:dyDescent="0.3">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c r="EU7" s="1"/>
      <c r="EV7" s="1"/>
      <c r="EW7" s="1"/>
      <c r="EX7" s="1"/>
      <c r="EY7" s="1"/>
      <c r="EZ7" s="1"/>
      <c r="FA7" s="1"/>
      <c r="FB7" s="1"/>
      <c r="FC7" s="1"/>
      <c r="FD7" s="1"/>
      <c r="FE7" s="1"/>
      <c r="FF7" s="1"/>
      <c r="FG7" s="1"/>
      <c r="FH7" s="1"/>
      <c r="FI7" s="1"/>
      <c r="FJ7" s="1"/>
      <c r="FK7" s="1"/>
      <c r="FL7" s="1"/>
      <c r="FM7" s="1"/>
      <c r="FN7" s="1"/>
      <c r="FO7" s="1"/>
      <c r="FP7" s="1"/>
      <c r="FQ7" s="1"/>
    </row>
    <row r="8" spans="1:173" ht="17.7" customHeight="1" x14ac:dyDescent="0.3">
      <c r="A8" s="1"/>
      <c r="B8" s="11" t="s">
        <v>2</v>
      </c>
      <c r="C8" s="12" t="s">
        <v>238</v>
      </c>
      <c r="D8" s="12" t="s">
        <v>239</v>
      </c>
      <c r="E8" s="124" t="s">
        <v>5</v>
      </c>
      <c r="F8" s="125"/>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56"/>
      <c r="CD8" s="56"/>
      <c r="CE8" s="56"/>
      <c r="CF8" s="56"/>
      <c r="CG8" s="56"/>
      <c r="CH8" s="56"/>
      <c r="CI8" s="56"/>
      <c r="CJ8" s="56"/>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row>
    <row r="9" spans="1:173" ht="10.35" customHeight="1" x14ac:dyDescent="0.3">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56"/>
      <c r="CD9" s="56"/>
      <c r="CE9" s="56"/>
      <c r="CF9" s="56"/>
      <c r="CG9" s="56"/>
      <c r="CH9" s="56"/>
      <c r="CI9" s="56"/>
      <c r="CJ9" s="56"/>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row>
    <row r="10" spans="1:173" x14ac:dyDescent="0.3">
      <c r="A10" s="1"/>
      <c r="B10" s="1"/>
      <c r="C10" s="13" t="s">
        <v>6</v>
      </c>
      <c r="D10" s="14"/>
      <c r="E10" s="14"/>
      <c r="F10" s="14"/>
      <c r="G10" s="14"/>
      <c r="H10" s="14"/>
      <c r="I10" s="14"/>
      <c r="J10" s="14"/>
      <c r="K10" s="14"/>
      <c r="L10" s="14"/>
      <c r="M10" s="14"/>
      <c r="N10" s="14"/>
      <c r="O10" s="14"/>
      <c r="P10" s="15" t="s">
        <v>580</v>
      </c>
      <c r="Q10" s="16"/>
      <c r="R10" s="16"/>
      <c r="S10" s="16"/>
      <c r="T10" s="16"/>
      <c r="U10" s="16"/>
      <c r="V10" s="16"/>
      <c r="W10" s="13" t="s">
        <v>628</v>
      </c>
      <c r="X10" s="17"/>
      <c r="Y10" s="17"/>
      <c r="Z10" s="17"/>
      <c r="AA10" s="17"/>
      <c r="AB10" s="17"/>
      <c r="AC10" s="17"/>
      <c r="AD10" s="13" t="s">
        <v>629</v>
      </c>
      <c r="AE10" s="17"/>
      <c r="AF10" s="17"/>
      <c r="AG10" s="18"/>
      <c r="AH10" s="19" t="s">
        <v>630</v>
      </c>
      <c r="AI10" s="20"/>
      <c r="AJ10" s="16"/>
      <c r="AK10" s="16"/>
      <c r="AL10" s="16"/>
      <c r="AM10" s="16"/>
      <c r="AN10" s="16"/>
      <c r="AO10" s="16"/>
      <c r="AP10" s="21"/>
      <c r="AQ10" s="19" t="s">
        <v>9</v>
      </c>
      <c r="AR10" s="16"/>
      <c r="AS10" s="16"/>
      <c r="AT10" s="16"/>
      <c r="AU10" s="16"/>
      <c r="AV10" s="16"/>
      <c r="AW10" s="16"/>
      <c r="AX10" s="16"/>
      <c r="AY10" s="21"/>
      <c r="AZ10" s="22" t="s">
        <v>10</v>
      </c>
      <c r="BA10" s="23"/>
      <c r="BB10" s="23"/>
      <c r="BC10" s="23"/>
      <c r="BD10" s="23"/>
      <c r="BE10" s="23"/>
      <c r="BF10" s="23"/>
      <c r="BG10" s="23"/>
      <c r="BH10" s="23"/>
      <c r="BI10" s="23"/>
      <c r="BJ10" s="23"/>
      <c r="BK10" s="23"/>
      <c r="BL10" s="23"/>
      <c r="BM10" s="23"/>
      <c r="BN10" s="23"/>
      <c r="BO10" s="23"/>
      <c r="BP10" s="23"/>
      <c r="BQ10" s="23"/>
      <c r="BR10" s="24"/>
      <c r="BS10" s="11"/>
      <c r="BT10" s="19"/>
      <c r="BU10" s="16"/>
      <c r="BV10" s="16"/>
      <c r="BW10" s="16"/>
      <c r="BX10" s="16"/>
      <c r="BY10" s="16"/>
      <c r="BZ10" s="16"/>
      <c r="CA10" s="16"/>
      <c r="CB10" s="16"/>
      <c r="CC10" s="58" t="s">
        <v>12</v>
      </c>
      <c r="CD10" s="59"/>
      <c r="CE10" s="59"/>
      <c r="CF10" s="59"/>
      <c r="CG10" s="59"/>
      <c r="CH10" s="59"/>
      <c r="CI10" s="59"/>
      <c r="CJ10" s="59"/>
      <c r="CK10" s="19" t="s">
        <v>581</v>
      </c>
      <c r="CL10" s="16"/>
      <c r="CM10" s="16"/>
      <c r="CN10" s="16"/>
      <c r="CO10" s="16"/>
      <c r="CP10" s="16"/>
      <c r="CQ10" s="16"/>
      <c r="CR10" s="16"/>
      <c r="CS10" s="19" t="s">
        <v>582</v>
      </c>
      <c r="CT10" s="127"/>
      <c r="CU10" s="59"/>
      <c r="CV10" s="59"/>
      <c r="CW10" s="59"/>
      <c r="CX10" s="59"/>
      <c r="CY10" s="59"/>
      <c r="CZ10" s="59"/>
      <c r="DA10" s="15" t="s">
        <v>15</v>
      </c>
      <c r="DB10" s="60"/>
      <c r="DC10" s="60"/>
      <c r="DD10" s="8" t="s">
        <v>16</v>
      </c>
      <c r="DE10" s="10"/>
      <c r="DF10" s="1"/>
      <c r="DG10" s="1"/>
      <c r="DH10" s="1"/>
      <c r="DI10" s="1"/>
      <c r="DJ10" s="1"/>
      <c r="DK10" s="1"/>
      <c r="DL10" s="1"/>
      <c r="DM10" s="1"/>
      <c r="DN10" s="1"/>
      <c r="DO10" s="1"/>
      <c r="DP10" s="1"/>
      <c r="DQ10" s="1"/>
      <c r="DR10" s="1"/>
      <c r="DS10" s="1"/>
      <c r="DT10" s="1"/>
      <c r="DU10" s="1"/>
      <c r="DV10" s="1"/>
      <c r="DW10" s="1"/>
      <c r="DX10" s="1"/>
      <c r="DY10" s="1"/>
      <c r="DZ10" s="1"/>
      <c r="EA10" s="13" t="s">
        <v>17</v>
      </c>
      <c r="EB10" s="14"/>
      <c r="EC10" s="14"/>
      <c r="ED10" s="14"/>
      <c r="EE10" s="14"/>
      <c r="EF10" s="14"/>
      <c r="EG10" s="14"/>
      <c r="EH10" s="14"/>
      <c r="EI10" s="14"/>
      <c r="EJ10" s="14"/>
      <c r="EK10" s="14"/>
      <c r="EL10" s="14"/>
      <c r="EM10" s="14"/>
      <c r="EN10" s="15" t="s">
        <v>583</v>
      </c>
      <c r="EO10" s="16"/>
      <c r="EP10" s="16"/>
      <c r="EQ10" s="16"/>
      <c r="ER10" s="16"/>
      <c r="ES10" s="16"/>
      <c r="ET10" s="16"/>
      <c r="EU10" s="16"/>
      <c r="EV10" s="13" t="s">
        <v>631</v>
      </c>
      <c r="EW10" s="14"/>
      <c r="EX10" s="14"/>
      <c r="EY10" s="61"/>
      <c r="EZ10" s="62" t="s">
        <v>19</v>
      </c>
      <c r="FA10" s="10"/>
      <c r="FB10" s="14" t="s">
        <v>632</v>
      </c>
      <c r="FC10" s="17"/>
      <c r="FD10" s="17"/>
      <c r="FE10" s="17"/>
      <c r="FF10" s="17"/>
      <c r="FG10" s="17"/>
      <c r="FH10" s="17"/>
      <c r="FI10" s="18"/>
      <c r="FJ10" s="1"/>
      <c r="FK10" s="1"/>
      <c r="FL10" s="1"/>
      <c r="FM10" s="1"/>
      <c r="FN10" s="1"/>
      <c r="FO10" s="1"/>
      <c r="FP10" s="1"/>
      <c r="FQ10" s="1"/>
    </row>
    <row r="11" spans="1:173" ht="78.75" customHeight="1" x14ac:dyDescent="0.3">
      <c r="A11" s="1"/>
      <c r="B11" s="25" t="s">
        <v>20</v>
      </c>
      <c r="C11" s="26" t="s">
        <v>21</v>
      </c>
      <c r="D11" s="27" t="s">
        <v>22</v>
      </c>
      <c r="E11" s="27" t="s">
        <v>23</v>
      </c>
      <c r="F11" s="27" t="s">
        <v>24</v>
      </c>
      <c r="G11" s="27" t="s">
        <v>36</v>
      </c>
      <c r="H11" s="27" t="s">
        <v>26</v>
      </c>
      <c r="I11" s="27" t="s">
        <v>27</v>
      </c>
      <c r="J11" s="121"/>
      <c r="K11" s="27" t="s">
        <v>29</v>
      </c>
      <c r="L11" s="27" t="s">
        <v>30</v>
      </c>
      <c r="M11" s="27" t="s">
        <v>31</v>
      </c>
      <c r="N11" s="27" t="s">
        <v>32</v>
      </c>
      <c r="O11" s="27" t="s">
        <v>33</v>
      </c>
      <c r="P11" s="26" t="s">
        <v>21</v>
      </c>
      <c r="Q11" s="27" t="s">
        <v>22</v>
      </c>
      <c r="R11" s="27" t="s">
        <v>34</v>
      </c>
      <c r="S11" s="27" t="s">
        <v>29</v>
      </c>
      <c r="T11" s="27" t="s">
        <v>30</v>
      </c>
      <c r="U11" s="27" t="s">
        <v>31</v>
      </c>
      <c r="V11" s="27" t="s">
        <v>32</v>
      </c>
      <c r="W11" s="27" t="s">
        <v>22</v>
      </c>
      <c r="X11" s="27" t="s">
        <v>23</v>
      </c>
      <c r="Y11" s="27" t="s">
        <v>35</v>
      </c>
      <c r="Z11" s="27" t="s">
        <v>36</v>
      </c>
      <c r="AA11" s="27" t="s">
        <v>26</v>
      </c>
      <c r="AB11" s="27" t="s">
        <v>27</v>
      </c>
      <c r="AC11" s="27" t="s">
        <v>28</v>
      </c>
      <c r="AD11" s="27" t="s">
        <v>29</v>
      </c>
      <c r="AE11" s="27" t="s">
        <v>30</v>
      </c>
      <c r="AF11" s="27" t="s">
        <v>31</v>
      </c>
      <c r="AG11" s="27" t="s">
        <v>32</v>
      </c>
      <c r="AH11" s="27" t="s">
        <v>37</v>
      </c>
      <c r="AI11" s="27" t="s">
        <v>38</v>
      </c>
      <c r="AJ11" s="27" t="s">
        <v>39</v>
      </c>
      <c r="AK11" s="27" t="s">
        <v>40</v>
      </c>
      <c r="AL11" s="27" t="s">
        <v>41</v>
      </c>
      <c r="AM11" s="27" t="s">
        <v>42</v>
      </c>
      <c r="AN11" s="121" t="s">
        <v>43</v>
      </c>
      <c r="AO11" s="27" t="s">
        <v>44</v>
      </c>
      <c r="AP11" s="27" t="s">
        <v>45</v>
      </c>
      <c r="AQ11" s="27" t="s">
        <v>37</v>
      </c>
      <c r="AR11" s="27" t="s">
        <v>38</v>
      </c>
      <c r="AS11" s="27" t="s">
        <v>39</v>
      </c>
      <c r="AT11" s="27" t="s">
        <v>40</v>
      </c>
      <c r="AU11" s="27" t="s">
        <v>41</v>
      </c>
      <c r="AV11" s="27" t="s">
        <v>42</v>
      </c>
      <c r="AW11" s="121"/>
      <c r="AX11" s="27" t="s">
        <v>44</v>
      </c>
      <c r="AY11" s="27" t="s">
        <v>45</v>
      </c>
      <c r="AZ11" s="27" t="s">
        <v>633</v>
      </c>
      <c r="BA11" s="27" t="s">
        <v>634</v>
      </c>
      <c r="BB11" s="27" t="s">
        <v>635</v>
      </c>
      <c r="BC11" s="27" t="s">
        <v>636</v>
      </c>
      <c r="BD11" s="27" t="s">
        <v>46</v>
      </c>
      <c r="BE11" s="27" t="s">
        <v>47</v>
      </c>
      <c r="BF11" s="27" t="s">
        <v>48</v>
      </c>
      <c r="BG11" s="27" t="s">
        <v>49</v>
      </c>
      <c r="BH11" s="27" t="s">
        <v>50</v>
      </c>
      <c r="BI11" s="27" t="s">
        <v>51</v>
      </c>
      <c r="BJ11" s="27" t="s">
        <v>52</v>
      </c>
      <c r="BK11" s="27" t="s">
        <v>53</v>
      </c>
      <c r="BL11" s="27" t="s">
        <v>54</v>
      </c>
      <c r="BM11" s="27" t="s">
        <v>55</v>
      </c>
      <c r="BN11" s="27" t="s">
        <v>56</v>
      </c>
      <c r="BO11" s="27" t="s">
        <v>57</v>
      </c>
      <c r="BP11" s="27" t="s">
        <v>637</v>
      </c>
      <c r="BQ11" s="27" t="s">
        <v>638</v>
      </c>
      <c r="BR11" s="27" t="s">
        <v>273</v>
      </c>
      <c r="BS11" s="27" t="s">
        <v>584</v>
      </c>
      <c r="BT11" s="27"/>
      <c r="BU11" s="27"/>
      <c r="BV11" s="27"/>
      <c r="BW11" s="27"/>
      <c r="BX11" s="27"/>
      <c r="BY11" s="27"/>
      <c r="BZ11" s="27"/>
      <c r="CA11" s="27"/>
      <c r="CB11" s="27"/>
      <c r="CC11" s="63" t="s">
        <v>68</v>
      </c>
      <c r="CD11" s="63" t="s">
        <v>69</v>
      </c>
      <c r="CE11" s="63" t="s">
        <v>70</v>
      </c>
      <c r="CF11" s="63" t="s">
        <v>71</v>
      </c>
      <c r="CG11" s="63" t="s">
        <v>72</v>
      </c>
      <c r="CH11" s="63" t="s">
        <v>73</v>
      </c>
      <c r="CI11" s="63" t="s">
        <v>74</v>
      </c>
      <c r="CJ11" s="63" t="s">
        <v>75</v>
      </c>
      <c r="CK11" s="27" t="s">
        <v>585</v>
      </c>
      <c r="CL11" s="27" t="s">
        <v>586</v>
      </c>
      <c r="CM11" s="27" t="s">
        <v>587</v>
      </c>
      <c r="CN11" s="27" t="s">
        <v>588</v>
      </c>
      <c r="CO11" s="27" t="s">
        <v>80</v>
      </c>
      <c r="CP11" s="27" t="s">
        <v>81</v>
      </c>
      <c r="CQ11" s="27" t="s">
        <v>82</v>
      </c>
      <c r="CR11" s="27" t="s">
        <v>589</v>
      </c>
      <c r="CS11" s="128" t="s">
        <v>590</v>
      </c>
      <c r="CT11" s="128" t="s">
        <v>591</v>
      </c>
      <c r="CU11" s="128" t="s">
        <v>592</v>
      </c>
      <c r="CV11" s="128" t="s">
        <v>593</v>
      </c>
      <c r="CW11" s="128" t="s">
        <v>88</v>
      </c>
      <c r="CX11" s="128" t="s">
        <v>89</v>
      </c>
      <c r="CY11" s="128" t="s">
        <v>90</v>
      </c>
      <c r="CZ11" s="128" t="s">
        <v>91</v>
      </c>
      <c r="DA11" s="64" t="s">
        <v>92</v>
      </c>
      <c r="DB11" s="64" t="s">
        <v>93</v>
      </c>
      <c r="DC11" s="64" t="s">
        <v>94</v>
      </c>
      <c r="DD11" s="64" t="s">
        <v>95</v>
      </c>
      <c r="DE11" s="64" t="s">
        <v>96</v>
      </c>
      <c r="DF11" s="1"/>
      <c r="DG11" s="1"/>
      <c r="DH11" s="1"/>
      <c r="DI11" s="1"/>
      <c r="DJ11" s="1"/>
      <c r="DK11" s="1"/>
      <c r="DL11" s="1"/>
      <c r="DM11" s="1"/>
      <c r="DN11" s="1"/>
      <c r="DO11" s="1"/>
      <c r="DP11" s="1"/>
      <c r="DQ11" s="1"/>
      <c r="DR11" s="1"/>
      <c r="DS11" s="1"/>
      <c r="DT11" s="1"/>
      <c r="DU11" s="1"/>
      <c r="DV11" s="1"/>
      <c r="DW11" s="1"/>
      <c r="DX11" s="1"/>
      <c r="DY11" s="1"/>
      <c r="DZ11" s="1"/>
      <c r="EA11" s="26" t="s">
        <v>97</v>
      </c>
      <c r="EB11" s="27" t="s">
        <v>98</v>
      </c>
      <c r="EC11" s="27" t="s">
        <v>99</v>
      </c>
      <c r="ED11" s="27" t="s">
        <v>100</v>
      </c>
      <c r="EE11" s="27" t="s">
        <v>101</v>
      </c>
      <c r="EF11" s="27" t="s">
        <v>102</v>
      </c>
      <c r="EG11" s="27" t="s">
        <v>103</v>
      </c>
      <c r="EH11" s="121"/>
      <c r="EI11" s="27" t="s">
        <v>104</v>
      </c>
      <c r="EJ11" s="27" t="s">
        <v>105</v>
      </c>
      <c r="EK11" s="27" t="s">
        <v>106</v>
      </c>
      <c r="EL11" s="27" t="s">
        <v>107</v>
      </c>
      <c r="EM11" s="27" t="s">
        <v>33</v>
      </c>
      <c r="EN11" s="27" t="s">
        <v>97</v>
      </c>
      <c r="EO11" s="27" t="s">
        <v>98</v>
      </c>
      <c r="EP11" s="27" t="s">
        <v>108</v>
      </c>
      <c r="EQ11" s="27" t="s">
        <v>104</v>
      </c>
      <c r="ER11" s="27" t="s">
        <v>105</v>
      </c>
      <c r="ES11" s="27" t="s">
        <v>106</v>
      </c>
      <c r="ET11" s="27" t="s">
        <v>107</v>
      </c>
      <c r="EU11" s="27" t="s">
        <v>594</v>
      </c>
      <c r="EV11" s="64" t="s">
        <v>639</v>
      </c>
      <c r="EW11" s="27" t="s">
        <v>99</v>
      </c>
      <c r="EX11" s="64" t="s">
        <v>110</v>
      </c>
      <c r="EY11" s="64" t="s">
        <v>640</v>
      </c>
      <c r="EZ11" s="64" t="s">
        <v>111</v>
      </c>
      <c r="FA11" s="64" t="s">
        <v>112</v>
      </c>
      <c r="FB11" s="27" t="s">
        <v>641</v>
      </c>
      <c r="FC11" s="27" t="s">
        <v>642</v>
      </c>
      <c r="FD11" s="27" t="s">
        <v>643</v>
      </c>
      <c r="FE11" s="27" t="s">
        <v>644</v>
      </c>
      <c r="FF11" s="27" t="s">
        <v>645</v>
      </c>
      <c r="FG11" s="27" t="s">
        <v>646</v>
      </c>
      <c r="FH11" s="27" t="s">
        <v>647</v>
      </c>
      <c r="FI11" s="27" t="s">
        <v>648</v>
      </c>
      <c r="FJ11" s="1"/>
      <c r="FK11" s="1"/>
      <c r="FL11" s="1"/>
      <c r="FM11" s="1"/>
      <c r="FN11" s="1"/>
      <c r="FO11" s="1"/>
      <c r="FP11" s="1"/>
      <c r="FQ11" s="1"/>
    </row>
    <row r="12" spans="1:173" x14ac:dyDescent="0.3">
      <c r="A12" s="1"/>
      <c r="B12" s="28">
        <v>1</v>
      </c>
      <c r="C12" s="129">
        <v>0</v>
      </c>
      <c r="D12" s="129">
        <v>0</v>
      </c>
      <c r="E12" s="129">
        <v>0</v>
      </c>
      <c r="F12" s="129">
        <v>0</v>
      </c>
      <c r="G12" s="129">
        <v>0</v>
      </c>
      <c r="H12" s="129">
        <v>0</v>
      </c>
      <c r="I12" s="129"/>
      <c r="J12" s="122"/>
      <c r="K12" s="130" t="s">
        <v>113</v>
      </c>
      <c r="L12" s="130" t="s">
        <v>113</v>
      </c>
      <c r="M12" s="130" t="s">
        <v>113</v>
      </c>
      <c r="N12" s="130" t="s">
        <v>113</v>
      </c>
      <c r="O12" s="131">
        <f>C12/C$22*100</f>
        <v>0</v>
      </c>
      <c r="P12" s="129">
        <v>0</v>
      </c>
      <c r="Q12" s="129">
        <v>0</v>
      </c>
      <c r="R12" s="131" t="e">
        <f t="shared" ref="R12:R21" si="0">(Q12/P12-1)*100</f>
        <v>#DIV/0!</v>
      </c>
      <c r="S12" s="130" t="s">
        <v>113</v>
      </c>
      <c r="T12" s="130" t="s">
        <v>113</v>
      </c>
      <c r="U12" s="130" t="s">
        <v>113</v>
      </c>
      <c r="V12" s="130" t="s">
        <v>113</v>
      </c>
      <c r="W12" s="132">
        <f>IF(D12&lt;&gt;0,((D12-$C12)/ABS($C12)) / ($Q12/$P12-1),0)</f>
        <v>0</v>
      </c>
      <c r="X12" s="132">
        <f>IF(E12&lt;&gt;0,((E12-$C12)/ABS($C12)) / ($Q12/$P12-1),0)</f>
        <v>0</v>
      </c>
      <c r="Y12" s="132">
        <f>IF(F12&lt;&gt;0,((F12-$C12)/ABS($C12)) / ($Q12/$P12-1),0)</f>
        <v>0</v>
      </c>
      <c r="Z12" s="132">
        <f>IF(G12&lt;&gt;0,((G12-$C12)/ABS($C12)) / ($Q12/$P12-1),0)</f>
        <v>0</v>
      </c>
      <c r="AA12" s="132">
        <f>IF(H12&lt;&gt;0,((H12-$C12)/ABS($C12)) / ($Q12/$P12-1),0)</f>
        <v>0</v>
      </c>
      <c r="AB12" s="132">
        <f t="shared" ref="AB12:AC21" si="1">IF(I12&lt;&gt;0,((I12-$C12)/ABS($C12)) / ($Q12/$P12-1),AA12)</f>
        <v>0</v>
      </c>
      <c r="AC12" s="132">
        <f t="shared" si="1"/>
        <v>0</v>
      </c>
      <c r="AD12" s="130" t="s">
        <v>113</v>
      </c>
      <c r="AE12" s="130" t="s">
        <v>113</v>
      </c>
      <c r="AF12" s="130" t="s">
        <v>113</v>
      </c>
      <c r="AG12" s="130" t="s">
        <v>113</v>
      </c>
      <c r="AH12" s="133">
        <f>MIN(W12,1)</f>
        <v>0</v>
      </c>
      <c r="AI12" s="134">
        <f>IF(W12&gt;1,W12-SUM(AH12,AJ12:AO12),0)</f>
        <v>0</v>
      </c>
      <c r="AJ12" s="134">
        <f>IF(W12&gt;1,MIN($W12-Y12,W12-AH12),0)</f>
        <v>0</v>
      </c>
      <c r="AK12" s="134">
        <f>IF(W12&gt;1,MIN(Y12-Z12,W12-AH12-AJ12),0)</f>
        <v>0</v>
      </c>
      <c r="AL12" s="134">
        <f>IF(W12&gt;1,MIN(Z12-AA12,W12-AH12-AJ12-AK12),0)</f>
        <v>0</v>
      </c>
      <c r="AM12" s="134">
        <f>IF(I12&lt;&gt;0,IF(W12&gt;1,MIN(AA12-AB12,W12-AJ12-AK12-AL12),0),0)</f>
        <v>0</v>
      </c>
      <c r="AN12" s="135">
        <f>IF(J12&lt;&gt;0,IF(W12&gt;1,MIN(AB12-AC12,W12-AH12-AJ12-AK12-AL12-AM12),0),0)</f>
        <v>0</v>
      </c>
      <c r="AO12" s="134">
        <f>IF(W12&gt;1,MIN(AC12-X12,W12-AH12-AJ12-AK12-AL12-AM12-AN12),0)</f>
        <v>0</v>
      </c>
      <c r="AP12" s="134">
        <f t="shared" ref="AP12:AP21" si="2">AI12+AO12</f>
        <v>0</v>
      </c>
      <c r="AQ12" s="136" t="s">
        <v>113</v>
      </c>
      <c r="AR12" s="137">
        <f t="shared" ref="AR12:AY22" si="3">AI12/($W12-1)*100</f>
        <v>0</v>
      </c>
      <c r="AS12" s="137">
        <f t="shared" si="3"/>
        <v>0</v>
      </c>
      <c r="AT12" s="137">
        <f t="shared" si="3"/>
        <v>0</v>
      </c>
      <c r="AU12" s="137">
        <f t="shared" si="3"/>
        <v>0</v>
      </c>
      <c r="AV12" s="137">
        <f t="shared" si="3"/>
        <v>0</v>
      </c>
      <c r="AW12" s="138">
        <f t="shared" si="3"/>
        <v>0</v>
      </c>
      <c r="AX12" s="137">
        <f t="shared" si="3"/>
        <v>0</v>
      </c>
      <c r="AY12" s="137">
        <f t="shared" si="3"/>
        <v>0</v>
      </c>
      <c r="AZ12" s="139" t="s">
        <v>113</v>
      </c>
      <c r="BA12" s="139" t="s">
        <v>113</v>
      </c>
      <c r="BB12" s="139" t="s">
        <v>113</v>
      </c>
      <c r="BC12" s="139" t="s">
        <v>113</v>
      </c>
      <c r="BD12" s="139" t="s">
        <v>113</v>
      </c>
      <c r="BE12" s="139" t="s">
        <v>113</v>
      </c>
      <c r="BF12" s="139" t="s">
        <v>113</v>
      </c>
      <c r="BG12" s="139" t="s">
        <v>113</v>
      </c>
      <c r="BH12" s="140">
        <v>0</v>
      </c>
      <c r="BI12" s="140">
        <v>0</v>
      </c>
      <c r="BJ12" s="140">
        <v>0</v>
      </c>
      <c r="BK12" s="140">
        <v>0</v>
      </c>
      <c r="BL12" s="141" t="e">
        <f>BH12/SUM($BH12:$BK12)</f>
        <v>#DIV/0!</v>
      </c>
      <c r="BM12" s="141" t="e">
        <f t="shared" ref="BM12:BO22" si="4">BI12/SUM($BH12:$BK12)</f>
        <v>#DIV/0!</v>
      </c>
      <c r="BN12" s="141" t="e">
        <f t="shared" si="4"/>
        <v>#DIV/0!</v>
      </c>
      <c r="BO12" s="141" t="e">
        <f t="shared" si="4"/>
        <v>#DIV/0!</v>
      </c>
      <c r="BP12" s="139" t="s">
        <v>113</v>
      </c>
      <c r="BQ12" s="139" t="s">
        <v>113</v>
      </c>
      <c r="BR12" s="139" t="s">
        <v>113</v>
      </c>
      <c r="BS12" s="131">
        <f>P12/P$22*100</f>
        <v>0</v>
      </c>
      <c r="BT12" s="139"/>
      <c r="BU12" s="139"/>
      <c r="BV12" s="139"/>
      <c r="BW12" s="139"/>
      <c r="BX12" s="139"/>
      <c r="BY12" s="139"/>
      <c r="BZ12" s="139"/>
      <c r="CA12" s="139"/>
      <c r="CB12" s="139"/>
      <c r="CC12" s="142" t="s">
        <v>113</v>
      </c>
      <c r="CD12" s="142" t="s">
        <v>113</v>
      </c>
      <c r="CE12" s="142" t="s">
        <v>113</v>
      </c>
      <c r="CF12" s="142" t="s">
        <v>113</v>
      </c>
      <c r="CG12" s="142" t="s">
        <v>113</v>
      </c>
      <c r="CH12" s="142" t="s">
        <v>113</v>
      </c>
      <c r="CI12" s="142" t="s">
        <v>113</v>
      </c>
      <c r="CJ12" s="142"/>
      <c r="CK12" s="139" t="s">
        <v>113</v>
      </c>
      <c r="CL12" s="139" t="s">
        <v>113</v>
      </c>
      <c r="CM12" s="139" t="s">
        <v>113</v>
      </c>
      <c r="CN12" s="139" t="s">
        <v>113</v>
      </c>
      <c r="CO12" s="139" t="s">
        <v>113</v>
      </c>
      <c r="CP12" s="139" t="s">
        <v>113</v>
      </c>
      <c r="CQ12" s="139" t="s">
        <v>113</v>
      </c>
      <c r="CR12" s="139"/>
      <c r="CS12" s="143" t="s">
        <v>113</v>
      </c>
      <c r="CT12" s="143" t="s">
        <v>113</v>
      </c>
      <c r="CU12" s="143" t="s">
        <v>113</v>
      </c>
      <c r="CV12" s="143" t="s">
        <v>113</v>
      </c>
      <c r="CW12" s="143" t="s">
        <v>113</v>
      </c>
      <c r="CX12" s="143" t="s">
        <v>113</v>
      </c>
      <c r="CY12" s="143" t="s">
        <v>113</v>
      </c>
      <c r="CZ12" s="143"/>
      <c r="DA12" s="139" t="s">
        <v>113</v>
      </c>
      <c r="DB12" s="139" t="s">
        <v>113</v>
      </c>
      <c r="DC12" s="139" t="s">
        <v>113</v>
      </c>
      <c r="DD12" s="144">
        <f>(1-DE12)*100</f>
        <v>100</v>
      </c>
      <c r="DE12" s="145">
        <f>'[71]2. Distributional by deciles o'!H28</f>
        <v>0</v>
      </c>
      <c r="DF12" s="1"/>
      <c r="DG12" s="1"/>
      <c r="DH12" s="1"/>
      <c r="DI12" s="1"/>
      <c r="DJ12" s="1"/>
      <c r="DK12" s="1"/>
      <c r="DL12" s="1"/>
      <c r="DM12" s="1"/>
      <c r="DN12" s="1"/>
      <c r="DO12" s="1"/>
      <c r="DP12" s="1"/>
      <c r="DQ12" s="1"/>
      <c r="DR12" s="1"/>
      <c r="DS12" s="1"/>
      <c r="DT12" s="1"/>
      <c r="DU12" s="1"/>
      <c r="DV12" s="1"/>
      <c r="DW12" s="1"/>
      <c r="DX12" s="1"/>
      <c r="DY12" s="1"/>
      <c r="DZ12" s="1"/>
      <c r="EA12" s="146">
        <v>0</v>
      </c>
      <c r="EB12" s="146">
        <v>0</v>
      </c>
      <c r="EC12" s="146">
        <v>0</v>
      </c>
      <c r="ED12" s="146">
        <v>0</v>
      </c>
      <c r="EE12" s="146">
        <v>0</v>
      </c>
      <c r="EF12" s="147"/>
      <c r="EG12" s="129"/>
      <c r="EH12" s="122"/>
      <c r="EI12" s="130" t="s">
        <v>113</v>
      </c>
      <c r="EJ12" s="130" t="s">
        <v>113</v>
      </c>
      <c r="EK12" s="130" t="s">
        <v>113</v>
      </c>
      <c r="EL12" s="130" t="s">
        <v>113</v>
      </c>
      <c r="EM12" s="131">
        <f t="shared" ref="EM12:EM21" si="5">EA12/EA$22*100</f>
        <v>0</v>
      </c>
      <c r="EN12" s="146">
        <v>0</v>
      </c>
      <c r="EO12" s="146">
        <v>0</v>
      </c>
      <c r="EP12" s="131" t="e">
        <f t="shared" ref="EP12:EP21" si="6">(EO12/EN12-1)*100</f>
        <v>#DIV/0!</v>
      </c>
      <c r="EQ12" s="130" t="s">
        <v>113</v>
      </c>
      <c r="ER12" s="130" t="s">
        <v>113</v>
      </c>
      <c r="ES12" s="130" t="s">
        <v>113</v>
      </c>
      <c r="ET12" s="130" t="s">
        <v>113</v>
      </c>
      <c r="EU12" s="131">
        <f>EN12/EN$22*100</f>
        <v>0</v>
      </c>
      <c r="EV12" s="132" t="e">
        <f>((EB12-$EA12)/ABS($EA12)) / ($EO12/$EN12-1)</f>
        <v>#DIV/0!</v>
      </c>
      <c r="EW12" s="132">
        <f>IF(EC12&lt;&gt;0,((EC12-$EA12)/ABS($EA12)) / ($EO12/$EN12-1),0)</f>
        <v>0</v>
      </c>
      <c r="EX12" s="132"/>
      <c r="EY12" s="148" t="e">
        <f t="shared" ref="EY12:EY22" si="7">EV12-W12</f>
        <v>#DIV/0!</v>
      </c>
      <c r="EZ12" s="144">
        <f>(1-FA12)*100</f>
        <v>100</v>
      </c>
      <c r="FA12" s="145">
        <v>0</v>
      </c>
      <c r="FB12" s="130" t="s">
        <v>113</v>
      </c>
      <c r="FC12" s="130" t="s">
        <v>113</v>
      </c>
      <c r="FD12" s="130" t="s">
        <v>113</v>
      </c>
      <c r="FE12" s="130" t="s">
        <v>113</v>
      </c>
      <c r="FF12" s="130" t="s">
        <v>113</v>
      </c>
      <c r="FG12" s="130" t="s">
        <v>113</v>
      </c>
      <c r="FH12" s="130" t="s">
        <v>113</v>
      </c>
      <c r="FI12" s="130" t="s">
        <v>113</v>
      </c>
      <c r="FJ12" s="1"/>
      <c r="FK12" s="1"/>
      <c r="FL12" s="1"/>
      <c r="FM12" s="1"/>
      <c r="FN12" s="1"/>
      <c r="FO12" s="1"/>
      <c r="FP12" s="1"/>
      <c r="FQ12" s="1"/>
    </row>
    <row r="13" spans="1:173" x14ac:dyDescent="0.3">
      <c r="A13" s="1"/>
      <c r="B13" s="28">
        <v>2</v>
      </c>
      <c r="C13" s="129">
        <v>4848320.1552000027</v>
      </c>
      <c r="D13" s="129">
        <v>4901492.6507999972</v>
      </c>
      <c r="E13" s="129">
        <v>4896559.2827999964</v>
      </c>
      <c r="F13" s="129">
        <v>4901492.6507999972</v>
      </c>
      <c r="G13" s="129">
        <v>4896559.2827999964</v>
      </c>
      <c r="H13" s="129">
        <v>4896559.2827999964</v>
      </c>
      <c r="I13" s="129"/>
      <c r="J13" s="122"/>
      <c r="K13" s="130" t="s">
        <v>113</v>
      </c>
      <c r="L13" s="130" t="s">
        <v>113</v>
      </c>
      <c r="M13" s="130" t="s">
        <v>113</v>
      </c>
      <c r="N13" s="130" t="s">
        <v>113</v>
      </c>
      <c r="O13" s="131">
        <f t="shared" ref="O13:O21" si="8">C13/C$22*100</f>
        <v>0.13716483894009815</v>
      </c>
      <c r="P13" s="129">
        <v>109782598.53959998</v>
      </c>
      <c r="Q13" s="129">
        <v>110880258.19319999</v>
      </c>
      <c r="R13" s="131">
        <f t="shared" si="0"/>
        <v>0.9998484898351867</v>
      </c>
      <c r="S13" s="130" t="s">
        <v>113</v>
      </c>
      <c r="T13" s="130" t="s">
        <v>113</v>
      </c>
      <c r="U13" s="130" t="s">
        <v>113</v>
      </c>
      <c r="V13" s="130" t="s">
        <v>113</v>
      </c>
      <c r="W13" s="132">
        <f t="shared" ref="W13:AA22" si="9">IF(D13&lt;&gt;0,((D13-$C13)/ABS($C13)) / ($Q13/$P13-1),0)</f>
        <v>1.0968861645266013</v>
      </c>
      <c r="X13" s="132">
        <f t="shared" si="9"/>
        <v>0.99511657401447895</v>
      </c>
      <c r="Y13" s="132">
        <f t="shared" si="9"/>
        <v>1.0968861645266013</v>
      </c>
      <c r="Z13" s="132">
        <f t="shared" si="9"/>
        <v>0.99511657401447895</v>
      </c>
      <c r="AA13" s="132">
        <f t="shared" si="9"/>
        <v>0.99511657401447895</v>
      </c>
      <c r="AB13" s="132">
        <f t="shared" si="1"/>
        <v>0.99511657401447895</v>
      </c>
      <c r="AC13" s="132">
        <f t="shared" si="1"/>
        <v>0.99511657401447895</v>
      </c>
      <c r="AD13" s="130" t="s">
        <v>113</v>
      </c>
      <c r="AE13" s="130" t="s">
        <v>113</v>
      </c>
      <c r="AF13" s="130" t="s">
        <v>113</v>
      </c>
      <c r="AG13" s="130" t="s">
        <v>113</v>
      </c>
      <c r="AH13" s="133">
        <f t="shared" ref="AH13:AH22" si="10">MIN(W13,1)</f>
        <v>1</v>
      </c>
      <c r="AI13" s="134">
        <f>IF(W13&gt;1,W13-SUM(AH13,AJ13:AO13),0)</f>
        <v>0</v>
      </c>
      <c r="AJ13" s="134">
        <f t="shared" ref="AJ13:AJ22" si="11">IF(W13&gt;1,MIN($W13-Y13,W13-AH13),0)</f>
        <v>0</v>
      </c>
      <c r="AK13" s="134">
        <f t="shared" ref="AK13:AK22" si="12">IF(W13&gt;1,MIN(Y13-Z13,W13-AH13-AJ13),0)</f>
        <v>9.6886164526601259E-2</v>
      </c>
      <c r="AL13" s="134">
        <f t="shared" ref="AL13:AL21" si="13">IF(W13&gt;1,MIN(Z13-AA13,W13-AH13-AJ13-AK13),0)</f>
        <v>0</v>
      </c>
      <c r="AM13" s="134">
        <f t="shared" ref="AM13:AM22" si="14">IF(I13&lt;&gt;0,IF(W13&gt;1,MIN(AA13-AB13,W13-AJ13-AK13-AL13),0),0)</f>
        <v>0</v>
      </c>
      <c r="AN13" s="135">
        <f t="shared" ref="AN13:AN22" si="15">IF(J13&lt;&gt;0,IF(W13&gt;1,MIN(AB13-AC13,W13-AH13-AJ13-AK13-AL13-AM13),0),0)</f>
        <v>0</v>
      </c>
      <c r="AO13" s="134">
        <f>IF(W13&gt;1,MIN(AC13-X13,W13-AH13-AJ13-AK13-AL13-AM13-AN13),0)</f>
        <v>0</v>
      </c>
      <c r="AP13" s="134">
        <f>AI13+AO13</f>
        <v>0</v>
      </c>
      <c r="AQ13" s="136" t="s">
        <v>113</v>
      </c>
      <c r="AR13" s="137">
        <f>AI13/($W13-1)*100</f>
        <v>0</v>
      </c>
      <c r="AS13" s="137">
        <f t="shared" si="3"/>
        <v>0</v>
      </c>
      <c r="AT13" s="137">
        <f t="shared" si="3"/>
        <v>100</v>
      </c>
      <c r="AU13" s="137">
        <f t="shared" si="3"/>
        <v>0</v>
      </c>
      <c r="AV13" s="137">
        <f t="shared" si="3"/>
        <v>0</v>
      </c>
      <c r="AW13" s="138">
        <f t="shared" si="3"/>
        <v>0</v>
      </c>
      <c r="AX13" s="137">
        <f t="shared" si="3"/>
        <v>0</v>
      </c>
      <c r="AY13" s="137">
        <f t="shared" si="3"/>
        <v>0</v>
      </c>
      <c r="AZ13" s="139" t="s">
        <v>113</v>
      </c>
      <c r="BA13" s="139" t="s">
        <v>113</v>
      </c>
      <c r="BB13" s="139" t="s">
        <v>113</v>
      </c>
      <c r="BC13" s="139" t="s">
        <v>113</v>
      </c>
      <c r="BD13" s="139" t="s">
        <v>113</v>
      </c>
      <c r="BE13" s="139" t="s">
        <v>113</v>
      </c>
      <c r="BF13" s="139" t="s">
        <v>113</v>
      </c>
      <c r="BG13" s="139" t="s">
        <v>113</v>
      </c>
      <c r="BH13" s="140">
        <v>42618725.762399986</v>
      </c>
      <c r="BI13" s="140">
        <v>5113192.9788000006</v>
      </c>
      <c r="BJ13" s="140">
        <v>46121559.184800014</v>
      </c>
      <c r="BK13" s="140">
        <v>15929472.2172</v>
      </c>
      <c r="BL13" s="141">
        <f>BH13/SUM($BH13:$BK13)</f>
        <v>0.38820896784799885</v>
      </c>
      <c r="BM13" s="141">
        <f t="shared" si="4"/>
        <v>4.6575474353079356E-2</v>
      </c>
      <c r="BN13" s="141">
        <f t="shared" ref="BN13:BO22" si="16">BJ13/SUM($BH13:$BK13)</f>
        <v>0.42011586612164659</v>
      </c>
      <c r="BO13" s="141">
        <f t="shared" si="16"/>
        <v>0.14509969167727524</v>
      </c>
      <c r="BP13" s="139" t="s">
        <v>113</v>
      </c>
      <c r="BQ13" s="139" t="s">
        <v>113</v>
      </c>
      <c r="BR13" s="139" t="s">
        <v>113</v>
      </c>
      <c r="BS13" s="131">
        <f t="shared" ref="BS13:BS21" si="17">P13/P$22*100</f>
        <v>0.47852112351429754</v>
      </c>
      <c r="BT13" s="139"/>
      <c r="BU13" s="139"/>
      <c r="BV13" s="139"/>
      <c r="BW13" s="139"/>
      <c r="BX13" s="139"/>
      <c r="BY13" s="139"/>
      <c r="BZ13" s="139"/>
      <c r="CA13" s="139"/>
      <c r="CB13" s="139"/>
      <c r="CC13" s="142" t="s">
        <v>113</v>
      </c>
      <c r="CD13" s="142" t="s">
        <v>113</v>
      </c>
      <c r="CE13" s="142" t="s">
        <v>113</v>
      </c>
      <c r="CF13" s="142" t="s">
        <v>113</v>
      </c>
      <c r="CG13" s="142" t="s">
        <v>113</v>
      </c>
      <c r="CH13" s="142" t="s">
        <v>113</v>
      </c>
      <c r="CI13" s="142" t="s">
        <v>113</v>
      </c>
      <c r="CJ13" s="142"/>
      <c r="CK13" s="139" t="s">
        <v>113</v>
      </c>
      <c r="CL13" s="139" t="s">
        <v>113</v>
      </c>
      <c r="CM13" s="139" t="s">
        <v>113</v>
      </c>
      <c r="CN13" s="139" t="s">
        <v>113</v>
      </c>
      <c r="CO13" s="139" t="s">
        <v>113</v>
      </c>
      <c r="CP13" s="139" t="s">
        <v>113</v>
      </c>
      <c r="CQ13" s="139" t="s">
        <v>113</v>
      </c>
      <c r="CR13" s="139"/>
      <c r="CS13" s="143" t="s">
        <v>113</v>
      </c>
      <c r="CT13" s="143" t="s">
        <v>113</v>
      </c>
      <c r="CU13" s="143" t="s">
        <v>113</v>
      </c>
      <c r="CV13" s="143" t="s">
        <v>113</v>
      </c>
      <c r="CW13" s="143" t="s">
        <v>113</v>
      </c>
      <c r="CX13" s="143" t="s">
        <v>113</v>
      </c>
      <c r="CY13" s="143" t="s">
        <v>113</v>
      </c>
      <c r="CZ13" s="143"/>
      <c r="DA13" s="139" t="s">
        <v>113</v>
      </c>
      <c r="DB13" s="139" t="s">
        <v>113</v>
      </c>
      <c r="DC13" s="139" t="s">
        <v>113</v>
      </c>
      <c r="DD13" s="144">
        <f t="shared" ref="DD13:DD22" si="18">(1-DE13)*100</f>
        <v>24.764460719072812</v>
      </c>
      <c r="DE13" s="145">
        <f>'[71]2. Distributional by deciles o'!H29</f>
        <v>0.75235539280927188</v>
      </c>
      <c r="DF13" s="1"/>
      <c r="DG13" s="1"/>
      <c r="DH13" s="1"/>
      <c r="DI13" s="1"/>
      <c r="DJ13" s="1"/>
      <c r="DK13" s="1"/>
      <c r="DL13" s="1"/>
      <c r="DM13" s="1"/>
      <c r="DN13" s="1"/>
      <c r="DO13" s="1"/>
      <c r="DP13" s="1"/>
      <c r="DQ13" s="1"/>
      <c r="DR13" s="1"/>
      <c r="DS13" s="1"/>
      <c r="DT13" s="1"/>
      <c r="DU13" s="1"/>
      <c r="DV13" s="1"/>
      <c r="DW13" s="1"/>
      <c r="DX13" s="1"/>
      <c r="DY13" s="1"/>
      <c r="DZ13" s="1"/>
      <c r="EA13" s="146">
        <v>6916252.9583999999</v>
      </c>
      <c r="EB13" s="146">
        <v>6985834.6703999983</v>
      </c>
      <c r="EC13" s="146">
        <v>6985534.0703999996</v>
      </c>
      <c r="ED13" s="146">
        <v>6985834.6703999983</v>
      </c>
      <c r="EE13" s="146">
        <v>6985534.0703999996</v>
      </c>
      <c r="EF13" s="147"/>
      <c r="EG13" s="129"/>
      <c r="EH13" s="122"/>
      <c r="EI13" s="130" t="s">
        <v>113</v>
      </c>
      <c r="EJ13" s="130" t="s">
        <v>113</v>
      </c>
      <c r="EK13" s="130" t="s">
        <v>113</v>
      </c>
      <c r="EL13" s="130" t="s">
        <v>113</v>
      </c>
      <c r="EM13" s="131">
        <f t="shared" si="5"/>
        <v>0.12976092292114436</v>
      </c>
      <c r="EN13" s="146">
        <v>162389214.07679999</v>
      </c>
      <c r="EO13" s="146">
        <v>164012859.55920005</v>
      </c>
      <c r="EP13" s="131">
        <f t="shared" si="6"/>
        <v>0.99984810668038993</v>
      </c>
      <c r="EQ13" s="130" t="s">
        <v>113</v>
      </c>
      <c r="ER13" s="130" t="s">
        <v>113</v>
      </c>
      <c r="ES13" s="130" t="s">
        <v>113</v>
      </c>
      <c r="ET13" s="130" t="s">
        <v>113</v>
      </c>
      <c r="EU13" s="131">
        <f t="shared" ref="EU13:EU21" si="19">EN13/EN$22*100</f>
        <v>0.47546159306419589</v>
      </c>
      <c r="EV13" s="132">
        <f t="shared" ref="EV13:EV21" si="20">((EB13-$EA13)/ABS($EA13)) / ($EO13/$EN13-1)</f>
        <v>1.0062136683173259</v>
      </c>
      <c r="EW13" s="132">
        <f t="shared" ref="EW13:EW22" si="21">IF(EC13&lt;&gt;0,((EC13-$EA13)/ABS($EA13)) / ($EO13/$EN13-1),0)</f>
        <v>1.0018667239838077</v>
      </c>
      <c r="EX13" s="132"/>
      <c r="EY13" s="148">
        <f t="shared" si="7"/>
        <v>-9.0672496209275311E-2</v>
      </c>
      <c r="EZ13" s="144">
        <f t="shared" ref="EZ13:EZ22" si="22">(1-FA13)*100</f>
        <v>25.160429907909165</v>
      </c>
      <c r="FA13" s="145">
        <v>0.74839570092090835</v>
      </c>
      <c r="FB13" s="130" t="s">
        <v>113</v>
      </c>
      <c r="FC13" s="130" t="s">
        <v>113</v>
      </c>
      <c r="FD13" s="130" t="s">
        <v>113</v>
      </c>
      <c r="FE13" s="130" t="s">
        <v>113</v>
      </c>
      <c r="FF13" s="130" t="s">
        <v>113</v>
      </c>
      <c r="FG13" s="130" t="s">
        <v>113</v>
      </c>
      <c r="FH13" s="130" t="s">
        <v>113</v>
      </c>
      <c r="FI13" s="130" t="s">
        <v>113</v>
      </c>
      <c r="FJ13" s="1"/>
      <c r="FK13" s="1"/>
      <c r="FL13" s="1"/>
      <c r="FM13" s="1"/>
      <c r="FN13" s="1"/>
      <c r="FO13" s="1"/>
      <c r="FP13" s="1"/>
      <c r="FQ13" s="1"/>
    </row>
    <row r="14" spans="1:173" x14ac:dyDescent="0.3">
      <c r="A14" s="1"/>
      <c r="B14" s="28">
        <v>3</v>
      </c>
      <c r="C14" s="129">
        <v>51258700.946399979</v>
      </c>
      <c r="D14" s="129">
        <v>52367970.383999974</v>
      </c>
      <c r="E14" s="129">
        <v>51769502.63639994</v>
      </c>
      <c r="F14" s="129">
        <v>52296683.661599964</v>
      </c>
      <c r="G14" s="129">
        <v>51769502.63639994</v>
      </c>
      <c r="H14" s="129">
        <v>51769502.63639994</v>
      </c>
      <c r="I14" s="129"/>
      <c r="J14" s="122"/>
      <c r="K14" s="130" t="s">
        <v>113</v>
      </c>
      <c r="L14" s="130" t="s">
        <v>113</v>
      </c>
      <c r="M14" s="130" t="s">
        <v>113</v>
      </c>
      <c r="N14" s="130" t="s">
        <v>113</v>
      </c>
      <c r="O14" s="131">
        <f t="shared" si="8"/>
        <v>1.4501706229219864</v>
      </c>
      <c r="P14" s="129">
        <v>697077438.22199988</v>
      </c>
      <c r="Q14" s="129">
        <v>703961917.07039905</v>
      </c>
      <c r="R14" s="131">
        <f t="shared" si="0"/>
        <v>0.98762038059345691</v>
      </c>
      <c r="S14" s="130" t="s">
        <v>113</v>
      </c>
      <c r="T14" s="130" t="s">
        <v>113</v>
      </c>
      <c r="U14" s="130" t="s">
        <v>113</v>
      </c>
      <c r="V14" s="130" t="s">
        <v>113</v>
      </c>
      <c r="W14" s="132">
        <f t="shared" si="9"/>
        <v>2.1911868274257578</v>
      </c>
      <c r="X14" s="132">
        <f t="shared" si="9"/>
        <v>1.0090081783704004</v>
      </c>
      <c r="Y14" s="132">
        <f t="shared" si="9"/>
        <v>2.0503711501893811</v>
      </c>
      <c r="Z14" s="132">
        <f t="shared" si="9"/>
        <v>1.0090081783704004</v>
      </c>
      <c r="AA14" s="132">
        <f t="shared" si="9"/>
        <v>1.0090081783704004</v>
      </c>
      <c r="AB14" s="132">
        <f t="shared" si="1"/>
        <v>1.0090081783704004</v>
      </c>
      <c r="AC14" s="132">
        <f t="shared" si="1"/>
        <v>1.0090081783704004</v>
      </c>
      <c r="AD14" s="130" t="s">
        <v>113</v>
      </c>
      <c r="AE14" s="130" t="s">
        <v>113</v>
      </c>
      <c r="AF14" s="130" t="s">
        <v>113</v>
      </c>
      <c r="AG14" s="130" t="s">
        <v>113</v>
      </c>
      <c r="AH14" s="133">
        <f t="shared" si="10"/>
        <v>1</v>
      </c>
      <c r="AI14" s="134">
        <f t="shared" ref="AI14:AI21" si="23">IF(W14&gt;1,W14-SUM(AH14,AJ14:AO14),0)</f>
        <v>9.0081783704003549E-3</v>
      </c>
      <c r="AJ14" s="134">
        <f t="shared" si="11"/>
        <v>0.14081567723637667</v>
      </c>
      <c r="AK14" s="134">
        <f>IF(W14&gt;1,MIN(Y14-Z14,W14-AH14-AJ14),0)</f>
        <v>1.0413629718189807</v>
      </c>
      <c r="AL14" s="134">
        <f t="shared" si="13"/>
        <v>0</v>
      </c>
      <c r="AM14" s="134">
        <f t="shared" si="14"/>
        <v>0</v>
      </c>
      <c r="AN14" s="135">
        <f t="shared" si="15"/>
        <v>0</v>
      </c>
      <c r="AO14" s="134">
        <f t="shared" ref="AO14:AO21" si="24">IF(W14&gt;1,MIN(AC14-X14,W14-AH14-AJ14-AK14-AL14-AM14-AN14),0)</f>
        <v>0</v>
      </c>
      <c r="AP14" s="134">
        <f t="shared" si="2"/>
        <v>9.0081783704003549E-3</v>
      </c>
      <c r="AQ14" s="136" t="s">
        <v>113</v>
      </c>
      <c r="AR14" s="137">
        <f t="shared" si="3"/>
        <v>0.75623555961139111</v>
      </c>
      <c r="AS14" s="137">
        <f t="shared" si="3"/>
        <v>11.821460244039946</v>
      </c>
      <c r="AT14" s="137">
        <f t="shared" si="3"/>
        <v>87.422304196348662</v>
      </c>
      <c r="AU14" s="137">
        <f t="shared" si="3"/>
        <v>0</v>
      </c>
      <c r="AV14" s="137">
        <f t="shared" si="3"/>
        <v>0</v>
      </c>
      <c r="AW14" s="138">
        <f t="shared" si="3"/>
        <v>0</v>
      </c>
      <c r="AX14" s="137">
        <f t="shared" si="3"/>
        <v>0</v>
      </c>
      <c r="AY14" s="137">
        <f t="shared" si="3"/>
        <v>0.75623555961139111</v>
      </c>
      <c r="AZ14" s="139" t="s">
        <v>113</v>
      </c>
      <c r="BA14" s="139" t="s">
        <v>113</v>
      </c>
      <c r="BB14" s="139" t="s">
        <v>113</v>
      </c>
      <c r="BC14" s="139" t="s">
        <v>113</v>
      </c>
      <c r="BD14" s="139" t="s">
        <v>113</v>
      </c>
      <c r="BE14" s="139" t="s">
        <v>113</v>
      </c>
      <c r="BF14" s="139" t="s">
        <v>113</v>
      </c>
      <c r="BG14" s="139" t="s">
        <v>113</v>
      </c>
      <c r="BH14" s="140">
        <v>510481063.17960012</v>
      </c>
      <c r="BI14" s="140">
        <v>43041729.754800007</v>
      </c>
      <c r="BJ14" s="140">
        <v>124254269.10960001</v>
      </c>
      <c r="BK14" s="140">
        <v>19300854.258000001</v>
      </c>
      <c r="BL14" s="141">
        <f t="shared" ref="BL14:BL20" si="25">BH14/SUM($BH14:$BK14)</f>
        <v>0.73231564397808391</v>
      </c>
      <c r="BM14" s="141">
        <f t="shared" si="4"/>
        <v>6.1745937933504587E-2</v>
      </c>
      <c r="BN14" s="141">
        <f t="shared" si="16"/>
        <v>0.17825018725133221</v>
      </c>
      <c r="BO14" s="141">
        <f t="shared" si="16"/>
        <v>2.7688230837079268E-2</v>
      </c>
      <c r="BP14" s="139" t="s">
        <v>113</v>
      </c>
      <c r="BQ14" s="139" t="s">
        <v>113</v>
      </c>
      <c r="BR14" s="139" t="s">
        <v>113</v>
      </c>
      <c r="BS14" s="131">
        <f t="shared" si="17"/>
        <v>3.0384257919905044</v>
      </c>
      <c r="BT14" s="139"/>
      <c r="BU14" s="139"/>
      <c r="BV14" s="139"/>
      <c r="BW14" s="139"/>
      <c r="BX14" s="139"/>
      <c r="BY14" s="139"/>
      <c r="BZ14" s="139"/>
      <c r="CA14" s="139"/>
      <c r="CB14" s="139"/>
      <c r="CC14" s="142" t="s">
        <v>113</v>
      </c>
      <c r="CD14" s="142" t="s">
        <v>113</v>
      </c>
      <c r="CE14" s="142" t="s">
        <v>113</v>
      </c>
      <c r="CF14" s="142" t="s">
        <v>113</v>
      </c>
      <c r="CG14" s="142" t="s">
        <v>113</v>
      </c>
      <c r="CH14" s="142" t="s">
        <v>113</v>
      </c>
      <c r="CI14" s="142" t="s">
        <v>113</v>
      </c>
      <c r="CJ14" s="142"/>
      <c r="CK14" s="139" t="s">
        <v>113</v>
      </c>
      <c r="CL14" s="139" t="s">
        <v>113</v>
      </c>
      <c r="CM14" s="139" t="s">
        <v>113</v>
      </c>
      <c r="CN14" s="139" t="s">
        <v>113</v>
      </c>
      <c r="CO14" s="139" t="s">
        <v>113</v>
      </c>
      <c r="CP14" s="139" t="s">
        <v>113</v>
      </c>
      <c r="CQ14" s="139" t="s">
        <v>113</v>
      </c>
      <c r="CR14" s="139"/>
      <c r="CS14" s="143" t="s">
        <v>113</v>
      </c>
      <c r="CT14" s="143" t="s">
        <v>113</v>
      </c>
      <c r="CU14" s="143" t="s">
        <v>113</v>
      </c>
      <c r="CV14" s="143" t="s">
        <v>113</v>
      </c>
      <c r="CW14" s="143" t="s">
        <v>113</v>
      </c>
      <c r="CX14" s="143" t="s">
        <v>113</v>
      </c>
      <c r="CY14" s="143" t="s">
        <v>113</v>
      </c>
      <c r="CZ14" s="143"/>
      <c r="DA14" s="139" t="s">
        <v>113</v>
      </c>
      <c r="DB14" s="139" t="s">
        <v>113</v>
      </c>
      <c r="DC14" s="139" t="s">
        <v>113</v>
      </c>
      <c r="DD14" s="144">
        <f t="shared" si="18"/>
        <v>12.073208100016863</v>
      </c>
      <c r="DE14" s="145">
        <f>'[71]2. Distributional by deciles o'!H30</f>
        <v>0.87926791899983137</v>
      </c>
      <c r="DF14" s="1"/>
      <c r="DG14" s="1"/>
      <c r="DH14" s="1"/>
      <c r="DI14" s="1"/>
      <c r="DJ14" s="1"/>
      <c r="DK14" s="1"/>
      <c r="DL14" s="1"/>
      <c r="DM14" s="1"/>
      <c r="DN14" s="1"/>
      <c r="DO14" s="1"/>
      <c r="DP14" s="1"/>
      <c r="DQ14" s="1"/>
      <c r="DR14" s="1"/>
      <c r="DS14" s="1"/>
      <c r="DT14" s="1"/>
      <c r="DU14" s="1"/>
      <c r="DV14" s="1"/>
      <c r="DW14" s="1"/>
      <c r="DX14" s="1"/>
      <c r="DY14" s="1"/>
      <c r="DZ14" s="1"/>
      <c r="EA14" s="146">
        <v>52750159.525199994</v>
      </c>
      <c r="EB14" s="146">
        <v>54359321.249999985</v>
      </c>
      <c r="EC14" s="146">
        <v>53279119.513199985</v>
      </c>
      <c r="ED14" s="146">
        <v>54093638.071200036</v>
      </c>
      <c r="EE14" s="146">
        <v>53279119.513199985</v>
      </c>
      <c r="EF14" s="147"/>
      <c r="EG14" s="129"/>
      <c r="EH14" s="122"/>
      <c r="EI14" s="130" t="s">
        <v>113</v>
      </c>
      <c r="EJ14" s="130" t="s">
        <v>113</v>
      </c>
      <c r="EK14" s="130" t="s">
        <v>113</v>
      </c>
      <c r="EL14" s="130" t="s">
        <v>113</v>
      </c>
      <c r="EM14" s="131">
        <f t="shared" si="5"/>
        <v>0.9896846493901289</v>
      </c>
      <c r="EN14" s="146">
        <v>1045192886.7</v>
      </c>
      <c r="EO14" s="146">
        <v>1055538023.9699998</v>
      </c>
      <c r="EP14" s="131">
        <f t="shared" si="6"/>
        <v>0.98978259435562599</v>
      </c>
      <c r="EQ14" s="130" t="s">
        <v>113</v>
      </c>
      <c r="ER14" s="130" t="s">
        <v>113</v>
      </c>
      <c r="ES14" s="130" t="s">
        <v>113</v>
      </c>
      <c r="ET14" s="130" t="s">
        <v>113</v>
      </c>
      <c r="EU14" s="131">
        <f t="shared" si="19"/>
        <v>3.0602344976848128</v>
      </c>
      <c r="EV14" s="132">
        <f t="shared" si="20"/>
        <v>3.0820246245705456</v>
      </c>
      <c r="EW14" s="132">
        <f t="shared" si="21"/>
        <v>1.013116135751454</v>
      </c>
      <c r="EX14" s="132"/>
      <c r="EY14" s="148">
        <f t="shared" si="7"/>
        <v>0.89083779714478784</v>
      </c>
      <c r="EZ14" s="144">
        <f t="shared" si="22"/>
        <v>27.039423164945287</v>
      </c>
      <c r="FA14" s="145">
        <v>0.72960576835054713</v>
      </c>
      <c r="FB14" s="130" t="s">
        <v>113</v>
      </c>
      <c r="FC14" s="130" t="s">
        <v>113</v>
      </c>
      <c r="FD14" s="130" t="s">
        <v>113</v>
      </c>
      <c r="FE14" s="130" t="s">
        <v>113</v>
      </c>
      <c r="FF14" s="130" t="s">
        <v>113</v>
      </c>
      <c r="FG14" s="130" t="s">
        <v>113</v>
      </c>
      <c r="FH14" s="130" t="s">
        <v>113</v>
      </c>
      <c r="FI14" s="130" t="s">
        <v>113</v>
      </c>
      <c r="FJ14" s="1"/>
      <c r="FK14" s="1"/>
      <c r="FL14" s="1"/>
      <c r="FM14" s="1"/>
      <c r="FN14" s="1"/>
      <c r="FO14" s="1"/>
      <c r="FP14" s="1"/>
      <c r="FQ14" s="1"/>
    </row>
    <row r="15" spans="1:173" x14ac:dyDescent="0.3">
      <c r="A15" s="1"/>
      <c r="B15" s="28">
        <v>4</v>
      </c>
      <c r="C15" s="129">
        <v>127773088.92720005</v>
      </c>
      <c r="D15" s="129">
        <v>130073380.29839996</v>
      </c>
      <c r="E15" s="129">
        <v>129049252.2240001</v>
      </c>
      <c r="F15" s="129">
        <v>129885265.20600015</v>
      </c>
      <c r="G15" s="129">
        <v>129049252.2240001</v>
      </c>
      <c r="H15" s="129">
        <v>129049252.2240001</v>
      </c>
      <c r="I15" s="129"/>
      <c r="J15" s="122"/>
      <c r="K15" s="130" t="s">
        <v>113</v>
      </c>
      <c r="L15" s="130" t="s">
        <v>113</v>
      </c>
      <c r="M15" s="130" t="s">
        <v>113</v>
      </c>
      <c r="N15" s="130" t="s">
        <v>113</v>
      </c>
      <c r="O15" s="131">
        <f t="shared" si="8"/>
        <v>3.6148551668521676</v>
      </c>
      <c r="P15" s="129">
        <v>1189421903.0675998</v>
      </c>
      <c r="Q15" s="129">
        <v>1201193799.3071995</v>
      </c>
      <c r="R15" s="131">
        <f t="shared" si="0"/>
        <v>0.98971577782780429</v>
      </c>
      <c r="S15" s="130" t="s">
        <v>113</v>
      </c>
      <c r="T15" s="130" t="s">
        <v>113</v>
      </c>
      <c r="U15" s="130" t="s">
        <v>113</v>
      </c>
      <c r="V15" s="130" t="s">
        <v>113</v>
      </c>
      <c r="W15" s="132">
        <f t="shared" si="9"/>
        <v>1.8190011035410312</v>
      </c>
      <c r="X15" s="132">
        <f t="shared" si="9"/>
        <v>1.0091514815216474</v>
      </c>
      <c r="Y15" s="132">
        <f t="shared" si="9"/>
        <v>1.6702453567899245</v>
      </c>
      <c r="Z15" s="132">
        <f t="shared" si="9"/>
        <v>1.0091514815216474</v>
      </c>
      <c r="AA15" s="132">
        <f t="shared" si="9"/>
        <v>1.0091514815216474</v>
      </c>
      <c r="AB15" s="132">
        <f t="shared" si="1"/>
        <v>1.0091514815216474</v>
      </c>
      <c r="AC15" s="132">
        <f t="shared" si="1"/>
        <v>1.0091514815216474</v>
      </c>
      <c r="AD15" s="130" t="s">
        <v>113</v>
      </c>
      <c r="AE15" s="130" t="s">
        <v>113</v>
      </c>
      <c r="AF15" s="130" t="s">
        <v>113</v>
      </c>
      <c r="AG15" s="130" t="s">
        <v>113</v>
      </c>
      <c r="AH15" s="133">
        <f t="shared" si="10"/>
        <v>1</v>
      </c>
      <c r="AI15" s="134">
        <f t="shared" si="23"/>
        <v>9.1514815216473533E-3</v>
      </c>
      <c r="AJ15" s="134">
        <f t="shared" si="11"/>
        <v>0.1487557467511067</v>
      </c>
      <c r="AK15" s="134">
        <f t="shared" si="12"/>
        <v>0.66109387526827712</v>
      </c>
      <c r="AL15" s="134">
        <f t="shared" si="13"/>
        <v>0</v>
      </c>
      <c r="AM15" s="134">
        <f t="shared" si="14"/>
        <v>0</v>
      </c>
      <c r="AN15" s="135">
        <f t="shared" si="15"/>
        <v>0</v>
      </c>
      <c r="AO15" s="134">
        <f t="shared" si="24"/>
        <v>0</v>
      </c>
      <c r="AP15" s="134">
        <f t="shared" si="2"/>
        <v>9.1514815216473533E-3</v>
      </c>
      <c r="AQ15" s="136" t="s">
        <v>113</v>
      </c>
      <c r="AR15" s="137">
        <f t="shared" si="3"/>
        <v>1.1173955055835736</v>
      </c>
      <c r="AS15" s="137">
        <f t="shared" si="3"/>
        <v>18.163070368030851</v>
      </c>
      <c r="AT15" s="137">
        <f t="shared" si="3"/>
        <v>80.719534126385568</v>
      </c>
      <c r="AU15" s="137">
        <f t="shared" si="3"/>
        <v>0</v>
      </c>
      <c r="AV15" s="137">
        <f t="shared" si="3"/>
        <v>0</v>
      </c>
      <c r="AW15" s="138">
        <f t="shared" si="3"/>
        <v>0</v>
      </c>
      <c r="AX15" s="137">
        <f t="shared" si="3"/>
        <v>0</v>
      </c>
      <c r="AY15" s="137">
        <f t="shared" si="3"/>
        <v>1.1173955055835736</v>
      </c>
      <c r="AZ15" s="139" t="s">
        <v>113</v>
      </c>
      <c r="BA15" s="139" t="s">
        <v>113</v>
      </c>
      <c r="BB15" s="139" t="s">
        <v>113</v>
      </c>
      <c r="BC15" s="139" t="s">
        <v>113</v>
      </c>
      <c r="BD15" s="139" t="s">
        <v>113</v>
      </c>
      <c r="BE15" s="139" t="s">
        <v>113</v>
      </c>
      <c r="BF15" s="139" t="s">
        <v>113</v>
      </c>
      <c r="BG15" s="139" t="s">
        <v>113</v>
      </c>
      <c r="BH15" s="140">
        <v>982223065.0655998</v>
      </c>
      <c r="BI15" s="140">
        <v>71676852.216000006</v>
      </c>
      <c r="BJ15" s="140">
        <v>121310616.26280002</v>
      </c>
      <c r="BK15" s="140">
        <v>14212491.223200001</v>
      </c>
      <c r="BL15" s="141">
        <f t="shared" si="25"/>
        <v>0.82579792438229904</v>
      </c>
      <c r="BM15" s="141">
        <f t="shared" si="4"/>
        <v>6.0261867076269918E-2</v>
      </c>
      <c r="BN15" s="141">
        <f t="shared" si="16"/>
        <v>0.10199114506506446</v>
      </c>
      <c r="BO15" s="141">
        <f t="shared" si="16"/>
        <v>1.194906347636659E-2</v>
      </c>
      <c r="BP15" s="139" t="s">
        <v>113</v>
      </c>
      <c r="BQ15" s="139" t="s">
        <v>113</v>
      </c>
      <c r="BR15" s="139" t="s">
        <v>113</v>
      </c>
      <c r="BS15" s="131">
        <f t="shared" si="17"/>
        <v>5.1844601326604334</v>
      </c>
      <c r="BT15" s="139"/>
      <c r="BU15" s="139"/>
      <c r="BV15" s="139"/>
      <c r="BW15" s="139"/>
      <c r="BX15" s="139"/>
      <c r="BY15" s="139"/>
      <c r="BZ15" s="139"/>
      <c r="CA15" s="139"/>
      <c r="CB15" s="139"/>
      <c r="CC15" s="142" t="s">
        <v>113</v>
      </c>
      <c r="CD15" s="142" t="s">
        <v>113</v>
      </c>
      <c r="CE15" s="142" t="s">
        <v>113</v>
      </c>
      <c r="CF15" s="142" t="s">
        <v>113</v>
      </c>
      <c r="CG15" s="142" t="s">
        <v>113</v>
      </c>
      <c r="CH15" s="142" t="s">
        <v>113</v>
      </c>
      <c r="CI15" s="142" t="s">
        <v>113</v>
      </c>
      <c r="CJ15" s="142"/>
      <c r="CK15" s="139" t="s">
        <v>113</v>
      </c>
      <c r="CL15" s="139" t="s">
        <v>113</v>
      </c>
      <c r="CM15" s="139" t="s">
        <v>113</v>
      </c>
      <c r="CN15" s="139" t="s">
        <v>113</v>
      </c>
      <c r="CO15" s="139" t="s">
        <v>113</v>
      </c>
      <c r="CP15" s="139" t="s">
        <v>113</v>
      </c>
      <c r="CQ15" s="139" t="s">
        <v>113</v>
      </c>
      <c r="CR15" s="139"/>
      <c r="CS15" s="143" t="s">
        <v>113</v>
      </c>
      <c r="CT15" s="143" t="s">
        <v>113</v>
      </c>
      <c r="CU15" s="143" t="s">
        <v>113</v>
      </c>
      <c r="CV15" s="143" t="s">
        <v>113</v>
      </c>
      <c r="CW15" s="143" t="s">
        <v>113</v>
      </c>
      <c r="CX15" s="143" t="s">
        <v>113</v>
      </c>
      <c r="CY15" s="143" t="s">
        <v>113</v>
      </c>
      <c r="CZ15" s="143"/>
      <c r="DA15" s="139" t="s">
        <v>113</v>
      </c>
      <c r="DB15" s="139" t="s">
        <v>113</v>
      </c>
      <c r="DC15" s="139" t="s">
        <v>113</v>
      </c>
      <c r="DD15" s="144">
        <f t="shared" si="18"/>
        <v>0.13232217812521041</v>
      </c>
      <c r="DE15" s="145">
        <f>'[71]2. Distributional by deciles o'!H31</f>
        <v>0.9986767782187479</v>
      </c>
      <c r="DF15" s="1"/>
      <c r="DG15" s="1"/>
      <c r="DH15" s="1"/>
      <c r="DI15" s="1"/>
      <c r="DJ15" s="1"/>
      <c r="DK15" s="1"/>
      <c r="DL15" s="1"/>
      <c r="DM15" s="1"/>
      <c r="DN15" s="1"/>
      <c r="DO15" s="1"/>
      <c r="DP15" s="1"/>
      <c r="DQ15" s="1"/>
      <c r="DR15" s="1"/>
      <c r="DS15" s="1"/>
      <c r="DT15" s="1"/>
      <c r="DU15" s="1"/>
      <c r="DV15" s="1"/>
      <c r="DW15" s="1"/>
      <c r="DX15" s="1"/>
      <c r="DY15" s="1"/>
      <c r="DZ15" s="1"/>
      <c r="EA15" s="146">
        <v>168027288.06839994</v>
      </c>
      <c r="EB15" s="146">
        <v>172132974.84600011</v>
      </c>
      <c r="EC15" s="146">
        <v>169718825.14919987</v>
      </c>
      <c r="ED15" s="146">
        <v>171348320.99040008</v>
      </c>
      <c r="EE15" s="146">
        <v>169718825.14919987</v>
      </c>
      <c r="EF15" s="147"/>
      <c r="EG15" s="129"/>
      <c r="EH15" s="122"/>
      <c r="EI15" s="130" t="s">
        <v>113</v>
      </c>
      <c r="EJ15" s="130" t="s">
        <v>113</v>
      </c>
      <c r="EK15" s="130" t="s">
        <v>113</v>
      </c>
      <c r="EL15" s="130" t="s">
        <v>113</v>
      </c>
      <c r="EM15" s="131">
        <f t="shared" si="5"/>
        <v>3.1524838820725467</v>
      </c>
      <c r="EN15" s="146">
        <v>1796047682.2224021</v>
      </c>
      <c r="EO15" s="146">
        <v>1813732913.9676003</v>
      </c>
      <c r="EP15" s="131">
        <f t="shared" si="6"/>
        <v>0.98467495714338327</v>
      </c>
      <c r="EQ15" s="130" t="s">
        <v>113</v>
      </c>
      <c r="ER15" s="130" t="s">
        <v>113</v>
      </c>
      <c r="ES15" s="130" t="s">
        <v>113</v>
      </c>
      <c r="ET15" s="130" t="s">
        <v>113</v>
      </c>
      <c r="EU15" s="131">
        <f t="shared" si="19"/>
        <v>5.2586724867382753</v>
      </c>
      <c r="EV15" s="132">
        <f t="shared" si="20"/>
        <v>2.4814932785771271</v>
      </c>
      <c r="EW15" s="132">
        <f t="shared" si="21"/>
        <v>1.0223716819729094</v>
      </c>
      <c r="EX15" s="132"/>
      <c r="EY15" s="148">
        <f t="shared" si="7"/>
        <v>0.66249217503609592</v>
      </c>
      <c r="EZ15" s="144">
        <f t="shared" si="22"/>
        <v>0.45728179265197566</v>
      </c>
      <c r="FA15" s="145">
        <v>0.99542718207348024</v>
      </c>
      <c r="FB15" s="130" t="s">
        <v>113</v>
      </c>
      <c r="FC15" s="130" t="s">
        <v>113</v>
      </c>
      <c r="FD15" s="130" t="s">
        <v>113</v>
      </c>
      <c r="FE15" s="130" t="s">
        <v>113</v>
      </c>
      <c r="FF15" s="130" t="s">
        <v>113</v>
      </c>
      <c r="FG15" s="130" t="s">
        <v>113</v>
      </c>
      <c r="FH15" s="130" t="s">
        <v>113</v>
      </c>
      <c r="FI15" s="130" t="s">
        <v>113</v>
      </c>
      <c r="FJ15" s="1"/>
      <c r="FK15" s="1"/>
      <c r="FL15" s="1"/>
      <c r="FM15" s="1"/>
      <c r="FN15" s="1"/>
      <c r="FO15" s="1"/>
      <c r="FP15" s="1"/>
      <c r="FQ15" s="1"/>
    </row>
    <row r="16" spans="1:173" x14ac:dyDescent="0.3">
      <c r="A16" s="1"/>
      <c r="B16" s="28">
        <v>5</v>
      </c>
      <c r="C16" s="129">
        <v>208624151.69399992</v>
      </c>
      <c r="D16" s="129">
        <v>212044119.95039991</v>
      </c>
      <c r="E16" s="129">
        <v>210725449.40399975</v>
      </c>
      <c r="F16" s="129">
        <v>211786732.85399982</v>
      </c>
      <c r="G16" s="129">
        <v>210725449.40399975</v>
      </c>
      <c r="H16" s="129">
        <v>210725449.40399975</v>
      </c>
      <c r="I16" s="129"/>
      <c r="J16" s="122"/>
      <c r="K16" s="130" t="s">
        <v>113</v>
      </c>
      <c r="L16" s="130" t="s">
        <v>113</v>
      </c>
      <c r="M16" s="130" t="s">
        <v>113</v>
      </c>
      <c r="N16" s="130" t="s">
        <v>113</v>
      </c>
      <c r="O16" s="131">
        <f t="shared" si="8"/>
        <v>5.9022294836347582</v>
      </c>
      <c r="P16" s="129">
        <v>1696971154.9079998</v>
      </c>
      <c r="Q16" s="129">
        <v>1713959168.2139983</v>
      </c>
      <c r="R16" s="131">
        <f t="shared" si="0"/>
        <v>1.0010784954632701</v>
      </c>
      <c r="S16" s="130" t="s">
        <v>113</v>
      </c>
      <c r="T16" s="130" t="s">
        <v>113</v>
      </c>
      <c r="U16" s="130" t="s">
        <v>113</v>
      </c>
      <c r="V16" s="130" t="s">
        <v>113</v>
      </c>
      <c r="W16" s="132">
        <f t="shared" si="9"/>
        <v>1.6375303540218633</v>
      </c>
      <c r="X16" s="132">
        <f t="shared" si="9"/>
        <v>1.0061317898264464</v>
      </c>
      <c r="Y16" s="132">
        <f t="shared" si="9"/>
        <v>1.5142896829133095</v>
      </c>
      <c r="Z16" s="132">
        <f t="shared" si="9"/>
        <v>1.0061317898264464</v>
      </c>
      <c r="AA16" s="132">
        <f t="shared" si="9"/>
        <v>1.0061317898264464</v>
      </c>
      <c r="AB16" s="132">
        <f t="shared" si="1"/>
        <v>1.0061317898264464</v>
      </c>
      <c r="AC16" s="132">
        <f t="shared" si="1"/>
        <v>1.0061317898264464</v>
      </c>
      <c r="AD16" s="130" t="s">
        <v>113</v>
      </c>
      <c r="AE16" s="130" t="s">
        <v>113</v>
      </c>
      <c r="AF16" s="130" t="s">
        <v>113</v>
      </c>
      <c r="AG16" s="130" t="s">
        <v>113</v>
      </c>
      <c r="AH16" s="133">
        <f t="shared" si="10"/>
        <v>1</v>
      </c>
      <c r="AI16" s="134">
        <f t="shared" si="23"/>
        <v>6.1317898264463544E-3</v>
      </c>
      <c r="AJ16" s="134">
        <f t="shared" si="11"/>
        <v>0.12324067110855386</v>
      </c>
      <c r="AK16" s="134">
        <f t="shared" si="12"/>
        <v>0.5081578930868631</v>
      </c>
      <c r="AL16" s="134">
        <f t="shared" si="13"/>
        <v>0</v>
      </c>
      <c r="AM16" s="134">
        <f t="shared" si="14"/>
        <v>0</v>
      </c>
      <c r="AN16" s="135">
        <f t="shared" si="15"/>
        <v>0</v>
      </c>
      <c r="AO16" s="134">
        <f t="shared" si="24"/>
        <v>0</v>
      </c>
      <c r="AP16" s="134">
        <f t="shared" si="2"/>
        <v>6.1317898264463544E-3</v>
      </c>
      <c r="AQ16" s="136" t="s">
        <v>113</v>
      </c>
      <c r="AR16" s="137">
        <f t="shared" si="3"/>
        <v>0.96180358907837549</v>
      </c>
      <c r="AS16" s="137">
        <f t="shared" si="3"/>
        <v>19.330949551043254</v>
      </c>
      <c r="AT16" s="137">
        <f t="shared" si="3"/>
        <v>79.707246859878367</v>
      </c>
      <c r="AU16" s="137">
        <f t="shared" si="3"/>
        <v>0</v>
      </c>
      <c r="AV16" s="137">
        <f t="shared" si="3"/>
        <v>0</v>
      </c>
      <c r="AW16" s="138">
        <f t="shared" si="3"/>
        <v>0</v>
      </c>
      <c r="AX16" s="137">
        <f t="shared" si="3"/>
        <v>0</v>
      </c>
      <c r="AY16" s="137">
        <f t="shared" si="3"/>
        <v>0.96180358907837549</v>
      </c>
      <c r="AZ16" s="139" t="s">
        <v>113</v>
      </c>
      <c r="BA16" s="139" t="s">
        <v>113</v>
      </c>
      <c r="BB16" s="139" t="s">
        <v>113</v>
      </c>
      <c r="BC16" s="139" t="s">
        <v>113</v>
      </c>
      <c r="BD16" s="139" t="s">
        <v>113</v>
      </c>
      <c r="BE16" s="139" t="s">
        <v>113</v>
      </c>
      <c r="BF16" s="139" t="s">
        <v>113</v>
      </c>
      <c r="BG16" s="139" t="s">
        <v>113</v>
      </c>
      <c r="BH16" s="140">
        <v>1426014335.3195987</v>
      </c>
      <c r="BI16" s="140">
        <v>63199810.466399997</v>
      </c>
      <c r="BJ16" s="140">
        <v>193226597.27160004</v>
      </c>
      <c r="BK16" s="140">
        <v>14530781.642400004</v>
      </c>
      <c r="BL16" s="141">
        <f t="shared" si="25"/>
        <v>0.84032897108965843</v>
      </c>
      <c r="BM16" s="141">
        <f t="shared" si="4"/>
        <v>3.7242705340959012E-2</v>
      </c>
      <c r="BN16" s="141">
        <f t="shared" si="16"/>
        <v>0.11386555075269154</v>
      </c>
      <c r="BO16" s="141">
        <f t="shared" si="16"/>
        <v>8.5627728166911034E-3</v>
      </c>
      <c r="BP16" s="139" t="s">
        <v>113</v>
      </c>
      <c r="BQ16" s="139" t="s">
        <v>113</v>
      </c>
      <c r="BR16" s="139" t="s">
        <v>113</v>
      </c>
      <c r="BS16" s="131">
        <f t="shared" si="17"/>
        <v>7.3967692004030958</v>
      </c>
      <c r="BT16" s="139"/>
      <c r="BU16" s="139"/>
      <c r="BV16" s="139"/>
      <c r="BW16" s="139"/>
      <c r="BX16" s="139"/>
      <c r="BY16" s="139"/>
      <c r="BZ16" s="139"/>
      <c r="CA16" s="139"/>
      <c r="CB16" s="139"/>
      <c r="CC16" s="142" t="s">
        <v>113</v>
      </c>
      <c r="CD16" s="142" t="s">
        <v>113</v>
      </c>
      <c r="CE16" s="142" t="s">
        <v>113</v>
      </c>
      <c r="CF16" s="142" t="s">
        <v>113</v>
      </c>
      <c r="CG16" s="142" t="s">
        <v>113</v>
      </c>
      <c r="CH16" s="142" t="s">
        <v>113</v>
      </c>
      <c r="CI16" s="142" t="s">
        <v>113</v>
      </c>
      <c r="CJ16" s="142"/>
      <c r="CK16" s="139" t="s">
        <v>113</v>
      </c>
      <c r="CL16" s="139" t="s">
        <v>113</v>
      </c>
      <c r="CM16" s="139" t="s">
        <v>113</v>
      </c>
      <c r="CN16" s="139" t="s">
        <v>113</v>
      </c>
      <c r="CO16" s="139" t="s">
        <v>113</v>
      </c>
      <c r="CP16" s="139" t="s">
        <v>113</v>
      </c>
      <c r="CQ16" s="139" t="s">
        <v>113</v>
      </c>
      <c r="CR16" s="139"/>
      <c r="CS16" s="143" t="s">
        <v>113</v>
      </c>
      <c r="CT16" s="143" t="s">
        <v>113</v>
      </c>
      <c r="CU16" s="143" t="s">
        <v>113</v>
      </c>
      <c r="CV16" s="143" t="s">
        <v>113</v>
      </c>
      <c r="CW16" s="143" t="s">
        <v>113</v>
      </c>
      <c r="CX16" s="143" t="s">
        <v>113</v>
      </c>
      <c r="CY16" s="143" t="s">
        <v>113</v>
      </c>
      <c r="CZ16" s="143"/>
      <c r="DA16" s="139" t="s">
        <v>113</v>
      </c>
      <c r="DB16" s="139" t="s">
        <v>113</v>
      </c>
      <c r="DC16" s="139" t="s">
        <v>113</v>
      </c>
      <c r="DD16" s="144">
        <f t="shared" si="18"/>
        <v>0.28189678134237228</v>
      </c>
      <c r="DE16" s="145">
        <f>'[71]2. Distributional by deciles o'!H32</f>
        <v>0.99718103218657628</v>
      </c>
      <c r="DF16" s="1"/>
      <c r="DG16" s="1"/>
      <c r="DH16" s="1"/>
      <c r="DI16" s="1"/>
      <c r="DJ16" s="1"/>
      <c r="DK16" s="1"/>
      <c r="DL16" s="1"/>
      <c r="DM16" s="1"/>
      <c r="DN16" s="1"/>
      <c r="DO16" s="1"/>
      <c r="DP16" s="1"/>
      <c r="DQ16" s="1"/>
      <c r="DR16" s="1"/>
      <c r="DS16" s="1"/>
      <c r="DT16" s="1"/>
      <c r="DU16" s="1"/>
      <c r="DV16" s="1"/>
      <c r="DW16" s="1"/>
      <c r="DX16" s="1"/>
      <c r="DY16" s="1"/>
      <c r="DZ16" s="1"/>
      <c r="EA16" s="146">
        <v>289270925.9508003</v>
      </c>
      <c r="EB16" s="146">
        <v>295168121.76360005</v>
      </c>
      <c r="EC16" s="146">
        <v>292203680.07719994</v>
      </c>
      <c r="ED16" s="146">
        <v>294141337.55640024</v>
      </c>
      <c r="EE16" s="146">
        <v>292203680.07719994</v>
      </c>
      <c r="EF16" s="147"/>
      <c r="EG16" s="129"/>
      <c r="EH16" s="122"/>
      <c r="EI16" s="130" t="s">
        <v>113</v>
      </c>
      <c r="EJ16" s="130" t="s">
        <v>113</v>
      </c>
      <c r="EK16" s="130" t="s">
        <v>113</v>
      </c>
      <c r="EL16" s="130" t="s">
        <v>113</v>
      </c>
      <c r="EM16" s="131">
        <f t="shared" si="5"/>
        <v>5.4272251971410572</v>
      </c>
      <c r="EN16" s="146">
        <v>2507518913.8956003</v>
      </c>
      <c r="EO16" s="146">
        <v>2532558740.4804001</v>
      </c>
      <c r="EP16" s="131">
        <f t="shared" si="6"/>
        <v>0.99858973928530492</v>
      </c>
      <c r="EQ16" s="130" t="s">
        <v>113</v>
      </c>
      <c r="ER16" s="130" t="s">
        <v>113</v>
      </c>
      <c r="ES16" s="130" t="s">
        <v>113</v>
      </c>
      <c r="ET16" s="130" t="s">
        <v>113</v>
      </c>
      <c r="EU16" s="131">
        <f t="shared" si="19"/>
        <v>7.3417988024472747</v>
      </c>
      <c r="EV16" s="132">
        <f t="shared" si="20"/>
        <v>2.0415201154714762</v>
      </c>
      <c r="EW16" s="132">
        <f t="shared" si="21"/>
        <v>1.0152751804139799</v>
      </c>
      <c r="EX16" s="132"/>
      <c r="EY16" s="148">
        <f t="shared" si="7"/>
        <v>0.40398976144961285</v>
      </c>
      <c r="EZ16" s="144">
        <f t="shared" si="22"/>
        <v>0.18755009062629835</v>
      </c>
      <c r="FA16" s="145">
        <v>0.99812449909373702</v>
      </c>
      <c r="FB16" s="130" t="s">
        <v>113</v>
      </c>
      <c r="FC16" s="130" t="s">
        <v>113</v>
      </c>
      <c r="FD16" s="130" t="s">
        <v>113</v>
      </c>
      <c r="FE16" s="130" t="s">
        <v>113</v>
      </c>
      <c r="FF16" s="130" t="s">
        <v>113</v>
      </c>
      <c r="FG16" s="130" t="s">
        <v>113</v>
      </c>
      <c r="FH16" s="130" t="s">
        <v>113</v>
      </c>
      <c r="FI16" s="130" t="s">
        <v>113</v>
      </c>
      <c r="FJ16" s="1"/>
      <c r="FK16" s="1"/>
      <c r="FL16" s="1"/>
      <c r="FM16" s="1"/>
      <c r="FN16" s="1"/>
      <c r="FO16" s="1"/>
      <c r="FP16" s="1"/>
      <c r="FQ16" s="1"/>
    </row>
    <row r="17" spans="1:173" x14ac:dyDescent="0.3">
      <c r="A17" s="1"/>
      <c r="B17" s="28">
        <v>6</v>
      </c>
      <c r="C17" s="129">
        <v>266723486.64959997</v>
      </c>
      <c r="D17" s="129">
        <v>270811992.00840014</v>
      </c>
      <c r="E17" s="129">
        <v>269423646.87000012</v>
      </c>
      <c r="F17" s="129">
        <v>270487732.92600012</v>
      </c>
      <c r="G17" s="129">
        <v>269423646.87000012</v>
      </c>
      <c r="H17" s="129">
        <v>269423646.87000012</v>
      </c>
      <c r="I17" s="129"/>
      <c r="J17" s="122"/>
      <c r="K17" s="130" t="s">
        <v>113</v>
      </c>
      <c r="L17" s="130" t="s">
        <v>113</v>
      </c>
      <c r="M17" s="130" t="s">
        <v>113</v>
      </c>
      <c r="N17" s="130" t="s">
        <v>113</v>
      </c>
      <c r="O17" s="131">
        <f t="shared" si="8"/>
        <v>7.5459299131875488</v>
      </c>
      <c r="P17" s="129">
        <v>2007690499.7219989</v>
      </c>
      <c r="Q17" s="129">
        <v>2027793568.7232003</v>
      </c>
      <c r="R17" s="131">
        <f t="shared" si="0"/>
        <v>1.0013031891113133</v>
      </c>
      <c r="S17" s="130" t="s">
        <v>113</v>
      </c>
      <c r="T17" s="130" t="s">
        <v>113</v>
      </c>
      <c r="U17" s="130" t="s">
        <v>113</v>
      </c>
      <c r="V17" s="130" t="s">
        <v>113</v>
      </c>
      <c r="W17" s="132">
        <f t="shared" si="9"/>
        <v>1.530867884528863</v>
      </c>
      <c r="X17" s="132">
        <f t="shared" si="9"/>
        <v>1.0110268182957769</v>
      </c>
      <c r="Y17" s="132">
        <f t="shared" si="9"/>
        <v>1.4094548565516489</v>
      </c>
      <c r="Z17" s="132">
        <f t="shared" si="9"/>
        <v>1.0110268182957769</v>
      </c>
      <c r="AA17" s="132">
        <f t="shared" si="9"/>
        <v>1.0110268182957769</v>
      </c>
      <c r="AB17" s="132">
        <f t="shared" si="1"/>
        <v>1.0110268182957769</v>
      </c>
      <c r="AC17" s="132">
        <f t="shared" si="1"/>
        <v>1.0110268182957769</v>
      </c>
      <c r="AD17" s="130" t="s">
        <v>113</v>
      </c>
      <c r="AE17" s="130" t="s">
        <v>113</v>
      </c>
      <c r="AF17" s="130" t="s">
        <v>113</v>
      </c>
      <c r="AG17" s="130" t="s">
        <v>113</v>
      </c>
      <c r="AH17" s="133">
        <f t="shared" si="10"/>
        <v>1</v>
      </c>
      <c r="AI17" s="134">
        <f t="shared" si="23"/>
        <v>1.1026818295776897E-2</v>
      </c>
      <c r="AJ17" s="134">
        <f t="shared" si="11"/>
        <v>0.12141302797721409</v>
      </c>
      <c r="AK17" s="134">
        <f t="shared" si="12"/>
        <v>0.39842803825587203</v>
      </c>
      <c r="AL17" s="134">
        <f t="shared" si="13"/>
        <v>0</v>
      </c>
      <c r="AM17" s="134">
        <f t="shared" si="14"/>
        <v>0</v>
      </c>
      <c r="AN17" s="135">
        <f t="shared" si="15"/>
        <v>0</v>
      </c>
      <c r="AO17" s="134">
        <f t="shared" si="24"/>
        <v>0</v>
      </c>
      <c r="AP17" s="134">
        <f t="shared" si="2"/>
        <v>1.1026818295776897E-2</v>
      </c>
      <c r="AQ17" s="136" t="s">
        <v>113</v>
      </c>
      <c r="AR17" s="137">
        <f t="shared" si="3"/>
        <v>2.0771304155200547</v>
      </c>
      <c r="AS17" s="137">
        <f t="shared" si="3"/>
        <v>22.870667357277842</v>
      </c>
      <c r="AT17" s="137">
        <f t="shared" si="3"/>
        <v>75.052202227202102</v>
      </c>
      <c r="AU17" s="137">
        <f t="shared" si="3"/>
        <v>0</v>
      </c>
      <c r="AV17" s="137">
        <f t="shared" si="3"/>
        <v>0</v>
      </c>
      <c r="AW17" s="138">
        <f t="shared" si="3"/>
        <v>0</v>
      </c>
      <c r="AX17" s="137">
        <f t="shared" si="3"/>
        <v>0</v>
      </c>
      <c r="AY17" s="137">
        <f t="shared" si="3"/>
        <v>2.0771304155200547</v>
      </c>
      <c r="AZ17" s="139" t="s">
        <v>113</v>
      </c>
      <c r="BA17" s="139" t="s">
        <v>113</v>
      </c>
      <c r="BB17" s="139" t="s">
        <v>113</v>
      </c>
      <c r="BC17" s="139" t="s">
        <v>113</v>
      </c>
      <c r="BD17" s="139" t="s">
        <v>113</v>
      </c>
      <c r="BE17" s="139" t="s">
        <v>113</v>
      </c>
      <c r="BF17" s="139" t="s">
        <v>113</v>
      </c>
      <c r="BG17" s="139" t="s">
        <v>113</v>
      </c>
      <c r="BH17" s="140">
        <v>1660763480.0520008</v>
      </c>
      <c r="BI17" s="140">
        <v>82867007.539199933</v>
      </c>
      <c r="BJ17" s="140">
        <v>236498341.57800013</v>
      </c>
      <c r="BK17" s="140">
        <v>27562572.251999997</v>
      </c>
      <c r="BL17" s="141">
        <f t="shared" si="25"/>
        <v>0.82720057419002879</v>
      </c>
      <c r="BM17" s="141">
        <f t="shared" si="4"/>
        <v>4.1274773344419466E-2</v>
      </c>
      <c r="BN17" s="141">
        <f t="shared" si="16"/>
        <v>0.11779616200507116</v>
      </c>
      <c r="BO17" s="141">
        <f t="shared" si="16"/>
        <v>1.3728490460480657E-2</v>
      </c>
      <c r="BP17" s="139" t="s">
        <v>113</v>
      </c>
      <c r="BQ17" s="139" t="s">
        <v>113</v>
      </c>
      <c r="BR17" s="139" t="s">
        <v>113</v>
      </c>
      <c r="BS17" s="131">
        <f t="shared" si="17"/>
        <v>8.7511347551990006</v>
      </c>
      <c r="BT17" s="139"/>
      <c r="BU17" s="139"/>
      <c r="BV17" s="139"/>
      <c r="BW17" s="139"/>
      <c r="BX17" s="139"/>
      <c r="BY17" s="139"/>
      <c r="BZ17" s="139"/>
      <c r="CA17" s="139"/>
      <c r="CB17" s="139"/>
      <c r="CC17" s="142" t="s">
        <v>113</v>
      </c>
      <c r="CD17" s="142" t="s">
        <v>113</v>
      </c>
      <c r="CE17" s="142" t="s">
        <v>113</v>
      </c>
      <c r="CF17" s="142" t="s">
        <v>113</v>
      </c>
      <c r="CG17" s="142" t="s">
        <v>113</v>
      </c>
      <c r="CH17" s="142" t="s">
        <v>113</v>
      </c>
      <c r="CI17" s="142" t="s">
        <v>113</v>
      </c>
      <c r="CJ17" s="142"/>
      <c r="CK17" s="139" t="s">
        <v>113</v>
      </c>
      <c r="CL17" s="139" t="s">
        <v>113</v>
      </c>
      <c r="CM17" s="139" t="s">
        <v>113</v>
      </c>
      <c r="CN17" s="139" t="s">
        <v>113</v>
      </c>
      <c r="CO17" s="139" t="s">
        <v>113</v>
      </c>
      <c r="CP17" s="139" t="s">
        <v>113</v>
      </c>
      <c r="CQ17" s="139" t="s">
        <v>113</v>
      </c>
      <c r="CR17" s="139"/>
      <c r="CS17" s="143" t="s">
        <v>113</v>
      </c>
      <c r="CT17" s="143" t="s">
        <v>113</v>
      </c>
      <c r="CU17" s="143" t="s">
        <v>113</v>
      </c>
      <c r="CV17" s="143" t="s">
        <v>113</v>
      </c>
      <c r="CW17" s="143" t="s">
        <v>113</v>
      </c>
      <c r="CX17" s="143" t="s">
        <v>113</v>
      </c>
      <c r="CY17" s="143" t="s">
        <v>113</v>
      </c>
      <c r="CZ17" s="143"/>
      <c r="DA17" s="139" t="s">
        <v>113</v>
      </c>
      <c r="DB17" s="139" t="s">
        <v>113</v>
      </c>
      <c r="DC17" s="139" t="s">
        <v>113</v>
      </c>
      <c r="DD17" s="144">
        <f t="shared" si="18"/>
        <v>1.608804961002186</v>
      </c>
      <c r="DE17" s="145">
        <f>'[71]2. Distributional by deciles o'!H33</f>
        <v>0.98391195038997814</v>
      </c>
      <c r="DF17" s="1"/>
      <c r="DG17" s="1"/>
      <c r="DH17" s="1"/>
      <c r="DI17" s="1"/>
      <c r="DJ17" s="1"/>
      <c r="DK17" s="1"/>
      <c r="DL17" s="1"/>
      <c r="DM17" s="1"/>
      <c r="DN17" s="1"/>
      <c r="DO17" s="1"/>
      <c r="DP17" s="1"/>
      <c r="DQ17" s="1"/>
      <c r="DR17" s="1"/>
      <c r="DS17" s="1"/>
      <c r="DT17" s="1"/>
      <c r="DU17" s="1"/>
      <c r="DV17" s="1"/>
      <c r="DW17" s="1"/>
      <c r="DX17" s="1"/>
      <c r="DY17" s="1"/>
      <c r="DZ17" s="1"/>
      <c r="EA17" s="146">
        <v>406858505.43839997</v>
      </c>
      <c r="EB17" s="146">
        <v>414056397.1103999</v>
      </c>
      <c r="EC17" s="146">
        <v>410979399.20159996</v>
      </c>
      <c r="ED17" s="146">
        <v>412967135.63639998</v>
      </c>
      <c r="EE17" s="146">
        <v>410979399.20159996</v>
      </c>
      <c r="EF17" s="147"/>
      <c r="EG17" s="129"/>
      <c r="EH17" s="122"/>
      <c r="EI17" s="130" t="s">
        <v>113</v>
      </c>
      <c r="EJ17" s="130" t="s">
        <v>113</v>
      </c>
      <c r="EK17" s="130" t="s">
        <v>113</v>
      </c>
      <c r="EL17" s="130" t="s">
        <v>113</v>
      </c>
      <c r="EM17" s="131">
        <f t="shared" si="5"/>
        <v>7.6333725040932583</v>
      </c>
      <c r="EN17" s="146">
        <v>3046530456.760797</v>
      </c>
      <c r="EO17" s="146">
        <v>3076854094.2996016</v>
      </c>
      <c r="EP17" s="131">
        <f t="shared" si="6"/>
        <v>0.99534988962644011</v>
      </c>
      <c r="EQ17" s="130" t="s">
        <v>113</v>
      </c>
      <c r="ER17" s="130" t="s">
        <v>113</v>
      </c>
      <c r="ES17" s="130" t="s">
        <v>113</v>
      </c>
      <c r="ET17" s="130" t="s">
        <v>113</v>
      </c>
      <c r="EU17" s="131">
        <f t="shared" si="19"/>
        <v>8.919978044878194</v>
      </c>
      <c r="EV17" s="132">
        <f t="shared" si="20"/>
        <v>1.7774039222512703</v>
      </c>
      <c r="EW17" s="132">
        <f t="shared" si="21"/>
        <v>1.017588631735735</v>
      </c>
      <c r="EX17" s="132"/>
      <c r="EY17" s="148">
        <f t="shared" si="7"/>
        <v>0.24653603772240729</v>
      </c>
      <c r="EZ17" s="144">
        <f t="shared" si="22"/>
        <v>1.7120694422918414</v>
      </c>
      <c r="FA17" s="145">
        <v>0.98287930557708159</v>
      </c>
      <c r="FB17" s="130" t="s">
        <v>113</v>
      </c>
      <c r="FC17" s="130" t="s">
        <v>113</v>
      </c>
      <c r="FD17" s="130" t="s">
        <v>113</v>
      </c>
      <c r="FE17" s="130" t="s">
        <v>113</v>
      </c>
      <c r="FF17" s="130" t="s">
        <v>113</v>
      </c>
      <c r="FG17" s="130" t="s">
        <v>113</v>
      </c>
      <c r="FH17" s="130" t="s">
        <v>113</v>
      </c>
      <c r="FI17" s="130" t="s">
        <v>113</v>
      </c>
      <c r="FJ17" s="1"/>
      <c r="FK17" s="1"/>
      <c r="FL17" s="1"/>
      <c r="FM17" s="1"/>
      <c r="FN17" s="1"/>
      <c r="FO17" s="1"/>
      <c r="FP17" s="1"/>
      <c r="FQ17" s="1"/>
    </row>
    <row r="18" spans="1:173" x14ac:dyDescent="0.3">
      <c r="A18" s="1"/>
      <c r="B18" s="28">
        <v>7</v>
      </c>
      <c r="C18" s="129">
        <v>387577363.55399978</v>
      </c>
      <c r="D18" s="129">
        <v>393190203.09959984</v>
      </c>
      <c r="E18" s="129">
        <v>391492693.2288003</v>
      </c>
      <c r="F18" s="129">
        <v>392794473.30719972</v>
      </c>
      <c r="G18" s="129">
        <v>391492693.2288003</v>
      </c>
      <c r="H18" s="129">
        <v>391492693.2288003</v>
      </c>
      <c r="I18" s="129"/>
      <c r="J18" s="122"/>
      <c r="K18" s="130" t="s">
        <v>113</v>
      </c>
      <c r="L18" s="130" t="s">
        <v>113</v>
      </c>
      <c r="M18" s="130" t="s">
        <v>113</v>
      </c>
      <c r="N18" s="130" t="s">
        <v>113</v>
      </c>
      <c r="O18" s="131">
        <f t="shared" si="8"/>
        <v>10.965032206401231</v>
      </c>
      <c r="P18" s="129">
        <v>2580197510.7227993</v>
      </c>
      <c r="Q18" s="129">
        <v>2606003329.2648001</v>
      </c>
      <c r="R18" s="131">
        <f t="shared" si="0"/>
        <v>1.000148958936542</v>
      </c>
      <c r="S18" s="130" t="s">
        <v>113</v>
      </c>
      <c r="T18" s="130" t="s">
        <v>113</v>
      </c>
      <c r="U18" s="130" t="s">
        <v>113</v>
      </c>
      <c r="V18" s="130" t="s">
        <v>113</v>
      </c>
      <c r="W18" s="132">
        <f t="shared" si="9"/>
        <v>1.4479699062021951</v>
      </c>
      <c r="X18" s="132">
        <f t="shared" si="9"/>
        <v>1.0100555157354818</v>
      </c>
      <c r="Y18" s="132">
        <f t="shared" si="9"/>
        <v>1.3458816804961526</v>
      </c>
      <c r="Z18" s="132">
        <f t="shared" si="9"/>
        <v>1.0100555157354818</v>
      </c>
      <c r="AA18" s="132">
        <f t="shared" si="9"/>
        <v>1.0100555157354818</v>
      </c>
      <c r="AB18" s="132">
        <f t="shared" si="1"/>
        <v>1.0100555157354818</v>
      </c>
      <c r="AC18" s="132">
        <f t="shared" si="1"/>
        <v>1.0100555157354818</v>
      </c>
      <c r="AD18" s="130" t="s">
        <v>113</v>
      </c>
      <c r="AE18" s="130" t="s">
        <v>113</v>
      </c>
      <c r="AF18" s="130" t="s">
        <v>113</v>
      </c>
      <c r="AG18" s="130" t="s">
        <v>113</v>
      </c>
      <c r="AH18" s="133">
        <f t="shared" si="10"/>
        <v>1</v>
      </c>
      <c r="AI18" s="134">
        <f t="shared" si="23"/>
        <v>1.0055515735481801E-2</v>
      </c>
      <c r="AJ18" s="134">
        <f t="shared" si="11"/>
        <v>0.10208822570604248</v>
      </c>
      <c r="AK18" s="134">
        <f t="shared" si="12"/>
        <v>0.33582616476067084</v>
      </c>
      <c r="AL18" s="134">
        <f t="shared" si="13"/>
        <v>0</v>
      </c>
      <c r="AM18" s="134">
        <f t="shared" si="14"/>
        <v>0</v>
      </c>
      <c r="AN18" s="135">
        <f t="shared" si="15"/>
        <v>0</v>
      </c>
      <c r="AO18" s="134">
        <f t="shared" si="24"/>
        <v>0</v>
      </c>
      <c r="AP18" s="134">
        <f t="shared" si="2"/>
        <v>1.0055515735481801E-2</v>
      </c>
      <c r="AQ18" s="136" t="s">
        <v>113</v>
      </c>
      <c r="AR18" s="137">
        <f t="shared" si="3"/>
        <v>2.2446855461186175</v>
      </c>
      <c r="AS18" s="137">
        <f t="shared" si="3"/>
        <v>22.78908120671036</v>
      </c>
      <c r="AT18" s="137">
        <f t="shared" si="3"/>
        <v>74.966233247171019</v>
      </c>
      <c r="AU18" s="137">
        <f t="shared" si="3"/>
        <v>0</v>
      </c>
      <c r="AV18" s="137">
        <f t="shared" si="3"/>
        <v>0</v>
      </c>
      <c r="AW18" s="138">
        <f t="shared" si="3"/>
        <v>0</v>
      </c>
      <c r="AX18" s="137">
        <f t="shared" si="3"/>
        <v>0</v>
      </c>
      <c r="AY18" s="137">
        <f t="shared" si="3"/>
        <v>2.2446855461186175</v>
      </c>
      <c r="AZ18" s="139" t="s">
        <v>113</v>
      </c>
      <c r="BA18" s="139" t="s">
        <v>113</v>
      </c>
      <c r="BB18" s="139" t="s">
        <v>113</v>
      </c>
      <c r="BC18" s="139" t="s">
        <v>113</v>
      </c>
      <c r="BD18" s="139" t="s">
        <v>113</v>
      </c>
      <c r="BE18" s="139" t="s">
        <v>113</v>
      </c>
      <c r="BF18" s="139" t="s">
        <v>113</v>
      </c>
      <c r="BG18" s="139" t="s">
        <v>113</v>
      </c>
      <c r="BH18" s="140">
        <v>2323904401.1196003</v>
      </c>
      <c r="BI18" s="140">
        <v>76400644.709999993</v>
      </c>
      <c r="BJ18" s="140">
        <v>150190557.82080004</v>
      </c>
      <c r="BK18" s="140">
        <v>29702594.091600008</v>
      </c>
      <c r="BL18" s="141">
        <f t="shared" si="25"/>
        <v>0.90066894983234647</v>
      </c>
      <c r="BM18" s="141">
        <f t="shared" si="4"/>
        <v>2.9610378294528002E-2</v>
      </c>
      <c r="BN18" s="141">
        <f t="shared" si="16"/>
        <v>5.8208922846406053E-2</v>
      </c>
      <c r="BO18" s="141">
        <f t="shared" si="16"/>
        <v>1.151174902671955E-2</v>
      </c>
      <c r="BP18" s="139" t="s">
        <v>113</v>
      </c>
      <c r="BQ18" s="139" t="s">
        <v>113</v>
      </c>
      <c r="BR18" s="139" t="s">
        <v>113</v>
      </c>
      <c r="BS18" s="131">
        <f t="shared" si="17"/>
        <v>11.246582137282013</v>
      </c>
      <c r="BT18" s="139"/>
      <c r="BU18" s="139"/>
      <c r="BV18" s="139"/>
      <c r="BW18" s="139"/>
      <c r="BX18" s="139"/>
      <c r="BY18" s="139"/>
      <c r="BZ18" s="139"/>
      <c r="CA18" s="139"/>
      <c r="CB18" s="139"/>
      <c r="CC18" s="142" t="s">
        <v>113</v>
      </c>
      <c r="CD18" s="142" t="s">
        <v>113</v>
      </c>
      <c r="CE18" s="142" t="s">
        <v>113</v>
      </c>
      <c r="CF18" s="142" t="s">
        <v>113</v>
      </c>
      <c r="CG18" s="142" t="s">
        <v>113</v>
      </c>
      <c r="CH18" s="142" t="s">
        <v>113</v>
      </c>
      <c r="CI18" s="142" t="s">
        <v>113</v>
      </c>
      <c r="CJ18" s="142"/>
      <c r="CK18" s="139" t="s">
        <v>113</v>
      </c>
      <c r="CL18" s="139" t="s">
        <v>113</v>
      </c>
      <c r="CM18" s="139" t="s">
        <v>113</v>
      </c>
      <c r="CN18" s="139" t="s">
        <v>113</v>
      </c>
      <c r="CO18" s="139" t="s">
        <v>113</v>
      </c>
      <c r="CP18" s="139" t="s">
        <v>113</v>
      </c>
      <c r="CQ18" s="139" t="s">
        <v>113</v>
      </c>
      <c r="CR18" s="139"/>
      <c r="CS18" s="143" t="s">
        <v>113</v>
      </c>
      <c r="CT18" s="143" t="s">
        <v>113</v>
      </c>
      <c r="CU18" s="143" t="s">
        <v>113</v>
      </c>
      <c r="CV18" s="143" t="s">
        <v>113</v>
      </c>
      <c r="CW18" s="143" t="s">
        <v>113</v>
      </c>
      <c r="CX18" s="143" t="s">
        <v>113</v>
      </c>
      <c r="CY18" s="143" t="s">
        <v>113</v>
      </c>
      <c r="CZ18" s="143"/>
      <c r="DA18" s="139" t="s">
        <v>113</v>
      </c>
      <c r="DB18" s="139" t="s">
        <v>113</v>
      </c>
      <c r="DC18" s="139" t="s">
        <v>113</v>
      </c>
      <c r="DD18" s="144">
        <f t="shared" si="18"/>
        <v>4.5925329107909807E-2</v>
      </c>
      <c r="DE18" s="145">
        <f>'[71]2. Distributional by deciles o'!H34</f>
        <v>0.9995407467089209</v>
      </c>
      <c r="DF18" s="1"/>
      <c r="DG18" s="1"/>
      <c r="DH18" s="1"/>
      <c r="DI18" s="1"/>
      <c r="DJ18" s="1"/>
      <c r="DK18" s="1"/>
      <c r="DL18" s="1"/>
      <c r="DM18" s="1"/>
      <c r="DN18" s="1"/>
      <c r="DO18" s="1"/>
      <c r="DP18" s="1"/>
      <c r="DQ18" s="1"/>
      <c r="DR18" s="1"/>
      <c r="DS18" s="1"/>
      <c r="DT18" s="1"/>
      <c r="DU18" s="1"/>
      <c r="DV18" s="1"/>
      <c r="DW18" s="1"/>
      <c r="DX18" s="1"/>
      <c r="DY18" s="1"/>
      <c r="DZ18" s="1"/>
      <c r="EA18" s="146">
        <v>584500333.31160045</v>
      </c>
      <c r="EB18" s="146">
        <v>593904257.96519947</v>
      </c>
      <c r="EC18" s="146">
        <v>590437863.4907999</v>
      </c>
      <c r="ED18" s="146">
        <v>592702102.91159976</v>
      </c>
      <c r="EE18" s="146">
        <v>590437863.4907999</v>
      </c>
      <c r="EF18" s="147"/>
      <c r="EG18" s="129"/>
      <c r="EH18" s="122"/>
      <c r="EI18" s="130" t="s">
        <v>113</v>
      </c>
      <c r="EJ18" s="130" t="s">
        <v>113</v>
      </c>
      <c r="EK18" s="130" t="s">
        <v>113</v>
      </c>
      <c r="EL18" s="130" t="s">
        <v>113</v>
      </c>
      <c r="EM18" s="131">
        <f t="shared" si="5"/>
        <v>10.966241858767376</v>
      </c>
      <c r="EN18" s="146">
        <v>3828584650.0884008</v>
      </c>
      <c r="EO18" s="146">
        <v>3866830187.9496012</v>
      </c>
      <c r="EP18" s="131">
        <f t="shared" si="6"/>
        <v>0.99894716603214917</v>
      </c>
      <c r="EQ18" s="130" t="s">
        <v>113</v>
      </c>
      <c r="ER18" s="130" t="s">
        <v>113</v>
      </c>
      <c r="ES18" s="130" t="s">
        <v>113</v>
      </c>
      <c r="ET18" s="130" t="s">
        <v>113</v>
      </c>
      <c r="EU18" s="131">
        <f t="shared" si="19"/>
        <v>11.209765175975592</v>
      </c>
      <c r="EV18" s="132">
        <f t="shared" si="20"/>
        <v>1.6105783561189833</v>
      </c>
      <c r="EW18" s="132">
        <f t="shared" si="21"/>
        <v>1.0169007034485398</v>
      </c>
      <c r="EX18" s="132"/>
      <c r="EY18" s="148">
        <f t="shared" si="7"/>
        <v>0.16260844991678813</v>
      </c>
      <c r="EZ18" s="144">
        <f t="shared" si="22"/>
        <v>4.6303733505792533E-2</v>
      </c>
      <c r="FA18" s="145">
        <v>0.99953696266494207</v>
      </c>
      <c r="FB18" s="130" t="s">
        <v>113</v>
      </c>
      <c r="FC18" s="130" t="s">
        <v>113</v>
      </c>
      <c r="FD18" s="130" t="s">
        <v>113</v>
      </c>
      <c r="FE18" s="130" t="s">
        <v>113</v>
      </c>
      <c r="FF18" s="130" t="s">
        <v>113</v>
      </c>
      <c r="FG18" s="130" t="s">
        <v>113</v>
      </c>
      <c r="FH18" s="130" t="s">
        <v>113</v>
      </c>
      <c r="FI18" s="130" t="s">
        <v>113</v>
      </c>
      <c r="FJ18" s="1"/>
      <c r="FK18" s="1"/>
      <c r="FL18" s="1"/>
      <c r="FM18" s="1"/>
      <c r="FN18" s="1"/>
      <c r="FO18" s="1"/>
      <c r="FP18" s="1"/>
      <c r="FQ18" s="1"/>
    </row>
    <row r="19" spans="1:173" x14ac:dyDescent="0.3">
      <c r="A19" s="1"/>
      <c r="B19" s="28">
        <v>8</v>
      </c>
      <c r="C19" s="129">
        <v>505981294.00199986</v>
      </c>
      <c r="D19" s="129">
        <v>512941491.97800016</v>
      </c>
      <c r="E19" s="129">
        <v>511140193.08480012</v>
      </c>
      <c r="F19" s="129">
        <v>512473040.48400021</v>
      </c>
      <c r="G19" s="129">
        <v>511140193.08480012</v>
      </c>
      <c r="H19" s="129">
        <v>511140193.08480012</v>
      </c>
      <c r="I19" s="129"/>
      <c r="J19" s="122"/>
      <c r="K19" s="130" t="s">
        <v>113</v>
      </c>
      <c r="L19" s="130" t="s">
        <v>113</v>
      </c>
      <c r="M19" s="130" t="s">
        <v>113</v>
      </c>
      <c r="N19" s="130" t="s">
        <v>113</v>
      </c>
      <c r="O19" s="131">
        <f t="shared" si="8"/>
        <v>14.314822552312195</v>
      </c>
      <c r="P19" s="129">
        <v>3215973504.6695986</v>
      </c>
      <c r="Q19" s="129">
        <v>3248192177.5356002</v>
      </c>
      <c r="R19" s="131">
        <f t="shared" si="0"/>
        <v>1.001832658733659</v>
      </c>
      <c r="S19" s="130" t="s">
        <v>113</v>
      </c>
      <c r="T19" s="130" t="s">
        <v>113</v>
      </c>
      <c r="U19" s="130" t="s">
        <v>113</v>
      </c>
      <c r="V19" s="130" t="s">
        <v>113</v>
      </c>
      <c r="W19" s="132">
        <f t="shared" si="9"/>
        <v>1.373067685460025</v>
      </c>
      <c r="X19" s="132">
        <f t="shared" si="9"/>
        <v>1.0177178361258292</v>
      </c>
      <c r="Y19" s="132">
        <f t="shared" si="9"/>
        <v>1.2806542784226524</v>
      </c>
      <c r="Z19" s="132">
        <f t="shared" si="9"/>
        <v>1.0177178361258292</v>
      </c>
      <c r="AA19" s="132">
        <f t="shared" si="9"/>
        <v>1.0177178361258292</v>
      </c>
      <c r="AB19" s="132">
        <f t="shared" si="1"/>
        <v>1.0177178361258292</v>
      </c>
      <c r="AC19" s="132">
        <f t="shared" si="1"/>
        <v>1.0177178361258292</v>
      </c>
      <c r="AD19" s="130" t="s">
        <v>113</v>
      </c>
      <c r="AE19" s="130" t="s">
        <v>113</v>
      </c>
      <c r="AF19" s="130" t="s">
        <v>113</v>
      </c>
      <c r="AG19" s="130" t="s">
        <v>113</v>
      </c>
      <c r="AH19" s="133">
        <f t="shared" si="10"/>
        <v>1</v>
      </c>
      <c r="AI19" s="134">
        <f t="shared" si="23"/>
        <v>1.7717836125829223E-2</v>
      </c>
      <c r="AJ19" s="134">
        <f t="shared" si="11"/>
        <v>9.2413407037372552E-2</v>
      </c>
      <c r="AK19" s="134">
        <f t="shared" si="12"/>
        <v>0.26293644229682323</v>
      </c>
      <c r="AL19" s="134">
        <f t="shared" si="13"/>
        <v>0</v>
      </c>
      <c r="AM19" s="134">
        <f t="shared" si="14"/>
        <v>0</v>
      </c>
      <c r="AN19" s="135">
        <f t="shared" si="15"/>
        <v>0</v>
      </c>
      <c r="AO19" s="134">
        <f t="shared" si="24"/>
        <v>0</v>
      </c>
      <c r="AP19" s="134">
        <f t="shared" si="2"/>
        <v>1.7717836125829223E-2</v>
      </c>
      <c r="AQ19" s="136" t="s">
        <v>113</v>
      </c>
      <c r="AR19" s="137">
        <f t="shared" si="3"/>
        <v>4.7492283079896307</v>
      </c>
      <c r="AS19" s="137">
        <f t="shared" si="3"/>
        <v>24.771217298924928</v>
      </c>
      <c r="AT19" s="137">
        <f t="shared" si="3"/>
        <v>70.479554393085436</v>
      </c>
      <c r="AU19" s="137">
        <f t="shared" si="3"/>
        <v>0</v>
      </c>
      <c r="AV19" s="137">
        <f t="shared" si="3"/>
        <v>0</v>
      </c>
      <c r="AW19" s="138">
        <f t="shared" si="3"/>
        <v>0</v>
      </c>
      <c r="AX19" s="137">
        <f t="shared" si="3"/>
        <v>0</v>
      </c>
      <c r="AY19" s="137">
        <f t="shared" si="3"/>
        <v>4.7492283079896307</v>
      </c>
      <c r="AZ19" s="139" t="s">
        <v>113</v>
      </c>
      <c r="BA19" s="139" t="s">
        <v>113</v>
      </c>
      <c r="BB19" s="139" t="s">
        <v>113</v>
      </c>
      <c r="BC19" s="139" t="s">
        <v>113</v>
      </c>
      <c r="BD19" s="139" t="s">
        <v>113</v>
      </c>
      <c r="BE19" s="139" t="s">
        <v>113</v>
      </c>
      <c r="BF19" s="139" t="s">
        <v>113</v>
      </c>
      <c r="BG19" s="139" t="s">
        <v>113</v>
      </c>
      <c r="BH19" s="140">
        <v>2787585240.677999</v>
      </c>
      <c r="BI19" s="140">
        <v>89687561.501999989</v>
      </c>
      <c r="BJ19" s="140">
        <v>287673584.77199984</v>
      </c>
      <c r="BK19" s="140">
        <v>51028155.358800009</v>
      </c>
      <c r="BL19" s="141">
        <f t="shared" si="25"/>
        <v>0.86679331692564154</v>
      </c>
      <c r="BM19" s="141">
        <f t="shared" si="4"/>
        <v>2.7888144113714316E-2</v>
      </c>
      <c r="BN19" s="141">
        <f t="shared" si="16"/>
        <v>8.9451449626617857E-2</v>
      </c>
      <c r="BO19" s="141">
        <f t="shared" si="16"/>
        <v>1.586708933402637E-2</v>
      </c>
      <c r="BP19" s="139" t="s">
        <v>113</v>
      </c>
      <c r="BQ19" s="139" t="s">
        <v>113</v>
      </c>
      <c r="BR19" s="139" t="s">
        <v>113</v>
      </c>
      <c r="BS19" s="131">
        <f t="shared" si="17"/>
        <v>14.017806784666373</v>
      </c>
      <c r="BT19" s="139"/>
      <c r="BU19" s="139"/>
      <c r="BV19" s="139"/>
      <c r="BW19" s="139"/>
      <c r="BX19" s="139"/>
      <c r="BY19" s="139"/>
      <c r="BZ19" s="139"/>
      <c r="CA19" s="139"/>
      <c r="CB19" s="139"/>
      <c r="CC19" s="142" t="s">
        <v>113</v>
      </c>
      <c r="CD19" s="142" t="s">
        <v>113</v>
      </c>
      <c r="CE19" s="142" t="s">
        <v>113</v>
      </c>
      <c r="CF19" s="142" t="s">
        <v>113</v>
      </c>
      <c r="CG19" s="142" t="s">
        <v>113</v>
      </c>
      <c r="CH19" s="142" t="s">
        <v>113</v>
      </c>
      <c r="CI19" s="142" t="s">
        <v>113</v>
      </c>
      <c r="CJ19" s="142"/>
      <c r="CK19" s="139" t="s">
        <v>113</v>
      </c>
      <c r="CL19" s="139" t="s">
        <v>113</v>
      </c>
      <c r="CM19" s="139" t="s">
        <v>113</v>
      </c>
      <c r="CN19" s="139" t="s">
        <v>113</v>
      </c>
      <c r="CO19" s="139" t="s">
        <v>113</v>
      </c>
      <c r="CP19" s="139" t="s">
        <v>113</v>
      </c>
      <c r="CQ19" s="139" t="s">
        <v>113</v>
      </c>
      <c r="CR19" s="139"/>
      <c r="CS19" s="143" t="s">
        <v>113</v>
      </c>
      <c r="CT19" s="143" t="s">
        <v>113</v>
      </c>
      <c r="CU19" s="143" t="s">
        <v>113</v>
      </c>
      <c r="CV19" s="143" t="s">
        <v>113</v>
      </c>
      <c r="CW19" s="143" t="s">
        <v>113</v>
      </c>
      <c r="CX19" s="143" t="s">
        <v>113</v>
      </c>
      <c r="CY19" s="143" t="s">
        <v>113</v>
      </c>
      <c r="CZ19" s="143"/>
      <c r="DA19" s="139" t="s">
        <v>113</v>
      </c>
      <c r="DB19" s="139" t="s">
        <v>113</v>
      </c>
      <c r="DC19" s="139" t="s">
        <v>113</v>
      </c>
      <c r="DD19" s="144">
        <f t="shared" si="18"/>
        <v>0.11653690067813249</v>
      </c>
      <c r="DE19" s="145">
        <f>'[71]2. Distributional by deciles o'!H35</f>
        <v>0.99883463099321868</v>
      </c>
      <c r="DF19" s="1"/>
      <c r="DG19" s="1"/>
      <c r="DH19" s="1"/>
      <c r="DI19" s="1"/>
      <c r="DJ19" s="1"/>
      <c r="DK19" s="1"/>
      <c r="DL19" s="1"/>
      <c r="DM19" s="1"/>
      <c r="DN19" s="1"/>
      <c r="DO19" s="1"/>
      <c r="DP19" s="1"/>
      <c r="DQ19" s="1"/>
      <c r="DR19" s="1"/>
      <c r="DS19" s="1"/>
      <c r="DT19" s="1"/>
      <c r="DU19" s="1"/>
      <c r="DV19" s="1"/>
      <c r="DW19" s="1"/>
      <c r="DX19" s="1"/>
      <c r="DY19" s="1"/>
      <c r="DZ19" s="1"/>
      <c r="EA19" s="146">
        <v>781547092.89359939</v>
      </c>
      <c r="EB19" s="146">
        <v>792438482.75880051</v>
      </c>
      <c r="EC19" s="146">
        <v>789485764.48799992</v>
      </c>
      <c r="ED19" s="146">
        <v>791446891.30920005</v>
      </c>
      <c r="EE19" s="146">
        <v>789485764.48799992</v>
      </c>
      <c r="EF19" s="147"/>
      <c r="EG19" s="129"/>
      <c r="EH19" s="122"/>
      <c r="EI19" s="130" t="s">
        <v>113</v>
      </c>
      <c r="EJ19" s="130" t="s">
        <v>113</v>
      </c>
      <c r="EK19" s="130" t="s">
        <v>113</v>
      </c>
      <c r="EL19" s="130" t="s">
        <v>113</v>
      </c>
      <c r="EM19" s="131">
        <f t="shared" si="5"/>
        <v>14.663181449579584</v>
      </c>
      <c r="EN19" s="146">
        <v>4793315902.2816029</v>
      </c>
      <c r="EO19" s="146">
        <v>4841374631.9567976</v>
      </c>
      <c r="EP19" s="131">
        <f t="shared" si="6"/>
        <v>1.0026197032479978</v>
      </c>
      <c r="EQ19" s="130" t="s">
        <v>113</v>
      </c>
      <c r="ER19" s="130" t="s">
        <v>113</v>
      </c>
      <c r="ES19" s="130" t="s">
        <v>113</v>
      </c>
      <c r="ET19" s="130" t="s">
        <v>113</v>
      </c>
      <c r="EU19" s="131">
        <f t="shared" si="19"/>
        <v>14.034414957393112</v>
      </c>
      <c r="EV19" s="132">
        <f t="shared" si="20"/>
        <v>1.3899267625957474</v>
      </c>
      <c r="EW19" s="132">
        <f t="shared" si="21"/>
        <v>1.0131096439556377</v>
      </c>
      <c r="EX19" s="132"/>
      <c r="EY19" s="148">
        <f t="shared" si="7"/>
        <v>1.6859077135722433E-2</v>
      </c>
      <c r="EZ19" s="144">
        <f t="shared" si="22"/>
        <v>0.11741076253997118</v>
      </c>
      <c r="FA19" s="145">
        <v>0.99882589237460029</v>
      </c>
      <c r="FB19" s="130" t="s">
        <v>113</v>
      </c>
      <c r="FC19" s="130" t="s">
        <v>113</v>
      </c>
      <c r="FD19" s="130" t="s">
        <v>113</v>
      </c>
      <c r="FE19" s="130" t="s">
        <v>113</v>
      </c>
      <c r="FF19" s="130" t="s">
        <v>113</v>
      </c>
      <c r="FG19" s="130" t="s">
        <v>113</v>
      </c>
      <c r="FH19" s="130" t="s">
        <v>113</v>
      </c>
      <c r="FI19" s="130" t="s">
        <v>113</v>
      </c>
      <c r="FJ19" s="1"/>
      <c r="FK19" s="1"/>
      <c r="FL19" s="1"/>
      <c r="FM19" s="1"/>
      <c r="FN19" s="1"/>
      <c r="FO19" s="1"/>
      <c r="FP19" s="1"/>
      <c r="FQ19" s="1"/>
    </row>
    <row r="20" spans="1:173" x14ac:dyDescent="0.3">
      <c r="A20" s="1"/>
      <c r="B20" s="28">
        <v>9</v>
      </c>
      <c r="C20" s="129">
        <v>675452886.62880039</v>
      </c>
      <c r="D20" s="129">
        <v>684164319.56040025</v>
      </c>
      <c r="E20" s="129">
        <v>682348590.24599993</v>
      </c>
      <c r="F20" s="129">
        <v>683606721.19799948</v>
      </c>
      <c r="G20" s="129">
        <v>682348590.24599993</v>
      </c>
      <c r="H20" s="129">
        <v>682348590.24599993</v>
      </c>
      <c r="I20" s="129"/>
      <c r="J20" s="122"/>
      <c r="K20" s="130" t="s">
        <v>113</v>
      </c>
      <c r="L20" s="130" t="s">
        <v>113</v>
      </c>
      <c r="M20" s="130" t="s">
        <v>113</v>
      </c>
      <c r="N20" s="130" t="s">
        <v>113</v>
      </c>
      <c r="O20" s="131">
        <f t="shared" si="8"/>
        <v>19.109378803438744</v>
      </c>
      <c r="P20" s="129">
        <v>4095161764.8719974</v>
      </c>
      <c r="Q20" s="129">
        <v>4136326895.9880009</v>
      </c>
      <c r="R20" s="131">
        <f t="shared" si="0"/>
        <v>1.0052137981242826</v>
      </c>
      <c r="S20" s="130" t="s">
        <v>113</v>
      </c>
      <c r="T20" s="130" t="s">
        <v>113</v>
      </c>
      <c r="U20" s="130" t="s">
        <v>113</v>
      </c>
      <c r="V20" s="130" t="s">
        <v>113</v>
      </c>
      <c r="W20" s="132">
        <f t="shared" si="9"/>
        <v>1.2830278811605633</v>
      </c>
      <c r="X20" s="132">
        <f t="shared" si="9"/>
        <v>1.0156055921631182</v>
      </c>
      <c r="Y20" s="132">
        <f t="shared" si="9"/>
        <v>1.2009042797890179</v>
      </c>
      <c r="Z20" s="132">
        <f t="shared" si="9"/>
        <v>1.0156055921631182</v>
      </c>
      <c r="AA20" s="132">
        <f t="shared" si="9"/>
        <v>1.0156055921631182</v>
      </c>
      <c r="AB20" s="132">
        <f t="shared" si="1"/>
        <v>1.0156055921631182</v>
      </c>
      <c r="AC20" s="132">
        <f t="shared" si="1"/>
        <v>1.0156055921631182</v>
      </c>
      <c r="AD20" s="130" t="s">
        <v>113</v>
      </c>
      <c r="AE20" s="130" t="s">
        <v>113</v>
      </c>
      <c r="AF20" s="130" t="s">
        <v>113</v>
      </c>
      <c r="AG20" s="130" t="s">
        <v>113</v>
      </c>
      <c r="AH20" s="133">
        <f t="shared" si="10"/>
        <v>1</v>
      </c>
      <c r="AI20" s="134">
        <f t="shared" si="23"/>
        <v>1.5605592163118187E-2</v>
      </c>
      <c r="AJ20" s="134">
        <f t="shared" si="11"/>
        <v>8.2123601371545396E-2</v>
      </c>
      <c r="AK20" s="134">
        <f t="shared" si="12"/>
        <v>0.18529868762589974</v>
      </c>
      <c r="AL20" s="134">
        <f t="shared" si="13"/>
        <v>0</v>
      </c>
      <c r="AM20" s="134">
        <f t="shared" si="14"/>
        <v>0</v>
      </c>
      <c r="AN20" s="135">
        <f t="shared" si="15"/>
        <v>0</v>
      </c>
      <c r="AO20" s="134">
        <f t="shared" si="24"/>
        <v>0</v>
      </c>
      <c r="AP20" s="134">
        <f t="shared" si="2"/>
        <v>1.5605592163118187E-2</v>
      </c>
      <c r="AQ20" s="136" t="s">
        <v>113</v>
      </c>
      <c r="AR20" s="137">
        <f t="shared" si="3"/>
        <v>5.51380030091984</v>
      </c>
      <c r="AS20" s="137">
        <f t="shared" si="3"/>
        <v>29.016081749541918</v>
      </c>
      <c r="AT20" s="137">
        <f t="shared" si="3"/>
        <v>65.470117949538249</v>
      </c>
      <c r="AU20" s="137">
        <f t="shared" si="3"/>
        <v>0</v>
      </c>
      <c r="AV20" s="137">
        <f t="shared" si="3"/>
        <v>0</v>
      </c>
      <c r="AW20" s="138">
        <f t="shared" si="3"/>
        <v>0</v>
      </c>
      <c r="AX20" s="137">
        <f t="shared" si="3"/>
        <v>0</v>
      </c>
      <c r="AY20" s="137">
        <f t="shared" si="3"/>
        <v>5.51380030091984</v>
      </c>
      <c r="AZ20" s="139" t="s">
        <v>113</v>
      </c>
      <c r="BA20" s="139" t="s">
        <v>113</v>
      </c>
      <c r="BB20" s="139" t="s">
        <v>113</v>
      </c>
      <c r="BC20" s="139" t="s">
        <v>113</v>
      </c>
      <c r="BD20" s="139" t="s">
        <v>113</v>
      </c>
      <c r="BE20" s="139" t="s">
        <v>113</v>
      </c>
      <c r="BF20" s="139" t="s">
        <v>113</v>
      </c>
      <c r="BG20" s="139" t="s">
        <v>113</v>
      </c>
      <c r="BH20" s="140">
        <v>3394139050.1579981</v>
      </c>
      <c r="BI20" s="140">
        <v>127731454.33319995</v>
      </c>
      <c r="BJ20" s="140">
        <v>493354274.30159998</v>
      </c>
      <c r="BK20" s="140">
        <v>79938189.010800004</v>
      </c>
      <c r="BL20" s="141">
        <f t="shared" si="25"/>
        <v>0.82881660066837648</v>
      </c>
      <c r="BM20" s="141">
        <f t="shared" si="4"/>
        <v>3.1190811046454523E-2</v>
      </c>
      <c r="BN20" s="141">
        <f t="shared" si="16"/>
        <v>0.12047243984680929</v>
      </c>
      <c r="BO20" s="141">
        <f t="shared" si="16"/>
        <v>1.9520148438359732E-2</v>
      </c>
      <c r="BP20" s="139" t="s">
        <v>113</v>
      </c>
      <c r="BQ20" s="139" t="s">
        <v>113</v>
      </c>
      <c r="BR20" s="139" t="s">
        <v>113</v>
      </c>
      <c r="BS20" s="131">
        <f t="shared" si="17"/>
        <v>17.850018443428272</v>
      </c>
      <c r="BT20" s="139"/>
      <c r="BU20" s="139"/>
      <c r="BV20" s="139"/>
      <c r="BW20" s="139"/>
      <c r="BX20" s="139"/>
      <c r="BY20" s="139"/>
      <c r="BZ20" s="139"/>
      <c r="CA20" s="139"/>
      <c r="CB20" s="139"/>
      <c r="CC20" s="142" t="s">
        <v>113</v>
      </c>
      <c r="CD20" s="142" t="s">
        <v>113</v>
      </c>
      <c r="CE20" s="142" t="s">
        <v>113</v>
      </c>
      <c r="CF20" s="142" t="s">
        <v>113</v>
      </c>
      <c r="CG20" s="142" t="s">
        <v>113</v>
      </c>
      <c r="CH20" s="142" t="s">
        <v>113</v>
      </c>
      <c r="CI20" s="142" t="s">
        <v>113</v>
      </c>
      <c r="CJ20" s="142"/>
      <c r="CK20" s="139" t="s">
        <v>113</v>
      </c>
      <c r="CL20" s="139" t="s">
        <v>113</v>
      </c>
      <c r="CM20" s="139" t="s">
        <v>113</v>
      </c>
      <c r="CN20" s="139" t="s">
        <v>113</v>
      </c>
      <c r="CO20" s="139" t="s">
        <v>113</v>
      </c>
      <c r="CP20" s="139" t="s">
        <v>113</v>
      </c>
      <c r="CQ20" s="139" t="s">
        <v>113</v>
      </c>
      <c r="CR20" s="139"/>
      <c r="CS20" s="143" t="s">
        <v>113</v>
      </c>
      <c r="CT20" s="143" t="s">
        <v>113</v>
      </c>
      <c r="CU20" s="143" t="s">
        <v>113</v>
      </c>
      <c r="CV20" s="143" t="s">
        <v>113</v>
      </c>
      <c r="CW20" s="143" t="s">
        <v>113</v>
      </c>
      <c r="CX20" s="143" t="s">
        <v>113</v>
      </c>
      <c r="CY20" s="143" t="s">
        <v>113</v>
      </c>
      <c r="CZ20" s="143"/>
      <c r="DA20" s="139" t="s">
        <v>113</v>
      </c>
      <c r="DB20" s="139" t="s">
        <v>113</v>
      </c>
      <c r="DC20" s="139" t="s">
        <v>113</v>
      </c>
      <c r="DD20" s="144">
        <f t="shared" si="18"/>
        <v>0</v>
      </c>
      <c r="DE20" s="145">
        <f>'[71]2. Distributional by deciles o'!H36</f>
        <v>1</v>
      </c>
      <c r="DF20" s="1"/>
      <c r="DG20" s="1"/>
      <c r="DH20" s="1"/>
      <c r="DI20" s="1"/>
      <c r="DJ20" s="1"/>
      <c r="DK20" s="1"/>
      <c r="DL20" s="1"/>
      <c r="DM20" s="1"/>
      <c r="DN20" s="1"/>
      <c r="DO20" s="1"/>
      <c r="DP20" s="1"/>
      <c r="DQ20" s="1"/>
      <c r="DR20" s="1"/>
      <c r="DS20" s="1"/>
      <c r="DT20" s="1"/>
      <c r="DU20" s="1"/>
      <c r="DV20" s="1"/>
      <c r="DW20" s="1"/>
      <c r="DX20" s="1"/>
      <c r="DY20" s="1"/>
      <c r="DZ20" s="1"/>
      <c r="EA20" s="146">
        <v>1055646816.3467999</v>
      </c>
      <c r="EB20" s="146">
        <v>1068948780.6444008</v>
      </c>
      <c r="EC20" s="146">
        <v>1066371678.3383999</v>
      </c>
      <c r="ED20" s="146">
        <v>1068040177.0788013</v>
      </c>
      <c r="EE20" s="146">
        <v>1066371678.3383999</v>
      </c>
      <c r="EF20" s="147"/>
      <c r="EG20" s="129"/>
      <c r="EH20" s="122"/>
      <c r="EI20" s="130" t="s">
        <v>113</v>
      </c>
      <c r="EJ20" s="130" t="s">
        <v>113</v>
      </c>
      <c r="EK20" s="130" t="s">
        <v>113</v>
      </c>
      <c r="EL20" s="130" t="s">
        <v>113</v>
      </c>
      <c r="EM20" s="131">
        <f t="shared" si="5"/>
        <v>19.805768526953614</v>
      </c>
      <c r="EN20" s="146">
        <v>6153011031.2147989</v>
      </c>
      <c r="EO20" s="146">
        <v>6214629710.5944023</v>
      </c>
      <c r="EP20" s="131">
        <f t="shared" si="6"/>
        <v>1.0014394426892226</v>
      </c>
      <c r="EQ20" s="130" t="s">
        <v>113</v>
      </c>
      <c r="ER20" s="130" t="s">
        <v>113</v>
      </c>
      <c r="ES20" s="130" t="s">
        <v>113</v>
      </c>
      <c r="ET20" s="130" t="s">
        <v>113</v>
      </c>
      <c r="EU20" s="131">
        <f t="shared" si="19"/>
        <v>18.015484856397972</v>
      </c>
      <c r="EV20" s="132">
        <f t="shared" si="20"/>
        <v>1.2582659463984425</v>
      </c>
      <c r="EW20" s="132">
        <f t="shared" si="21"/>
        <v>1.0144914181048497</v>
      </c>
      <c r="EX20" s="132"/>
      <c r="EY20" s="148">
        <f t="shared" si="7"/>
        <v>-2.4761934762120852E-2</v>
      </c>
      <c r="EZ20" s="144">
        <f t="shared" si="22"/>
        <v>0</v>
      </c>
      <c r="FA20" s="145">
        <v>1</v>
      </c>
      <c r="FB20" s="130" t="s">
        <v>113</v>
      </c>
      <c r="FC20" s="130" t="s">
        <v>113</v>
      </c>
      <c r="FD20" s="130" t="s">
        <v>113</v>
      </c>
      <c r="FE20" s="130" t="s">
        <v>113</v>
      </c>
      <c r="FF20" s="130" t="s">
        <v>113</v>
      </c>
      <c r="FG20" s="130" t="s">
        <v>113</v>
      </c>
      <c r="FH20" s="130" t="s">
        <v>113</v>
      </c>
      <c r="FI20" s="130" t="s">
        <v>113</v>
      </c>
      <c r="FJ20" s="1"/>
      <c r="FK20" s="1"/>
      <c r="FL20" s="1"/>
      <c r="FM20" s="1"/>
      <c r="FN20" s="1"/>
      <c r="FO20" s="1"/>
      <c r="FP20" s="1"/>
      <c r="FQ20" s="1"/>
    </row>
    <row r="21" spans="1:173" x14ac:dyDescent="0.3">
      <c r="A21" s="1"/>
      <c r="B21" s="33">
        <v>10</v>
      </c>
      <c r="C21" s="129">
        <v>1306427603.6123998</v>
      </c>
      <c r="D21" s="129">
        <v>1320660205.1292</v>
      </c>
      <c r="E21" s="129">
        <v>1319616447.6911998</v>
      </c>
      <c r="F21" s="129">
        <v>1320306243.9743989</v>
      </c>
      <c r="G21" s="129">
        <v>1319616447.6911998</v>
      </c>
      <c r="H21" s="129">
        <v>1319616447.6911998</v>
      </c>
      <c r="I21" s="149"/>
      <c r="J21" s="122"/>
      <c r="K21" s="130" t="s">
        <v>113</v>
      </c>
      <c r="L21" s="130" t="s">
        <v>113</v>
      </c>
      <c r="M21" s="130" t="s">
        <v>113</v>
      </c>
      <c r="N21" s="130" t="s">
        <v>113</v>
      </c>
      <c r="O21" s="131">
        <f t="shared" si="8"/>
        <v>36.960416412311169</v>
      </c>
      <c r="P21" s="129">
        <v>7349782636.8720016</v>
      </c>
      <c r="Q21" s="129">
        <v>7423298397.0191994</v>
      </c>
      <c r="R21" s="131">
        <f t="shared" si="0"/>
        <v>1.0002440042020888</v>
      </c>
      <c r="S21" s="130" t="s">
        <v>113</v>
      </c>
      <c r="T21" s="130" t="s">
        <v>113</v>
      </c>
      <c r="U21" s="130" t="s">
        <v>113</v>
      </c>
      <c r="V21" s="130" t="s">
        <v>113</v>
      </c>
      <c r="W21" s="132">
        <f t="shared" si="9"/>
        <v>1.0891632655382597</v>
      </c>
      <c r="X21" s="132">
        <f t="shared" si="9"/>
        <v>1.0092887423697272</v>
      </c>
      <c r="Y21" s="132">
        <f t="shared" si="9"/>
        <v>1.062076054055396</v>
      </c>
      <c r="Z21" s="132">
        <f t="shared" si="9"/>
        <v>1.0092887423697272</v>
      </c>
      <c r="AA21" s="132">
        <f t="shared" si="9"/>
        <v>1.0092887423697272</v>
      </c>
      <c r="AB21" s="132">
        <f t="shared" si="1"/>
        <v>1.0092887423697272</v>
      </c>
      <c r="AC21" s="132">
        <f t="shared" si="1"/>
        <v>1.0092887423697272</v>
      </c>
      <c r="AD21" s="130" t="s">
        <v>113</v>
      </c>
      <c r="AE21" s="130" t="s">
        <v>113</v>
      </c>
      <c r="AF21" s="130" t="s">
        <v>113</v>
      </c>
      <c r="AG21" s="130" t="s">
        <v>113</v>
      </c>
      <c r="AH21" s="133">
        <f t="shared" si="10"/>
        <v>1</v>
      </c>
      <c r="AI21" s="134">
        <f t="shared" si="23"/>
        <v>9.2887423697272098E-3</v>
      </c>
      <c r="AJ21" s="134">
        <f t="shared" si="11"/>
        <v>2.7087211482863749E-2</v>
      </c>
      <c r="AK21" s="134">
        <f t="shared" si="12"/>
        <v>5.2787311685668747E-2</v>
      </c>
      <c r="AL21" s="134">
        <f t="shared" si="13"/>
        <v>0</v>
      </c>
      <c r="AM21" s="134">
        <f t="shared" si="14"/>
        <v>0</v>
      </c>
      <c r="AN21" s="135">
        <f t="shared" si="15"/>
        <v>0</v>
      </c>
      <c r="AO21" s="134">
        <f t="shared" si="24"/>
        <v>0</v>
      </c>
      <c r="AP21" s="134">
        <f t="shared" si="2"/>
        <v>9.2887423697272098E-3</v>
      </c>
      <c r="AQ21" s="136" t="s">
        <v>113</v>
      </c>
      <c r="AR21" s="137">
        <f t="shared" si="3"/>
        <v>10.417678528991782</v>
      </c>
      <c r="AS21" s="137">
        <f t="shared" si="3"/>
        <v>30.379339876510809</v>
      </c>
      <c r="AT21" s="137">
        <f t="shared" si="3"/>
        <v>59.202981594497416</v>
      </c>
      <c r="AU21" s="137">
        <f t="shared" si="3"/>
        <v>0</v>
      </c>
      <c r="AV21" s="137">
        <f t="shared" si="3"/>
        <v>0</v>
      </c>
      <c r="AW21" s="138">
        <f t="shared" si="3"/>
        <v>0</v>
      </c>
      <c r="AX21" s="137">
        <f t="shared" si="3"/>
        <v>0</v>
      </c>
      <c r="AY21" s="137">
        <f t="shared" si="3"/>
        <v>10.417678528991782</v>
      </c>
      <c r="AZ21" s="139" t="s">
        <v>113</v>
      </c>
      <c r="BA21" s="139" t="s">
        <v>113</v>
      </c>
      <c r="BB21" s="139" t="s">
        <v>113</v>
      </c>
      <c r="BC21" s="139" t="s">
        <v>113</v>
      </c>
      <c r="BD21" s="139" t="s">
        <v>113</v>
      </c>
      <c r="BE21" s="139" t="s">
        <v>113</v>
      </c>
      <c r="BF21" s="139" t="s">
        <v>113</v>
      </c>
      <c r="BG21" s="139" t="s">
        <v>113</v>
      </c>
      <c r="BH21" s="140">
        <v>5702621417.9052019</v>
      </c>
      <c r="BI21" s="140">
        <v>104211628.24200001</v>
      </c>
      <c r="BJ21" s="140">
        <v>1002525437.0555999</v>
      </c>
      <c r="BK21" s="140">
        <v>540425775.46679997</v>
      </c>
      <c r="BL21" s="141">
        <f>BH21/SUM($BH21:$BK21)</f>
        <v>0.77588963392749222</v>
      </c>
      <c r="BM21" s="141">
        <f t="shared" si="4"/>
        <v>1.4178869008171889E-2</v>
      </c>
      <c r="BN21" s="141">
        <f t="shared" si="16"/>
        <v>0.1364020223958341</v>
      </c>
      <c r="BO21" s="141">
        <f t="shared" si="16"/>
        <v>7.3529474668501835E-2</v>
      </c>
      <c r="BP21" s="139" t="s">
        <v>113</v>
      </c>
      <c r="BQ21" s="139" t="s">
        <v>113</v>
      </c>
      <c r="BR21" s="139" t="s">
        <v>113</v>
      </c>
      <c r="BS21" s="131">
        <f t="shared" si="17"/>
        <v>32.036281630856372</v>
      </c>
      <c r="BT21" s="139"/>
      <c r="BU21" s="139"/>
      <c r="BV21" s="139"/>
      <c r="BW21" s="139"/>
      <c r="BX21" s="139"/>
      <c r="BY21" s="139"/>
      <c r="BZ21" s="139"/>
      <c r="CA21" s="139"/>
      <c r="CB21" s="139"/>
      <c r="CC21" s="142" t="s">
        <v>113</v>
      </c>
      <c r="CD21" s="142" t="s">
        <v>113</v>
      </c>
      <c r="CE21" s="142" t="s">
        <v>113</v>
      </c>
      <c r="CF21" s="142" t="s">
        <v>113</v>
      </c>
      <c r="CG21" s="142" t="s">
        <v>113</v>
      </c>
      <c r="CH21" s="142" t="s">
        <v>113</v>
      </c>
      <c r="CI21" s="142" t="s">
        <v>113</v>
      </c>
      <c r="CJ21" s="142"/>
      <c r="CK21" s="139" t="s">
        <v>113</v>
      </c>
      <c r="CL21" s="139" t="s">
        <v>113</v>
      </c>
      <c r="CM21" s="139" t="s">
        <v>113</v>
      </c>
      <c r="CN21" s="139" t="s">
        <v>113</v>
      </c>
      <c r="CO21" s="139" t="s">
        <v>113</v>
      </c>
      <c r="CP21" s="139" t="s">
        <v>113</v>
      </c>
      <c r="CQ21" s="139" t="s">
        <v>113</v>
      </c>
      <c r="CR21" s="139"/>
      <c r="CS21" s="143" t="s">
        <v>113</v>
      </c>
      <c r="CT21" s="143" t="s">
        <v>113</v>
      </c>
      <c r="CU21" s="143" t="s">
        <v>113</v>
      </c>
      <c r="CV21" s="143" t="s">
        <v>113</v>
      </c>
      <c r="CW21" s="143" t="s">
        <v>113</v>
      </c>
      <c r="CX21" s="143" t="s">
        <v>113</v>
      </c>
      <c r="CY21" s="143" t="s">
        <v>113</v>
      </c>
      <c r="CZ21" s="143"/>
      <c r="DA21" s="139" t="s">
        <v>113</v>
      </c>
      <c r="DB21" s="139" t="s">
        <v>113</v>
      </c>
      <c r="DC21" s="139" t="s">
        <v>113</v>
      </c>
      <c r="DD21" s="144">
        <f t="shared" si="18"/>
        <v>0.9878085722491825</v>
      </c>
      <c r="DE21" s="145">
        <f>'[71]2. Distributional by deciles o'!H37</f>
        <v>0.99012191427750817</v>
      </c>
      <c r="DF21" s="1"/>
      <c r="DG21" s="1"/>
      <c r="DH21" s="1"/>
      <c r="DI21" s="1"/>
      <c r="DJ21" s="1"/>
      <c r="DK21" s="1"/>
      <c r="DL21" s="1"/>
      <c r="DM21" s="1"/>
      <c r="DN21" s="1"/>
      <c r="DO21" s="1"/>
      <c r="DP21" s="1"/>
      <c r="DQ21" s="1"/>
      <c r="DR21" s="1"/>
      <c r="DS21" s="1"/>
      <c r="DT21" s="1"/>
      <c r="DU21" s="1"/>
      <c r="DV21" s="1"/>
      <c r="DW21" s="1"/>
      <c r="DX21" s="1"/>
      <c r="DY21" s="1"/>
      <c r="DZ21" s="1"/>
      <c r="EA21" s="146">
        <v>1984479363.1248</v>
      </c>
      <c r="EB21" s="146">
        <v>2006605531.9392018</v>
      </c>
      <c r="EC21" s="146">
        <v>2004514270.4712014</v>
      </c>
      <c r="ED21" s="146">
        <v>2005211412.4164023</v>
      </c>
      <c r="EE21" s="146">
        <v>2004514270.4712014</v>
      </c>
      <c r="EF21" s="147"/>
      <c r="EG21" s="129"/>
      <c r="EH21" s="122"/>
      <c r="EI21" s="130" t="s">
        <v>113</v>
      </c>
      <c r="EJ21" s="130" t="s">
        <v>113</v>
      </c>
      <c r="EK21" s="130" t="s">
        <v>113</v>
      </c>
      <c r="EL21" s="130" t="s">
        <v>113</v>
      </c>
      <c r="EM21" s="131">
        <f t="shared" si="5"/>
        <v>37.232281009081326</v>
      </c>
      <c r="EN21" s="146">
        <v>10821422214.732</v>
      </c>
      <c r="EO21" s="146">
        <v>10929470491.984798</v>
      </c>
      <c r="EP21" s="131">
        <f t="shared" si="6"/>
        <v>0.99846651492541127</v>
      </c>
      <c r="EQ21" s="130" t="s">
        <v>113</v>
      </c>
      <c r="ER21" s="130" t="s">
        <v>113</v>
      </c>
      <c r="ES21" s="130" t="s">
        <v>113</v>
      </c>
      <c r="ET21" s="130" t="s">
        <v>113</v>
      </c>
      <c r="EU21" s="131">
        <f t="shared" si="19"/>
        <v>31.68418958542043</v>
      </c>
      <c r="EV21" s="132">
        <f t="shared" si="20"/>
        <v>1.1166732941194564</v>
      </c>
      <c r="EW21" s="132">
        <f t="shared" si="21"/>
        <v>1.0111305834981263</v>
      </c>
      <c r="EX21" s="132"/>
      <c r="EY21" s="148">
        <f t="shared" si="7"/>
        <v>2.7510028581196666E-2</v>
      </c>
      <c r="EZ21" s="144">
        <f t="shared" si="22"/>
        <v>0.98668007062663321</v>
      </c>
      <c r="FA21" s="145">
        <v>0.99013319929373367</v>
      </c>
      <c r="FB21" s="130" t="s">
        <v>113</v>
      </c>
      <c r="FC21" s="130" t="s">
        <v>113</v>
      </c>
      <c r="FD21" s="130" t="s">
        <v>113</v>
      </c>
      <c r="FE21" s="130" t="s">
        <v>113</v>
      </c>
      <c r="FF21" s="130" t="s">
        <v>113</v>
      </c>
      <c r="FG21" s="130" t="s">
        <v>113</v>
      </c>
      <c r="FH21" s="130" t="s">
        <v>113</v>
      </c>
      <c r="FI21" s="130" t="s">
        <v>113</v>
      </c>
      <c r="FJ21" s="1"/>
      <c r="FK21" s="1"/>
      <c r="FL21" s="1"/>
      <c r="FM21" s="1"/>
      <c r="FN21" s="1"/>
      <c r="FO21" s="1"/>
      <c r="FP21" s="1"/>
      <c r="FQ21" s="1"/>
    </row>
    <row r="22" spans="1:173" ht="13.2" customHeight="1" x14ac:dyDescent="0.3">
      <c r="A22" s="1"/>
      <c r="B22" s="34" t="s">
        <v>114</v>
      </c>
      <c r="C22" s="150">
        <v>3534666896.1696033</v>
      </c>
      <c r="D22" s="150">
        <v>3581155175.0592027</v>
      </c>
      <c r="E22" s="150">
        <v>3570462334.6680069</v>
      </c>
      <c r="F22" s="150">
        <v>3578538386.2620039</v>
      </c>
      <c r="G22" s="150">
        <v>3570462334.6680069</v>
      </c>
      <c r="H22" s="150">
        <v>3570462334.6680069</v>
      </c>
      <c r="I22" s="150"/>
      <c r="J22" s="122"/>
      <c r="K22" s="151">
        <v>3575874004.3884077</v>
      </c>
      <c r="L22" s="151">
        <v>3535696819.6140003</v>
      </c>
      <c r="M22" s="151">
        <v>3537683913.4835997</v>
      </c>
      <c r="N22" s="151">
        <v>3535900747.2192011</v>
      </c>
      <c r="O22" s="152" t="s">
        <v>113</v>
      </c>
      <c r="P22" s="150">
        <v>22942059011.595512</v>
      </c>
      <c r="Q22" s="150">
        <v>23171609511.315613</v>
      </c>
      <c r="R22" s="153">
        <f>(Q22/P22-1)*100</f>
        <v>1.0005662508499436</v>
      </c>
      <c r="S22" s="151">
        <v>23130681068.326706</v>
      </c>
      <c r="T22" s="151">
        <v>22948325768.950733</v>
      </c>
      <c r="U22" s="151">
        <v>22968788401.696732</v>
      </c>
      <c r="V22" s="151">
        <v>22949984000.269104</v>
      </c>
      <c r="W22" s="154">
        <f t="shared" si="9"/>
        <v>1.3144652982741332</v>
      </c>
      <c r="X22" s="154">
        <f t="shared" si="9"/>
        <v>1.0121231171925398</v>
      </c>
      <c r="Y22" s="154">
        <f t="shared" si="9"/>
        <v>1.2404750764593213</v>
      </c>
      <c r="Z22" s="154">
        <f t="shared" si="9"/>
        <v>1.0121231171925398</v>
      </c>
      <c r="AA22" s="154">
        <f t="shared" si="9"/>
        <v>1.0121231171925398</v>
      </c>
      <c r="AB22" s="154">
        <f>IF(I22&lt;&gt;0,((I22-$C22)/ABS($C22)) / ($Q22/$P22-1),AA22)</f>
        <v>1.0121231171925398</v>
      </c>
      <c r="AC22" s="154">
        <f>IF(J22&lt;&gt;0,((J22-$C22)/ABS($C22)) / ($Q22/$P22-1),AB22)</f>
        <v>1.0121231171925398</v>
      </c>
      <c r="AD22" s="155">
        <f>(K22/$C22-1) / (S22/$P22-1)</f>
        <v>1.4179586363622065</v>
      </c>
      <c r="AE22" s="155">
        <f>(L22/$C22-1) / (T22/$P22-1)</f>
        <v>1.066709013371774</v>
      </c>
      <c r="AF22" s="155">
        <f>(M22/$C22-1) / (U22/$P22-1)</f>
        <v>0.73260968072054045</v>
      </c>
      <c r="AG22" s="155">
        <f>(N22/$C22-1) / (V22/$P22-1)</f>
        <v>1.0105271462337075</v>
      </c>
      <c r="AH22" s="156">
        <f t="shared" si="10"/>
        <v>1</v>
      </c>
      <c r="AI22" s="155">
        <f>IF(W22&gt;1,W22-SUM(AH22,AJ22:AO22),0)</f>
        <v>1.2123117192539778E-2</v>
      </c>
      <c r="AJ22" s="155">
        <f t="shared" si="11"/>
        <v>7.3990221814811852E-2</v>
      </c>
      <c r="AK22" s="155">
        <f t="shared" si="12"/>
        <v>0.22835195926678153</v>
      </c>
      <c r="AL22" s="155">
        <f>IF(W22&gt;1,MIN(Z22-AA22,W22-AH22-AJ22-AK22),0)</f>
        <v>0</v>
      </c>
      <c r="AM22" s="155">
        <f t="shared" si="14"/>
        <v>0</v>
      </c>
      <c r="AN22" s="157">
        <f t="shared" si="15"/>
        <v>0</v>
      </c>
      <c r="AO22" s="155">
        <f>IF(W22&gt;1,MIN(AC22-X22,W22-AH22-AJ22-AK22-AL22-AM22-AN22),0)</f>
        <v>0</v>
      </c>
      <c r="AP22" s="155">
        <f>AI22+AO22</f>
        <v>1.2123117192539778E-2</v>
      </c>
      <c r="AQ22" s="136" t="s">
        <v>113</v>
      </c>
      <c r="AR22" s="137">
        <f>AI22/($W22-1)*100</f>
        <v>3.8551526222685233</v>
      </c>
      <c r="AS22" s="137">
        <f t="shared" si="3"/>
        <v>23.528898807241788</v>
      </c>
      <c r="AT22" s="137">
        <f t="shared" si="3"/>
        <v>72.615948570489692</v>
      </c>
      <c r="AU22" s="137">
        <f t="shared" si="3"/>
        <v>0</v>
      </c>
      <c r="AV22" s="137">
        <f t="shared" si="3"/>
        <v>0</v>
      </c>
      <c r="AW22" s="138">
        <f t="shared" si="3"/>
        <v>0</v>
      </c>
      <c r="AX22" s="137">
        <f t="shared" si="3"/>
        <v>0</v>
      </c>
      <c r="AY22" s="137">
        <f t="shared" si="3"/>
        <v>3.8551526222685233</v>
      </c>
      <c r="AZ22" s="158">
        <f>W22</f>
        <v>1.3144652982741332</v>
      </c>
      <c r="BA22" s="158">
        <f>AD22</f>
        <v>1.4179586363622065</v>
      </c>
      <c r="BB22" s="158">
        <f>AF22</f>
        <v>0.73260968072054045</v>
      </c>
      <c r="BC22" s="158">
        <f>AG22</f>
        <v>1.0105271462337075</v>
      </c>
      <c r="BD22" s="159">
        <f>W22-AZ22</f>
        <v>0</v>
      </c>
      <c r="BE22" s="159">
        <f>AD22-BA22</f>
        <v>0</v>
      </c>
      <c r="BF22" s="159">
        <f>AF22-BB22</f>
        <v>0</v>
      </c>
      <c r="BG22" s="159">
        <f>AG22-BC22</f>
        <v>0</v>
      </c>
      <c r="BH22" s="140">
        <v>18830350779.240059</v>
      </c>
      <c r="BI22" s="140">
        <v>663929881.74239922</v>
      </c>
      <c r="BJ22" s="140">
        <v>2655155237.3567972</v>
      </c>
      <c r="BK22" s="140">
        <v>792630885.52079964</v>
      </c>
      <c r="BL22" s="141">
        <f>BH22/SUM($BH22:$BK22)</f>
        <v>0.82077830897464632</v>
      </c>
      <c r="BM22" s="141">
        <f t="shared" si="4"/>
        <v>2.8939410210830688E-2</v>
      </c>
      <c r="BN22" s="141">
        <f t="shared" si="16"/>
        <v>0.11573304455833605</v>
      </c>
      <c r="BO22" s="141">
        <f t="shared" si="16"/>
        <v>3.454923625618693E-2</v>
      </c>
      <c r="BP22" s="159">
        <f>(AD22*BL22+AF22*BN22+AG22*BO22)/(BL22+BN22+BO22)</f>
        <v>1.3217813545180088</v>
      </c>
      <c r="BQ22" s="159">
        <f>W22-BP22</f>
        <v>-7.3160562438756571E-3</v>
      </c>
      <c r="BR22" s="159">
        <f>BP22-AZ22</f>
        <v>7.3160562438756571E-3</v>
      </c>
      <c r="BS22" s="152" t="s">
        <v>113</v>
      </c>
      <c r="BT22" s="161"/>
      <c r="BU22" s="161"/>
      <c r="BV22" s="161"/>
      <c r="BW22" s="161"/>
      <c r="BX22" s="162"/>
      <c r="BY22" s="162"/>
      <c r="BZ22" s="163"/>
      <c r="CA22" s="164"/>
      <c r="CB22" s="165"/>
      <c r="CC22" s="166"/>
      <c r="CD22" s="166"/>
      <c r="CE22" s="166"/>
      <c r="CF22" s="166"/>
      <c r="CG22" s="167"/>
      <c r="CH22" s="167"/>
      <c r="CI22" s="168"/>
      <c r="CJ22" s="169"/>
      <c r="CK22" s="161">
        <f>'[71]3. Inequality and Poverty'!$B$7</f>
        <v>0.49101876217204898</v>
      </c>
      <c r="CL22" s="161">
        <f>'[71]3. Inequality and Poverty'!$B$8</f>
        <v>0.47885007320035999</v>
      </c>
      <c r="CM22" s="161">
        <f>'[71]3. Inequality and Poverty'!$C$7</f>
        <v>0.491030086178254</v>
      </c>
      <c r="CN22" s="161">
        <f>'[71]3. Inequality and Poverty'!$C$8</f>
        <v>0.47896701322174001</v>
      </c>
      <c r="CO22" s="162">
        <f t="shared" ref="CO22" si="26">(CK22-CL22)/CK22</f>
        <v>2.4782533599856986E-2</v>
      </c>
      <c r="CP22" s="162">
        <f>(CM22-CN22)/CM22</f>
        <v>2.4566871350801191E-2</v>
      </c>
      <c r="CQ22" s="163">
        <f>(CP22-CO22)*100</f>
        <v>-2.1566224905579523E-2</v>
      </c>
      <c r="CR22" s="165">
        <f>CN22-CL22</f>
        <v>1.1694002138001869E-4</v>
      </c>
      <c r="CS22" s="170">
        <f>(SUM(P20:P21))/(SUM(P12:P13))</f>
        <v>104.25098835327405</v>
      </c>
      <c r="CT22" s="170">
        <f>(SUM(P20:P21)-SUM(C20:C21))/(SUM(P12:P13)-SUM(C12:C13))</f>
        <v>90.180864224722427</v>
      </c>
      <c r="CU22" s="170">
        <f>(SUM(Q20:Q21))/(SUM(Q12:Q13))</f>
        <v>104.25323210255766</v>
      </c>
      <c r="CV22" s="170">
        <f>(SUM(Q20:Q21)-SUM(D20:D21))/(SUM(Q12:Q13)-SUM(D12:D13))</f>
        <v>90.157690735649439</v>
      </c>
      <c r="CW22" s="162">
        <f>(CS22-CT22)/CS22</f>
        <v>0.13496393991846262</v>
      </c>
      <c r="CX22" s="162">
        <f>(CU22-CV22)/CU22</f>
        <v>0.13520483809117717</v>
      </c>
      <c r="CY22" s="163">
        <f>(CX22-CW22)*100</f>
        <v>2.4089817271455427E-2</v>
      </c>
      <c r="CZ22" s="165">
        <f>CV22-CT22</f>
        <v>-2.3173489072988218E-2</v>
      </c>
      <c r="DA22" s="171">
        <f>'[71]3. Inequality and Poverty'!$B$34</f>
        <v>6.8769748807886E-2</v>
      </c>
      <c r="DB22" s="171">
        <f>'[71]3. Inequality and Poverty'!$C$34</f>
        <v>6.7933581145279004E-2</v>
      </c>
      <c r="DC22" s="172">
        <f>DB22-DA22</f>
        <v>-8.3616766260699582E-4</v>
      </c>
      <c r="DD22" s="144">
        <f t="shared" si="18"/>
        <v>25.107140959074147</v>
      </c>
      <c r="DE22" s="145">
        <f>'[71]2. Distributional by deciles o'!H38</f>
        <v>0.74892859040925852</v>
      </c>
      <c r="DF22" s="1"/>
      <c r="DG22" s="1"/>
      <c r="DH22" s="1"/>
      <c r="DI22" s="1"/>
      <c r="DJ22" s="1"/>
      <c r="DK22" s="1"/>
      <c r="DL22" s="1"/>
      <c r="DM22" s="1"/>
      <c r="DN22" s="1"/>
      <c r="DO22" s="1"/>
      <c r="DP22" s="1"/>
      <c r="DQ22" s="1"/>
      <c r="DR22" s="1"/>
      <c r="DS22" s="1"/>
      <c r="DT22" s="1"/>
      <c r="DU22" s="1"/>
      <c r="DV22" s="1"/>
      <c r="DW22" s="1"/>
      <c r="DX22" s="1"/>
      <c r="DY22" s="1"/>
      <c r="DZ22" s="1"/>
      <c r="EA22" s="146">
        <v>5329996737.6179981</v>
      </c>
      <c r="EB22" s="146">
        <v>5404599702.9480114</v>
      </c>
      <c r="EC22" s="146">
        <v>5383976134.8000107</v>
      </c>
      <c r="ED22" s="146">
        <v>5396936850.6408024</v>
      </c>
      <c r="EE22" s="146">
        <v>5383976134.8000107</v>
      </c>
      <c r="EF22" s="173"/>
      <c r="EG22" s="150"/>
      <c r="EH22" s="123"/>
      <c r="EI22" s="151">
        <v>5396370068.3135977</v>
      </c>
      <c r="EJ22" s="151">
        <v>5331574576.5084114</v>
      </c>
      <c r="EK22" s="151">
        <v>5335263950.058012</v>
      </c>
      <c r="EL22" s="151">
        <v>5331388002.8640022</v>
      </c>
      <c r="EM22" s="152" t="s">
        <v>113</v>
      </c>
      <c r="EN22" s="146">
        <v>34154012951.97245</v>
      </c>
      <c r="EO22" s="146">
        <v>34495001654.762512</v>
      </c>
      <c r="EP22" s="153">
        <f>(EO22/EN22-1)*100</f>
        <v>0.99838547016293244</v>
      </c>
      <c r="EQ22" s="151">
        <v>34436495388.124817</v>
      </c>
      <c r="ER22" s="151">
        <v>34163192721.647995</v>
      </c>
      <c r="ES22" s="151">
        <v>34194602815.64888</v>
      </c>
      <c r="ET22" s="151">
        <v>34162742563.088459</v>
      </c>
      <c r="EU22" s="152" t="s">
        <v>113</v>
      </c>
      <c r="EV22" s="154">
        <f>((EB22-$EA22)/ABS($EA22)) / ($EO22/$EN22-1)</f>
        <v>1.4019447385138655</v>
      </c>
      <c r="EW22" s="154">
        <f t="shared" si="21"/>
        <v>1.0143850386202768</v>
      </c>
      <c r="EX22" s="174">
        <f>EW22-X22</f>
        <v>2.2619214277370681E-3</v>
      </c>
      <c r="EY22" s="175">
        <f t="shared" si="7"/>
        <v>8.7479440239732309E-2</v>
      </c>
      <c r="EZ22" s="144">
        <f t="shared" si="22"/>
        <v>26.523029056720926</v>
      </c>
      <c r="FA22" s="145">
        <v>0.73476970943279074</v>
      </c>
      <c r="FB22" s="155">
        <f>(EI22/$EA22-1) / (EQ22/$EN22-1)</f>
        <v>1.5056254849783886</v>
      </c>
      <c r="FC22" s="155">
        <f>(EJ22/$EA22-1) / (ER22/$EN22-1)</f>
        <v>1.10140150904698</v>
      </c>
      <c r="FD22" s="155">
        <f>(EK22/$EA22-1) / (ES22/$EN22-1)</f>
        <v>0.83153022099292073</v>
      </c>
      <c r="FE22" s="155">
        <f>(EL22/$EA22-1) / (ET22/$EN22-1)</f>
        <v>1.0212447449499646</v>
      </c>
      <c r="FF22" s="75">
        <f>FB22-AD22</f>
        <v>8.7666848616182014E-2</v>
      </c>
      <c r="FG22" s="75">
        <f>FC22-AE22</f>
        <v>3.4692495675205937E-2</v>
      </c>
      <c r="FH22" s="75">
        <f>FD22-AF22</f>
        <v>9.8920540272380286E-2</v>
      </c>
      <c r="FI22" s="75">
        <f>FE22-AG22</f>
        <v>1.0717598716257104E-2</v>
      </c>
      <c r="FJ22" s="1"/>
      <c r="FK22" s="1"/>
      <c r="FL22" s="1"/>
      <c r="FM22" s="1"/>
      <c r="FN22" s="1"/>
      <c r="FO22" s="1"/>
      <c r="FP22" s="1"/>
      <c r="FQ22" s="1"/>
    </row>
    <row r="23" spans="1:173" x14ac:dyDescent="0.3">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c r="ET23" s="1"/>
      <c r="EU23" s="1"/>
      <c r="EV23" s="1"/>
      <c r="EW23" s="1"/>
      <c r="EX23" s="1"/>
      <c r="EY23" s="1"/>
      <c r="EZ23" s="1"/>
      <c r="FA23" s="1"/>
      <c r="FB23" s="1"/>
      <c r="FC23" s="1"/>
      <c r="FD23" s="1"/>
      <c r="FE23" s="1"/>
      <c r="FF23" s="1"/>
      <c r="FG23" s="1"/>
      <c r="FH23" s="1"/>
      <c r="FI23" s="1"/>
      <c r="FJ23" s="1"/>
      <c r="FK23" s="1"/>
      <c r="FL23" s="1"/>
      <c r="FM23" s="1"/>
      <c r="FN23" s="1"/>
      <c r="FO23" s="1"/>
      <c r="FP23" s="1"/>
      <c r="FQ23" s="1"/>
    </row>
    <row r="24" spans="1:173" x14ac:dyDescent="0.3">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c r="EJ24" s="1"/>
      <c r="EK24" s="1"/>
      <c r="EL24" s="1"/>
      <c r="EM24" s="1"/>
      <c r="EN24" s="1"/>
      <c r="EO24" s="1"/>
      <c r="EP24" s="1"/>
      <c r="EQ24" s="1"/>
      <c r="ER24" s="1"/>
      <c r="ES24" s="1"/>
      <c r="ET24" s="1"/>
      <c r="EU24" s="1"/>
      <c r="EV24" s="1"/>
      <c r="EW24" s="1"/>
      <c r="EX24" s="1"/>
      <c r="EY24" s="1"/>
      <c r="EZ24" s="1"/>
      <c r="FA24" s="1"/>
      <c r="FB24" s="1"/>
      <c r="FC24" s="1"/>
      <c r="FD24" s="1"/>
      <c r="FE24" s="1"/>
      <c r="FF24" s="1"/>
      <c r="FG24" s="1"/>
      <c r="FH24" s="1"/>
      <c r="FI24" s="1"/>
      <c r="FJ24" s="1"/>
      <c r="FK24" s="1"/>
      <c r="FL24" s="1"/>
      <c r="FM24" s="1"/>
      <c r="FN24" s="1"/>
      <c r="FO24" s="1"/>
      <c r="FP24" s="1"/>
      <c r="FQ24" s="1"/>
    </row>
    <row r="25" spans="1:173" x14ac:dyDescent="0.3">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Q25" s="1"/>
    </row>
    <row r="26" spans="1:173" x14ac:dyDescent="0.3">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c r="ER26" s="1"/>
      <c r="ES26" s="1"/>
      <c r="ET26" s="1"/>
      <c r="EU26" s="1"/>
      <c r="EV26" s="1"/>
      <c r="EW26" s="1"/>
      <c r="EX26" s="1"/>
      <c r="EY26" s="1"/>
      <c r="EZ26" s="1"/>
      <c r="FA26" s="1"/>
      <c r="FB26" s="1"/>
      <c r="FC26" s="1"/>
      <c r="FD26" s="1"/>
      <c r="FE26" s="1"/>
      <c r="FF26" s="1"/>
      <c r="FG26" s="1"/>
      <c r="FH26" s="1"/>
      <c r="FI26" s="1"/>
      <c r="FJ26" s="1"/>
      <c r="FK26" s="1"/>
      <c r="FL26" s="1"/>
      <c r="FM26" s="1"/>
      <c r="FN26" s="1"/>
      <c r="FO26" s="1"/>
      <c r="FP26" s="1"/>
      <c r="FQ26" s="1"/>
    </row>
    <row r="27" spans="1:173" x14ac:dyDescent="0.3">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c r="CW27" s="1"/>
      <c r="CX27" s="1"/>
      <c r="CY27" s="1"/>
      <c r="CZ27" s="1"/>
      <c r="DA27" s="1"/>
      <c r="DB27" s="1"/>
      <c r="DC27" s="1"/>
      <c r="DD27" s="1"/>
      <c r="DE27" s="1"/>
      <c r="DF27" s="1"/>
      <c r="DG27" s="1"/>
      <c r="DH27" s="1"/>
      <c r="DI27" s="1"/>
      <c r="DJ27" s="1"/>
      <c r="DK27" s="1"/>
      <c r="DL27" s="1"/>
      <c r="DM27" s="1"/>
      <c r="DN27" s="1"/>
      <c r="DO27" s="1"/>
      <c r="DP27" s="1"/>
      <c r="DQ27" s="1"/>
      <c r="DR27" s="1"/>
      <c r="DS27" s="1"/>
      <c r="DT27" s="1"/>
      <c r="DU27" s="1"/>
      <c r="DV27" s="1"/>
      <c r="DW27" s="1"/>
      <c r="DX27" s="1"/>
      <c r="DY27" s="1"/>
      <c r="DZ27" s="1"/>
      <c r="EA27" s="1"/>
      <c r="EB27" s="1"/>
      <c r="EC27" s="1"/>
      <c r="ED27" s="1"/>
      <c r="EE27" s="1"/>
      <c r="EF27" s="1"/>
      <c r="EG27" s="1"/>
      <c r="EH27" s="1"/>
      <c r="EI27" s="1"/>
      <c r="EJ27" s="1"/>
      <c r="EK27" s="1"/>
      <c r="EL27" s="1"/>
      <c r="EM27" s="1"/>
      <c r="EN27" s="1"/>
      <c r="EO27" s="1"/>
      <c r="EP27" s="1"/>
      <c r="EQ27" s="1"/>
      <c r="ER27" s="1"/>
      <c r="ES27" s="1"/>
      <c r="ET27" s="1"/>
      <c r="EU27" s="1"/>
      <c r="EV27" s="1"/>
      <c r="EW27" s="1"/>
      <c r="EX27" s="1"/>
      <c r="EY27" s="1"/>
      <c r="EZ27" s="1"/>
      <c r="FA27" s="1"/>
      <c r="FB27" s="1"/>
      <c r="FC27" s="1"/>
      <c r="FD27" s="1"/>
      <c r="FE27" s="1"/>
      <c r="FF27" s="1"/>
      <c r="FG27" s="1"/>
      <c r="FH27" s="1"/>
      <c r="FI27" s="1"/>
      <c r="FJ27" s="1"/>
      <c r="FK27" s="1"/>
      <c r="FL27" s="1"/>
      <c r="FM27" s="1"/>
      <c r="FN27" s="1"/>
      <c r="FO27" s="1"/>
      <c r="FP27" s="1"/>
      <c r="FQ27" s="1"/>
    </row>
  </sheetData>
  <pageMargins left="0.7" right="0.7" top="0.75" bottom="0.75" header="0.3" footer="0.3"/>
  <pageSetup paperSize="9" orientation="portrait" r:id="rId1"/>
  <headerFooter>
    <oddHeader>&amp;R&amp;"Arial"&amp;10&amp;K000000 ECB-RESTRICTED&amp;1#_x000D_</oddHeader>
  </headerFooter>
  <legacy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A3370-ACE7-4CD0-99AB-DC54B5B4F49E}">
  <dimension ref="A1:BN121"/>
  <sheetViews>
    <sheetView zoomScale="55" zoomScaleNormal="55" workbookViewId="0">
      <selection activeCell="D8" sqref="D8"/>
    </sheetView>
  </sheetViews>
  <sheetFormatPr baseColWidth="10" defaultColWidth="8.6640625" defaultRowHeight="14.4" x14ac:dyDescent="0.3"/>
  <cols>
    <col min="1" max="1" width="4.33203125" customWidth="1"/>
    <col min="3" max="3" width="17.33203125" customWidth="1"/>
    <col min="4" max="4" width="15.6640625" customWidth="1"/>
    <col min="5" max="5" width="16.33203125" customWidth="1"/>
    <col min="6" max="6" width="15.6640625" customWidth="1"/>
    <col min="7" max="7" width="16" customWidth="1"/>
    <col min="8" max="8" width="19" customWidth="1"/>
    <col min="9" max="12" width="17" customWidth="1"/>
    <col min="13" max="13" width="17.33203125" customWidth="1"/>
    <col min="14" max="18" width="16.33203125" customWidth="1"/>
    <col min="19" max="19" width="17" customWidth="1"/>
    <col min="20" max="33" width="16.33203125" customWidth="1"/>
    <col min="34" max="34" width="14.6640625" customWidth="1"/>
    <col min="35" max="36" width="12.6640625" customWidth="1"/>
    <col min="37" max="37" width="17.33203125" customWidth="1"/>
    <col min="38" max="38" width="12.33203125" customWidth="1"/>
    <col min="39" max="39" width="9.6640625" customWidth="1"/>
    <col min="40" max="42" width="19" customWidth="1"/>
    <col min="43" max="50" width="9.6640625" customWidth="1"/>
    <col min="51" max="59" width="0.5546875" customWidth="1"/>
  </cols>
  <sheetData>
    <row r="1" spans="1:66" ht="15" thickBot="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row>
    <row r="2" spans="1:66" ht="18" customHeight="1" thickBot="1" x14ac:dyDescent="0.35">
      <c r="A2" s="1"/>
      <c r="B2" s="2" t="s">
        <v>654</v>
      </c>
      <c r="C2" s="3"/>
      <c r="D2" s="3"/>
      <c r="E2" s="3"/>
      <c r="F2" s="3"/>
      <c r="G2" s="3"/>
      <c r="H2" s="3"/>
      <c r="I2" s="3"/>
      <c r="J2" s="3"/>
      <c r="K2" s="3"/>
      <c r="L2" s="3"/>
      <c r="M2" s="4"/>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row>
    <row r="3" spans="1:66" ht="18" customHeight="1" x14ac:dyDescent="0.3">
      <c r="A3" s="1"/>
      <c r="B3" s="5" t="s">
        <v>115</v>
      </c>
      <c r="C3" s="6"/>
      <c r="D3" s="6"/>
      <c r="E3" s="6"/>
      <c r="F3" s="6"/>
      <c r="G3" s="6"/>
      <c r="H3" s="6"/>
      <c r="I3" s="6"/>
      <c r="J3" s="6"/>
      <c r="K3" s="6"/>
      <c r="L3" s="6"/>
      <c r="M3" s="7"/>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row>
    <row r="4" spans="1:66" ht="18" customHeight="1" x14ac:dyDescent="0.3">
      <c r="A4" s="1"/>
      <c r="B4" s="99" t="s">
        <v>1</v>
      </c>
      <c r="C4" s="296"/>
      <c r="D4" s="296"/>
      <c r="E4" s="296"/>
      <c r="F4" s="296"/>
      <c r="G4" s="296"/>
      <c r="H4" s="296"/>
      <c r="I4" s="296"/>
      <c r="J4" s="296"/>
      <c r="K4" s="296"/>
      <c r="L4" s="296"/>
      <c r="M4" s="100"/>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row>
    <row r="5" spans="1:66" ht="14.25" customHeight="1" x14ac:dyDescent="0.3">
      <c r="A5" s="1"/>
      <c r="B5" s="293" t="s">
        <v>116</v>
      </c>
      <c r="C5" s="294"/>
      <c r="D5" s="294"/>
      <c r="E5" s="294"/>
      <c r="F5" s="294"/>
      <c r="G5" s="294"/>
      <c r="H5" s="294"/>
      <c r="I5" s="294"/>
      <c r="J5" s="294"/>
      <c r="K5" s="294"/>
      <c r="L5" s="294"/>
      <c r="M5" s="295"/>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row>
    <row r="6" spans="1:66" ht="12.6" customHeight="1" x14ac:dyDescent="0.3">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row>
    <row r="7" spans="1:66" ht="12.6" customHeight="1" x14ac:dyDescent="0.3">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row>
    <row r="8" spans="1:66" ht="17.7" customHeight="1" x14ac:dyDescent="0.3">
      <c r="A8" s="1"/>
      <c r="B8" s="11" t="s">
        <v>2</v>
      </c>
      <c r="C8" s="12" t="s">
        <v>238</v>
      </c>
      <c r="D8" s="12" t="s">
        <v>239</v>
      </c>
      <c r="E8" s="124" t="s">
        <v>5</v>
      </c>
      <c r="F8" s="125"/>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row>
    <row r="9" spans="1:66" ht="10.35" customHeight="1" x14ac:dyDescent="0.3">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row>
    <row r="10" spans="1:66" x14ac:dyDescent="0.3">
      <c r="A10" s="1"/>
      <c r="B10" s="1"/>
      <c r="C10" s="13" t="s">
        <v>6</v>
      </c>
      <c r="D10" s="14"/>
      <c r="E10" s="14"/>
      <c r="F10" s="14"/>
      <c r="G10" s="14"/>
      <c r="H10" s="14"/>
      <c r="I10" s="14"/>
      <c r="J10" s="14"/>
      <c r="K10" s="14"/>
      <c r="L10" s="14"/>
      <c r="M10" s="14"/>
      <c r="N10" s="14"/>
      <c r="O10" s="14"/>
      <c r="P10" s="15" t="s">
        <v>596</v>
      </c>
      <c r="Q10" s="16"/>
      <c r="R10" s="16"/>
      <c r="S10" s="16"/>
      <c r="T10" s="16"/>
      <c r="U10" s="16"/>
      <c r="V10" s="16"/>
      <c r="W10" s="16"/>
      <c r="X10" s="13"/>
      <c r="Y10" s="17"/>
      <c r="Z10" s="17"/>
      <c r="AA10" s="17"/>
      <c r="AB10" s="17"/>
      <c r="AC10" s="17"/>
      <c r="AD10" s="17"/>
      <c r="AE10" s="19"/>
      <c r="AF10" s="16"/>
      <c r="AG10" s="16"/>
      <c r="AH10" s="16"/>
      <c r="AI10" s="16"/>
      <c r="AJ10" s="16"/>
      <c r="AK10" s="1"/>
      <c r="AL10" s="1"/>
      <c r="AM10" s="99" t="s">
        <v>562</v>
      </c>
      <c r="AN10" s="9"/>
      <c r="AO10" s="9"/>
      <c r="AP10" s="9"/>
      <c r="AQ10" s="9"/>
      <c r="AR10" s="9"/>
      <c r="AS10" s="10"/>
      <c r="AT10" s="1"/>
      <c r="AU10" s="1"/>
      <c r="AV10" s="1"/>
      <c r="AW10" s="1"/>
      <c r="AX10" s="1"/>
      <c r="AY10" s="1"/>
      <c r="AZ10" s="1"/>
      <c r="BA10" s="1"/>
      <c r="BB10" s="1"/>
      <c r="BC10" s="1"/>
      <c r="BD10" s="1"/>
      <c r="BE10" s="1"/>
      <c r="BF10" s="1"/>
      <c r="BG10" s="1"/>
      <c r="BH10" s="1"/>
      <c r="BI10" s="1"/>
      <c r="BJ10" s="1"/>
      <c r="BK10" s="1"/>
      <c r="BL10" s="1"/>
      <c r="BM10" s="1"/>
      <c r="BN10" s="1"/>
    </row>
    <row r="11" spans="1:66" ht="78.75" customHeight="1" x14ac:dyDescent="0.3">
      <c r="A11" s="1"/>
      <c r="B11" s="25" t="s">
        <v>20</v>
      </c>
      <c r="C11" s="26" t="s">
        <v>119</v>
      </c>
      <c r="D11" s="27" t="s">
        <v>120</v>
      </c>
      <c r="E11" s="26" t="s">
        <v>121</v>
      </c>
      <c r="F11" s="27" t="s">
        <v>122</v>
      </c>
      <c r="G11" s="27" t="s">
        <v>123</v>
      </c>
      <c r="H11" s="27" t="s">
        <v>124</v>
      </c>
      <c r="I11" s="27" t="s">
        <v>125</v>
      </c>
      <c r="J11" s="27" t="s">
        <v>126</v>
      </c>
      <c r="K11" s="27" t="s">
        <v>127</v>
      </c>
      <c r="L11" s="27"/>
      <c r="M11" s="27"/>
      <c r="N11" s="27"/>
      <c r="O11" s="27"/>
      <c r="P11" s="26" t="s">
        <v>119</v>
      </c>
      <c r="Q11" s="27" t="s">
        <v>120</v>
      </c>
      <c r="R11" s="27" t="s">
        <v>121</v>
      </c>
      <c r="S11" s="27" t="s">
        <v>122</v>
      </c>
      <c r="T11" s="27" t="s">
        <v>123</v>
      </c>
      <c r="U11" s="27" t="s">
        <v>130</v>
      </c>
      <c r="V11" s="27"/>
      <c r="W11" s="27"/>
      <c r="X11" s="27"/>
      <c r="Y11" s="27"/>
      <c r="Z11" s="27"/>
      <c r="AA11" s="27"/>
      <c r="AB11" s="27"/>
      <c r="AC11" s="27"/>
      <c r="AD11" s="27"/>
      <c r="AE11" s="27"/>
      <c r="AF11" s="27"/>
      <c r="AG11" s="27"/>
      <c r="AH11" s="27"/>
      <c r="AI11" s="27"/>
      <c r="AJ11" s="27"/>
      <c r="AK11" s="27" t="s">
        <v>150</v>
      </c>
      <c r="AL11" s="1"/>
      <c r="AM11" s="522" t="s">
        <v>563</v>
      </c>
      <c r="AN11" s="523" t="s">
        <v>568</v>
      </c>
      <c r="AO11" s="523" t="s">
        <v>569</v>
      </c>
      <c r="AP11" s="523" t="s">
        <v>570</v>
      </c>
      <c r="AQ11" s="523" t="s">
        <v>564</v>
      </c>
      <c r="AR11" s="523" t="s">
        <v>565</v>
      </c>
      <c r="AS11" s="523" t="s">
        <v>566</v>
      </c>
      <c r="AT11" s="1"/>
      <c r="AU11" s="1"/>
      <c r="AV11" s="1"/>
      <c r="AW11" s="1"/>
      <c r="AX11" s="1"/>
      <c r="AY11" s="1"/>
      <c r="AZ11" s="1"/>
      <c r="BA11" s="1"/>
      <c r="BB11" s="1"/>
      <c r="BC11" s="1"/>
      <c r="BD11" s="1"/>
      <c r="BE11" s="1"/>
      <c r="BF11" s="1"/>
      <c r="BG11" s="1"/>
      <c r="BH11" s="1"/>
      <c r="BI11" s="1"/>
      <c r="BJ11" s="1"/>
      <c r="BK11" s="1"/>
      <c r="BL11" s="1"/>
      <c r="BM11" s="1"/>
      <c r="BN11" s="1"/>
    </row>
    <row r="12" spans="1:66" x14ac:dyDescent="0.3">
      <c r="A12" s="1"/>
      <c r="B12" s="28">
        <v>1</v>
      </c>
      <c r="C12" s="129">
        <f>'[72]2. Distributional by deciles o'!B64</f>
        <v>0</v>
      </c>
      <c r="D12" s="129">
        <f>'[72]2. Distributional by deciles o'!C64</f>
        <v>0</v>
      </c>
      <c r="E12" s="129">
        <f>'[72]2. Distributional by deciles o'!D64</f>
        <v>0</v>
      </c>
      <c r="F12" s="129">
        <f>'[72]2. Distributional by deciles o'!E64</f>
        <v>0</v>
      </c>
      <c r="G12" s="129">
        <f>'[72]2. Distributional by deciles o'!F64</f>
        <v>0</v>
      </c>
      <c r="H12" s="129">
        <f>'[72]2. Distributional by deciles o'!H64</f>
        <v>0</v>
      </c>
      <c r="I12" s="129">
        <f>'[72]2. Distributional by deciles o'!I64</f>
        <v>0</v>
      </c>
      <c r="J12" s="129">
        <f>'[72]2. Distributional by deciles o'!J64</f>
        <v>0</v>
      </c>
      <c r="K12" s="129">
        <f>'[72]2. Distributional by deciles o'!K64</f>
        <v>0</v>
      </c>
      <c r="L12" s="139"/>
      <c r="M12" s="139"/>
      <c r="N12" s="139"/>
      <c r="O12" s="139"/>
      <c r="P12" s="129">
        <f>'[72]2. Distributional by deciles o'!B82</f>
        <v>0</v>
      </c>
      <c r="Q12" s="129">
        <f>'[72]2. Distributional by deciles o'!C82</f>
        <v>0</v>
      </c>
      <c r="R12" s="129">
        <f>'[72]2. Distributional by deciles o'!D82</f>
        <v>458802.71279999998</v>
      </c>
      <c r="S12" s="129">
        <f>'[72]2. Distributional by deciles o'!E82</f>
        <v>503576.72399999999</v>
      </c>
      <c r="T12" s="129">
        <f>'[72]2. Distributional by deciles o'!F82</f>
        <v>564222.90240000002</v>
      </c>
      <c r="U12" s="209" t="e">
        <f t="shared" ref="U12:U21" si="0">T12/P12-1</f>
        <v>#DIV/0!</v>
      </c>
      <c r="V12" s="139"/>
      <c r="W12" s="209"/>
      <c r="X12" s="132"/>
      <c r="Y12" s="132"/>
      <c r="Z12" s="132"/>
      <c r="AA12" s="132"/>
      <c r="AB12" s="132"/>
      <c r="AC12" s="132"/>
      <c r="AD12" s="132"/>
      <c r="AE12" s="139"/>
      <c r="AF12" s="139"/>
      <c r="AG12" s="139"/>
      <c r="AH12" s="139"/>
      <c r="AI12" s="139"/>
      <c r="AJ12" s="139"/>
      <c r="AK12" s="408">
        <f>'[72]2. Distributional by deciles o'!$L64</f>
        <v>0</v>
      </c>
      <c r="AL12" s="1"/>
      <c r="AM12" s="32" cm="1">
        <f t="array" aca="1" ref="AM12" ca="1">INDIRECT("'1"&amp;$C$8&amp;"'!W12")</f>
        <v>0</v>
      </c>
      <c r="AN12" s="524">
        <v>0</v>
      </c>
      <c r="AO12" s="524">
        <f t="shared" ref="AO12:AO21" ca="1" si="1">C12+C12*U$22*AM12</f>
        <v>0</v>
      </c>
      <c r="AP12" s="524">
        <v>0</v>
      </c>
      <c r="AQ12" s="525">
        <v>0</v>
      </c>
      <c r="AR12" s="344">
        <f>AQ12</f>
        <v>0</v>
      </c>
      <c r="AS12" s="41">
        <f>P12/P$22</f>
        <v>0</v>
      </c>
      <c r="AT12" s="1"/>
      <c r="AU12" s="1"/>
      <c r="AV12" s="1"/>
      <c r="AW12" s="1"/>
      <c r="AX12" s="1"/>
      <c r="AY12" s="1"/>
      <c r="AZ12" s="1"/>
      <c r="BA12" s="1"/>
      <c r="BB12" s="1"/>
      <c r="BC12" s="1"/>
      <c r="BD12" s="1"/>
      <c r="BE12" s="1"/>
      <c r="BF12" s="1"/>
      <c r="BG12" s="1"/>
      <c r="BH12" s="1"/>
      <c r="BI12" s="1"/>
      <c r="BJ12" s="1"/>
      <c r="BK12" s="1"/>
      <c r="BL12" s="1"/>
      <c r="BM12" s="1"/>
      <c r="BN12" s="1"/>
    </row>
    <row r="13" spans="1:66" x14ac:dyDescent="0.3">
      <c r="A13" s="1"/>
      <c r="B13" s="28">
        <v>2</v>
      </c>
      <c r="C13" s="129">
        <f>'[72]2. Distributional by deciles o'!B65</f>
        <v>4848320.1552000027</v>
      </c>
      <c r="D13" s="129">
        <f>'[72]2. Distributional by deciles o'!C65</f>
        <v>5057354.79</v>
      </c>
      <c r="E13" s="129">
        <f>'[72]2. Distributional by deciles o'!D65</f>
        <v>5412965.6172000002</v>
      </c>
      <c r="F13" s="129">
        <f>'[72]2. Distributional by deciles o'!E65</f>
        <v>6056387.3952000011</v>
      </c>
      <c r="G13" s="129">
        <f>'[72]2. Distributional by deciles o'!F65</f>
        <v>6640766.3556000022</v>
      </c>
      <c r="H13" s="129">
        <f>'[72]2. Distributional by deciles o'!H65</f>
        <v>7821244.9128000028</v>
      </c>
      <c r="I13" s="129">
        <f>'[72]2. Distributional by deciles o'!I65</f>
        <v>6762799.7807999998</v>
      </c>
      <c r="J13" s="129">
        <f>'[72]2. Distributional by deciles o'!J65</f>
        <v>6988339.8671999993</v>
      </c>
      <c r="K13" s="129">
        <f>'[72]2. Distributional by deciles o'!K65</f>
        <v>6878710.2227999987</v>
      </c>
      <c r="L13" s="139"/>
      <c r="M13" s="139"/>
      <c r="N13" s="139"/>
      <c r="O13" s="139"/>
      <c r="P13" s="129">
        <f>'[72]2. Distributional by deciles o'!B83</f>
        <v>109782598.53959998</v>
      </c>
      <c r="Q13" s="129">
        <f>'[72]2. Distributional by deciles o'!C83</f>
        <v>119129886.3132</v>
      </c>
      <c r="R13" s="129">
        <f>'[72]2. Distributional by deciles o'!D83</f>
        <v>129784240.02840003</v>
      </c>
      <c r="S13" s="129">
        <f>'[72]2. Distributional by deciles o'!E83</f>
        <v>145589183.19120002</v>
      </c>
      <c r="T13" s="129">
        <f>'[72]2. Distributional by deciles o'!F83</f>
        <v>162421744.41959995</v>
      </c>
      <c r="U13" s="209">
        <f t="shared" si="0"/>
        <v>0.47948533356142375</v>
      </c>
      <c r="V13" s="139"/>
      <c r="W13" s="209"/>
      <c r="X13" s="132"/>
      <c r="Y13" s="132"/>
      <c r="Z13" s="132"/>
      <c r="AA13" s="132"/>
      <c r="AB13" s="132"/>
      <c r="AC13" s="132"/>
      <c r="AD13" s="132"/>
      <c r="AE13" s="139"/>
      <c r="AF13" s="139"/>
      <c r="AG13" s="139"/>
      <c r="AH13" s="139"/>
      <c r="AI13" s="139"/>
      <c r="AJ13" s="139"/>
      <c r="AK13" s="408">
        <f>'[72]2. Distributional by deciles o'!$L65</f>
        <v>7822959.3132000016</v>
      </c>
      <c r="AL13" s="1"/>
      <c r="AM13" s="32" cm="1">
        <f t="array" aca="1" ref="AM13" ca="1">INDIRECT("'1"&amp;$C$8&amp;"'!W13")</f>
        <v>1.0968861645266013</v>
      </c>
      <c r="AN13" s="524">
        <f t="shared" ref="AN13:AN21" ca="1" si="2">C13+C13*U13*AM13</f>
        <v>7398249.6743473783</v>
      </c>
      <c r="AO13" s="524">
        <f t="shared" ca="1" si="1"/>
        <v>7447293.1174567454</v>
      </c>
      <c r="AP13" s="524">
        <f t="shared" ref="AP13:AP21" ca="1" si="3">C13+C13*AR13*AM13</f>
        <v>7398249.6743473783</v>
      </c>
      <c r="AQ13" s="525">
        <f t="shared" ref="AQ13:AQ21" si="4">U13</f>
        <v>0.47948533356142375</v>
      </c>
      <c r="AR13" s="344">
        <f t="shared" ref="AR13:AR18" si="5">AQ13</f>
        <v>0.47948533356142375</v>
      </c>
      <c r="AS13" s="41">
        <f t="shared" ref="AS13:AS21" si="6">P13/P$22</f>
        <v>4.7852112351429756E-3</v>
      </c>
      <c r="AT13" s="1"/>
      <c r="AU13" s="1"/>
      <c r="AV13" s="1"/>
      <c r="AW13" s="1"/>
      <c r="AX13" s="1"/>
      <c r="AY13" s="1"/>
      <c r="AZ13" s="1"/>
      <c r="BA13" s="1"/>
      <c r="BB13" s="1"/>
      <c r="BC13" s="1"/>
      <c r="BD13" s="1"/>
      <c r="BE13" s="1"/>
      <c r="BF13" s="1"/>
      <c r="BG13" s="1"/>
      <c r="BH13" s="1"/>
      <c r="BI13" s="1"/>
      <c r="BJ13" s="1"/>
      <c r="BK13" s="1"/>
      <c r="BL13" s="1"/>
      <c r="BM13" s="1"/>
      <c r="BN13" s="1"/>
    </row>
    <row r="14" spans="1:66" x14ac:dyDescent="0.3">
      <c r="A14" s="1"/>
      <c r="B14" s="28">
        <v>3</v>
      </c>
      <c r="C14" s="129">
        <f>'[72]2. Distributional by deciles o'!B66</f>
        <v>51258700.946399979</v>
      </c>
      <c r="D14" s="129">
        <f>'[72]2. Distributional by deciles o'!C66</f>
        <v>43715370.574800044</v>
      </c>
      <c r="E14" s="129">
        <f>'[72]2. Distributional by deciles o'!D66</f>
        <v>54304182.212399997</v>
      </c>
      <c r="F14" s="129">
        <f>'[72]2. Distributional by deciles o'!E66</f>
        <v>50041780.268399991</v>
      </c>
      <c r="G14" s="129">
        <f>'[72]2. Distributional by deciles o'!F66</f>
        <v>54207009.643199995</v>
      </c>
      <c r="H14" s="129">
        <f>'[72]2. Distributional by deciles o'!H66</f>
        <v>109328548.00079992</v>
      </c>
      <c r="I14" s="129">
        <f>'[72]2. Distributional by deciles o'!I66</f>
        <v>76787474.570400029</v>
      </c>
      <c r="J14" s="129">
        <f>'[72]2. Distributional by deciles o'!J66</f>
        <v>89519673.992399961</v>
      </c>
      <c r="K14" s="129">
        <f>'[72]2. Distributional by deciles o'!K66</f>
        <v>84258547.852800012</v>
      </c>
      <c r="L14" s="139"/>
      <c r="M14" s="139"/>
      <c r="N14" s="139"/>
      <c r="O14" s="139"/>
      <c r="P14" s="129">
        <f>'[72]2. Distributional by deciles o'!B84</f>
        <v>697077438.22199988</v>
      </c>
      <c r="Q14" s="129">
        <f>'[72]2. Distributional by deciles o'!C84</f>
        <v>756836320.66080034</v>
      </c>
      <c r="R14" s="129">
        <f>'[72]2. Distributional by deciles o'!D84</f>
        <v>829738475.16720033</v>
      </c>
      <c r="S14" s="129">
        <f>'[72]2. Distributional by deciles o'!E84</f>
        <v>930227530.10399902</v>
      </c>
      <c r="T14" s="129">
        <f>'[72]2. Distributional by deciles o'!F84</f>
        <v>1046146658.5452001</v>
      </c>
      <c r="U14" s="209">
        <f t="shared" si="0"/>
        <v>0.50076103626815605</v>
      </c>
      <c r="V14" s="139"/>
      <c r="W14" s="209"/>
      <c r="X14" s="132"/>
      <c r="Y14" s="132"/>
      <c r="Z14" s="132"/>
      <c r="AA14" s="132"/>
      <c r="AB14" s="132"/>
      <c r="AC14" s="132"/>
      <c r="AD14" s="132"/>
      <c r="AE14" s="139"/>
      <c r="AF14" s="139"/>
      <c r="AG14" s="139"/>
      <c r="AH14" s="139"/>
      <c r="AI14" s="139"/>
      <c r="AJ14" s="139"/>
      <c r="AK14" s="408">
        <f>'[72]2. Distributional by deciles o'!$L66</f>
        <v>109280398.97519997</v>
      </c>
      <c r="AL14" s="1"/>
      <c r="AM14" s="32" cm="1">
        <f t="array" aca="1" ref="AM14" ca="1">INDIRECT("'1"&amp;$C$8&amp;"'!W14")</f>
        <v>2.1911868274257578</v>
      </c>
      <c r="AN14" s="524">
        <f t="shared" ca="1" si="2"/>
        <v>107502873.70632043</v>
      </c>
      <c r="AO14" s="524">
        <f t="shared" ca="1" si="1"/>
        <v>106149040.39514962</v>
      </c>
      <c r="AP14" s="524">
        <f t="shared" ca="1" si="3"/>
        <v>107502873.70632043</v>
      </c>
      <c r="AQ14" s="525">
        <f t="shared" si="4"/>
        <v>0.50076103626815605</v>
      </c>
      <c r="AR14" s="344">
        <f t="shared" si="5"/>
        <v>0.50076103626815605</v>
      </c>
      <c r="AS14" s="41">
        <f t="shared" si="6"/>
        <v>3.0384257919905046E-2</v>
      </c>
      <c r="AT14" s="1"/>
      <c r="AU14" s="1"/>
      <c r="AV14" s="1"/>
      <c r="AW14" s="1"/>
      <c r="AX14" s="1"/>
      <c r="AY14" s="1"/>
      <c r="AZ14" s="1"/>
      <c r="BA14" s="1"/>
      <c r="BB14" s="1"/>
      <c r="BC14" s="1"/>
      <c r="BD14" s="1"/>
      <c r="BE14" s="1"/>
      <c r="BF14" s="1"/>
      <c r="BG14" s="1"/>
      <c r="BH14" s="1"/>
      <c r="BI14" s="1"/>
      <c r="BJ14" s="1"/>
      <c r="BK14" s="1"/>
      <c r="BL14" s="1"/>
      <c r="BM14" s="1"/>
      <c r="BN14" s="1"/>
    </row>
    <row r="15" spans="1:66" x14ac:dyDescent="0.3">
      <c r="A15" s="1"/>
      <c r="B15" s="28">
        <v>4</v>
      </c>
      <c r="C15" s="129">
        <f>'[72]2. Distributional by deciles o'!B67</f>
        <v>127773088.92720005</v>
      </c>
      <c r="D15" s="129">
        <f>'[72]2. Distributional by deciles o'!C67</f>
        <v>121031021.51280007</v>
      </c>
      <c r="E15" s="129">
        <f>'[72]2. Distributional by deciles o'!D67</f>
        <v>143180673.9984</v>
      </c>
      <c r="F15" s="129">
        <f>'[72]2. Distributional by deciles o'!E67</f>
        <v>146165325.20880011</v>
      </c>
      <c r="G15" s="129">
        <f>'[72]2. Distributional by deciles o'!F67</f>
        <v>164025414.91320002</v>
      </c>
      <c r="H15" s="129">
        <f>'[72]2. Distributional by deciles o'!H67</f>
        <v>245882018.96640006</v>
      </c>
      <c r="I15" s="129">
        <f>'[72]2. Distributional by deciles o'!I67</f>
        <v>192388119.58919984</v>
      </c>
      <c r="J15" s="129">
        <f>'[72]2. Distributional by deciles o'!J67</f>
        <v>213935505.45479995</v>
      </c>
      <c r="K15" s="129">
        <f>'[72]2. Distributional by deciles o'!K67</f>
        <v>205263828.3899999</v>
      </c>
      <c r="L15" s="139"/>
      <c r="M15" s="139"/>
      <c r="N15" s="139"/>
      <c r="O15" s="139"/>
      <c r="P15" s="129">
        <f>'[72]2. Distributional by deciles o'!B85</f>
        <v>1189421903.0675998</v>
      </c>
      <c r="Q15" s="129">
        <f>'[72]2. Distributional by deciles o'!C85</f>
        <v>1299810091.7604008</v>
      </c>
      <c r="R15" s="129">
        <f>'[72]2. Distributional by deciles o'!D85</f>
        <v>1421230893.6491985</v>
      </c>
      <c r="S15" s="129">
        <f>'[72]2. Distributional by deciles o'!E85</f>
        <v>1591145655.5820012</v>
      </c>
      <c r="T15" s="129">
        <f>'[72]2. Distributional by deciles o'!F85</f>
        <v>1786545941.3772016</v>
      </c>
      <c r="U15" s="209">
        <f t="shared" si="0"/>
        <v>0.50202878959062236</v>
      </c>
      <c r="V15" s="139"/>
      <c r="W15" s="209"/>
      <c r="X15" s="132"/>
      <c r="Y15" s="132"/>
      <c r="Z15" s="132"/>
      <c r="AA15" s="132"/>
      <c r="AB15" s="132"/>
      <c r="AC15" s="132"/>
      <c r="AD15" s="132"/>
      <c r="AE15" s="139"/>
      <c r="AF15" s="139"/>
      <c r="AG15" s="139"/>
      <c r="AH15" s="139"/>
      <c r="AI15" s="139"/>
      <c r="AJ15" s="139"/>
      <c r="AK15" s="408">
        <f>'[72]2. Distributional by deciles o'!$L67</f>
        <v>253723408.824</v>
      </c>
      <c r="AL15" s="1"/>
      <c r="AM15" s="32" cm="1">
        <f t="array" aca="1" ref="AM15" ca="1">INDIRECT("'1"&amp;$C$8&amp;"'!W15")</f>
        <v>1.8190011035410312</v>
      </c>
      <c r="AN15" s="524">
        <f t="shared" ca="1" si="2"/>
        <v>244454313.84651843</v>
      </c>
      <c r="AO15" s="524">
        <f t="shared" ca="1" si="1"/>
        <v>241358163.89969987</v>
      </c>
      <c r="AP15" s="524">
        <f t="shared" ca="1" si="3"/>
        <v>244454313.84651843</v>
      </c>
      <c r="AQ15" s="525">
        <f t="shared" si="4"/>
        <v>0.50202878959062236</v>
      </c>
      <c r="AR15" s="344">
        <f t="shared" si="5"/>
        <v>0.50202878959062236</v>
      </c>
      <c r="AS15" s="41">
        <f t="shared" si="6"/>
        <v>5.1844601326604338E-2</v>
      </c>
      <c r="AT15" s="1"/>
      <c r="AU15" s="1"/>
      <c r="AV15" s="1"/>
      <c r="AW15" s="1"/>
      <c r="AX15" s="1"/>
      <c r="AY15" s="1"/>
      <c r="AZ15" s="1"/>
      <c r="BA15" s="1"/>
      <c r="BB15" s="1"/>
      <c r="BC15" s="1"/>
      <c r="BD15" s="1"/>
      <c r="BE15" s="1"/>
      <c r="BF15" s="1"/>
      <c r="BG15" s="1"/>
      <c r="BH15" s="1"/>
      <c r="BI15" s="1"/>
      <c r="BJ15" s="1"/>
      <c r="BK15" s="1"/>
      <c r="BL15" s="1"/>
      <c r="BM15" s="1"/>
      <c r="BN15" s="1"/>
    </row>
    <row r="16" spans="1:66" x14ac:dyDescent="0.3">
      <c r="A16" s="1"/>
      <c r="B16" s="28">
        <v>5</v>
      </c>
      <c r="C16" s="129">
        <f>'[72]2. Distributional by deciles o'!B68</f>
        <v>208624151.69399992</v>
      </c>
      <c r="D16" s="129">
        <f>'[72]2. Distributional by deciles o'!C68</f>
        <v>206730483.75720018</v>
      </c>
      <c r="E16" s="129">
        <f>'[72]2. Distributional by deciles o'!D68</f>
        <v>240407800.90800017</v>
      </c>
      <c r="F16" s="129">
        <f>'[72]2. Distributional by deciles o'!E68</f>
        <v>261221513.62560022</v>
      </c>
      <c r="G16" s="129">
        <f>'[72]2. Distributional by deciles o'!F68</f>
        <v>297480647.06880027</v>
      </c>
      <c r="H16" s="129">
        <f>'[72]2. Distributional by deciles o'!H68</f>
        <v>383866615.03319997</v>
      </c>
      <c r="I16" s="129">
        <f>'[72]2. Distributional by deciles o'!I68</f>
        <v>315280304.86079985</v>
      </c>
      <c r="J16" s="129">
        <f>'[72]2. Distributional by deciles o'!J68</f>
        <v>342692197.73400009</v>
      </c>
      <c r="K16" s="129">
        <f>'[72]2. Distributional by deciles o'!K68</f>
        <v>331692610.79399979</v>
      </c>
      <c r="L16" s="139"/>
      <c r="M16" s="139"/>
      <c r="N16" s="139"/>
      <c r="O16" s="139"/>
      <c r="P16" s="129">
        <f>'[72]2. Distributional by deciles o'!B86</f>
        <v>1696971154.9079998</v>
      </c>
      <c r="Q16" s="129">
        <f>'[72]2. Distributional by deciles o'!C86</f>
        <v>1855217773.6056004</v>
      </c>
      <c r="R16" s="129">
        <f>'[72]2. Distributional by deciles o'!D86</f>
        <v>2030913615.9899993</v>
      </c>
      <c r="S16" s="129">
        <f>'[72]2. Distributional by deciles o'!E86</f>
        <v>2275232078.1900005</v>
      </c>
      <c r="T16" s="129">
        <f>'[72]2. Distributional by deciles o'!F86</f>
        <v>2550312830.5740004</v>
      </c>
      <c r="U16" s="209">
        <f t="shared" si="0"/>
        <v>0.50286162684495594</v>
      </c>
      <c r="V16" s="139"/>
      <c r="W16" s="209"/>
      <c r="X16" s="132"/>
      <c r="Y16" s="132"/>
      <c r="Z16" s="132"/>
      <c r="AA16" s="132"/>
      <c r="AB16" s="132"/>
      <c r="AC16" s="132"/>
      <c r="AD16" s="132"/>
      <c r="AE16" s="139"/>
      <c r="AF16" s="139"/>
      <c r="AG16" s="139"/>
      <c r="AH16" s="139"/>
      <c r="AI16" s="139"/>
      <c r="AJ16" s="139"/>
      <c r="AK16" s="408">
        <f>'[72]2. Distributional by deciles o'!$L68</f>
        <v>400463644.72199988</v>
      </c>
      <c r="AL16" s="1"/>
      <c r="AM16" s="32" cm="1">
        <f t="array" aca="1" ref="AM16" ca="1">INDIRECT("'1"&amp;$C$8&amp;"'!W16")</f>
        <v>1.6375303540218633</v>
      </c>
      <c r="AN16" s="524">
        <f t="shared" ca="1" si="2"/>
        <v>380415955.13050723</v>
      </c>
      <c r="AO16" s="524">
        <f t="shared" ca="1" si="1"/>
        <v>375580468.48964679</v>
      </c>
      <c r="AP16" s="524">
        <f t="shared" ca="1" si="3"/>
        <v>380415955.13050723</v>
      </c>
      <c r="AQ16" s="525">
        <f t="shared" si="4"/>
        <v>0.50286162684495594</v>
      </c>
      <c r="AR16" s="344">
        <f t="shared" si="5"/>
        <v>0.50286162684495594</v>
      </c>
      <c r="AS16" s="41">
        <f t="shared" si="6"/>
        <v>7.3967692004030958E-2</v>
      </c>
      <c r="AT16" s="1"/>
      <c r="AU16" s="1"/>
      <c r="AV16" s="1"/>
      <c r="AW16" s="1"/>
      <c r="AX16" s="1"/>
      <c r="AY16" s="1"/>
      <c r="AZ16" s="1"/>
      <c r="BA16" s="1"/>
      <c r="BB16" s="1"/>
      <c r="BC16" s="1"/>
      <c r="BD16" s="1"/>
      <c r="BE16" s="1"/>
      <c r="BF16" s="1"/>
      <c r="BG16" s="1"/>
      <c r="BH16" s="1"/>
      <c r="BI16" s="1"/>
      <c r="BJ16" s="1"/>
      <c r="BK16" s="1"/>
      <c r="BL16" s="1"/>
      <c r="BM16" s="1"/>
      <c r="BN16" s="1"/>
    </row>
    <row r="17" spans="1:66" x14ac:dyDescent="0.3">
      <c r="A17" s="1"/>
      <c r="B17" s="28">
        <v>6</v>
      </c>
      <c r="C17" s="129">
        <f>'[72]2. Distributional by deciles o'!B69</f>
        <v>266723486.64959997</v>
      </c>
      <c r="D17" s="129">
        <f>'[72]2. Distributional by deciles o'!C69</f>
        <v>272418957.37800026</v>
      </c>
      <c r="E17" s="129">
        <f>'[72]2. Distributional by deciles o'!D69</f>
        <v>312465803.84159988</v>
      </c>
      <c r="F17" s="129">
        <f>'[72]2. Distributional by deciles o'!E69</f>
        <v>348915994.02480024</v>
      </c>
      <c r="G17" s="129">
        <f>'[72]2. Distributional by deciles o'!F69</f>
        <v>403083445.96560019</v>
      </c>
      <c r="H17" s="129">
        <f>'[72]2. Distributional by deciles o'!H69</f>
        <v>471593054.80560046</v>
      </c>
      <c r="I17" s="129">
        <f>'[72]2. Distributional by deciles o'!I69</f>
        <v>400172215.99920011</v>
      </c>
      <c r="J17" s="129">
        <f>'[72]2. Distributional by deciles o'!J69</f>
        <v>429584407.71840012</v>
      </c>
      <c r="K17" s="129">
        <f>'[72]2. Distributional by deciles o'!K69</f>
        <v>417710956.35719991</v>
      </c>
      <c r="L17" s="139"/>
      <c r="M17" s="139"/>
      <c r="N17" s="139"/>
      <c r="O17" s="139"/>
      <c r="P17" s="129">
        <f>'[72]2. Distributional by deciles o'!B87</f>
        <v>2007690499.7219989</v>
      </c>
      <c r="Q17" s="129">
        <f>'[72]2. Distributional by deciles o'!C87</f>
        <v>2195742247.5311985</v>
      </c>
      <c r="R17" s="129">
        <f>'[72]2. Distributional by deciles o'!D87</f>
        <v>2399901636.4787998</v>
      </c>
      <c r="S17" s="129">
        <f>'[72]2. Distributional by deciles o'!E87</f>
        <v>2681415197.0244017</v>
      </c>
      <c r="T17" s="129">
        <f>'[72]2. Distributional by deciles o'!F87</f>
        <v>3013999199.8895979</v>
      </c>
      <c r="U17" s="209">
        <f t="shared" si="0"/>
        <v>0.50122700700478506</v>
      </c>
      <c r="V17" s="139"/>
      <c r="W17" s="209"/>
      <c r="X17" s="132"/>
      <c r="Y17" s="132"/>
      <c r="Z17" s="132"/>
      <c r="AA17" s="132"/>
      <c r="AB17" s="132"/>
      <c r="AC17" s="132"/>
      <c r="AD17" s="132"/>
      <c r="AE17" s="139"/>
      <c r="AF17" s="139"/>
      <c r="AG17" s="139"/>
      <c r="AH17" s="139"/>
      <c r="AI17" s="139"/>
      <c r="AJ17" s="139"/>
      <c r="AK17" s="408">
        <f>'[72]2. Distributional by deciles o'!$L69</f>
        <v>493707580.10999984</v>
      </c>
      <c r="AL17" s="1"/>
      <c r="AM17" s="32" cm="1">
        <f t="array" aca="1" ref="AM17" ca="1">INDIRECT("'1"&amp;$C$8&amp;"'!W17")</f>
        <v>1.530867884528863</v>
      </c>
      <c r="AN17" s="524">
        <f t="shared" ca="1" si="2"/>
        <v>471383706.09154779</v>
      </c>
      <c r="AO17" s="524">
        <f t="shared" ca="1" si="1"/>
        <v>466271718.70056134</v>
      </c>
      <c r="AP17" s="524">
        <f t="shared" ca="1" si="3"/>
        <v>471383706.09154779</v>
      </c>
      <c r="AQ17" s="525">
        <f t="shared" si="4"/>
        <v>0.50122700700478506</v>
      </c>
      <c r="AR17" s="344">
        <f t="shared" si="5"/>
        <v>0.50122700700478506</v>
      </c>
      <c r="AS17" s="41">
        <f t="shared" si="6"/>
        <v>8.7511347551989999E-2</v>
      </c>
      <c r="AT17" s="1"/>
      <c r="AU17" s="1"/>
      <c r="AV17" s="1"/>
      <c r="AW17" s="1"/>
      <c r="AX17" s="1"/>
      <c r="AY17" s="1"/>
      <c r="AZ17" s="1"/>
      <c r="BA17" s="1"/>
      <c r="BB17" s="1"/>
      <c r="BC17" s="1"/>
      <c r="BD17" s="1"/>
      <c r="BE17" s="1"/>
      <c r="BF17" s="1"/>
      <c r="BG17" s="1"/>
      <c r="BH17" s="1"/>
      <c r="BI17" s="1"/>
      <c r="BJ17" s="1"/>
      <c r="BK17" s="1"/>
      <c r="BL17" s="1"/>
      <c r="BM17" s="1"/>
      <c r="BN17" s="1"/>
    </row>
    <row r="18" spans="1:66" x14ac:dyDescent="0.3">
      <c r="A18" s="1"/>
      <c r="B18" s="28">
        <v>7</v>
      </c>
      <c r="C18" s="129">
        <f>'[72]2. Distributional by deciles o'!B70</f>
        <v>387577363.55399978</v>
      </c>
      <c r="D18" s="129">
        <f>'[72]2. Distributional by deciles o'!C70</f>
        <v>400644354.02159965</v>
      </c>
      <c r="E18" s="129">
        <f>'[72]2. Distributional by deciles o'!D70</f>
        <v>457167575.55719972</v>
      </c>
      <c r="F18" s="129">
        <f>'[72]2. Distributional by deciles o'!E70</f>
        <v>514538995.43640029</v>
      </c>
      <c r="G18" s="129">
        <f>'[72]2. Distributional by deciles o'!F70</f>
        <v>590987742.52560079</v>
      </c>
      <c r="H18" s="129">
        <f>'[72]2. Distributional by deciles o'!H70</f>
        <v>665445169.40880036</v>
      </c>
      <c r="I18" s="129">
        <f>'[72]2. Distributional by deciles o'!I70</f>
        <v>581907502.93079948</v>
      </c>
      <c r="J18" s="129">
        <f>'[72]2. Distributional by deciles o'!J70</f>
        <v>617146847.40360022</v>
      </c>
      <c r="K18" s="129">
        <f>'[72]2. Distributional by deciles o'!K70</f>
        <v>603085745.74559975</v>
      </c>
      <c r="L18" s="139"/>
      <c r="M18" s="139"/>
      <c r="N18" s="139"/>
      <c r="O18" s="139"/>
      <c r="P18" s="129">
        <f>'[72]2. Distributional by deciles o'!B88</f>
        <v>2580197510.7227993</v>
      </c>
      <c r="Q18" s="129">
        <f>'[72]2. Distributional by deciles o'!C88</f>
        <v>2819068152.8388009</v>
      </c>
      <c r="R18" s="129">
        <f>'[72]2. Distributional by deciles o'!D88</f>
        <v>3086043207.6588001</v>
      </c>
      <c r="S18" s="129">
        <f>'[72]2. Distributional by deciles o'!E88</f>
        <v>3447215284.9211988</v>
      </c>
      <c r="T18" s="129">
        <f>'[72]2. Distributional by deciles o'!F88</f>
        <v>3864537586.1028042</v>
      </c>
      <c r="U18" s="209">
        <f t="shared" si="0"/>
        <v>0.49776812435580498</v>
      </c>
      <c r="V18" s="139"/>
      <c r="W18" s="209"/>
      <c r="X18" s="132"/>
      <c r="Y18" s="132"/>
      <c r="Z18" s="132"/>
      <c r="AA18" s="132"/>
      <c r="AB18" s="132"/>
      <c r="AC18" s="132"/>
      <c r="AD18" s="132"/>
      <c r="AE18" s="139"/>
      <c r="AF18" s="139"/>
      <c r="AG18" s="139"/>
      <c r="AH18" s="139"/>
      <c r="AI18" s="139"/>
      <c r="AJ18" s="139"/>
      <c r="AK18" s="408">
        <f>'[72]2. Distributional by deciles o'!$L70</f>
        <v>691142092.36199963</v>
      </c>
      <c r="AL18" s="1"/>
      <c r="AM18" s="32" cm="1">
        <f t="array" aca="1" ref="AM18" ca="1">INDIRECT("'1"&amp;$C$8&amp;"'!W18")</f>
        <v>1.4479699062021951</v>
      </c>
      <c r="AN18" s="524">
        <f t="shared" ca="1" si="2"/>
        <v>666925013.5174787</v>
      </c>
      <c r="AO18" s="524">
        <f t="shared" ca="1" si="1"/>
        <v>661840130.05038357</v>
      </c>
      <c r="AP18" s="524">
        <f t="shared" ca="1" si="3"/>
        <v>666925013.5174787</v>
      </c>
      <c r="AQ18" s="525">
        <f t="shared" si="4"/>
        <v>0.49776812435580498</v>
      </c>
      <c r="AR18" s="344">
        <f t="shared" si="5"/>
        <v>0.49776812435580498</v>
      </c>
      <c r="AS18" s="41">
        <f t="shared" si="6"/>
        <v>0.11246582137282013</v>
      </c>
      <c r="AT18" s="1"/>
      <c r="AU18" s="1"/>
      <c r="AV18" s="1"/>
      <c r="AW18" s="1"/>
      <c r="AX18" s="1"/>
      <c r="AY18" s="1"/>
      <c r="AZ18" s="1"/>
      <c r="BA18" s="1"/>
      <c r="BB18" s="1"/>
      <c r="BC18" s="1"/>
      <c r="BD18" s="1"/>
      <c r="BE18" s="1"/>
      <c r="BF18" s="1"/>
      <c r="BG18" s="1"/>
      <c r="BH18" s="1"/>
      <c r="BI18" s="1"/>
      <c r="BJ18" s="1"/>
      <c r="BK18" s="1"/>
      <c r="BL18" s="1"/>
      <c r="BM18" s="1"/>
      <c r="BN18" s="1"/>
    </row>
    <row r="19" spans="1:66" x14ac:dyDescent="0.3">
      <c r="A19" s="1"/>
      <c r="B19" s="28">
        <v>8</v>
      </c>
      <c r="C19" s="129">
        <f>'[72]2. Distributional by deciles o'!B71</f>
        <v>505981294.00199986</v>
      </c>
      <c r="D19" s="129">
        <f>'[72]2. Distributional by deciles o'!C71</f>
        <v>535184195.02920038</v>
      </c>
      <c r="E19" s="129">
        <f>'[72]2. Distributional by deciles o'!D71</f>
        <v>603775789.5156002</v>
      </c>
      <c r="F19" s="129">
        <f>'[72]2. Distributional by deciles o'!E71</f>
        <v>686506776.9684</v>
      </c>
      <c r="G19" s="129">
        <f>'[72]2. Distributional by deciles o'!F71</f>
        <v>788117360.76479971</v>
      </c>
      <c r="H19" s="129">
        <f>'[72]2. Distributional by deciles o'!H71</f>
        <v>843133192.31760013</v>
      </c>
      <c r="I19" s="129">
        <f>'[72]2. Distributional by deciles o'!I71</f>
        <v>760538040.18480003</v>
      </c>
      <c r="J19" s="129">
        <f>'[72]2. Distributional by deciles o'!J71</f>
        <v>796149145.63799965</v>
      </c>
      <c r="K19" s="129">
        <f>'[72]2. Distributional by deciles o'!K71</f>
        <v>782112832.95959997</v>
      </c>
      <c r="L19" s="139"/>
      <c r="M19" s="139"/>
      <c r="N19" s="139"/>
      <c r="O19" s="139"/>
      <c r="P19" s="129">
        <f>'[72]2. Distributional by deciles o'!B89</f>
        <v>3215973504.6695986</v>
      </c>
      <c r="Q19" s="129">
        <f>'[72]2. Distributional by deciles o'!C89</f>
        <v>3520201225.9776006</v>
      </c>
      <c r="R19" s="129">
        <f>'[72]2. Distributional by deciles o'!D89</f>
        <v>3846590211.3839979</v>
      </c>
      <c r="S19" s="129">
        <f>'[72]2. Distributional by deciles o'!E89</f>
        <v>4295108170.3511992</v>
      </c>
      <c r="T19" s="129">
        <f>'[72]2. Distributional by deciles o'!F89</f>
        <v>4814443772.085598</v>
      </c>
      <c r="U19" s="209">
        <f t="shared" si="0"/>
        <v>0.49704086961382554</v>
      </c>
      <c r="V19" s="139"/>
      <c r="W19" s="209"/>
      <c r="X19" s="132"/>
      <c r="Y19" s="132"/>
      <c r="Z19" s="132"/>
      <c r="AA19" s="132"/>
      <c r="AB19" s="132"/>
      <c r="AC19" s="132"/>
      <c r="AD19" s="132"/>
      <c r="AE19" s="139"/>
      <c r="AF19" s="139"/>
      <c r="AG19" s="139"/>
      <c r="AH19" s="139"/>
      <c r="AI19" s="139"/>
      <c r="AJ19" s="139"/>
      <c r="AK19" s="408">
        <f>'[72]2. Distributional by deciles o'!$L71</f>
        <v>864165478.6523999</v>
      </c>
      <c r="AL19" s="1"/>
      <c r="AM19" s="32" cm="1">
        <f t="array" aca="1" ref="AM19" ca="1">INDIRECT("'1"&amp;$C$8&amp;"'!W19")</f>
        <v>1.373067685460025</v>
      </c>
      <c r="AN19" s="524">
        <f t="shared" ca="1" si="2"/>
        <v>851298730.45376003</v>
      </c>
      <c r="AO19" s="524">
        <f t="shared" ca="1" si="1"/>
        <v>845509078.95681322</v>
      </c>
      <c r="AP19" s="524">
        <f t="shared" ca="1" si="3"/>
        <v>816377777.3689456</v>
      </c>
      <c r="AQ19" s="525">
        <f t="shared" si="4"/>
        <v>0.49704086961382554</v>
      </c>
      <c r="AR19" s="526">
        <f>U19-AP31*AS21/SUM(AS19:AS20)</f>
        <v>0.44677656478355238</v>
      </c>
      <c r="AS19" s="41">
        <f t="shared" si="6"/>
        <v>0.14017806784666373</v>
      </c>
      <c r="AT19" s="1"/>
      <c r="AU19" s="1"/>
      <c r="AV19" s="1"/>
      <c r="AW19" s="1"/>
      <c r="AX19" s="1"/>
      <c r="AY19" s="1"/>
      <c r="AZ19" s="1"/>
      <c r="BA19" s="1"/>
      <c r="BB19" s="1"/>
      <c r="BC19" s="1"/>
      <c r="BD19" s="1"/>
      <c r="BE19" s="1"/>
      <c r="BF19" s="1"/>
      <c r="BG19" s="1"/>
      <c r="BH19" s="1"/>
      <c r="BI19" s="1"/>
      <c r="BJ19" s="1"/>
      <c r="BK19" s="1"/>
      <c r="BL19" s="1"/>
      <c r="BM19" s="1"/>
      <c r="BN19" s="1"/>
    </row>
    <row r="20" spans="1:66" x14ac:dyDescent="0.3">
      <c r="A20" s="1"/>
      <c r="B20" s="28">
        <v>9</v>
      </c>
      <c r="C20" s="129">
        <f>'[72]2. Distributional by deciles o'!B72</f>
        <v>675452886.62880039</v>
      </c>
      <c r="D20" s="129">
        <f>'[72]2. Distributional by deciles o'!C72</f>
        <v>726076059.72599995</v>
      </c>
      <c r="E20" s="129">
        <f>'[72]2. Distributional by deciles o'!D72</f>
        <v>812111965.57800007</v>
      </c>
      <c r="F20" s="129">
        <f>'[72]2. Distributional by deciles o'!E72</f>
        <v>918782855.41799974</v>
      </c>
      <c r="G20" s="129">
        <f>'[72]2. Distributional by deciles o'!F72</f>
        <v>1046851269.6312001</v>
      </c>
      <c r="H20" s="129">
        <f>'[72]2. Distributional by deciles o'!H72</f>
        <v>1092249909.2304008</v>
      </c>
      <c r="I20" s="129">
        <f>'[72]2. Distributional by deciles o'!I72</f>
        <v>1011256347.2304003</v>
      </c>
      <c r="J20" s="129">
        <f>'[72]2. Distributional by deciles o'!J72</f>
        <v>1049009358.9887998</v>
      </c>
      <c r="K20" s="129">
        <f>'[72]2. Distributional by deciles o'!K72</f>
        <v>1034512837.4051993</v>
      </c>
      <c r="L20" s="139"/>
      <c r="M20" s="139"/>
      <c r="N20" s="139"/>
      <c r="O20" s="139"/>
      <c r="P20" s="129">
        <f>'[72]2. Distributional by deciles o'!B90</f>
        <v>4095161764.8719974</v>
      </c>
      <c r="Q20" s="129">
        <f>'[72]2. Distributional by deciles o'!C90</f>
        <v>4488600346.4784031</v>
      </c>
      <c r="R20" s="129">
        <f>'[72]2. Distributional by deciles o'!D90</f>
        <v>4897250686.0811977</v>
      </c>
      <c r="S20" s="129">
        <f>'[72]2. Distributional by deciles o'!E90</f>
        <v>5452764386.3064003</v>
      </c>
      <c r="T20" s="129">
        <f>'[72]2. Distributional by deciles o'!F90</f>
        <v>6104993089.5072012</v>
      </c>
      <c r="U20" s="209">
        <f t="shared" si="0"/>
        <v>0.49078191290888484</v>
      </c>
      <c r="V20" s="139"/>
      <c r="W20" s="209"/>
      <c r="X20" s="132"/>
      <c r="Y20" s="132"/>
      <c r="Z20" s="132"/>
      <c r="AA20" s="132"/>
      <c r="AB20" s="132"/>
      <c r="AC20" s="132"/>
      <c r="AD20" s="132"/>
      <c r="AE20" s="139"/>
      <c r="AF20" s="139"/>
      <c r="AG20" s="139"/>
      <c r="AH20" s="139"/>
      <c r="AI20" s="139"/>
      <c r="AJ20" s="139"/>
      <c r="AK20" s="408">
        <f>'[72]2. Distributional by deciles o'!$L72</f>
        <v>1107021355.026001</v>
      </c>
      <c r="AL20" s="1"/>
      <c r="AM20" s="32" cm="1">
        <f t="array" aca="1" ref="AM20" ca="1">INDIRECT("'1"&amp;$C$8&amp;"'!W20")</f>
        <v>1.2830278811605633</v>
      </c>
      <c r="AN20" s="524">
        <f t="shared" ca="1" si="2"/>
        <v>1100776705.9323063</v>
      </c>
      <c r="AO20" s="524">
        <f t="shared" ca="1" si="1"/>
        <v>1098978878.7815709</v>
      </c>
      <c r="AP20" s="524">
        <f t="shared" ca="1" si="3"/>
        <v>1057216408.4911566</v>
      </c>
      <c r="AQ20" s="525">
        <f t="shared" si="4"/>
        <v>0.49078191290888484</v>
      </c>
      <c r="AR20" s="526">
        <f>U20-AP31*AS21/SUM(AS19:AS20)</f>
        <v>0.44051760807861168</v>
      </c>
      <c r="AS20" s="41">
        <f t="shared" si="6"/>
        <v>0.17850018443428273</v>
      </c>
      <c r="AT20" s="1"/>
      <c r="AU20" s="1"/>
      <c r="AV20" s="1"/>
      <c r="AW20" s="1"/>
      <c r="AX20" s="1"/>
      <c r="AY20" s="1"/>
      <c r="AZ20" s="1"/>
      <c r="BA20" s="1"/>
      <c r="BB20" s="1"/>
      <c r="BC20" s="1"/>
      <c r="BD20" s="1"/>
      <c r="BE20" s="1"/>
      <c r="BF20" s="1"/>
      <c r="BG20" s="1"/>
      <c r="BH20" s="1"/>
      <c r="BI20" s="1"/>
      <c r="BJ20" s="1"/>
      <c r="BK20" s="1"/>
      <c r="BL20" s="1"/>
      <c r="BM20" s="1"/>
      <c r="BN20" s="1"/>
    </row>
    <row r="21" spans="1:66" x14ac:dyDescent="0.3">
      <c r="A21" s="1"/>
      <c r="B21" s="33">
        <v>10</v>
      </c>
      <c r="C21" s="129">
        <f>'[72]2. Distributional by deciles o'!B73</f>
        <v>1306427603.6123998</v>
      </c>
      <c r="D21" s="129">
        <f>'[72]2. Distributional by deciles o'!C73</f>
        <v>1418445851.5416002</v>
      </c>
      <c r="E21" s="129">
        <f>'[72]2. Distributional by deciles o'!D73</f>
        <v>1572464929.4987998</v>
      </c>
      <c r="F21" s="129">
        <f>'[72]2. Distributional by deciles o'!E73</f>
        <v>1762571435.2535987</v>
      </c>
      <c r="G21" s="129">
        <f>'[72]2. Distributional by deciles o'!F73</f>
        <v>1978603080.7499995</v>
      </c>
      <c r="H21" s="129">
        <f>'[72]2. Distributional by deciles o'!H73</f>
        <v>2023309740.3395996</v>
      </c>
      <c r="I21" s="129">
        <f>'[72]2. Distributional by deciles o'!I73</f>
        <v>1940138842.6259995</v>
      </c>
      <c r="J21" s="129">
        <f>'[72]2. Distributional by deciles o'!J73</f>
        <v>1971245487.9264011</v>
      </c>
      <c r="K21" s="129">
        <f>'[72]2. Distributional by deciles o'!K73</f>
        <v>1958188075.3547988</v>
      </c>
      <c r="L21" s="139"/>
      <c r="M21" s="139"/>
      <c r="N21" s="139"/>
      <c r="O21" s="139"/>
      <c r="P21" s="129">
        <f>'[72]2. Distributional by deciles o'!B91</f>
        <v>7349782636.8720016</v>
      </c>
      <c r="Q21" s="129">
        <f>'[72]2. Distributional by deciles o'!C91</f>
        <v>8004155305.604413</v>
      </c>
      <c r="R21" s="129">
        <f>'[72]2. Distributional by deciles o'!D91</f>
        <v>8702765699.6952057</v>
      </c>
      <c r="S21" s="129">
        <f>'[72]2. Distributional by deciles o'!E91</f>
        <v>9691139407.3368034</v>
      </c>
      <c r="T21" s="129">
        <f>'[72]2. Distributional by deciles o'!F91</f>
        <v>10810047906.568802</v>
      </c>
      <c r="U21" s="209">
        <f t="shared" si="0"/>
        <v>0.47079831345453993</v>
      </c>
      <c r="V21" s="139"/>
      <c r="W21" s="209"/>
      <c r="X21" s="132"/>
      <c r="Y21" s="132"/>
      <c r="Z21" s="132"/>
      <c r="AA21" s="132"/>
      <c r="AB21" s="132"/>
      <c r="AC21" s="132"/>
      <c r="AD21" s="132"/>
      <c r="AE21" s="139"/>
      <c r="AF21" s="139"/>
      <c r="AG21" s="139"/>
      <c r="AH21" s="139"/>
      <c r="AI21" s="139"/>
      <c r="AJ21" s="139"/>
      <c r="AK21" s="408">
        <f>'[72]2. Distributional by deciles o'!$L73</f>
        <v>1981867945.0332007</v>
      </c>
      <c r="AL21" s="1"/>
      <c r="AM21" s="32" cm="1">
        <f t="array" aca="1" ref="AM21" ca="1">INDIRECT("'1"&amp;$C$8&amp;"'!W21")</f>
        <v>1.0891632655382597</v>
      </c>
      <c r="AN21" s="524">
        <f t="shared" ca="1" si="2"/>
        <v>1976332622.9906754</v>
      </c>
      <c r="AO21" s="524">
        <f t="shared" ca="1" si="1"/>
        <v>2001815689.9165692</v>
      </c>
      <c r="AP21" s="524">
        <f t="shared" ca="1" si="3"/>
        <v>2047478270.7376659</v>
      </c>
      <c r="AQ21" s="525">
        <f t="shared" si="4"/>
        <v>0.47079831345453993</v>
      </c>
      <c r="AR21" s="527">
        <f>U21+AP31</f>
        <v>0.52079831345453997</v>
      </c>
      <c r="AS21" s="41">
        <f t="shared" si="6"/>
        <v>0.32036281630856372</v>
      </c>
      <c r="AT21" s="1"/>
      <c r="AU21" s="1"/>
      <c r="AV21" s="1"/>
      <c r="AW21" s="1"/>
      <c r="AX21" s="1"/>
      <c r="AY21" s="1"/>
      <c r="AZ21" s="1"/>
      <c r="BA21" s="1"/>
      <c r="BB21" s="1"/>
      <c r="BC21" s="1"/>
      <c r="BD21" s="1"/>
      <c r="BE21" s="1"/>
      <c r="BF21" s="1"/>
      <c r="BG21" s="1"/>
      <c r="BH21" s="1"/>
      <c r="BI21" s="1"/>
      <c r="BJ21" s="1"/>
      <c r="BK21" s="1"/>
      <c r="BL21" s="1"/>
      <c r="BM21" s="1"/>
      <c r="BN21" s="1"/>
    </row>
    <row r="22" spans="1:66" ht="13.2" customHeight="1" x14ac:dyDescent="0.3">
      <c r="A22" s="1"/>
      <c r="B22" s="34" t="s">
        <v>114</v>
      </c>
      <c r="C22" s="288">
        <f>'[72]2. Distributional by deciles o'!B74</f>
        <v>3534666896.1696033</v>
      </c>
      <c r="D22" s="288">
        <f>'[72]2. Distributional by deciles o'!C74</f>
        <v>3729303648.3311977</v>
      </c>
      <c r="E22" s="288">
        <f>'[72]2. Distributional by deciles o'!D74</f>
        <v>4201291686.7271938</v>
      </c>
      <c r="F22" s="288">
        <f>'[72]2. Distributional by deciles o'!E74</f>
        <v>4694801063.5991945</v>
      </c>
      <c r="G22" s="288">
        <f>'[72]2. Distributional by deciles o'!F74</f>
        <v>5329996737.6179981</v>
      </c>
      <c r="H22" s="288">
        <f>'[72]2. Distributional by deciles o'!H74</f>
        <v>5842629493.0151978</v>
      </c>
      <c r="I22" s="288">
        <f>'[72]2. Distributional by deciles o'!I74</f>
        <v>5285231647.7724142</v>
      </c>
      <c r="J22" s="288">
        <f>'[72]2. Distributional by deciles o'!J74</f>
        <v>5516270964.7235966</v>
      </c>
      <c r="K22" s="288">
        <f>'[72]2. Distributional by deciles o'!K74</f>
        <v>5423704145.0820093</v>
      </c>
      <c r="L22" s="139"/>
      <c r="M22" s="139"/>
      <c r="N22" s="139"/>
      <c r="O22" s="139"/>
      <c r="P22" s="288">
        <f>'[72]2. Distributional by deciles o'!B92</f>
        <v>22942059011.595512</v>
      </c>
      <c r="Q22" s="288">
        <f>'[72]2. Distributional by deciles o'!C92</f>
        <v>25058761350.770458</v>
      </c>
      <c r="R22" s="288">
        <f>'[72]2. Distributional by deciles o'!D92</f>
        <v>27344677468.845596</v>
      </c>
      <c r="S22" s="288">
        <f>'[72]2. Distributional by deciles o'!E92</f>
        <v>30510340469.731155</v>
      </c>
      <c r="T22" s="288">
        <f>'[72]2. Distributional by deciles o'!F92</f>
        <v>34154012951.97245</v>
      </c>
      <c r="U22" s="210">
        <f>T22/P22-1</f>
        <v>0.48870739695639887</v>
      </c>
      <c r="V22" s="139"/>
      <c r="W22" s="210"/>
      <c r="X22" s="154"/>
      <c r="Y22" s="154"/>
      <c r="Z22" s="154"/>
      <c r="AA22" s="154"/>
      <c r="AB22" s="154"/>
      <c r="AC22" s="154"/>
      <c r="AD22" s="154"/>
      <c r="AE22" s="161"/>
      <c r="AF22" s="161"/>
      <c r="AG22" s="161"/>
      <c r="AH22" s="161"/>
      <c r="AI22" s="162"/>
      <c r="AJ22" s="162"/>
      <c r="AK22" s="425">
        <f>'[72]2. Distributional by deciles o'!$L74</f>
        <v>5909194863.0179996</v>
      </c>
      <c r="AL22" s="1"/>
      <c r="AM22" s="534" cm="1">
        <f t="array" aca="1" ref="AM22" ca="1">INDIRECT("'1"&amp;$C$8&amp;"'!W22")</f>
        <v>1.3144652982741332</v>
      </c>
      <c r="AN22" s="528">
        <f ca="1">SUM(AN12:AN21)</f>
        <v>5806488171.343462</v>
      </c>
      <c r="AO22" s="528">
        <f ca="1">SUM(AO12:AO21)</f>
        <v>5804950462.3078518</v>
      </c>
      <c r="AP22" s="528">
        <f ca="1">SUM(AP12:AP21)</f>
        <v>5799152568.5644884</v>
      </c>
      <c r="AQ22" s="529">
        <f>SUMPRODUCT(AQ12:AQ21,AS12:AS21)</f>
        <v>0.48868280357085137</v>
      </c>
      <c r="AR22" s="529">
        <f>SUMPRODUCT(AR12:AR21,AS12:AS21)</f>
        <v>0.48868280357085137</v>
      </c>
      <c r="AS22" s="530"/>
      <c r="AT22" s="1"/>
      <c r="AU22" s="1"/>
      <c r="AV22" s="1"/>
      <c r="AW22" s="1"/>
      <c r="AX22" s="1"/>
      <c r="AY22" s="1"/>
      <c r="AZ22" s="1"/>
      <c r="BA22" s="1"/>
      <c r="BB22" s="1"/>
      <c r="BC22" s="1"/>
      <c r="BD22" s="1"/>
      <c r="BE22" s="1"/>
      <c r="BF22" s="1"/>
      <c r="BG22" s="1"/>
      <c r="BH22" s="1"/>
      <c r="BI22" s="1"/>
      <c r="BJ22" s="1"/>
      <c r="BK22" s="1"/>
      <c r="BL22" s="1"/>
      <c r="BM22" s="1"/>
      <c r="BN22" s="1"/>
    </row>
    <row r="23" spans="1:66" ht="12.6" customHeight="1" x14ac:dyDescent="0.3">
      <c r="A23" s="1"/>
      <c r="B23" s="1"/>
      <c r="C23" s="1"/>
      <c r="D23" s="1"/>
      <c r="E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531"/>
      <c r="AO23" s="531"/>
      <c r="AP23" s="1"/>
      <c r="AQ23" s="1"/>
      <c r="AR23" s="525">
        <f>U22</f>
        <v>0.48870739695639887</v>
      </c>
      <c r="AS23" s="1"/>
      <c r="AT23" s="1"/>
      <c r="AU23" s="1"/>
      <c r="AV23" s="1"/>
      <c r="AW23" s="1"/>
      <c r="AX23" s="1"/>
      <c r="AY23" s="1"/>
      <c r="AZ23" s="1"/>
      <c r="BA23" s="1"/>
      <c r="BB23" s="1"/>
      <c r="BC23" s="1"/>
      <c r="BD23" s="1"/>
      <c r="BE23" s="1"/>
      <c r="BF23" s="1"/>
      <c r="BG23" s="1"/>
      <c r="BH23" s="1"/>
      <c r="BI23" s="1"/>
      <c r="BJ23" s="1"/>
      <c r="BK23" s="1"/>
      <c r="BL23" s="1"/>
      <c r="BM23" s="1"/>
      <c r="BN23" s="1"/>
    </row>
    <row r="24" spans="1:66" ht="13.95" customHeight="1" x14ac:dyDescent="0.3">
      <c r="A24" s="1"/>
      <c r="B24" s="1"/>
      <c r="C24" s="1"/>
      <c r="D24" s="1"/>
      <c r="E24" s="1"/>
      <c r="F24" s="1"/>
      <c r="G24" s="11" t="s">
        <v>151</v>
      </c>
      <c r="H24" s="212">
        <f>U22</f>
        <v>0.48870739695639887</v>
      </c>
      <c r="I24" s="1"/>
      <c r="J24" s="1"/>
      <c r="K24" s="11" t="s">
        <v>151</v>
      </c>
      <c r="L24" s="212"/>
      <c r="M24" s="1"/>
      <c r="O24" s="1"/>
      <c r="P24" s="1"/>
      <c r="Q24" s="1"/>
      <c r="R24" s="1"/>
      <c r="S24" s="1"/>
      <c r="T24" s="1"/>
      <c r="U24" s="1"/>
      <c r="V24" s="1"/>
      <c r="W24" s="1"/>
      <c r="X24" s="1"/>
      <c r="Y24" s="55"/>
      <c r="Z24" s="55"/>
      <c r="AA24" s="55"/>
      <c r="AB24" s="55"/>
      <c r="AC24" s="55"/>
      <c r="AD24" s="55"/>
      <c r="AE24" s="55"/>
      <c r="AF24" s="55"/>
      <c r="AG24" s="55"/>
      <c r="AH24" s="1"/>
      <c r="AI24" s="1"/>
      <c r="AJ24" s="1"/>
      <c r="AK24" s="1"/>
      <c r="AL24" s="1"/>
      <c r="AM24" s="1"/>
      <c r="AN24" s="531">
        <f ca="1">AN22/G22-1</f>
        <v>8.9398072303213061E-2</v>
      </c>
      <c r="AO24" s="531"/>
      <c r="AP24" s="1"/>
      <c r="AQ24" s="1"/>
      <c r="AR24" s="532" t="str">
        <f>IF(AR23-AR22&lt;0.0000000001,"ok","wrong")</f>
        <v>wrong</v>
      </c>
      <c r="AS24" s="1"/>
      <c r="AT24" s="1"/>
      <c r="AU24" s="1"/>
      <c r="AV24" s="1"/>
      <c r="AW24" s="1"/>
      <c r="AX24" s="1"/>
      <c r="AY24" s="1"/>
      <c r="AZ24" s="1"/>
      <c r="BA24" s="1"/>
      <c r="BB24" s="1"/>
      <c r="BC24" s="1"/>
      <c r="BD24" s="1"/>
      <c r="BE24" s="1"/>
      <c r="BF24" s="1"/>
      <c r="BG24" s="1"/>
      <c r="BH24" s="1"/>
      <c r="BI24" s="1"/>
      <c r="BJ24" s="1"/>
      <c r="BK24" s="1"/>
      <c r="BL24" s="1"/>
      <c r="BM24" s="1"/>
      <c r="BN24" s="1"/>
    </row>
    <row r="25" spans="1:66" ht="13.95" customHeight="1" x14ac:dyDescent="0.3">
      <c r="A25" s="1"/>
      <c r="B25" s="1"/>
      <c r="C25" s="1"/>
      <c r="D25" s="1"/>
      <c r="E25" s="1"/>
      <c r="F25" s="1"/>
      <c r="G25" s="11" t="s">
        <v>152</v>
      </c>
      <c r="H25" s="213">
        <v>0.28489999999999999</v>
      </c>
      <c r="I25" s="1"/>
      <c r="J25" s="1"/>
      <c r="K25" s="11" t="s">
        <v>152</v>
      </c>
      <c r="L25" s="139"/>
      <c r="M25" s="1"/>
      <c r="N25" s="1"/>
      <c r="O25" s="1"/>
      <c r="P25" s="1"/>
      <c r="Q25" s="1"/>
      <c r="R25" s="1"/>
      <c r="S25" s="1"/>
      <c r="T25" s="1"/>
      <c r="U25" s="1"/>
      <c r="V25" s="1"/>
      <c r="W25" s="1"/>
      <c r="X25" s="1"/>
      <c r="Y25" s="55"/>
      <c r="Z25" s="55"/>
      <c r="AA25" s="55"/>
      <c r="AB25" s="55"/>
      <c r="AC25" s="55"/>
      <c r="AD25" s="55"/>
      <c r="AE25" s="55"/>
      <c r="AF25" s="55"/>
      <c r="AG25" s="55"/>
      <c r="AH25" s="1"/>
      <c r="AI25" s="1"/>
      <c r="AJ25" s="1"/>
      <c r="AK25" s="1"/>
      <c r="AL25" s="1"/>
      <c r="AM25" s="1"/>
      <c r="AN25" s="1"/>
      <c r="AO25" s="531"/>
      <c r="AP25" s="1"/>
      <c r="AQ25" s="1"/>
      <c r="AR25" s="532" t="str">
        <f>IF(AQ22-AR22&lt;0.0000000001,"ok","wrong")</f>
        <v>ok</v>
      </c>
      <c r="AS25" s="1"/>
      <c r="AT25" s="1"/>
      <c r="AU25" s="1"/>
      <c r="AV25" s="1"/>
      <c r="AW25" s="1"/>
      <c r="AX25" s="1"/>
      <c r="AY25" s="1"/>
      <c r="AZ25" s="1"/>
      <c r="BA25" s="1"/>
      <c r="BB25" s="1"/>
      <c r="BC25" s="1"/>
      <c r="BD25" s="1"/>
      <c r="BE25" s="1"/>
      <c r="BF25" s="1"/>
      <c r="BG25" s="1"/>
      <c r="BH25" s="1"/>
      <c r="BI25" s="1"/>
      <c r="BJ25" s="1"/>
      <c r="BK25" s="1"/>
      <c r="BL25" s="1"/>
      <c r="BM25" s="1"/>
      <c r="BN25" s="1"/>
    </row>
    <row r="26" spans="1:66" ht="13.95" customHeight="1" x14ac:dyDescent="0.3">
      <c r="A26" s="1"/>
      <c r="B26" s="1"/>
      <c r="C26" s="1"/>
      <c r="D26" s="1"/>
      <c r="E26" s="1"/>
      <c r="F26" s="1"/>
      <c r="G26" s="11" t="s">
        <v>153</v>
      </c>
      <c r="H26" s="213">
        <v>0.3659</v>
      </c>
      <c r="I26" s="1"/>
      <c r="J26" s="1"/>
      <c r="K26" s="11" t="s">
        <v>153</v>
      </c>
      <c r="L26" s="139"/>
      <c r="M26" s="1"/>
      <c r="N26" s="1"/>
      <c r="O26" s="1"/>
      <c r="P26" s="1"/>
      <c r="Q26" s="1"/>
      <c r="R26" s="1"/>
      <c r="S26" s="1"/>
      <c r="T26" s="1"/>
      <c r="U26" s="1"/>
      <c r="V26" s="1"/>
      <c r="W26" s="1"/>
      <c r="X26" s="1"/>
      <c r="Y26" s="55"/>
      <c r="Z26" s="55"/>
      <c r="AA26" s="55"/>
      <c r="AB26" s="55"/>
      <c r="AC26" s="55"/>
      <c r="AD26" s="55"/>
      <c r="AE26" s="55"/>
      <c r="AF26" s="55"/>
      <c r="AG26" s="55"/>
      <c r="AH26" s="1"/>
      <c r="AI26" s="1"/>
      <c r="AJ26" s="1"/>
      <c r="AK26" s="1"/>
      <c r="AL26" s="1"/>
      <c r="AM26" s="8" t="s">
        <v>571</v>
      </c>
      <c r="AN26" s="533"/>
      <c r="AO26" s="535">
        <f ca="1">AO22/$AN22-1</f>
        <v>-2.6482599985289124E-4</v>
      </c>
      <c r="AP26" s="536">
        <f ca="1">AP22/$AN22-1</f>
        <v>-1.2633458576867262E-3</v>
      </c>
      <c r="AQ26" s="1"/>
      <c r="AR26" s="1"/>
      <c r="AS26" s="1"/>
      <c r="AT26" s="1"/>
      <c r="AU26" s="1"/>
      <c r="AV26" s="1"/>
      <c r="AW26" s="1"/>
      <c r="AX26" s="1"/>
      <c r="AY26" s="1"/>
      <c r="AZ26" s="1"/>
      <c r="BA26" s="1"/>
      <c r="BB26" s="1"/>
      <c r="BC26" s="1"/>
      <c r="BD26" s="1"/>
      <c r="BE26" s="1"/>
      <c r="BF26" s="1"/>
      <c r="BG26" s="1"/>
      <c r="BH26" s="1"/>
      <c r="BI26" s="1"/>
      <c r="BJ26" s="1"/>
      <c r="BK26" s="1"/>
      <c r="BL26" s="1"/>
      <c r="BM26" s="1"/>
      <c r="BN26" s="1"/>
    </row>
    <row r="27" spans="1:66" ht="9" customHeight="1" x14ac:dyDescent="0.3">
      <c r="A27" s="1"/>
      <c r="B27" s="1"/>
      <c r="C27" s="1"/>
      <c r="D27" s="1"/>
      <c r="E27" s="1"/>
      <c r="F27" s="1"/>
      <c r="G27" s="1"/>
      <c r="H27" s="1"/>
      <c r="I27" s="1"/>
      <c r="J27" s="1"/>
      <c r="K27" s="1"/>
      <c r="L27" s="1"/>
      <c r="M27" s="1"/>
      <c r="N27" s="1"/>
      <c r="O27" s="1"/>
      <c r="P27" s="1"/>
      <c r="Q27" s="1"/>
      <c r="R27" s="1"/>
      <c r="S27" s="1"/>
      <c r="T27" s="55"/>
      <c r="U27" s="55"/>
      <c r="V27" s="55"/>
      <c r="W27" s="55"/>
      <c r="X27" s="55"/>
      <c r="Y27" s="55"/>
      <c r="Z27" s="55"/>
      <c r="AA27" s="55"/>
      <c r="AB27" s="55"/>
      <c r="AC27" s="55"/>
      <c r="AD27" s="55"/>
      <c r="AE27" s="55"/>
      <c r="AF27" s="55"/>
      <c r="AG27" s="55"/>
      <c r="AH27" s="1"/>
      <c r="AI27" s="1"/>
      <c r="AJ27" s="1"/>
      <c r="AK27" s="1"/>
      <c r="AL27" s="1"/>
      <c r="AM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row>
    <row r="28" spans="1:66" ht="12" customHeight="1" thickBot="1" x14ac:dyDescent="0.35">
      <c r="A28" s="214"/>
      <c r="B28" s="214"/>
      <c r="C28" s="214"/>
      <c r="D28" s="214"/>
      <c r="E28" s="214"/>
      <c r="F28" s="214"/>
      <c r="G28" s="214"/>
      <c r="H28" s="214"/>
      <c r="I28" s="214"/>
      <c r="J28" s="214"/>
      <c r="K28" s="214"/>
      <c r="L28" s="214"/>
      <c r="M28" s="214"/>
      <c r="N28" s="214"/>
      <c r="O28" s="214"/>
      <c r="P28" s="214"/>
      <c r="Q28" s="214"/>
      <c r="R28" s="214"/>
      <c r="S28" s="214"/>
      <c r="T28" s="215"/>
      <c r="U28" s="215"/>
      <c r="V28" s="215"/>
      <c r="W28" s="215"/>
      <c r="X28" s="215"/>
      <c r="Y28" s="215"/>
      <c r="Z28" s="215"/>
      <c r="AA28" s="214"/>
      <c r="AB28" s="214"/>
      <c r="AC28" s="214"/>
      <c r="AD28" s="214"/>
      <c r="AE28" s="214"/>
      <c r="AF28" s="214"/>
      <c r="AG28" s="214"/>
      <c r="AH28" s="214"/>
      <c r="AI28" s="214"/>
      <c r="AJ28" s="1"/>
      <c r="AK28" s="1"/>
      <c r="AL28" s="1"/>
      <c r="AM28" s="8" t="s">
        <v>572</v>
      </c>
      <c r="AN28" s="8"/>
      <c r="AO28" s="535">
        <f ca="1">(AO22-$AN22)/($W$37*1000000)</f>
        <v>-3.305639904339601E-3</v>
      </c>
      <c r="AP28" s="536">
        <f ca="1">(AP22-$AN22)/($W$37*1000000)</f>
        <v>-1.5769473097319103E-2</v>
      </c>
      <c r="AQ28" s="1"/>
      <c r="AR28" s="1"/>
      <c r="AS28" s="1"/>
      <c r="AT28" s="1"/>
      <c r="AU28" s="1"/>
      <c r="AV28" s="1"/>
      <c r="AW28" s="1"/>
      <c r="AX28" s="1"/>
      <c r="AY28" s="1"/>
      <c r="AZ28" s="1"/>
      <c r="BA28" s="1"/>
      <c r="BB28" s="1"/>
      <c r="BC28" s="1"/>
      <c r="BD28" s="1"/>
      <c r="BE28" s="1"/>
      <c r="BF28" s="1"/>
      <c r="BG28" s="1"/>
      <c r="BH28" s="1"/>
      <c r="BI28" s="1"/>
      <c r="BJ28" s="1"/>
      <c r="BK28" s="1"/>
      <c r="BL28" s="1"/>
      <c r="BM28" s="1"/>
      <c r="BN28" s="1"/>
    </row>
    <row r="29" spans="1:66" ht="12" customHeight="1" thickBot="1" x14ac:dyDescent="0.35">
      <c r="A29" s="214"/>
      <c r="B29" s="216" t="s">
        <v>154</v>
      </c>
      <c r="C29" s="217"/>
      <c r="D29" s="217"/>
      <c r="E29" s="217"/>
      <c r="F29" s="217"/>
      <c r="G29" s="217"/>
      <c r="H29" s="217"/>
      <c r="I29" s="217"/>
      <c r="J29" s="217"/>
      <c r="K29" s="217"/>
      <c r="L29" s="217"/>
      <c r="M29" s="217"/>
      <c r="N29" s="217"/>
      <c r="O29" s="217"/>
      <c r="P29" s="217"/>
      <c r="Q29" s="217"/>
      <c r="R29" s="217"/>
      <c r="S29" s="217"/>
      <c r="T29" s="218"/>
      <c r="U29" s="218"/>
      <c r="V29" s="219"/>
      <c r="W29" s="215"/>
      <c r="X29" s="215"/>
      <c r="Y29" s="215"/>
      <c r="Z29" s="215"/>
      <c r="AA29" s="214"/>
      <c r="AB29" s="214"/>
      <c r="AC29" s="214"/>
      <c r="AD29" s="214"/>
      <c r="AE29" s="214"/>
      <c r="AF29" s="214"/>
      <c r="AG29" s="214"/>
      <c r="AH29" s="214"/>
      <c r="AI29" s="214"/>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row>
    <row r="30" spans="1:66" ht="21.6" customHeight="1" thickBot="1" x14ac:dyDescent="0.35">
      <c r="A30" s="214"/>
      <c r="B30" s="220"/>
      <c r="C30" s="214"/>
      <c r="D30" s="214"/>
      <c r="E30" s="214"/>
      <c r="F30" s="214"/>
      <c r="G30" s="214"/>
      <c r="H30" s="214"/>
      <c r="I30" s="214"/>
      <c r="J30" s="214"/>
      <c r="K30" s="214"/>
      <c r="L30" s="214"/>
      <c r="M30" s="214"/>
      <c r="N30" s="214"/>
      <c r="O30" s="214"/>
      <c r="P30" s="214"/>
      <c r="Q30" s="214"/>
      <c r="R30" s="214"/>
      <c r="S30" s="214"/>
      <c r="T30" s="214"/>
      <c r="U30" s="214"/>
      <c r="V30" s="214"/>
      <c r="W30" s="214"/>
      <c r="X30" s="214"/>
      <c r="Y30" s="214"/>
      <c r="Z30" s="214"/>
      <c r="AA30" s="214"/>
      <c r="AB30" s="214"/>
      <c r="AC30" s="216" t="s">
        <v>158</v>
      </c>
      <c r="AD30" s="221"/>
      <c r="AE30" s="214"/>
      <c r="AF30" s="214"/>
      <c r="AG30" s="214"/>
      <c r="AH30" s="214"/>
      <c r="AI30" s="214"/>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row>
    <row r="31" spans="1:66" ht="21" customHeight="1" thickBot="1" x14ac:dyDescent="0.35">
      <c r="A31" s="214"/>
      <c r="B31" s="216" t="s">
        <v>159</v>
      </c>
      <c r="C31" s="221"/>
      <c r="D31" s="223"/>
      <c r="E31" s="222" t="s">
        <v>160</v>
      </c>
      <c r="F31" s="222" t="s">
        <v>160</v>
      </c>
      <c r="G31" s="223"/>
      <c r="H31" s="224" t="s">
        <v>161</v>
      </c>
      <c r="I31" s="222"/>
      <c r="J31" s="222"/>
      <c r="K31" s="222"/>
      <c r="L31" s="222"/>
      <c r="M31" s="223"/>
      <c r="N31" s="216" t="s">
        <v>162</v>
      </c>
      <c r="O31" s="221"/>
      <c r="P31" s="222" t="s">
        <v>163</v>
      </c>
      <c r="Q31" s="222"/>
      <c r="R31" s="222"/>
      <c r="S31" s="223"/>
      <c r="T31" s="224" t="s">
        <v>164</v>
      </c>
      <c r="U31" s="222"/>
      <c r="V31" s="222"/>
      <c r="W31" s="223"/>
      <c r="X31" s="225" t="s">
        <v>165</v>
      </c>
      <c r="Y31" s="222"/>
      <c r="Z31" s="222"/>
      <c r="AA31" s="223"/>
      <c r="AB31" s="214"/>
      <c r="AC31" s="347" t="s">
        <v>163</v>
      </c>
      <c r="AD31" s="348"/>
      <c r="AE31" s="223"/>
      <c r="AF31" s="224" t="s">
        <v>164</v>
      </c>
      <c r="AG31" s="222"/>
      <c r="AH31" s="223"/>
      <c r="AI31" s="214"/>
      <c r="AJ31" s="1"/>
      <c r="AK31" s="1"/>
      <c r="AL31" s="1"/>
      <c r="AM31" s="1"/>
      <c r="AN31" s="1"/>
      <c r="AO31" s="8" t="s">
        <v>567</v>
      </c>
      <c r="AP31" s="10">
        <v>0.05</v>
      </c>
      <c r="AQ31" s="1"/>
      <c r="AR31" s="1"/>
      <c r="AS31" s="1"/>
      <c r="AT31" s="1"/>
      <c r="AU31" s="1"/>
      <c r="AV31" s="1"/>
      <c r="AW31" s="1"/>
      <c r="AX31" s="1"/>
      <c r="AY31" s="1"/>
      <c r="AZ31" s="1"/>
      <c r="BA31" s="1"/>
      <c r="BB31" s="1"/>
      <c r="BC31" s="1"/>
      <c r="BD31" s="1"/>
      <c r="BE31" s="1"/>
      <c r="BF31" s="1"/>
      <c r="BG31" s="1"/>
      <c r="BH31" s="1"/>
      <c r="BI31" s="1"/>
      <c r="BJ31" s="1"/>
      <c r="BK31" s="1"/>
      <c r="BL31" s="1"/>
      <c r="BM31" s="1"/>
      <c r="BN31" s="1"/>
    </row>
    <row r="32" spans="1:66" ht="51" customHeight="1" x14ac:dyDescent="0.3">
      <c r="A32" s="214"/>
      <c r="B32" s="226"/>
      <c r="C32" s="227" t="s">
        <v>166</v>
      </c>
      <c r="D32" s="228" t="s">
        <v>167</v>
      </c>
      <c r="E32" s="228" t="s">
        <v>168</v>
      </c>
      <c r="F32" s="410" t="s">
        <v>169</v>
      </c>
      <c r="G32" s="228" t="s">
        <v>170</v>
      </c>
      <c r="H32" s="228" t="s">
        <v>171</v>
      </c>
      <c r="I32" s="229" t="s">
        <v>172</v>
      </c>
      <c r="J32" s="229" t="s">
        <v>173</v>
      </c>
      <c r="K32" s="230" t="s">
        <v>174</v>
      </c>
      <c r="L32" s="229" t="s">
        <v>175</v>
      </c>
      <c r="M32" s="411" t="s">
        <v>176</v>
      </c>
      <c r="N32" s="227"/>
      <c r="O32" s="227" t="s">
        <v>177</v>
      </c>
      <c r="P32" s="231" t="s">
        <v>178</v>
      </c>
      <c r="Q32" s="231" t="s">
        <v>179</v>
      </c>
      <c r="R32" s="231" t="s">
        <v>180</v>
      </c>
      <c r="S32" s="231" t="s">
        <v>181</v>
      </c>
      <c r="T32" s="231" t="s">
        <v>182</v>
      </c>
      <c r="U32" s="231" t="s">
        <v>183</v>
      </c>
      <c r="V32" s="231" t="s">
        <v>184</v>
      </c>
      <c r="W32" s="231" t="s">
        <v>185</v>
      </c>
      <c r="X32" s="231" t="s">
        <v>186</v>
      </c>
      <c r="Y32" s="231" t="s">
        <v>187</v>
      </c>
      <c r="Z32" s="231" t="s">
        <v>188</v>
      </c>
      <c r="AA32" s="231" t="s">
        <v>189</v>
      </c>
      <c r="AB32" s="214"/>
      <c r="AC32" s="231" t="s">
        <v>178</v>
      </c>
      <c r="AD32" s="231" t="s">
        <v>179</v>
      </c>
      <c r="AE32" s="231" t="s">
        <v>180</v>
      </c>
      <c r="AF32" s="231" t="s">
        <v>182</v>
      </c>
      <c r="AG32" s="231" t="s">
        <v>183</v>
      </c>
      <c r="AH32" s="231" t="s">
        <v>184</v>
      </c>
      <c r="AI32" s="214"/>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row>
    <row r="33" spans="1:66" ht="15.6" customHeight="1" x14ac:dyDescent="0.3">
      <c r="A33" s="214"/>
      <c r="B33" s="232">
        <v>2019</v>
      </c>
      <c r="C33" s="233">
        <f>C22</f>
        <v>3534666896.1696033</v>
      </c>
      <c r="D33" s="146">
        <f>'[73]Sheet 1'!$P$28</f>
        <v>49239.199999999997</v>
      </c>
      <c r="E33" s="259">
        <f>(F33/1000000/D33)*100</f>
        <v>7.1676631626833913</v>
      </c>
      <c r="F33" s="146">
        <f>'[74]Sheet 1'!$M$61*1000000</f>
        <v>3529300000</v>
      </c>
      <c r="G33" s="234">
        <f>F33/C33</f>
        <v>0.99848164018640084</v>
      </c>
      <c r="H33" s="235">
        <f>C33*G33</f>
        <v>3529300000</v>
      </c>
      <c r="I33" s="235" t="s">
        <v>113</v>
      </c>
      <c r="J33" s="235" t="s">
        <v>113</v>
      </c>
      <c r="K33" s="235" t="s">
        <v>113</v>
      </c>
      <c r="L33" s="235" t="s">
        <v>113</v>
      </c>
      <c r="M33" s="214"/>
      <c r="N33" s="232">
        <v>2019</v>
      </c>
      <c r="O33" s="236">
        <f>G33</f>
        <v>0.99848164018640084</v>
      </c>
      <c r="P33" s="237"/>
      <c r="Q33" s="237"/>
      <c r="R33" s="237"/>
      <c r="S33" s="237"/>
      <c r="T33" s="237"/>
      <c r="U33" s="237"/>
      <c r="V33" s="238"/>
      <c r="W33" s="238"/>
      <c r="X33" s="238"/>
      <c r="Y33" s="238"/>
      <c r="Z33" s="238"/>
      <c r="AA33" s="238"/>
      <c r="AB33" s="214"/>
      <c r="AC33" s="237"/>
      <c r="AD33" s="237"/>
      <c r="AE33" s="237"/>
      <c r="AF33" s="237"/>
      <c r="AG33" s="237"/>
      <c r="AH33" s="238"/>
      <c r="AI33" s="214"/>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row>
    <row r="34" spans="1:66" s="51" customFormat="1" ht="15.6" customHeight="1" x14ac:dyDescent="0.3">
      <c r="A34" s="239"/>
      <c r="B34" s="240">
        <v>2020</v>
      </c>
      <c r="C34" s="241">
        <f>D22</f>
        <v>3729303648.3311977</v>
      </c>
      <c r="D34" s="146">
        <f>'[73]Sheet 1'!$R$28</f>
        <v>50264.6</v>
      </c>
      <c r="E34" s="259">
        <f t="shared" ref="E34:E36" si="7">(F34/1000000/D34)*100</f>
        <v>7.2184002260039879</v>
      </c>
      <c r="F34" s="146">
        <f>'[74]Sheet 1'!$O$61*1000000</f>
        <v>3628300000</v>
      </c>
      <c r="G34" s="234">
        <f>F34/C34</f>
        <v>0.97291621764926672</v>
      </c>
      <c r="H34" s="242">
        <f>C34*G34</f>
        <v>3628300000</v>
      </c>
      <c r="I34" s="243"/>
      <c r="J34" s="243"/>
      <c r="K34" s="243"/>
      <c r="L34" s="243"/>
      <c r="M34" s="214"/>
      <c r="N34" s="240">
        <v>2020</v>
      </c>
      <c r="O34" s="244"/>
      <c r="P34" s="245"/>
      <c r="Q34" s="245"/>
      <c r="R34" s="245"/>
      <c r="S34" s="245"/>
      <c r="T34" s="245"/>
      <c r="U34" s="245"/>
      <c r="V34" s="245"/>
      <c r="W34" s="245"/>
      <c r="X34" s="245"/>
      <c r="Y34" s="245"/>
      <c r="Z34" s="245"/>
      <c r="AA34" s="245"/>
      <c r="AB34" s="239"/>
      <c r="AC34" s="245"/>
      <c r="AD34" s="245"/>
      <c r="AE34" s="245"/>
      <c r="AF34" s="245"/>
      <c r="AG34" s="245"/>
      <c r="AH34" s="245"/>
      <c r="AI34" s="239"/>
      <c r="AJ34" s="47"/>
      <c r="AK34" s="47"/>
      <c r="AL34" s="47"/>
      <c r="AM34" s="47"/>
      <c r="AN34" s="47"/>
      <c r="AO34" s="47"/>
      <c r="AP34" s="47"/>
      <c r="AQ34" s="47"/>
      <c r="AR34" s="47"/>
      <c r="AS34" s="47"/>
      <c r="AT34" s="47"/>
      <c r="AU34" s="47"/>
      <c r="AV34" s="47"/>
      <c r="AW34" s="47"/>
      <c r="AX34" s="47"/>
      <c r="AY34" s="47"/>
      <c r="AZ34" s="47"/>
      <c r="BA34" s="47"/>
      <c r="BB34" s="47"/>
      <c r="BC34" s="47"/>
      <c r="BD34" s="47"/>
      <c r="BE34" s="47"/>
      <c r="BF34" s="47"/>
      <c r="BG34" s="47"/>
      <c r="BH34" s="47"/>
      <c r="BI34" s="47"/>
      <c r="BJ34" s="47"/>
      <c r="BK34" s="47"/>
      <c r="BL34" s="47"/>
      <c r="BM34" s="47"/>
      <c r="BN34" s="47"/>
    </row>
    <row r="35" spans="1:66" ht="15.6" customHeight="1" x14ac:dyDescent="0.3">
      <c r="A35" s="214"/>
      <c r="B35" s="232">
        <v>2021</v>
      </c>
      <c r="C35" s="241">
        <f>E22</f>
        <v>4201291686.7271938</v>
      </c>
      <c r="D35" s="146">
        <f>'[73]Sheet 1'!$T$28</f>
        <v>56679.7</v>
      </c>
      <c r="E35" s="259">
        <f t="shared" si="7"/>
        <v>7.4361720333735022</v>
      </c>
      <c r="F35" s="146">
        <f>'[74]Sheet 1'!$Q$61*1000000</f>
        <v>4214800000</v>
      </c>
      <c r="G35" s="234">
        <f>F35/C35</f>
        <v>1.0032152762245672</v>
      </c>
      <c r="H35" s="242">
        <f>C35*G35</f>
        <v>4214799999.9999995</v>
      </c>
      <c r="I35" s="243"/>
      <c r="J35" s="243"/>
      <c r="K35" s="243"/>
      <c r="L35" s="243"/>
      <c r="M35" s="214"/>
      <c r="N35" s="232">
        <v>2021</v>
      </c>
      <c r="O35" s="244"/>
      <c r="P35" s="246"/>
      <c r="Q35" s="246"/>
      <c r="R35" s="246"/>
      <c r="S35" s="246"/>
      <c r="T35" s="246"/>
      <c r="U35" s="246"/>
      <c r="V35" s="247"/>
      <c r="W35" s="247"/>
      <c r="X35" s="247"/>
      <c r="Y35" s="247"/>
      <c r="Z35" s="247"/>
      <c r="AA35" s="247"/>
      <c r="AB35" s="214"/>
      <c r="AC35" s="246"/>
      <c r="AD35" s="246"/>
      <c r="AE35" s="246"/>
      <c r="AF35" s="246"/>
      <c r="AG35" s="246"/>
      <c r="AH35" s="247"/>
      <c r="AI35" s="214"/>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row>
    <row r="36" spans="1:66" ht="15.6" customHeight="1" x14ac:dyDescent="0.3">
      <c r="A36" s="214"/>
      <c r="B36" s="240">
        <v>2022</v>
      </c>
      <c r="C36" s="248">
        <f>F22</f>
        <v>4694801063.5991945</v>
      </c>
      <c r="D36" s="146">
        <f>'[73]Sheet 1'!$V$28</f>
        <v>67455.5</v>
      </c>
      <c r="E36" s="259">
        <f t="shared" si="7"/>
        <v>7.5676557137668539</v>
      </c>
      <c r="F36" s="146">
        <f>'[74]Sheet 1'!$S$61*1000000</f>
        <v>5104800000</v>
      </c>
      <c r="G36" s="234">
        <f>F36/C36</f>
        <v>1.0873304173801321</v>
      </c>
      <c r="H36" s="242">
        <f>C36*G36</f>
        <v>5104800000.000001</v>
      </c>
      <c r="I36" s="249"/>
      <c r="J36" s="249"/>
      <c r="K36" s="249"/>
      <c r="L36" s="249"/>
      <c r="M36" s="214"/>
      <c r="N36" s="240">
        <v>2022</v>
      </c>
      <c r="O36" s="250"/>
      <c r="P36" s="225"/>
      <c r="Q36" s="225"/>
      <c r="R36" s="225"/>
      <c r="S36" s="225"/>
      <c r="T36" s="225"/>
      <c r="U36" s="225"/>
      <c r="V36" s="225"/>
      <c r="W36" s="225"/>
      <c r="X36" s="225"/>
      <c r="Y36" s="225"/>
      <c r="Z36" s="225"/>
      <c r="AA36" s="225"/>
      <c r="AB36" s="214"/>
      <c r="AC36" s="225"/>
      <c r="AD36" s="225"/>
      <c r="AE36" s="225"/>
      <c r="AF36" s="225"/>
      <c r="AG36" s="225"/>
      <c r="AH36" s="225"/>
      <c r="AI36" s="214"/>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row>
    <row r="37" spans="1:66" ht="15.6" customHeight="1" x14ac:dyDescent="0.3">
      <c r="A37" s="214"/>
      <c r="B37" s="232">
        <v>2023</v>
      </c>
      <c r="C37" s="251">
        <f>G22</f>
        <v>5329996737.6179981</v>
      </c>
      <c r="D37" s="146">
        <f>'[73]Sheet 1'!$X$28</f>
        <v>73792.800000000003</v>
      </c>
      <c r="E37" s="259">
        <f>(F37/1000000/D37)*100</f>
        <v>7.7377467720427999</v>
      </c>
      <c r="F37" s="146">
        <f>'[74]Sheet 1'!$U$61*1000000</f>
        <v>5709900000</v>
      </c>
      <c r="G37" s="234">
        <f>F37/C37</f>
        <v>1.0712764530793657</v>
      </c>
      <c r="H37" s="242">
        <f>C37*G37</f>
        <v>5709900000</v>
      </c>
      <c r="I37" s="235">
        <f>H22*$G37</f>
        <v>6259071399.9342136</v>
      </c>
      <c r="J37" s="235">
        <f>I22*$G37</f>
        <v>5661944213.3284435</v>
      </c>
      <c r="K37" s="235">
        <f>J22*$G37</f>
        <v>5909451193.3137856</v>
      </c>
      <c r="L37" s="235">
        <f>K22*$G37</f>
        <v>5810286539.0953083</v>
      </c>
      <c r="M37" s="412">
        <f>AK22*$G37</f>
        <v>6330381313.4087305</v>
      </c>
      <c r="N37" s="232">
        <v>2023</v>
      </c>
      <c r="O37" s="252">
        <f>G37</f>
        <v>1.0712764530793657</v>
      </c>
      <c r="P37" s="253">
        <f>($H37-J37)/1000000</f>
        <v>47.955786671556474</v>
      </c>
      <c r="Q37" s="253">
        <f>($H37-K37)/1000000</f>
        <v>-199.55119331378555</v>
      </c>
      <c r="R37" s="253">
        <f>($H37-L37)/1000000</f>
        <v>-100.38653909530831</v>
      </c>
      <c r="S37" s="253">
        <f>AVERAGE(P37:R37)</f>
        <v>-83.993981912512467</v>
      </c>
      <c r="T37" s="253">
        <f>($I37-J37)/1000000</f>
        <v>597.12718660577013</v>
      </c>
      <c r="U37" s="253">
        <f t="shared" ref="U37:V37" si="8">($I37-K37)/1000000</f>
        <v>349.62020662042806</v>
      </c>
      <c r="V37" s="253">
        <f t="shared" si="8"/>
        <v>448.78486083890533</v>
      </c>
      <c r="W37" s="253">
        <f>AVERAGE(T37:V37)</f>
        <v>465.17741802170121</v>
      </c>
      <c r="X37" s="254">
        <f>(T37-P37)/T37</f>
        <v>0.91968915878014212</v>
      </c>
      <c r="Y37" s="254">
        <f>(U37-Q37)/U37</f>
        <v>1.5707656180480212</v>
      </c>
      <c r="Z37" s="254">
        <f>(V37-R37)/V37</f>
        <v>1.2236852172501043</v>
      </c>
      <c r="AA37" s="254">
        <f>AVERAGE(X37:Z37)</f>
        <v>1.2380466646927559</v>
      </c>
      <c r="AB37" s="214"/>
      <c r="AC37" s="351">
        <f>P37/$D37</f>
        <v>6.4987080950386041E-4</v>
      </c>
      <c r="AD37" s="351">
        <f>Q37/$D37</f>
        <v>-2.7042095341792902E-3</v>
      </c>
      <c r="AE37" s="351">
        <f>R37/$D37</f>
        <v>-1.3603839276366842E-3</v>
      </c>
      <c r="AF37" s="351">
        <f>T37/$D37</f>
        <v>8.091943747977717E-3</v>
      </c>
      <c r="AG37" s="351">
        <f>U37/$D37</f>
        <v>4.7378634042945659E-3</v>
      </c>
      <c r="AH37" s="351">
        <f>V37/$D37</f>
        <v>6.0816890108371727E-3</v>
      </c>
      <c r="AI37" s="214"/>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row>
    <row r="38" spans="1:66" ht="15.6" customHeight="1" x14ac:dyDescent="0.3">
      <c r="A38" s="214"/>
      <c r="B38" s="240">
        <v>2024</v>
      </c>
      <c r="C38" s="255"/>
      <c r="D38" s="256"/>
      <c r="E38" s="256"/>
      <c r="F38" s="256"/>
      <c r="G38" s="257"/>
      <c r="H38" s="256"/>
      <c r="I38" s="249"/>
      <c r="J38" s="249"/>
      <c r="K38" s="249"/>
      <c r="L38" s="249"/>
      <c r="M38" s="214"/>
      <c r="N38" s="240">
        <v>2024</v>
      </c>
      <c r="O38" s="250"/>
      <c r="P38" s="225"/>
      <c r="Q38" s="225"/>
      <c r="R38" s="225"/>
      <c r="S38" s="225"/>
      <c r="T38" s="258"/>
      <c r="U38" s="258"/>
      <c r="V38" s="258"/>
      <c r="W38" s="258"/>
      <c r="X38" s="225"/>
      <c r="Y38" s="225"/>
      <c r="Z38" s="225"/>
      <c r="AA38" s="225"/>
      <c r="AB38" s="214"/>
      <c r="AC38" s="353"/>
      <c r="AD38" s="353"/>
      <c r="AE38" s="353"/>
      <c r="AF38" s="354"/>
      <c r="AG38" s="354"/>
      <c r="AH38" s="354"/>
      <c r="AI38" s="214"/>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row>
    <row r="39" spans="1:66" ht="15.6" customHeight="1" x14ac:dyDescent="0.3">
      <c r="A39" s="214"/>
      <c r="B39" s="232">
        <v>2025</v>
      </c>
      <c r="C39" s="255"/>
      <c r="D39" s="256"/>
      <c r="E39" s="256"/>
      <c r="F39" s="256"/>
      <c r="G39" s="257"/>
      <c r="H39" s="256"/>
      <c r="I39" s="249"/>
      <c r="J39" s="249"/>
      <c r="K39" s="249"/>
      <c r="L39" s="249"/>
      <c r="M39" s="214"/>
      <c r="N39" s="232">
        <v>2025</v>
      </c>
      <c r="O39" s="250"/>
      <c r="P39" s="225"/>
      <c r="Q39" s="225"/>
      <c r="R39" s="225"/>
      <c r="S39" s="225"/>
      <c r="T39" s="258"/>
      <c r="U39" s="258"/>
      <c r="V39" s="258"/>
      <c r="W39" s="258"/>
      <c r="X39" s="225"/>
      <c r="Y39" s="225"/>
      <c r="Z39" s="225"/>
      <c r="AA39" s="225"/>
      <c r="AB39" s="214"/>
      <c r="AC39" s="353"/>
      <c r="AD39" s="353"/>
      <c r="AE39" s="353"/>
      <c r="AF39" s="354"/>
      <c r="AG39" s="354"/>
      <c r="AH39" s="354"/>
      <c r="AI39" s="214"/>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row>
    <row r="40" spans="1:66" ht="15.6" customHeight="1" x14ac:dyDescent="0.3">
      <c r="A40" s="214"/>
      <c r="B40" s="240">
        <v>2026</v>
      </c>
      <c r="C40" s="251"/>
      <c r="D40" s="256"/>
      <c r="E40" s="256"/>
      <c r="F40" s="256"/>
      <c r="G40" s="259"/>
      <c r="H40" s="256"/>
      <c r="I40" s="235"/>
      <c r="J40" s="235"/>
      <c r="K40" s="235"/>
      <c r="L40" s="235"/>
      <c r="M40" s="214"/>
      <c r="N40" s="240">
        <v>2026</v>
      </c>
      <c r="O40" s="252"/>
      <c r="P40" s="225"/>
      <c r="Q40" s="225"/>
      <c r="R40" s="225"/>
      <c r="S40" s="225"/>
      <c r="T40" s="253"/>
      <c r="U40" s="253"/>
      <c r="V40" s="253"/>
      <c r="W40" s="253"/>
      <c r="X40" s="225"/>
      <c r="Y40" s="225"/>
      <c r="Z40" s="225"/>
      <c r="AA40" s="225"/>
      <c r="AB40" s="214"/>
      <c r="AC40" s="353"/>
      <c r="AD40" s="353"/>
      <c r="AE40" s="353"/>
      <c r="AF40" s="351"/>
      <c r="AG40" s="351"/>
      <c r="AH40" s="351"/>
      <c r="AI40" s="214"/>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row>
    <row r="41" spans="1:66" ht="12.6" customHeight="1" x14ac:dyDescent="0.3">
      <c r="A41" s="214"/>
      <c r="B41" s="214"/>
      <c r="C41" s="214"/>
      <c r="D41" s="214"/>
      <c r="E41" s="214"/>
      <c r="F41" s="214"/>
      <c r="G41" s="214"/>
      <c r="H41" s="214"/>
      <c r="I41" s="260"/>
      <c r="J41" s="214"/>
      <c r="K41" s="214"/>
      <c r="L41" s="214"/>
      <c r="M41" s="214"/>
      <c r="N41" s="214"/>
      <c r="O41" s="214"/>
      <c r="P41" s="214"/>
      <c r="Q41" s="214"/>
      <c r="R41" s="214"/>
      <c r="S41" s="214"/>
      <c r="T41" s="260"/>
      <c r="U41" s="214"/>
      <c r="V41" s="214"/>
      <c r="W41" s="214"/>
      <c r="X41" s="413" t="s">
        <v>190</v>
      </c>
      <c r="Y41" s="414"/>
      <c r="Z41" s="414"/>
      <c r="AA41" s="415"/>
      <c r="AB41" s="214"/>
      <c r="AC41" s="214"/>
      <c r="AD41" s="214"/>
      <c r="AE41" s="214"/>
      <c r="AF41" s="260"/>
      <c r="AG41" s="214"/>
      <c r="AH41" s="214"/>
      <c r="AI41" s="214"/>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row>
    <row r="42" spans="1:66" ht="12.6" customHeight="1" x14ac:dyDescent="0.3">
      <c r="A42" s="214"/>
      <c r="B42" s="214"/>
      <c r="C42" s="214"/>
      <c r="D42" s="214"/>
      <c r="E42" s="214"/>
      <c r="F42" s="214"/>
      <c r="G42" s="214"/>
      <c r="H42" s="214"/>
      <c r="I42" s="214"/>
      <c r="J42" s="214"/>
      <c r="K42" s="214"/>
      <c r="L42" s="214"/>
      <c r="M42" s="214"/>
      <c r="N42" s="214"/>
      <c r="O42" s="214"/>
      <c r="P42" s="214"/>
      <c r="Q42" s="214"/>
      <c r="R42" s="214"/>
      <c r="S42" s="214"/>
      <c r="T42" s="214"/>
      <c r="U42" s="214"/>
      <c r="V42" s="214"/>
      <c r="W42" s="416">
        <v>2023</v>
      </c>
      <c r="X42" s="417">
        <f>(($M37-$H37)/1000000)/T37</f>
        <v>1.0391108080938527</v>
      </c>
      <c r="Y42" s="417">
        <f>(($M37-$H37)/1000000)/U37</f>
        <v>1.7747295541254802</v>
      </c>
      <c r="Z42" s="417">
        <f t="shared" ref="Z42" si="9">(($M37-$H37)/1000000)/V37</f>
        <v>1.3825807587378864</v>
      </c>
      <c r="AA42" s="417">
        <f>AVERAGE(X42:Z42)</f>
        <v>1.3988070403190731</v>
      </c>
      <c r="AB42" s="214"/>
      <c r="AC42" s="214"/>
      <c r="AD42" s="214"/>
      <c r="AE42" s="214"/>
      <c r="AF42" s="214"/>
      <c r="AG42" s="214"/>
      <c r="AH42" s="214"/>
      <c r="AI42" s="214"/>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row>
    <row r="43" spans="1:66" ht="12.6" customHeight="1" thickBot="1" x14ac:dyDescent="0.35">
      <c r="A43" s="214"/>
      <c r="B43" s="214"/>
      <c r="C43" s="214"/>
      <c r="D43" s="214"/>
      <c r="E43" s="214"/>
      <c r="F43" s="214"/>
      <c r="G43" s="214"/>
      <c r="H43" s="214"/>
      <c r="I43" s="214"/>
      <c r="J43" s="214"/>
      <c r="K43" s="214"/>
      <c r="L43" s="214"/>
      <c r="M43" s="214"/>
      <c r="N43" s="214"/>
      <c r="O43" s="214"/>
      <c r="P43" s="214"/>
      <c r="Q43" s="214"/>
      <c r="R43" s="214"/>
      <c r="S43" s="214"/>
      <c r="T43" s="214"/>
      <c r="U43" s="214"/>
      <c r="V43" s="214"/>
      <c r="W43" s="214"/>
      <c r="X43" s="214"/>
      <c r="Y43" s="214"/>
      <c r="Z43" s="214"/>
      <c r="AA43" s="214"/>
      <c r="AB43" s="214"/>
      <c r="AC43" s="214"/>
      <c r="AD43" s="214"/>
      <c r="AE43" s="214"/>
      <c r="AF43" s="214"/>
      <c r="AG43" s="214"/>
      <c r="AH43" s="214"/>
      <c r="AI43" s="214"/>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row>
    <row r="44" spans="1:66" ht="18" customHeight="1" thickBot="1" x14ac:dyDescent="0.35">
      <c r="A44" s="214"/>
      <c r="B44" s="216" t="s">
        <v>191</v>
      </c>
      <c r="C44" s="221"/>
      <c r="D44" s="222" t="s">
        <v>160</v>
      </c>
      <c r="E44" s="223"/>
      <c r="F44" s="224" t="s">
        <v>161</v>
      </c>
      <c r="G44" s="222"/>
      <c r="H44" s="222"/>
      <c r="I44" s="222"/>
      <c r="J44" s="223"/>
      <c r="K44" s="214"/>
      <c r="L44" s="214"/>
      <c r="M44" s="214"/>
      <c r="N44" s="214"/>
      <c r="O44" s="214"/>
      <c r="P44" s="214"/>
      <c r="Q44" s="214"/>
      <c r="R44" s="214"/>
      <c r="S44" s="214"/>
      <c r="T44" s="214"/>
      <c r="U44" s="216" t="s">
        <v>192</v>
      </c>
      <c r="V44" s="221"/>
      <c r="W44" s="222" t="s">
        <v>160</v>
      </c>
      <c r="X44" s="223"/>
      <c r="Y44" s="224" t="s">
        <v>161</v>
      </c>
      <c r="Z44" s="222"/>
      <c r="AA44" s="222"/>
      <c r="AB44" s="222"/>
      <c r="AC44" s="223"/>
      <c r="AD44" s="214"/>
      <c r="AE44" s="214"/>
      <c r="AF44" s="214"/>
      <c r="AG44" s="214"/>
      <c r="AH44" s="214"/>
      <c r="AI44" s="214"/>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row>
    <row r="45" spans="1:66" ht="42" customHeight="1" x14ac:dyDescent="0.3">
      <c r="A45" s="214"/>
      <c r="B45" s="227"/>
      <c r="C45" s="231" t="s">
        <v>193</v>
      </c>
      <c r="D45" s="228" t="s">
        <v>194</v>
      </c>
      <c r="E45" s="228" t="s">
        <v>170</v>
      </c>
      <c r="F45" s="229" t="s">
        <v>195</v>
      </c>
      <c r="G45" s="229" t="s">
        <v>196</v>
      </c>
      <c r="H45" s="261" t="s">
        <v>197</v>
      </c>
      <c r="I45" s="261" t="s">
        <v>198</v>
      </c>
      <c r="J45" s="261" t="s">
        <v>199</v>
      </c>
      <c r="K45" s="411" t="s">
        <v>176</v>
      </c>
      <c r="L45" s="214"/>
      <c r="M45" s="214"/>
      <c r="N45" s="214"/>
      <c r="O45" s="214"/>
      <c r="P45" s="214"/>
      <c r="Q45" s="214"/>
      <c r="R45" s="214"/>
      <c r="S45" s="214"/>
      <c r="T45" s="214"/>
      <c r="U45" s="227"/>
      <c r="V45" s="231" t="s">
        <v>193</v>
      </c>
      <c r="W45" s="228" t="s">
        <v>194</v>
      </c>
      <c r="X45" s="228" t="s">
        <v>170</v>
      </c>
      <c r="Y45" s="229" t="s">
        <v>195</v>
      </c>
      <c r="Z45" s="229" t="s">
        <v>196</v>
      </c>
      <c r="AA45" s="261" t="s">
        <v>197</v>
      </c>
      <c r="AB45" s="261" t="s">
        <v>198</v>
      </c>
      <c r="AC45" s="261" t="s">
        <v>199</v>
      </c>
      <c r="AD45" s="214"/>
      <c r="AE45" s="214"/>
      <c r="AF45" s="214"/>
      <c r="AG45" s="214"/>
      <c r="AH45" s="214"/>
      <c r="AI45" s="214"/>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row>
    <row r="46" spans="1:66" ht="15" customHeight="1" x14ac:dyDescent="0.3">
      <c r="A46" s="214"/>
      <c r="B46" s="232">
        <v>2019</v>
      </c>
      <c r="C46" s="262">
        <f>C33/1000000</f>
        <v>3534.6668961696032</v>
      </c>
      <c r="D46" s="263">
        <f>F33/1000000</f>
        <v>3529.3</v>
      </c>
      <c r="E46" s="264"/>
      <c r="F46" s="262">
        <f>H33/1000000</f>
        <v>3529.3</v>
      </c>
      <c r="G46" s="264"/>
      <c r="H46" s="264"/>
      <c r="I46" s="264"/>
      <c r="J46" s="264"/>
      <c r="K46" s="214"/>
      <c r="L46" s="214"/>
      <c r="M46" s="214"/>
      <c r="N46" s="214"/>
      <c r="O46" s="214"/>
      <c r="P46" s="214"/>
      <c r="Q46" s="214"/>
      <c r="R46" s="214"/>
      <c r="S46" s="214"/>
      <c r="T46" s="214"/>
      <c r="U46" s="232">
        <v>2019</v>
      </c>
      <c r="V46" s="355">
        <f>C33/1000000/D33</f>
        <v>7.1785628039643279E-2</v>
      </c>
      <c r="W46" s="355">
        <f>F33/(D33*1000000)</f>
        <v>7.1676631626833909E-2</v>
      </c>
      <c r="X46" s="264"/>
      <c r="Y46" s="355">
        <f>H33/($D33*1000000)</f>
        <v>7.1676631626833909E-2</v>
      </c>
      <c r="Z46" s="355"/>
      <c r="AA46" s="355"/>
      <c r="AB46" s="355"/>
      <c r="AC46" s="355"/>
      <c r="AD46" s="214"/>
      <c r="AE46" s="214"/>
      <c r="AF46" s="214"/>
      <c r="AG46" s="214"/>
      <c r="AH46" s="214"/>
      <c r="AI46" s="214"/>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row>
    <row r="47" spans="1:66" ht="15" customHeight="1" x14ac:dyDescent="0.3">
      <c r="A47" s="214"/>
      <c r="B47" s="240">
        <v>2020</v>
      </c>
      <c r="C47" s="262">
        <f t="shared" ref="C47:C49" si="10">C34/1000000</f>
        <v>3729.3036483311976</v>
      </c>
      <c r="D47" s="263">
        <f>F34/1000000</f>
        <v>3628.3</v>
      </c>
      <c r="E47" s="264"/>
      <c r="F47" s="264"/>
      <c r="G47" s="264"/>
      <c r="H47" s="264"/>
      <c r="I47" s="264"/>
      <c r="J47" s="264"/>
      <c r="K47" s="214"/>
      <c r="L47" s="214"/>
      <c r="M47" s="214"/>
      <c r="N47" s="214"/>
      <c r="O47" s="214"/>
      <c r="P47" s="214"/>
      <c r="Q47" s="214"/>
      <c r="R47" s="214"/>
      <c r="S47" s="214"/>
      <c r="T47" s="214"/>
      <c r="U47" s="240">
        <v>2020</v>
      </c>
      <c r="V47" s="355">
        <f t="shared" ref="V47:V50" si="11">C34/1000000/D34</f>
        <v>7.4193441275394567E-2</v>
      </c>
      <c r="W47" s="355">
        <f t="shared" ref="W47:W50" si="12">F34/(D34*1000000)</f>
        <v>7.2184002260039876E-2</v>
      </c>
      <c r="X47" s="264"/>
      <c r="Y47" s="355"/>
      <c r="Z47" s="355"/>
      <c r="AA47" s="355"/>
      <c r="AB47" s="355"/>
      <c r="AC47" s="355"/>
      <c r="AD47" s="214"/>
      <c r="AE47" s="214"/>
      <c r="AF47" s="214"/>
      <c r="AG47" s="214"/>
      <c r="AH47" s="214"/>
      <c r="AI47" s="214"/>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row>
    <row r="48" spans="1:66" ht="15" customHeight="1" x14ac:dyDescent="0.3">
      <c r="A48" s="214"/>
      <c r="B48" s="232">
        <v>2021</v>
      </c>
      <c r="C48" s="262">
        <f t="shared" si="10"/>
        <v>4201.2916867271942</v>
      </c>
      <c r="D48" s="263">
        <f>F35/1000000</f>
        <v>4214.8</v>
      </c>
      <c r="E48" s="264"/>
      <c r="F48" s="264"/>
      <c r="G48" s="264"/>
      <c r="H48" s="264"/>
      <c r="I48" s="264"/>
      <c r="J48" s="264"/>
      <c r="K48" s="214"/>
      <c r="L48" s="214"/>
      <c r="M48" s="214"/>
      <c r="N48" s="214"/>
      <c r="O48" s="214"/>
      <c r="P48" s="214"/>
      <c r="Q48" s="214"/>
      <c r="R48" s="214"/>
      <c r="S48" s="214"/>
      <c r="T48" s="214"/>
      <c r="U48" s="232">
        <v>2021</v>
      </c>
      <c r="V48" s="355">
        <f t="shared" si="11"/>
        <v>7.4123393150055394E-2</v>
      </c>
      <c r="W48" s="355">
        <f t="shared" si="12"/>
        <v>7.4361720333735004E-2</v>
      </c>
      <c r="X48" s="264"/>
      <c r="Y48" s="355"/>
      <c r="Z48" s="355"/>
      <c r="AA48" s="355"/>
      <c r="AB48" s="355"/>
      <c r="AC48" s="355"/>
      <c r="AD48" s="214"/>
      <c r="AE48" s="214"/>
      <c r="AF48" s="214"/>
      <c r="AG48" s="214"/>
      <c r="AH48" s="214"/>
      <c r="AI48" s="214"/>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row>
    <row r="49" spans="1:66" ht="15" customHeight="1" x14ac:dyDescent="0.3">
      <c r="A49" s="214"/>
      <c r="B49" s="240">
        <v>2022</v>
      </c>
      <c r="C49" s="262">
        <f t="shared" si="10"/>
        <v>4694.8010635991941</v>
      </c>
      <c r="D49" s="263">
        <f>F36/1000000</f>
        <v>5104.8</v>
      </c>
      <c r="E49" s="264"/>
      <c r="F49" s="264"/>
      <c r="G49" s="264"/>
      <c r="H49" s="264"/>
      <c r="I49" s="264"/>
      <c r="J49" s="264"/>
      <c r="K49" s="214"/>
      <c r="L49" s="214"/>
      <c r="M49" s="214"/>
      <c r="N49" s="214"/>
      <c r="O49" s="214"/>
      <c r="P49" s="214"/>
      <c r="Q49" s="214"/>
      <c r="R49" s="214"/>
      <c r="S49" s="214"/>
      <c r="T49" s="214"/>
      <c r="U49" s="240">
        <v>2022</v>
      </c>
      <c r="V49" s="355">
        <f t="shared" si="11"/>
        <v>6.9598491799767168E-2</v>
      </c>
      <c r="W49" s="355">
        <f t="shared" si="12"/>
        <v>7.5676557137668535E-2</v>
      </c>
      <c r="X49" s="264"/>
      <c r="Y49" s="355"/>
      <c r="Z49" s="355"/>
      <c r="AA49" s="355"/>
      <c r="AB49" s="355"/>
      <c r="AC49" s="355"/>
      <c r="AD49" s="214"/>
      <c r="AE49" s="214"/>
      <c r="AF49" s="214"/>
      <c r="AG49" s="214"/>
      <c r="AH49" s="214"/>
      <c r="AI49" s="214"/>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row>
    <row r="50" spans="1:66" ht="15" customHeight="1" x14ac:dyDescent="0.3">
      <c r="A50" s="214"/>
      <c r="B50" s="232">
        <v>2023</v>
      </c>
      <c r="C50" s="262">
        <f>C37/1000000</f>
        <v>5329.9967376179984</v>
      </c>
      <c r="D50" s="263">
        <f>F37/1000000</f>
        <v>5709.9</v>
      </c>
      <c r="E50" s="264"/>
      <c r="F50" s="262">
        <f t="shared" ref="F50:J50" si="13">H37/1000000</f>
        <v>5709.9</v>
      </c>
      <c r="G50" s="262">
        <f t="shared" si="13"/>
        <v>6259.0713999342133</v>
      </c>
      <c r="H50" s="262">
        <f t="shared" si="13"/>
        <v>5661.9442133284438</v>
      </c>
      <c r="I50" s="262">
        <f t="shared" si="13"/>
        <v>5909.4511933137856</v>
      </c>
      <c r="J50" s="262">
        <f t="shared" si="13"/>
        <v>5810.2865390953084</v>
      </c>
      <c r="K50" s="418">
        <f>M37/1000000</f>
        <v>6330.3813134087304</v>
      </c>
      <c r="L50" s="214"/>
      <c r="M50" s="214"/>
      <c r="N50" s="214"/>
      <c r="O50" s="214"/>
      <c r="P50" s="214"/>
      <c r="Q50" s="214"/>
      <c r="R50" s="214"/>
      <c r="S50" s="214"/>
      <c r="T50" s="214"/>
      <c r="U50" s="232">
        <v>2023</v>
      </c>
      <c r="V50" s="355">
        <f t="shared" si="11"/>
        <v>7.2229224770140155E-2</v>
      </c>
      <c r="W50" s="355">
        <f t="shared" si="12"/>
        <v>7.7377467720428014E-2</v>
      </c>
      <c r="X50" s="264"/>
      <c r="Y50" s="355">
        <f>H37/($D37*1000000)</f>
        <v>7.7377467720428014E-2</v>
      </c>
      <c r="Z50" s="355">
        <f t="shared" ref="Z50:AC50" si="14">I37/($D37*1000000)</f>
        <v>8.4819540658901862E-2</v>
      </c>
      <c r="AA50" s="355">
        <f t="shared" si="14"/>
        <v>7.6727596910924151E-2</v>
      </c>
      <c r="AB50" s="355">
        <f t="shared" si="14"/>
        <v>8.0081677254607297E-2</v>
      </c>
      <c r="AC50" s="355">
        <f t="shared" si="14"/>
        <v>7.8737851648064697E-2</v>
      </c>
      <c r="AD50" s="214"/>
      <c r="AE50" s="214"/>
      <c r="AF50" s="214"/>
      <c r="AG50" s="214"/>
      <c r="AH50" s="214"/>
      <c r="AI50" s="214"/>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row>
    <row r="51" spans="1:66" ht="15" customHeight="1" x14ac:dyDescent="0.3">
      <c r="A51" s="214"/>
      <c r="B51" s="240">
        <v>2024</v>
      </c>
      <c r="C51" s="264"/>
      <c r="D51" s="264"/>
      <c r="E51" s="264"/>
      <c r="F51" s="264"/>
      <c r="G51" s="264"/>
      <c r="H51" s="264"/>
      <c r="I51" s="264"/>
      <c r="J51" s="264"/>
      <c r="K51" s="214"/>
      <c r="L51" s="214"/>
      <c r="M51" s="214"/>
      <c r="N51" s="214"/>
      <c r="O51" s="214"/>
      <c r="P51" s="214"/>
      <c r="Q51" s="214"/>
      <c r="R51" s="214"/>
      <c r="S51" s="214"/>
      <c r="T51" s="214"/>
      <c r="U51" s="240">
        <v>2024</v>
      </c>
      <c r="V51" s="264"/>
      <c r="W51" s="264"/>
      <c r="X51" s="264"/>
      <c r="Y51" s="355"/>
      <c r="Z51" s="355"/>
      <c r="AA51" s="355"/>
      <c r="AB51" s="355"/>
      <c r="AC51" s="355"/>
      <c r="AD51" s="214"/>
      <c r="AE51" s="214"/>
      <c r="AF51" s="214"/>
      <c r="AG51" s="214"/>
      <c r="AH51" s="214"/>
      <c r="AI51" s="214"/>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row>
    <row r="52" spans="1:66" ht="15" customHeight="1" x14ac:dyDescent="0.3">
      <c r="A52" s="214"/>
      <c r="B52" s="232">
        <v>2025</v>
      </c>
      <c r="C52" s="264"/>
      <c r="D52" s="264"/>
      <c r="E52" s="264"/>
      <c r="F52" s="264"/>
      <c r="G52" s="264"/>
      <c r="H52" s="264"/>
      <c r="I52" s="264"/>
      <c r="J52" s="264"/>
      <c r="K52" s="214"/>
      <c r="L52" s="214"/>
      <c r="M52" s="214"/>
      <c r="N52" s="214"/>
      <c r="O52" s="214"/>
      <c r="P52" s="214"/>
      <c r="Q52" s="214"/>
      <c r="R52" s="214"/>
      <c r="S52" s="214"/>
      <c r="T52" s="214"/>
      <c r="U52" s="232">
        <v>2025</v>
      </c>
      <c r="V52" s="264"/>
      <c r="W52" s="264"/>
      <c r="X52" s="264"/>
      <c r="Y52" s="355"/>
      <c r="Z52" s="355"/>
      <c r="AA52" s="355"/>
      <c r="AB52" s="355"/>
      <c r="AC52" s="355"/>
      <c r="AD52" s="214"/>
      <c r="AE52" s="214"/>
      <c r="AF52" s="214"/>
      <c r="AG52" s="214"/>
      <c r="AH52" s="214"/>
      <c r="AI52" s="214"/>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row>
    <row r="53" spans="1:66" ht="15" customHeight="1" x14ac:dyDescent="0.3">
      <c r="A53" s="214"/>
      <c r="B53" s="240">
        <v>2026</v>
      </c>
      <c r="C53" s="262"/>
      <c r="D53" s="264"/>
      <c r="E53" s="264"/>
      <c r="F53" s="264"/>
      <c r="G53" s="262"/>
      <c r="H53" s="262"/>
      <c r="I53" s="262"/>
      <c r="J53" s="262"/>
      <c r="K53" s="214"/>
      <c r="L53" s="214"/>
      <c r="M53" s="214"/>
      <c r="N53" s="214"/>
      <c r="O53" s="214"/>
      <c r="P53" s="214"/>
      <c r="Q53" s="214"/>
      <c r="R53" s="214"/>
      <c r="S53" s="214"/>
      <c r="T53" s="214"/>
      <c r="U53" s="240">
        <v>2026</v>
      </c>
      <c r="V53" s="262"/>
      <c r="W53" s="264"/>
      <c r="X53" s="264"/>
      <c r="Y53" s="355"/>
      <c r="Z53" s="355"/>
      <c r="AA53" s="355"/>
      <c r="AB53" s="355"/>
      <c r="AC53" s="355"/>
      <c r="AD53" s="214"/>
      <c r="AE53" s="214"/>
      <c r="AF53" s="214"/>
      <c r="AG53" s="214"/>
      <c r="AH53" s="214"/>
      <c r="AI53" s="214"/>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row>
    <row r="54" spans="1:66" ht="12.6" customHeight="1" x14ac:dyDescent="0.3">
      <c r="A54" s="214"/>
      <c r="B54" s="214"/>
      <c r="C54" s="214"/>
      <c r="D54" s="214"/>
      <c r="E54" s="214"/>
      <c r="F54" s="214"/>
      <c r="G54" s="214"/>
      <c r="H54" s="214"/>
      <c r="I54" s="214"/>
      <c r="J54" s="214"/>
      <c r="K54" s="214"/>
      <c r="L54" s="214"/>
      <c r="M54" s="214"/>
      <c r="N54" s="214"/>
      <c r="O54" s="214"/>
      <c r="P54" s="214"/>
      <c r="Q54" s="214"/>
      <c r="R54" s="214"/>
      <c r="S54" s="214"/>
      <c r="T54" s="214"/>
      <c r="U54" s="214"/>
      <c r="V54" s="214"/>
      <c r="W54" s="214"/>
      <c r="X54" s="214"/>
      <c r="Y54" s="214"/>
      <c r="Z54" s="214"/>
      <c r="AA54" s="214"/>
      <c r="AB54" s="214"/>
      <c r="AC54" s="214"/>
      <c r="AD54" s="214"/>
      <c r="AE54" s="214"/>
      <c r="AF54" s="214"/>
      <c r="AG54" s="214"/>
      <c r="AH54" s="214"/>
      <c r="AI54" s="214"/>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row>
    <row r="55" spans="1:66" ht="12.6" customHeight="1" x14ac:dyDescent="0.3">
      <c r="A55" s="214"/>
      <c r="B55" s="214"/>
      <c r="C55" s="214"/>
      <c r="D55" s="214"/>
      <c r="E55" s="214"/>
      <c r="F55" s="214"/>
      <c r="G55" s="519"/>
      <c r="H55" s="214"/>
      <c r="I55" s="214"/>
      <c r="J55" s="214"/>
      <c r="K55" s="214"/>
      <c r="L55" s="214"/>
      <c r="M55" s="214"/>
      <c r="N55" s="214"/>
      <c r="O55" s="214"/>
      <c r="P55" s="214"/>
      <c r="Q55" s="214"/>
      <c r="R55" s="214"/>
      <c r="S55" s="214"/>
      <c r="T55" s="214"/>
      <c r="U55" s="214"/>
      <c r="V55" s="214"/>
      <c r="W55" s="214"/>
      <c r="X55" s="214"/>
      <c r="Y55" s="214"/>
      <c r="Z55" s="521"/>
      <c r="AA55" s="521"/>
      <c r="AB55" s="214"/>
      <c r="AC55" s="214"/>
      <c r="AD55" s="214"/>
      <c r="AE55" s="214"/>
      <c r="AF55" s="214"/>
      <c r="AG55" s="214"/>
      <c r="AH55" s="214"/>
      <c r="AI55" s="214"/>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row>
    <row r="56" spans="1:66" ht="12.6" customHeight="1" x14ac:dyDescent="0.3">
      <c r="A56" s="214"/>
      <c r="B56" s="214"/>
      <c r="C56" s="214"/>
      <c r="D56" s="214"/>
      <c r="E56" s="214"/>
      <c r="F56" s="214"/>
      <c r="G56" s="520"/>
      <c r="H56" s="214"/>
      <c r="I56" s="214"/>
      <c r="J56" s="214"/>
      <c r="K56" s="214"/>
      <c r="L56" s="214"/>
      <c r="M56" s="214"/>
      <c r="N56" s="214"/>
      <c r="O56" s="214"/>
      <c r="P56" s="214"/>
      <c r="Q56" s="214"/>
      <c r="R56" s="214"/>
      <c r="S56" s="214"/>
      <c r="T56" s="214"/>
      <c r="U56" s="214"/>
      <c r="V56" s="214"/>
      <c r="W56" s="214"/>
      <c r="X56" s="214"/>
      <c r="Y56" s="214"/>
      <c r="Z56" s="520"/>
      <c r="AA56" s="520"/>
      <c r="AB56" s="214"/>
      <c r="AC56" s="214"/>
      <c r="AD56" s="214"/>
      <c r="AE56" s="214"/>
      <c r="AF56" s="214"/>
      <c r="AG56" s="214"/>
      <c r="AH56" s="214"/>
      <c r="AI56" s="214"/>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row>
    <row r="57" spans="1:66" ht="12.6" customHeight="1" x14ac:dyDescent="0.3">
      <c r="A57" s="214"/>
      <c r="B57" s="214"/>
      <c r="C57" s="214"/>
      <c r="D57" s="214"/>
      <c r="E57" s="214"/>
      <c r="F57" s="214"/>
      <c r="G57" s="214"/>
      <c r="H57" s="214"/>
      <c r="I57" s="214"/>
      <c r="J57" s="214"/>
      <c r="K57" s="214"/>
      <c r="L57" s="214"/>
      <c r="M57" s="214"/>
      <c r="N57" s="214"/>
      <c r="O57" s="214"/>
      <c r="P57" s="214"/>
      <c r="Q57" s="214"/>
      <c r="R57" s="214"/>
      <c r="S57" s="214"/>
      <c r="T57" s="214"/>
      <c r="U57" s="214"/>
      <c r="V57" s="214"/>
      <c r="W57" s="214"/>
      <c r="X57" s="214"/>
      <c r="Y57" s="214"/>
      <c r="Z57" s="214"/>
      <c r="AA57" s="214"/>
      <c r="AB57" s="214"/>
      <c r="AC57" s="214"/>
      <c r="AD57" s="214"/>
      <c r="AE57" s="214"/>
      <c r="AF57" s="214"/>
      <c r="AG57" s="214"/>
      <c r="AH57" s="214"/>
      <c r="AI57" s="214"/>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row>
    <row r="58" spans="1:66" ht="12.6" customHeight="1" x14ac:dyDescent="0.3">
      <c r="A58" s="214"/>
      <c r="B58" s="214"/>
      <c r="C58" s="214"/>
      <c r="D58" s="214"/>
      <c r="E58" s="214"/>
      <c r="F58" s="214"/>
      <c r="G58" s="214"/>
      <c r="H58" s="214"/>
      <c r="I58" s="214"/>
      <c r="J58" s="214"/>
      <c r="K58" s="214"/>
      <c r="L58" s="214"/>
      <c r="M58" s="214"/>
      <c r="N58" s="214"/>
      <c r="O58" s="214"/>
      <c r="P58" s="214"/>
      <c r="Q58" s="214"/>
      <c r="R58" s="214"/>
      <c r="S58" s="214"/>
      <c r="T58" s="214"/>
      <c r="U58" s="214"/>
      <c r="V58" s="214"/>
      <c r="W58" s="214"/>
      <c r="X58" s="214"/>
      <c r="Y58" s="214"/>
      <c r="Z58" s="214"/>
      <c r="AA58" s="214"/>
      <c r="AB58" s="214"/>
      <c r="AC58" s="214"/>
      <c r="AD58" s="214"/>
      <c r="AE58" s="214"/>
      <c r="AF58" s="214"/>
      <c r="AG58" s="214"/>
      <c r="AH58" s="214"/>
      <c r="AI58" s="214"/>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row>
    <row r="59" spans="1:66" ht="12.6"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row>
    <row r="60" spans="1:66" ht="12" customHeight="1" thickBot="1" x14ac:dyDescent="0.35">
      <c r="A60" s="98"/>
      <c r="B60" s="98"/>
      <c r="C60" s="98"/>
      <c r="D60" s="98"/>
      <c r="E60" s="98"/>
      <c r="F60" s="98"/>
      <c r="G60" s="98"/>
      <c r="H60" s="98"/>
      <c r="I60" s="98"/>
      <c r="J60" s="98"/>
      <c r="K60" s="98"/>
      <c r="L60" s="98"/>
      <c r="M60" s="98"/>
      <c r="N60" s="98"/>
      <c r="O60" s="98"/>
      <c r="P60" s="98"/>
      <c r="Q60" s="98"/>
      <c r="R60" s="98"/>
      <c r="S60" s="98"/>
      <c r="T60" s="265"/>
      <c r="U60" s="265"/>
      <c r="V60" s="265"/>
      <c r="W60" s="265"/>
      <c r="X60" s="55"/>
      <c r="Y60" s="55"/>
      <c r="Z60" s="55"/>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row>
    <row r="61" spans="1:66" ht="12" customHeight="1" thickBot="1" x14ac:dyDescent="0.35">
      <c r="A61" s="98"/>
      <c r="B61" s="266" t="s">
        <v>200</v>
      </c>
      <c r="C61" s="267"/>
      <c r="D61" s="267"/>
      <c r="E61" s="267"/>
      <c r="F61" s="267"/>
      <c r="G61" s="267"/>
      <c r="H61" s="267"/>
      <c r="I61" s="267"/>
      <c r="J61" s="267"/>
      <c r="K61" s="267"/>
      <c r="L61" s="267"/>
      <c r="M61" s="267"/>
      <c r="N61" s="267"/>
      <c r="O61" s="267"/>
      <c r="P61" s="267"/>
      <c r="Q61" s="267"/>
      <c r="R61" s="267"/>
      <c r="S61" s="267"/>
      <c r="T61" s="268"/>
      <c r="U61" s="268"/>
      <c r="V61" s="269"/>
      <c r="W61" s="265"/>
      <c r="X61" s="55"/>
      <c r="Y61" s="55"/>
      <c r="Z61" s="55"/>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row>
    <row r="62" spans="1:66" ht="21.6" customHeight="1" x14ac:dyDescent="0.3">
      <c r="A62" s="98"/>
      <c r="B62" s="270"/>
      <c r="C62" s="98"/>
      <c r="D62" s="98"/>
      <c r="E62" s="98"/>
      <c r="F62" s="98"/>
      <c r="G62" s="98"/>
      <c r="H62" s="98"/>
      <c r="I62" s="98"/>
      <c r="J62" s="98"/>
      <c r="K62" s="98"/>
      <c r="L62" s="98"/>
      <c r="M62" s="98"/>
      <c r="N62" s="98"/>
      <c r="O62" s="98"/>
      <c r="P62" s="98"/>
      <c r="Q62" s="98"/>
      <c r="R62" s="98"/>
      <c r="S62" s="98"/>
      <c r="T62" s="98"/>
      <c r="U62" s="98"/>
      <c r="V62" s="98"/>
      <c r="W62" s="98"/>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row>
    <row r="63" spans="1:66" ht="21" customHeight="1" x14ac:dyDescent="0.3">
      <c r="A63" s="98"/>
      <c r="B63" s="98"/>
      <c r="C63" s="98"/>
      <c r="D63" s="98"/>
      <c r="E63" s="98"/>
      <c r="F63" s="98"/>
      <c r="G63" s="98"/>
      <c r="H63" s="98"/>
      <c r="I63" s="98"/>
      <c r="J63" s="98"/>
      <c r="K63" s="98"/>
      <c r="L63" s="98"/>
      <c r="M63" s="98"/>
      <c r="N63" s="98"/>
      <c r="O63" s="98"/>
      <c r="P63" s="98"/>
      <c r="Q63" s="98"/>
      <c r="R63" s="98"/>
      <c r="S63" s="98"/>
      <c r="T63" s="98"/>
      <c r="U63" s="98"/>
      <c r="V63" s="98"/>
      <c r="W63" s="98"/>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row>
    <row r="64" spans="1:66" ht="42.6" customHeight="1" x14ac:dyDescent="0.3">
      <c r="A64" s="98"/>
      <c r="B64" s="356" t="s">
        <v>201</v>
      </c>
      <c r="C64" s="271" t="s">
        <v>202</v>
      </c>
      <c r="D64" s="272" t="s">
        <v>172</v>
      </c>
      <c r="E64" s="272" t="s">
        <v>173</v>
      </c>
      <c r="F64" s="273" t="s">
        <v>174</v>
      </c>
      <c r="G64" s="272" t="s">
        <v>175</v>
      </c>
      <c r="H64" s="274"/>
      <c r="I64" s="274"/>
      <c r="J64" s="274"/>
      <c r="K64" s="274"/>
      <c r="L64" s="274"/>
      <c r="M64" s="274"/>
      <c r="N64" s="274"/>
      <c r="O64" s="274"/>
      <c r="P64" s="274"/>
      <c r="Q64" s="274"/>
      <c r="R64" s="274"/>
      <c r="S64" s="274"/>
      <c r="T64" s="274"/>
      <c r="U64" s="274"/>
      <c r="V64" s="274"/>
      <c r="W64" s="98"/>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row>
    <row r="65" spans="1:66" ht="15.6" customHeight="1" x14ac:dyDescent="0.3">
      <c r="A65" s="98"/>
      <c r="B65" s="275">
        <v>2019</v>
      </c>
      <c r="C65" s="357">
        <f>C22/P22*100</f>
        <v>15.406929667398602</v>
      </c>
      <c r="D65" s="276"/>
      <c r="E65" s="276"/>
      <c r="F65" s="276"/>
      <c r="G65" s="276"/>
      <c r="H65" s="277"/>
      <c r="I65" s="277"/>
      <c r="J65" s="277"/>
      <c r="K65" s="277"/>
      <c r="L65" s="277"/>
      <c r="M65" s="277"/>
      <c r="N65" s="277"/>
      <c r="O65" s="277"/>
      <c r="P65" s="277"/>
      <c r="Q65" s="277"/>
      <c r="R65" s="277"/>
      <c r="S65" s="277"/>
      <c r="T65" s="277"/>
      <c r="U65" s="277"/>
      <c r="V65" s="277"/>
      <c r="W65" s="278"/>
      <c r="X65" s="44"/>
      <c r="Y65" s="44"/>
      <c r="Z65" s="44"/>
      <c r="AA65" s="46"/>
      <c r="AB65" s="46"/>
      <c r="AC65" s="46"/>
      <c r="AD65" s="46"/>
      <c r="AE65" s="46"/>
      <c r="AF65" s="46"/>
      <c r="AG65" s="44"/>
      <c r="AH65" s="44"/>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row>
    <row r="66" spans="1:66" s="51" customFormat="1" ht="15.6" customHeight="1" x14ac:dyDescent="0.3">
      <c r="A66" s="279"/>
      <c r="B66" s="280">
        <v>2020</v>
      </c>
      <c r="C66" s="357">
        <f>D22/Q22*100</f>
        <v>14.882234585056761</v>
      </c>
      <c r="D66" s="276"/>
      <c r="E66" s="276"/>
      <c r="F66" s="276"/>
      <c r="G66" s="276"/>
      <c r="H66" s="281"/>
      <c r="I66" s="281"/>
      <c r="J66" s="281"/>
      <c r="K66" s="281"/>
      <c r="L66" s="281"/>
      <c r="M66" s="281"/>
      <c r="N66" s="281"/>
      <c r="O66" s="281"/>
      <c r="P66" s="281"/>
      <c r="Q66" s="281"/>
      <c r="R66" s="281"/>
      <c r="S66" s="281"/>
      <c r="T66" s="281"/>
      <c r="U66" s="281"/>
      <c r="V66" s="281"/>
      <c r="W66" s="282"/>
      <c r="X66" s="48"/>
      <c r="Y66" s="48"/>
      <c r="Z66" s="48"/>
      <c r="AA66" s="48"/>
      <c r="AB66" s="48"/>
      <c r="AC66" s="48"/>
      <c r="AD66" s="48"/>
      <c r="AE66" s="48"/>
      <c r="AF66" s="48"/>
      <c r="AG66" s="48"/>
      <c r="AH66" s="48"/>
      <c r="AI66" s="47"/>
      <c r="AJ66" s="47"/>
      <c r="AK66" s="47"/>
      <c r="AL66" s="47"/>
      <c r="AM66" s="47"/>
      <c r="AN66" s="47"/>
      <c r="AO66" s="47"/>
      <c r="AP66" s="47"/>
      <c r="AQ66" s="47"/>
      <c r="AR66" s="47"/>
      <c r="AS66" s="47"/>
      <c r="AT66" s="47"/>
      <c r="AU66" s="47"/>
      <c r="AV66" s="47"/>
      <c r="AW66" s="47"/>
      <c r="AX66" s="47"/>
      <c r="AY66" s="47"/>
      <c r="AZ66" s="47"/>
      <c r="BA66" s="47"/>
      <c r="BB66" s="47"/>
      <c r="BC66" s="47"/>
      <c r="BD66" s="47"/>
      <c r="BE66" s="47"/>
      <c r="BF66" s="47"/>
      <c r="BG66" s="47"/>
      <c r="BH66" s="47"/>
      <c r="BI66" s="47"/>
      <c r="BJ66" s="47"/>
      <c r="BK66" s="47"/>
      <c r="BL66" s="47"/>
      <c r="BM66" s="47"/>
      <c r="BN66" s="47"/>
    </row>
    <row r="67" spans="1:66" ht="15.6" customHeight="1" x14ac:dyDescent="0.3">
      <c r="A67" s="98"/>
      <c r="B67" s="275">
        <v>2021</v>
      </c>
      <c r="C67" s="357">
        <f>E22/R22*100</f>
        <v>15.364202746636233</v>
      </c>
      <c r="D67" s="276"/>
      <c r="E67" s="276"/>
      <c r="F67" s="276"/>
      <c r="G67" s="276"/>
      <c r="H67" s="281"/>
      <c r="I67" s="281"/>
      <c r="J67" s="281"/>
      <c r="K67" s="281"/>
      <c r="L67" s="281"/>
      <c r="M67" s="281"/>
      <c r="N67" s="281"/>
      <c r="O67" s="281"/>
      <c r="P67" s="281"/>
      <c r="Q67" s="281"/>
      <c r="R67" s="281"/>
      <c r="S67" s="281"/>
      <c r="T67" s="281"/>
      <c r="U67" s="281"/>
      <c r="V67" s="281"/>
      <c r="W67" s="283"/>
      <c r="X67" s="52"/>
      <c r="Y67" s="52"/>
      <c r="Z67" s="52"/>
      <c r="AA67" s="43"/>
      <c r="AB67" s="43"/>
      <c r="AC67" s="43"/>
      <c r="AD67" s="43"/>
      <c r="AE67" s="43"/>
      <c r="AF67" s="43"/>
      <c r="AG67" s="43"/>
      <c r="AH67" s="43"/>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row>
    <row r="68" spans="1:66" ht="15.6" customHeight="1" x14ac:dyDescent="0.3">
      <c r="A68" s="98"/>
      <c r="B68" s="280">
        <v>2022</v>
      </c>
      <c r="C68" s="357">
        <f>F22/S22*100</f>
        <v>15.387573495801647</v>
      </c>
      <c r="D68" s="276"/>
      <c r="E68" s="276"/>
      <c r="F68" s="276"/>
      <c r="G68" s="276"/>
      <c r="H68" s="284"/>
      <c r="I68" s="284"/>
      <c r="J68" s="284"/>
      <c r="K68" s="284"/>
      <c r="L68" s="284"/>
      <c r="M68" s="284"/>
      <c r="N68" s="284"/>
      <c r="O68" s="284"/>
      <c r="P68" s="284"/>
      <c r="Q68" s="284"/>
      <c r="R68" s="284"/>
      <c r="S68" s="284"/>
      <c r="T68" s="284"/>
      <c r="U68" s="284"/>
      <c r="V68" s="284"/>
      <c r="W68" s="98"/>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row>
    <row r="69" spans="1:66" ht="15.6" customHeight="1" x14ac:dyDescent="0.3">
      <c r="A69" s="98"/>
      <c r="B69" s="275">
        <v>2023</v>
      </c>
      <c r="C69" s="357">
        <f>G22/$T22*100</f>
        <v>15.605770089485727</v>
      </c>
      <c r="D69" s="357">
        <f>H22/$T22*100</f>
        <v>17.106714520578102</v>
      </c>
      <c r="E69" s="357">
        <f>I22/$T22*100</f>
        <v>15.47470177283277</v>
      </c>
      <c r="F69" s="357">
        <f>J22/$T22*100</f>
        <v>16.151164937720804</v>
      </c>
      <c r="G69" s="357">
        <f>K22/$T22*100</f>
        <v>15.88013728491832</v>
      </c>
      <c r="H69" s="277"/>
      <c r="I69" s="277"/>
      <c r="J69" s="277"/>
      <c r="K69" s="277"/>
      <c r="L69" s="277"/>
      <c r="M69" s="277"/>
      <c r="N69" s="277"/>
      <c r="O69" s="277"/>
      <c r="P69" s="277"/>
      <c r="Q69" s="277"/>
      <c r="R69" s="277"/>
      <c r="S69" s="277"/>
      <c r="T69" s="277"/>
      <c r="U69" s="277"/>
      <c r="V69" s="277"/>
      <c r="W69" s="98"/>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row>
    <row r="70" spans="1:66" ht="15.6" customHeight="1" x14ac:dyDescent="0.3">
      <c r="A70" s="98"/>
      <c r="B70" s="280">
        <v>2024</v>
      </c>
      <c r="C70" s="276"/>
      <c r="D70" s="358"/>
      <c r="E70" s="357"/>
      <c r="F70" s="357"/>
      <c r="G70" s="357"/>
      <c r="H70" s="284"/>
      <c r="I70" s="284"/>
      <c r="J70" s="284"/>
      <c r="K70" s="284"/>
      <c r="L70" s="284"/>
      <c r="M70" s="284"/>
      <c r="N70" s="284"/>
      <c r="O70" s="284"/>
      <c r="P70" s="284"/>
      <c r="Q70" s="284"/>
      <c r="R70" s="284"/>
      <c r="S70" s="284"/>
      <c r="T70" s="284"/>
      <c r="U70" s="284"/>
      <c r="V70" s="284"/>
      <c r="W70" s="98"/>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row>
    <row r="71" spans="1:66" ht="15.6" customHeight="1" x14ac:dyDescent="0.3">
      <c r="A71" s="98"/>
      <c r="B71" s="275">
        <v>2025</v>
      </c>
      <c r="C71" s="276"/>
      <c r="D71" s="358"/>
      <c r="E71" s="357"/>
      <c r="F71" s="357"/>
      <c r="G71" s="357"/>
      <c r="H71" s="284"/>
      <c r="I71" s="284"/>
      <c r="J71" s="284"/>
      <c r="K71" s="284"/>
      <c r="L71" s="284"/>
      <c r="M71" s="284"/>
      <c r="N71" s="284"/>
      <c r="O71" s="284"/>
      <c r="P71" s="284"/>
      <c r="Q71" s="284"/>
      <c r="R71" s="284"/>
      <c r="S71" s="284"/>
      <c r="T71" s="284"/>
      <c r="U71" s="284"/>
      <c r="V71" s="284"/>
      <c r="W71" s="98"/>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row>
    <row r="72" spans="1:66" ht="15.6" customHeight="1" x14ac:dyDescent="0.3">
      <c r="A72" s="98"/>
      <c r="B72" s="280">
        <v>2026</v>
      </c>
      <c r="C72" s="276"/>
      <c r="D72" s="357"/>
      <c r="E72" s="357"/>
      <c r="F72" s="357"/>
      <c r="G72" s="357"/>
      <c r="H72" s="277"/>
      <c r="I72" s="277"/>
      <c r="J72" s="277"/>
      <c r="K72" s="277"/>
      <c r="L72" s="277"/>
      <c r="M72" s="277"/>
      <c r="N72" s="277"/>
      <c r="O72" s="277"/>
      <c r="P72" s="277"/>
      <c r="Q72" s="277"/>
      <c r="R72" s="277"/>
      <c r="S72" s="277"/>
      <c r="T72" s="277"/>
      <c r="U72" s="277"/>
      <c r="V72" s="277"/>
      <c r="W72" s="98"/>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row>
    <row r="73" spans="1:66" ht="12.6" customHeight="1" x14ac:dyDescent="0.3">
      <c r="A73" s="98"/>
      <c r="B73" s="98"/>
      <c r="C73" s="98"/>
      <c r="D73" s="98"/>
      <c r="E73" s="98"/>
      <c r="F73" s="98"/>
      <c r="G73" s="98"/>
      <c r="H73" s="98"/>
      <c r="I73" s="98"/>
      <c r="J73" s="98"/>
      <c r="K73" s="98"/>
      <c r="L73" s="98"/>
      <c r="M73" s="98"/>
      <c r="N73" s="98"/>
      <c r="O73" s="98"/>
      <c r="P73" s="98"/>
      <c r="Q73" s="98"/>
      <c r="R73" s="98"/>
      <c r="S73" s="98"/>
      <c r="T73" s="98"/>
      <c r="U73" s="98"/>
      <c r="V73" s="98"/>
      <c r="W73" s="98"/>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row>
    <row r="74" spans="1:66" ht="12.6" customHeight="1" x14ac:dyDescent="0.3">
      <c r="A74" s="98"/>
      <c r="B74" s="98"/>
      <c r="C74" s="285"/>
      <c r="D74" s="98"/>
      <c r="E74" s="98"/>
      <c r="F74" s="98"/>
      <c r="G74" s="98"/>
      <c r="H74" s="98"/>
      <c r="I74" s="98"/>
      <c r="J74" s="98"/>
      <c r="K74" s="98"/>
      <c r="L74" s="98"/>
      <c r="M74" s="98"/>
      <c r="N74" s="98"/>
      <c r="O74" s="98"/>
      <c r="P74" s="98"/>
      <c r="Q74" s="98"/>
      <c r="R74" s="98"/>
      <c r="S74" s="98"/>
      <c r="T74" s="98"/>
      <c r="U74" s="98"/>
      <c r="V74" s="98"/>
      <c r="W74" s="98"/>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row>
    <row r="75" spans="1:66" ht="12.6" customHeight="1" x14ac:dyDescent="0.3">
      <c r="A75" s="98"/>
      <c r="B75" s="98"/>
      <c r="C75" s="98"/>
      <c r="D75" s="98"/>
      <c r="E75" s="98"/>
      <c r="F75" s="98"/>
      <c r="G75" s="98"/>
      <c r="H75" s="98"/>
      <c r="I75" s="98"/>
      <c r="J75" s="98"/>
      <c r="K75" s="98"/>
      <c r="L75" s="98"/>
      <c r="M75" s="98"/>
      <c r="N75" s="98"/>
      <c r="O75" s="98"/>
      <c r="P75" s="98"/>
      <c r="Q75" s="98"/>
      <c r="R75" s="98"/>
      <c r="S75" s="98"/>
      <c r="T75" s="98"/>
      <c r="U75" s="98"/>
      <c r="V75" s="98"/>
      <c r="W75" s="98"/>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row>
    <row r="76" spans="1:66" ht="18" customHeight="1" x14ac:dyDescent="0.3">
      <c r="A76" s="98"/>
      <c r="B76" s="98"/>
      <c r="C76" s="98"/>
      <c r="D76" s="98"/>
      <c r="E76" s="98"/>
      <c r="F76" s="98"/>
      <c r="G76" s="98"/>
      <c r="H76" s="98"/>
      <c r="I76" s="98"/>
      <c r="J76" s="98"/>
      <c r="K76" s="98"/>
      <c r="L76" s="98"/>
      <c r="M76" s="98"/>
      <c r="N76" s="98"/>
      <c r="O76" s="98"/>
      <c r="P76" s="98"/>
      <c r="Q76" s="98"/>
      <c r="R76" s="98"/>
      <c r="S76" s="98"/>
      <c r="T76" s="98"/>
      <c r="U76" s="98"/>
      <c r="V76" s="98"/>
      <c r="W76" s="98"/>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row>
    <row r="77" spans="1:66" ht="42" customHeight="1" x14ac:dyDescent="0.3">
      <c r="A77" s="98"/>
      <c r="B77" s="356" t="s">
        <v>203</v>
      </c>
      <c r="C77" s="271" t="s">
        <v>202</v>
      </c>
      <c r="D77" s="272" t="s">
        <v>172</v>
      </c>
      <c r="E77" s="272" t="s">
        <v>173</v>
      </c>
      <c r="F77" s="273" t="s">
        <v>174</v>
      </c>
      <c r="G77" s="272" t="s">
        <v>175</v>
      </c>
      <c r="H77" s="98"/>
      <c r="I77" s="98"/>
      <c r="J77" s="98"/>
      <c r="K77" s="98"/>
      <c r="L77" s="98"/>
      <c r="M77" s="98"/>
      <c r="N77" s="98"/>
      <c r="O77" s="98"/>
      <c r="P77" s="98"/>
      <c r="Q77" s="98"/>
      <c r="R77" s="98"/>
      <c r="S77" s="98"/>
      <c r="T77" s="98"/>
      <c r="U77" s="98"/>
      <c r="V77" s="98"/>
      <c r="W77" s="98"/>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row>
    <row r="78" spans="1:66" ht="15.6" customHeight="1" x14ac:dyDescent="0.3">
      <c r="A78" s="98"/>
      <c r="B78" s="275">
        <v>2019</v>
      </c>
      <c r="C78" s="357">
        <f>C65</f>
        <v>15.406929667398602</v>
      </c>
      <c r="D78" s="276"/>
      <c r="E78" s="276"/>
      <c r="F78" s="276"/>
      <c r="G78" s="276"/>
      <c r="H78" s="98"/>
      <c r="I78" s="98"/>
      <c r="J78" s="98"/>
      <c r="K78" s="98"/>
      <c r="L78" s="98"/>
      <c r="M78" s="98"/>
      <c r="N78" s="98"/>
      <c r="O78" s="98"/>
      <c r="P78" s="98"/>
      <c r="Q78" s="98"/>
      <c r="R78" s="98"/>
      <c r="S78" s="98"/>
      <c r="T78" s="98"/>
      <c r="U78" s="98"/>
      <c r="V78" s="98"/>
      <c r="W78" s="98"/>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row>
    <row r="79" spans="1:66" s="1" customFormat="1" ht="15" customHeight="1" x14ac:dyDescent="0.3">
      <c r="A79" s="98"/>
      <c r="B79" s="280">
        <v>2020</v>
      </c>
      <c r="C79" s="357">
        <f>C66</f>
        <v>14.882234585056761</v>
      </c>
      <c r="D79" s="276"/>
      <c r="E79" s="276"/>
      <c r="F79" s="276"/>
      <c r="G79" s="276"/>
      <c r="H79" s="98"/>
      <c r="I79" s="98"/>
      <c r="J79" s="98"/>
      <c r="K79" s="98"/>
      <c r="L79" s="98"/>
      <c r="M79" s="98"/>
      <c r="N79" s="98"/>
      <c r="O79" s="98"/>
      <c r="P79" s="98"/>
      <c r="Q79" s="98"/>
      <c r="R79" s="98"/>
      <c r="S79" s="98"/>
      <c r="T79" s="98"/>
      <c r="U79" s="98"/>
      <c r="V79" s="98"/>
      <c r="W79" s="98"/>
    </row>
    <row r="80" spans="1:66" s="1" customFormat="1" ht="15" customHeight="1" x14ac:dyDescent="0.3">
      <c r="A80" s="98"/>
      <c r="B80" s="275">
        <v>2021</v>
      </c>
      <c r="C80" s="357">
        <f>C67</f>
        <v>15.364202746636233</v>
      </c>
      <c r="D80" s="276"/>
      <c r="E80" s="276"/>
      <c r="F80" s="276"/>
      <c r="G80" s="276"/>
      <c r="H80" s="98"/>
      <c r="I80" s="98"/>
      <c r="J80" s="98"/>
      <c r="K80" s="98"/>
      <c r="L80" s="98"/>
      <c r="M80" s="98"/>
      <c r="N80" s="98"/>
      <c r="O80" s="98"/>
      <c r="P80" s="98"/>
      <c r="Q80" s="98"/>
      <c r="R80" s="98"/>
      <c r="S80" s="98"/>
      <c r="T80" s="98"/>
      <c r="U80" s="98"/>
      <c r="V80" s="98"/>
      <c r="W80" s="98"/>
    </row>
    <row r="81" spans="1:23" s="1" customFormat="1" ht="15" customHeight="1" x14ac:dyDescent="0.3">
      <c r="A81" s="98"/>
      <c r="B81" s="280">
        <v>2022</v>
      </c>
      <c r="C81" s="357">
        <f>C68</f>
        <v>15.387573495801647</v>
      </c>
      <c r="D81" s="276"/>
      <c r="E81" s="276"/>
      <c r="F81" s="276"/>
      <c r="G81" s="276"/>
      <c r="H81" s="98"/>
      <c r="I81" s="98"/>
      <c r="J81" s="98"/>
      <c r="K81" s="98"/>
      <c r="L81" s="98"/>
      <c r="M81" s="98"/>
      <c r="N81" s="98"/>
      <c r="O81" s="98"/>
      <c r="P81" s="98"/>
      <c r="Q81" s="98"/>
      <c r="R81" s="98"/>
      <c r="S81" s="98"/>
      <c r="T81" s="98"/>
      <c r="U81" s="98"/>
      <c r="V81" s="98"/>
      <c r="W81" s="98"/>
    </row>
    <row r="82" spans="1:23" s="1" customFormat="1" ht="15" customHeight="1" x14ac:dyDescent="0.3">
      <c r="A82" s="98"/>
      <c r="B82" s="275">
        <v>2023</v>
      </c>
      <c r="C82" s="357">
        <f>C69</f>
        <v>15.605770089485727</v>
      </c>
      <c r="D82" s="357">
        <f>D69</f>
        <v>17.106714520578102</v>
      </c>
      <c r="E82" s="357">
        <f>E69</f>
        <v>15.47470177283277</v>
      </c>
      <c r="F82" s="357">
        <f>F69</f>
        <v>16.151164937720804</v>
      </c>
      <c r="G82" s="357">
        <f>G69</f>
        <v>15.88013728491832</v>
      </c>
      <c r="H82" s="98"/>
      <c r="I82" s="98"/>
      <c r="J82" s="98"/>
      <c r="K82" s="98"/>
      <c r="L82" s="98"/>
      <c r="M82" s="98"/>
      <c r="N82" s="98"/>
      <c r="O82" s="98"/>
      <c r="P82" s="98"/>
      <c r="Q82" s="98"/>
      <c r="R82" s="98"/>
      <c r="S82" s="98"/>
      <c r="T82" s="98"/>
      <c r="U82" s="98"/>
      <c r="V82" s="98"/>
      <c r="W82" s="98"/>
    </row>
    <row r="83" spans="1:23" s="1" customFormat="1" ht="15" customHeight="1" x14ac:dyDescent="0.3">
      <c r="A83" s="98"/>
      <c r="B83" s="280">
        <v>2024</v>
      </c>
      <c r="C83" s="357"/>
      <c r="D83" s="358"/>
      <c r="E83" s="358"/>
      <c r="F83" s="358"/>
      <c r="G83" s="358"/>
      <c r="H83" s="98"/>
      <c r="I83" s="98"/>
      <c r="J83" s="98"/>
      <c r="K83" s="98"/>
      <c r="L83" s="98"/>
      <c r="M83" s="98"/>
      <c r="N83" s="98"/>
      <c r="O83" s="98"/>
      <c r="P83" s="98"/>
      <c r="Q83" s="98"/>
      <c r="R83" s="98"/>
      <c r="S83" s="98"/>
      <c r="T83" s="98"/>
      <c r="U83" s="98"/>
      <c r="V83" s="98"/>
      <c r="W83" s="98"/>
    </row>
    <row r="84" spans="1:23" s="1" customFormat="1" ht="15" customHeight="1" x14ac:dyDescent="0.3">
      <c r="A84" s="98"/>
      <c r="B84" s="275">
        <v>2025</v>
      </c>
      <c r="C84" s="357"/>
      <c r="D84" s="358"/>
      <c r="E84" s="358"/>
      <c r="F84" s="358"/>
      <c r="G84" s="358"/>
      <c r="H84" s="98"/>
      <c r="I84" s="98"/>
      <c r="J84" s="98"/>
      <c r="K84" s="98"/>
      <c r="L84" s="98"/>
      <c r="M84" s="98"/>
      <c r="N84" s="98"/>
      <c r="O84" s="98"/>
      <c r="P84" s="98"/>
      <c r="Q84" s="98"/>
      <c r="R84" s="98"/>
      <c r="S84" s="98"/>
      <c r="T84" s="98"/>
      <c r="U84" s="98"/>
      <c r="V84" s="98"/>
      <c r="W84" s="98"/>
    </row>
    <row r="85" spans="1:23" s="1" customFormat="1" ht="15" customHeight="1" x14ac:dyDescent="0.3">
      <c r="A85" s="98"/>
      <c r="B85" s="280">
        <v>2026</v>
      </c>
      <c r="C85" s="357"/>
      <c r="D85" s="357"/>
      <c r="E85" s="357"/>
      <c r="F85" s="357"/>
      <c r="G85" s="357"/>
      <c r="H85" s="98"/>
      <c r="I85" s="98"/>
      <c r="J85" s="98"/>
      <c r="K85" s="98"/>
      <c r="L85" s="98"/>
      <c r="M85" s="98"/>
      <c r="N85" s="98"/>
      <c r="O85" s="98"/>
      <c r="P85" s="98"/>
      <c r="Q85" s="98"/>
      <c r="R85" s="98"/>
      <c r="S85" s="98"/>
      <c r="T85" s="98"/>
      <c r="U85" s="98"/>
      <c r="V85" s="98"/>
      <c r="W85" s="98"/>
    </row>
    <row r="86" spans="1:23" s="1" customFormat="1" ht="12.6" customHeight="1" x14ac:dyDescent="0.3">
      <c r="A86" s="98"/>
      <c r="B86" s="98"/>
      <c r="C86" s="98"/>
      <c r="D86" s="285"/>
      <c r="E86" s="98"/>
      <c r="F86" s="98"/>
      <c r="G86" s="98"/>
      <c r="H86" s="98"/>
      <c r="I86" s="98"/>
      <c r="J86" s="98"/>
      <c r="K86" s="98"/>
      <c r="L86" s="98"/>
      <c r="M86" s="98"/>
      <c r="N86" s="98"/>
      <c r="O86" s="98"/>
      <c r="P86" s="98"/>
      <c r="Q86" s="98"/>
      <c r="R86" s="98"/>
      <c r="S86" s="98"/>
      <c r="T86" s="98"/>
      <c r="U86" s="98"/>
      <c r="V86" s="98"/>
      <c r="W86" s="98"/>
    </row>
    <row r="87" spans="1:23" s="1" customFormat="1" ht="12.6" customHeight="1" x14ac:dyDescent="0.3">
      <c r="A87" s="98"/>
      <c r="B87" s="98"/>
      <c r="C87" s="98"/>
      <c r="D87" s="98"/>
      <c r="E87" s="98"/>
      <c r="F87" s="98"/>
      <c r="G87" s="98"/>
      <c r="H87" s="98"/>
      <c r="I87" s="98"/>
      <c r="J87" s="98"/>
      <c r="K87" s="98"/>
      <c r="L87" s="98"/>
      <c r="M87" s="98"/>
      <c r="N87" s="98"/>
      <c r="O87" s="98"/>
      <c r="P87" s="98"/>
      <c r="Q87" s="98"/>
      <c r="R87" s="98"/>
      <c r="S87" s="98"/>
      <c r="T87" s="98"/>
      <c r="U87" s="98"/>
      <c r="V87" s="98"/>
      <c r="W87" s="98"/>
    </row>
    <row r="88" spans="1:23" s="1" customFormat="1" ht="12.6" customHeight="1" x14ac:dyDescent="0.3">
      <c r="A88" s="98"/>
      <c r="B88" s="98"/>
      <c r="C88" s="98"/>
      <c r="D88" s="98"/>
      <c r="E88" s="98"/>
      <c r="F88" s="98"/>
      <c r="G88" s="98"/>
      <c r="H88" s="98"/>
      <c r="I88" s="98"/>
      <c r="J88" s="98"/>
      <c r="K88" s="98"/>
      <c r="L88" s="98"/>
      <c r="M88" s="98"/>
      <c r="N88" s="98"/>
      <c r="O88" s="98"/>
      <c r="P88" s="98"/>
      <c r="Q88" s="98"/>
      <c r="R88" s="98"/>
      <c r="S88" s="98"/>
      <c r="T88" s="98"/>
      <c r="U88" s="98"/>
      <c r="V88" s="98"/>
      <c r="W88" s="98"/>
    </row>
    <row r="89" spans="1:23" s="1" customFormat="1" ht="12.6" customHeight="1" x14ac:dyDescent="0.3"/>
    <row r="90" spans="1:23" s="1" customFormat="1" ht="12.6" customHeight="1" x14ac:dyDescent="0.3"/>
    <row r="91" spans="1:23" s="1" customFormat="1" x14ac:dyDescent="0.3"/>
    <row r="92" spans="1:23" s="1" customFormat="1" x14ac:dyDescent="0.3"/>
    <row r="93" spans="1:23" s="1" customFormat="1" x14ac:dyDescent="0.3"/>
    <row r="94" spans="1:23" s="1" customFormat="1" x14ac:dyDescent="0.3"/>
    <row r="95" spans="1:23" s="1" customFormat="1" x14ac:dyDescent="0.3"/>
    <row r="96" spans="1:23" s="1" customFormat="1" x14ac:dyDescent="0.3"/>
    <row r="97" s="1" customFormat="1" x14ac:dyDescent="0.3"/>
    <row r="98" s="1" customFormat="1" x14ac:dyDescent="0.3"/>
    <row r="99" s="1" customFormat="1" x14ac:dyDescent="0.3"/>
    <row r="100" s="1" customFormat="1" x14ac:dyDescent="0.3"/>
    <row r="101" s="1" customFormat="1" x14ac:dyDescent="0.3"/>
    <row r="102" s="1" customFormat="1" x14ac:dyDescent="0.3"/>
    <row r="103" s="1" customFormat="1" x14ac:dyDescent="0.3"/>
    <row r="104" s="1" customFormat="1" x14ac:dyDescent="0.3"/>
    <row r="105" s="1" customFormat="1" x14ac:dyDescent="0.3"/>
    <row r="106" s="1" customFormat="1" x14ac:dyDescent="0.3"/>
    <row r="107" s="1" customFormat="1" x14ac:dyDescent="0.3"/>
    <row r="108" s="1" customFormat="1" x14ac:dyDescent="0.3"/>
    <row r="109" s="1" customFormat="1" x14ac:dyDescent="0.3"/>
    <row r="110" s="1" customFormat="1" x14ac:dyDescent="0.3"/>
    <row r="111" s="1" customFormat="1" x14ac:dyDescent="0.3"/>
    <row r="112" s="1" customFormat="1" x14ac:dyDescent="0.3"/>
    <row r="113" s="1" customFormat="1" x14ac:dyDescent="0.3"/>
    <row r="114" s="1" customFormat="1" x14ac:dyDescent="0.3"/>
    <row r="115" s="1" customFormat="1" x14ac:dyDescent="0.3"/>
    <row r="116" s="1" customFormat="1" x14ac:dyDescent="0.3"/>
    <row r="117" s="1" customFormat="1" x14ac:dyDescent="0.3"/>
    <row r="118" s="1" customFormat="1" x14ac:dyDescent="0.3"/>
    <row r="119" s="1" customFormat="1" x14ac:dyDescent="0.3"/>
    <row r="120" s="1" customFormat="1" x14ac:dyDescent="0.3"/>
    <row r="121" s="1" customFormat="1" x14ac:dyDescent="0.3"/>
  </sheetData>
  <pageMargins left="0.7" right="0.7" top="0.75" bottom="0.75" header="0.3" footer="0.3"/>
  <pageSetup paperSize="9" orientation="portrait" r:id="rId1"/>
  <drawing r:id="rId2"/>
  <legacyDrawing r:id="rId3"/>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9B0C5-C75F-49FC-A782-E3F906F5EF3E}">
  <dimension ref="A1:FQ27"/>
  <sheetViews>
    <sheetView zoomScale="85" zoomScaleNormal="85" workbookViewId="0">
      <selection activeCell="D8" sqref="D8"/>
    </sheetView>
  </sheetViews>
  <sheetFormatPr baseColWidth="10" defaultColWidth="8.6640625" defaultRowHeight="14.4" x14ac:dyDescent="0.3"/>
  <cols>
    <col min="1" max="1" width="4.33203125" customWidth="1"/>
    <col min="3" max="3" width="15.6640625" customWidth="1"/>
    <col min="4" max="7" width="14.5546875" customWidth="1"/>
    <col min="8" max="15" width="18" customWidth="1"/>
    <col min="16" max="17" width="18.6640625" customWidth="1"/>
    <col min="18" max="18" width="15.33203125" customWidth="1"/>
    <col min="19" max="22" width="18" customWidth="1"/>
    <col min="23" max="31" width="14.6640625" customWidth="1"/>
    <col min="32" max="32" width="15.33203125" customWidth="1"/>
    <col min="33" max="33" width="14.6640625" customWidth="1"/>
    <col min="34" max="41" width="13.5546875" customWidth="1"/>
    <col min="42" max="42" width="15.5546875" customWidth="1"/>
    <col min="43" max="43" width="13" customWidth="1"/>
    <col min="44" max="44" width="11.33203125" customWidth="1"/>
    <col min="45" max="45" width="12.33203125" customWidth="1"/>
    <col min="46" max="50" width="11.33203125" customWidth="1"/>
    <col min="51" max="51" width="13.44140625" customWidth="1"/>
    <col min="56" max="56" width="9.6640625" customWidth="1"/>
    <col min="60" max="60" width="16.44140625" customWidth="1"/>
    <col min="61" max="61" width="16.33203125" customWidth="1"/>
    <col min="62" max="63" width="15.33203125" customWidth="1"/>
    <col min="68" max="68" width="11.44140625" bestFit="1" customWidth="1"/>
    <col min="69" max="69" width="13.5546875" customWidth="1"/>
    <col min="70" max="70" width="13.6640625" customWidth="1"/>
    <col min="71" max="71" width="12.44140625" customWidth="1"/>
    <col min="72" max="77" width="12.6640625" customWidth="1"/>
    <col min="78" max="80" width="11.33203125" customWidth="1"/>
    <col min="81" max="85" width="11.6640625" hidden="1" customWidth="1"/>
    <col min="86" max="86" width="13.33203125" hidden="1" customWidth="1"/>
    <col min="87" max="88" width="11.6640625" hidden="1" customWidth="1"/>
    <col min="89" max="94" width="12.6640625" customWidth="1"/>
    <col min="95" max="96" width="11.33203125" customWidth="1"/>
    <col min="97" max="104" width="11.6640625" customWidth="1"/>
    <col min="105" max="108" width="13.44140625" customWidth="1"/>
    <col min="110" max="130" width="0.5546875" customWidth="1"/>
    <col min="131" max="132" width="15.5546875" customWidth="1"/>
    <col min="133" max="133" width="15.33203125" customWidth="1"/>
    <col min="134" max="134" width="14.5546875" customWidth="1"/>
    <col min="135" max="135" width="16.5546875" customWidth="1"/>
    <col min="136" max="138" width="18" customWidth="1"/>
    <col min="139" max="142" width="15.33203125" customWidth="1"/>
    <col min="143" max="143" width="11" customWidth="1"/>
    <col min="144" max="145" width="16" customWidth="1"/>
    <col min="146" max="146" width="9.33203125" customWidth="1"/>
    <col min="147" max="150" width="17" customWidth="1"/>
    <col min="153" max="153" width="10.6640625" customWidth="1"/>
    <col min="156" max="157" width="11.33203125" customWidth="1"/>
    <col min="158" max="161" width="9.6640625" customWidth="1"/>
    <col min="162" max="165" width="11.5546875" customWidth="1"/>
  </cols>
  <sheetData>
    <row r="1" spans="1:173" ht="15" thickBot="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ht="18" customHeight="1" thickBot="1" x14ac:dyDescent="0.35">
      <c r="A2" s="1"/>
      <c r="B2" s="2" t="s">
        <v>579</v>
      </c>
      <c r="C2" s="3"/>
      <c r="D2" s="3"/>
      <c r="E2" s="3"/>
      <c r="F2" s="3"/>
      <c r="G2" s="3"/>
      <c r="H2" s="4"/>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18" customHeight="1" x14ac:dyDescent="0.3">
      <c r="A3" s="1"/>
      <c r="B3" s="5" t="s">
        <v>0</v>
      </c>
      <c r="C3" s="6"/>
      <c r="D3" s="6"/>
      <c r="E3" s="6"/>
      <c r="F3" s="6"/>
      <c r="G3" s="6"/>
      <c r="H3" s="7"/>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18" customHeight="1" x14ac:dyDescent="0.3">
      <c r="A4" s="1"/>
      <c r="B4" s="8" t="s">
        <v>1</v>
      </c>
      <c r="C4" s="9"/>
      <c r="D4" s="9"/>
      <c r="E4" s="9"/>
      <c r="F4" s="9"/>
      <c r="G4" s="9"/>
      <c r="H4" s="10"/>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12.6" customHeight="1" x14ac:dyDescent="0.3">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row>
    <row r="6" spans="1:173" ht="12.6" customHeight="1" x14ac:dyDescent="0.3">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row>
    <row r="7" spans="1:173" ht="12.6" customHeight="1" x14ac:dyDescent="0.3">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c r="EU7" s="1"/>
      <c r="EV7" s="1"/>
      <c r="EW7" s="1"/>
      <c r="EX7" s="1"/>
      <c r="EY7" s="1"/>
      <c r="EZ7" s="1"/>
      <c r="FA7" s="1"/>
      <c r="FB7" s="1"/>
      <c r="FC7" s="1"/>
      <c r="FD7" s="1"/>
      <c r="FE7" s="1"/>
      <c r="FF7" s="1"/>
      <c r="FG7" s="1"/>
      <c r="FH7" s="1"/>
      <c r="FI7" s="1"/>
      <c r="FJ7" s="1"/>
      <c r="FK7" s="1"/>
      <c r="FL7" s="1"/>
      <c r="FM7" s="1"/>
      <c r="FN7" s="1"/>
      <c r="FO7" s="1"/>
      <c r="FP7" s="1"/>
      <c r="FQ7" s="1"/>
    </row>
    <row r="8" spans="1:173" ht="17.7" customHeight="1" x14ac:dyDescent="0.3">
      <c r="A8" s="1"/>
      <c r="B8" s="11" t="s">
        <v>2</v>
      </c>
      <c r="C8" s="12" t="s">
        <v>240</v>
      </c>
      <c r="D8" s="12" t="s">
        <v>241</v>
      </c>
      <c r="E8" s="124" t="s">
        <v>519</v>
      </c>
      <c r="F8" s="125"/>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56"/>
      <c r="CD8" s="56"/>
      <c r="CE8" s="56"/>
      <c r="CF8" s="56"/>
      <c r="CG8" s="56"/>
      <c r="CH8" s="56"/>
      <c r="CI8" s="56"/>
      <c r="CJ8" s="56"/>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row>
    <row r="9" spans="1:173" ht="10.35" customHeight="1" x14ac:dyDescent="0.3">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56"/>
      <c r="CD9" s="56"/>
      <c r="CE9" s="56"/>
      <c r="CF9" s="56"/>
      <c r="CG9" s="56"/>
      <c r="CH9" s="56"/>
      <c r="CI9" s="56"/>
      <c r="CJ9" s="56"/>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row>
    <row r="10" spans="1:173" x14ac:dyDescent="0.3">
      <c r="A10" s="1"/>
      <c r="B10" s="1"/>
      <c r="C10" s="13" t="s">
        <v>6</v>
      </c>
      <c r="D10" s="14"/>
      <c r="E10" s="14"/>
      <c r="F10" s="14"/>
      <c r="G10" s="14"/>
      <c r="H10" s="14"/>
      <c r="I10" s="14"/>
      <c r="J10" s="14"/>
      <c r="K10" s="14"/>
      <c r="L10" s="14"/>
      <c r="M10" s="14"/>
      <c r="N10" s="14"/>
      <c r="O10" s="14"/>
      <c r="P10" s="15" t="s">
        <v>580</v>
      </c>
      <c r="Q10" s="16"/>
      <c r="R10" s="16"/>
      <c r="S10" s="16"/>
      <c r="T10" s="16"/>
      <c r="U10" s="16"/>
      <c r="V10" s="16"/>
      <c r="W10" s="13" t="s">
        <v>628</v>
      </c>
      <c r="X10" s="17"/>
      <c r="Y10" s="17"/>
      <c r="Z10" s="17"/>
      <c r="AA10" s="17"/>
      <c r="AB10" s="17"/>
      <c r="AC10" s="17"/>
      <c r="AD10" s="13" t="s">
        <v>629</v>
      </c>
      <c r="AE10" s="17"/>
      <c r="AF10" s="17"/>
      <c r="AG10" s="18"/>
      <c r="AH10" s="19" t="s">
        <v>630</v>
      </c>
      <c r="AI10" s="20"/>
      <c r="AJ10" s="16"/>
      <c r="AK10" s="16"/>
      <c r="AL10" s="16"/>
      <c r="AM10" s="16"/>
      <c r="AN10" s="16"/>
      <c r="AO10" s="16"/>
      <c r="AP10" s="21"/>
      <c r="AQ10" s="19" t="s">
        <v>9</v>
      </c>
      <c r="AR10" s="16"/>
      <c r="AS10" s="16"/>
      <c r="AT10" s="16"/>
      <c r="AU10" s="16"/>
      <c r="AV10" s="16"/>
      <c r="AW10" s="16"/>
      <c r="AX10" s="16"/>
      <c r="AY10" s="21"/>
      <c r="AZ10" s="22" t="s">
        <v>10</v>
      </c>
      <c r="BA10" s="23"/>
      <c r="BB10" s="23"/>
      <c r="BC10" s="23"/>
      <c r="BD10" s="23"/>
      <c r="BE10" s="23"/>
      <c r="BF10" s="23"/>
      <c r="BG10" s="23"/>
      <c r="BH10" s="23"/>
      <c r="BI10" s="23"/>
      <c r="BJ10" s="23"/>
      <c r="BK10" s="23"/>
      <c r="BL10" s="23"/>
      <c r="BM10" s="23"/>
      <c r="BN10" s="23"/>
      <c r="BO10" s="23"/>
      <c r="BP10" s="23"/>
      <c r="BQ10" s="23"/>
      <c r="BR10" s="24"/>
      <c r="BS10" s="11"/>
      <c r="BT10" s="19"/>
      <c r="BU10" s="16"/>
      <c r="BV10" s="16"/>
      <c r="BW10" s="16"/>
      <c r="BX10" s="16"/>
      <c r="BY10" s="16"/>
      <c r="BZ10" s="16"/>
      <c r="CA10" s="16"/>
      <c r="CB10" s="16"/>
      <c r="CC10" s="58" t="s">
        <v>12</v>
      </c>
      <c r="CD10" s="59"/>
      <c r="CE10" s="59"/>
      <c r="CF10" s="59"/>
      <c r="CG10" s="59"/>
      <c r="CH10" s="59"/>
      <c r="CI10" s="59"/>
      <c r="CJ10" s="59"/>
      <c r="CK10" s="19" t="s">
        <v>581</v>
      </c>
      <c r="CL10" s="16"/>
      <c r="CM10" s="16"/>
      <c r="CN10" s="16"/>
      <c r="CO10" s="16"/>
      <c r="CP10" s="16"/>
      <c r="CQ10" s="16"/>
      <c r="CR10" s="16"/>
      <c r="CS10" s="19" t="s">
        <v>582</v>
      </c>
      <c r="CT10" s="127"/>
      <c r="CU10" s="59"/>
      <c r="CV10" s="59"/>
      <c r="CW10" s="59"/>
      <c r="CX10" s="59"/>
      <c r="CY10" s="59"/>
      <c r="CZ10" s="59"/>
      <c r="DA10" s="15" t="s">
        <v>15</v>
      </c>
      <c r="DB10" s="60"/>
      <c r="DC10" s="60"/>
      <c r="DD10" s="8" t="s">
        <v>16</v>
      </c>
      <c r="DE10" s="10"/>
      <c r="DF10" s="1"/>
      <c r="DG10" s="1"/>
      <c r="DH10" s="1"/>
      <c r="DI10" s="1"/>
      <c r="DJ10" s="1"/>
      <c r="DK10" s="1"/>
      <c r="DL10" s="1"/>
      <c r="DM10" s="1"/>
      <c r="DN10" s="1"/>
      <c r="DO10" s="1"/>
      <c r="DP10" s="1"/>
      <c r="DQ10" s="1"/>
      <c r="DR10" s="1"/>
      <c r="DS10" s="1"/>
      <c r="DT10" s="1"/>
      <c r="DU10" s="1"/>
      <c r="DV10" s="1"/>
      <c r="DW10" s="1"/>
      <c r="DX10" s="1"/>
      <c r="DY10" s="1"/>
      <c r="DZ10" s="1"/>
      <c r="EA10" s="13" t="s">
        <v>17</v>
      </c>
      <c r="EB10" s="14"/>
      <c r="EC10" s="14"/>
      <c r="ED10" s="14"/>
      <c r="EE10" s="14"/>
      <c r="EF10" s="14"/>
      <c r="EG10" s="14"/>
      <c r="EH10" s="14"/>
      <c r="EI10" s="14"/>
      <c r="EJ10" s="14"/>
      <c r="EK10" s="14"/>
      <c r="EL10" s="14"/>
      <c r="EM10" s="14"/>
      <c r="EN10" s="15" t="s">
        <v>583</v>
      </c>
      <c r="EO10" s="16"/>
      <c r="EP10" s="16"/>
      <c r="EQ10" s="16"/>
      <c r="ER10" s="16"/>
      <c r="ES10" s="16"/>
      <c r="ET10" s="16"/>
      <c r="EU10" s="16"/>
      <c r="EV10" s="13" t="s">
        <v>631</v>
      </c>
      <c r="EW10" s="14"/>
      <c r="EX10" s="14"/>
      <c r="EY10" s="61"/>
      <c r="EZ10" s="62" t="s">
        <v>19</v>
      </c>
      <c r="FA10" s="10"/>
      <c r="FB10" s="14" t="s">
        <v>632</v>
      </c>
      <c r="FC10" s="17"/>
      <c r="FD10" s="17"/>
      <c r="FE10" s="17"/>
      <c r="FF10" s="17"/>
      <c r="FG10" s="17"/>
      <c r="FH10" s="17"/>
      <c r="FI10" s="18"/>
      <c r="FJ10" s="1"/>
      <c r="FK10" s="1"/>
      <c r="FL10" s="1"/>
      <c r="FM10" s="1"/>
      <c r="FN10" s="1"/>
      <c r="FO10" s="1"/>
      <c r="FP10" s="1"/>
      <c r="FQ10" s="1"/>
    </row>
    <row r="11" spans="1:173" ht="78.75" customHeight="1" x14ac:dyDescent="0.3">
      <c r="A11" s="1"/>
      <c r="B11" s="25" t="s">
        <v>20</v>
      </c>
      <c r="C11" s="26" t="s">
        <v>21</v>
      </c>
      <c r="D11" s="27" t="s">
        <v>22</v>
      </c>
      <c r="E11" s="27" t="s">
        <v>23</v>
      </c>
      <c r="F11" s="27" t="s">
        <v>24</v>
      </c>
      <c r="G11" s="27" t="s">
        <v>36</v>
      </c>
      <c r="H11" s="27" t="s">
        <v>26</v>
      </c>
      <c r="I11" s="27" t="s">
        <v>27</v>
      </c>
      <c r="J11" s="121"/>
      <c r="K11" s="27" t="s">
        <v>29</v>
      </c>
      <c r="L11" s="27" t="s">
        <v>30</v>
      </c>
      <c r="M11" s="27" t="s">
        <v>31</v>
      </c>
      <c r="N11" s="27" t="s">
        <v>32</v>
      </c>
      <c r="O11" s="27" t="s">
        <v>33</v>
      </c>
      <c r="P11" s="26" t="s">
        <v>21</v>
      </c>
      <c r="Q11" s="27" t="s">
        <v>22</v>
      </c>
      <c r="R11" s="27" t="s">
        <v>34</v>
      </c>
      <c r="S11" s="27" t="s">
        <v>29</v>
      </c>
      <c r="T11" s="27" t="s">
        <v>30</v>
      </c>
      <c r="U11" s="27" t="s">
        <v>31</v>
      </c>
      <c r="V11" s="27" t="s">
        <v>32</v>
      </c>
      <c r="W11" s="27" t="s">
        <v>22</v>
      </c>
      <c r="X11" s="27" t="s">
        <v>23</v>
      </c>
      <c r="Y11" s="27" t="s">
        <v>35</v>
      </c>
      <c r="Z11" s="27" t="s">
        <v>36</v>
      </c>
      <c r="AA11" s="27" t="s">
        <v>26</v>
      </c>
      <c r="AB11" s="27" t="s">
        <v>27</v>
      </c>
      <c r="AC11" s="27" t="s">
        <v>28</v>
      </c>
      <c r="AD11" s="27" t="s">
        <v>29</v>
      </c>
      <c r="AE11" s="27" t="s">
        <v>30</v>
      </c>
      <c r="AF11" s="27" t="s">
        <v>31</v>
      </c>
      <c r="AG11" s="27" t="s">
        <v>32</v>
      </c>
      <c r="AH11" s="27" t="s">
        <v>37</v>
      </c>
      <c r="AI11" s="27" t="s">
        <v>38</v>
      </c>
      <c r="AJ11" s="27" t="s">
        <v>39</v>
      </c>
      <c r="AK11" s="27" t="s">
        <v>40</v>
      </c>
      <c r="AL11" s="27" t="s">
        <v>41</v>
      </c>
      <c r="AM11" s="27" t="s">
        <v>42</v>
      </c>
      <c r="AN11" s="121" t="s">
        <v>43</v>
      </c>
      <c r="AO11" s="27" t="s">
        <v>44</v>
      </c>
      <c r="AP11" s="27" t="s">
        <v>45</v>
      </c>
      <c r="AQ11" s="27" t="s">
        <v>37</v>
      </c>
      <c r="AR11" s="27" t="s">
        <v>38</v>
      </c>
      <c r="AS11" s="27" t="s">
        <v>39</v>
      </c>
      <c r="AT11" s="27" t="s">
        <v>40</v>
      </c>
      <c r="AU11" s="27" t="s">
        <v>41</v>
      </c>
      <c r="AV11" s="27" t="s">
        <v>42</v>
      </c>
      <c r="AW11" s="121"/>
      <c r="AX11" s="27" t="s">
        <v>44</v>
      </c>
      <c r="AY11" s="27" t="s">
        <v>45</v>
      </c>
      <c r="AZ11" s="27" t="s">
        <v>633</v>
      </c>
      <c r="BA11" s="27" t="s">
        <v>634</v>
      </c>
      <c r="BB11" s="27" t="s">
        <v>635</v>
      </c>
      <c r="BC11" s="27" t="s">
        <v>636</v>
      </c>
      <c r="BD11" s="27" t="s">
        <v>46</v>
      </c>
      <c r="BE11" s="27" t="s">
        <v>47</v>
      </c>
      <c r="BF11" s="27" t="s">
        <v>48</v>
      </c>
      <c r="BG11" s="27" t="s">
        <v>49</v>
      </c>
      <c r="BH11" s="27" t="s">
        <v>50</v>
      </c>
      <c r="BI11" s="27" t="s">
        <v>51</v>
      </c>
      <c r="BJ11" s="27" t="s">
        <v>52</v>
      </c>
      <c r="BK11" s="27" t="s">
        <v>53</v>
      </c>
      <c r="BL11" s="27" t="s">
        <v>54</v>
      </c>
      <c r="BM11" s="27" t="s">
        <v>55</v>
      </c>
      <c r="BN11" s="27" t="s">
        <v>56</v>
      </c>
      <c r="BO11" s="27" t="s">
        <v>57</v>
      </c>
      <c r="BP11" s="27" t="s">
        <v>637</v>
      </c>
      <c r="BQ11" s="27" t="s">
        <v>638</v>
      </c>
      <c r="BR11" s="27" t="s">
        <v>273</v>
      </c>
      <c r="BS11" s="27" t="s">
        <v>584</v>
      </c>
      <c r="BT11" s="27"/>
      <c r="BU11" s="27"/>
      <c r="BV11" s="27"/>
      <c r="BW11" s="27"/>
      <c r="BX11" s="27"/>
      <c r="BY11" s="27"/>
      <c r="BZ11" s="27"/>
      <c r="CA11" s="27"/>
      <c r="CB11" s="27"/>
      <c r="CC11" s="63" t="s">
        <v>68</v>
      </c>
      <c r="CD11" s="63" t="s">
        <v>69</v>
      </c>
      <c r="CE11" s="63" t="s">
        <v>70</v>
      </c>
      <c r="CF11" s="63" t="s">
        <v>71</v>
      </c>
      <c r="CG11" s="63" t="s">
        <v>72</v>
      </c>
      <c r="CH11" s="63" t="s">
        <v>73</v>
      </c>
      <c r="CI11" s="63" t="s">
        <v>74</v>
      </c>
      <c r="CJ11" s="63" t="s">
        <v>75</v>
      </c>
      <c r="CK11" s="27" t="s">
        <v>585</v>
      </c>
      <c r="CL11" s="27" t="s">
        <v>586</v>
      </c>
      <c r="CM11" s="27" t="s">
        <v>587</v>
      </c>
      <c r="CN11" s="27" t="s">
        <v>588</v>
      </c>
      <c r="CO11" s="27" t="s">
        <v>80</v>
      </c>
      <c r="CP11" s="27" t="s">
        <v>81</v>
      </c>
      <c r="CQ11" s="27" t="s">
        <v>82</v>
      </c>
      <c r="CR11" s="27" t="s">
        <v>589</v>
      </c>
      <c r="CS11" s="128" t="s">
        <v>590</v>
      </c>
      <c r="CT11" s="128" t="s">
        <v>591</v>
      </c>
      <c r="CU11" s="128" t="s">
        <v>592</v>
      </c>
      <c r="CV11" s="128" t="s">
        <v>593</v>
      </c>
      <c r="CW11" s="128" t="s">
        <v>88</v>
      </c>
      <c r="CX11" s="128" t="s">
        <v>89</v>
      </c>
      <c r="CY11" s="128" t="s">
        <v>90</v>
      </c>
      <c r="CZ11" s="128" t="s">
        <v>91</v>
      </c>
      <c r="DA11" s="64" t="s">
        <v>92</v>
      </c>
      <c r="DB11" s="64" t="s">
        <v>93</v>
      </c>
      <c r="DC11" s="64" t="s">
        <v>94</v>
      </c>
      <c r="DD11" s="64" t="s">
        <v>95</v>
      </c>
      <c r="DE11" s="64" t="s">
        <v>96</v>
      </c>
      <c r="DF11" s="1"/>
      <c r="DG11" s="1"/>
      <c r="DH11" s="1"/>
      <c r="DI11" s="1"/>
      <c r="DJ11" s="1"/>
      <c r="DK11" s="1"/>
      <c r="DL11" s="1"/>
      <c r="DM11" s="1"/>
      <c r="DN11" s="1"/>
      <c r="DO11" s="1"/>
      <c r="DP11" s="1"/>
      <c r="DQ11" s="1"/>
      <c r="DR11" s="1"/>
      <c r="DS11" s="1"/>
      <c r="DT11" s="1"/>
      <c r="DU11" s="1"/>
      <c r="DV11" s="1"/>
      <c r="DW11" s="1"/>
      <c r="DX11" s="1"/>
      <c r="DY11" s="1"/>
      <c r="DZ11" s="1"/>
      <c r="EA11" s="26" t="s">
        <v>97</v>
      </c>
      <c r="EB11" s="27" t="s">
        <v>98</v>
      </c>
      <c r="EC11" s="27" t="s">
        <v>99</v>
      </c>
      <c r="ED11" s="27" t="s">
        <v>100</v>
      </c>
      <c r="EE11" s="27" t="s">
        <v>101</v>
      </c>
      <c r="EF11" s="27" t="s">
        <v>102</v>
      </c>
      <c r="EG11" s="27" t="s">
        <v>103</v>
      </c>
      <c r="EH11" s="121"/>
      <c r="EI11" s="27" t="s">
        <v>104</v>
      </c>
      <c r="EJ11" s="27" t="s">
        <v>105</v>
      </c>
      <c r="EK11" s="27" t="s">
        <v>106</v>
      </c>
      <c r="EL11" s="27" t="s">
        <v>107</v>
      </c>
      <c r="EM11" s="27" t="s">
        <v>33</v>
      </c>
      <c r="EN11" s="27" t="s">
        <v>97</v>
      </c>
      <c r="EO11" s="27" t="s">
        <v>98</v>
      </c>
      <c r="EP11" s="27" t="s">
        <v>108</v>
      </c>
      <c r="EQ11" s="27" t="s">
        <v>104</v>
      </c>
      <c r="ER11" s="27" t="s">
        <v>105</v>
      </c>
      <c r="ES11" s="27" t="s">
        <v>106</v>
      </c>
      <c r="ET11" s="27" t="s">
        <v>107</v>
      </c>
      <c r="EU11" s="27" t="s">
        <v>594</v>
      </c>
      <c r="EV11" s="64" t="s">
        <v>639</v>
      </c>
      <c r="EW11" s="27" t="s">
        <v>99</v>
      </c>
      <c r="EX11" s="64" t="s">
        <v>110</v>
      </c>
      <c r="EY11" s="64" t="s">
        <v>640</v>
      </c>
      <c r="EZ11" s="64" t="s">
        <v>111</v>
      </c>
      <c r="FA11" s="64" t="s">
        <v>112</v>
      </c>
      <c r="FB11" s="27" t="s">
        <v>641</v>
      </c>
      <c r="FC11" s="27" t="s">
        <v>642</v>
      </c>
      <c r="FD11" s="27" t="s">
        <v>643</v>
      </c>
      <c r="FE11" s="27" t="s">
        <v>644</v>
      </c>
      <c r="FF11" s="27" t="s">
        <v>645</v>
      </c>
      <c r="FG11" s="27" t="s">
        <v>646</v>
      </c>
      <c r="FH11" s="27" t="s">
        <v>647</v>
      </c>
      <c r="FI11" s="27" t="s">
        <v>648</v>
      </c>
      <c r="FJ11" s="1"/>
      <c r="FK11" s="1"/>
      <c r="FL11" s="1"/>
      <c r="FM11" s="1"/>
      <c r="FN11" s="1"/>
      <c r="FO11" s="1"/>
      <c r="FP11" s="1"/>
      <c r="FQ11" s="1"/>
    </row>
    <row r="12" spans="1:173" x14ac:dyDescent="0.3">
      <c r="A12" s="1"/>
      <c r="B12" s="28">
        <v>1</v>
      </c>
      <c r="C12" s="129">
        <v>5818594.6716000009</v>
      </c>
      <c r="D12" s="129">
        <v>5777360.6532000005</v>
      </c>
      <c r="E12" s="129">
        <v>4969691.2043999974</v>
      </c>
      <c r="F12" s="129">
        <v>5178568.9991999976</v>
      </c>
      <c r="G12" s="129">
        <v>5060957.4576000012</v>
      </c>
      <c r="H12" s="129">
        <v>5064943.9199999981</v>
      </c>
      <c r="I12" s="129">
        <v>5059375.1663999986</v>
      </c>
      <c r="J12" s="122"/>
      <c r="K12" s="130" t="s">
        <v>113</v>
      </c>
      <c r="L12" s="130" t="s">
        <v>113</v>
      </c>
      <c r="M12" s="130" t="s">
        <v>113</v>
      </c>
      <c r="N12" s="130" t="s">
        <v>113</v>
      </c>
      <c r="O12" s="131">
        <f>C12/C$22*100</f>
        <v>0.13201987213437225</v>
      </c>
      <c r="P12" s="129">
        <v>412594158.77999985</v>
      </c>
      <c r="Q12" s="129">
        <v>416720106.00239986</v>
      </c>
      <c r="R12" s="131">
        <f t="shared" ref="R12:R21" si="0">(Q12/P12-1)*100</f>
        <v>1.0000013656519036</v>
      </c>
      <c r="S12" s="130" t="s">
        <v>113</v>
      </c>
      <c r="T12" s="130" t="s">
        <v>113</v>
      </c>
      <c r="U12" s="130" t="s">
        <v>113</v>
      </c>
      <c r="V12" s="130" t="s">
        <v>113</v>
      </c>
      <c r="W12" s="132">
        <f>IF(D12&lt;&gt;0,((D12-$C12)/ABS($C12)) / ($Q12/$P12-1),0)</f>
        <v>-0.70865843757807334</v>
      </c>
      <c r="X12" s="132">
        <f>IF(E12&lt;&gt;0,((E12-$C12)/ABS($C12)) / ($Q12/$P12-1),0)</f>
        <v>-14.589473159874171</v>
      </c>
      <c r="Y12" s="132">
        <f t="shared" ref="Y12:AA22" si="1">IF(F12&lt;&gt;0,MAX(((F12-$C12)/ABS($C12)) / ($Q12/$P12-1),0),0)</f>
        <v>0</v>
      </c>
      <c r="Z12" s="132">
        <f t="shared" si="1"/>
        <v>0</v>
      </c>
      <c r="AA12" s="132">
        <f t="shared" si="1"/>
        <v>0</v>
      </c>
      <c r="AB12" s="132">
        <f>IF(I12&lt;&gt;0,MAX(((I12-$C12)/ABS($C12)) / ($Q12/$P12-1),0),AA12)</f>
        <v>0</v>
      </c>
      <c r="AC12" s="132">
        <f>IF(J12&lt;&gt;0,MAX(((J12-$C12)/ABS($C12)) / ($Q12/$P12-1),0),AB12)</f>
        <v>0</v>
      </c>
      <c r="AD12" s="130" t="s">
        <v>113</v>
      </c>
      <c r="AE12" s="130" t="s">
        <v>113</v>
      </c>
      <c r="AF12" s="130" t="s">
        <v>113</v>
      </c>
      <c r="AG12" s="130" t="s">
        <v>113</v>
      </c>
      <c r="AH12" s="133">
        <f t="shared" ref="AH12:AH22" si="2">MIN(W12,1)</f>
        <v>-0.70865843757807334</v>
      </c>
      <c r="AI12" s="134">
        <f>IF(W12&gt;1,MAX(W12-SUM(AH12,AJ12:AO12),0),0)</f>
        <v>0</v>
      </c>
      <c r="AJ12" s="134">
        <f t="shared" ref="AJ12:AJ22" si="3">IF(W12&gt;1,MIN($W12-Y12,W12-AH12),0)</f>
        <v>0</v>
      </c>
      <c r="AK12" s="134">
        <f t="shared" ref="AK12:AK20" si="4">IF(W12&gt;1,MAX(MIN(Y12-Z12,W12-AH12-AJ12),0),0)</f>
        <v>0</v>
      </c>
      <c r="AL12" s="134">
        <f>IF(W12&gt;1,MAX(MIN(Z12-AA12,W12-AH12-AJ12-AK12),0),0)</f>
        <v>0</v>
      </c>
      <c r="AM12" s="134">
        <f>IF(I12&lt;&gt;0,IF(W12&gt;1,MAX(MIN(AA12-AB12,W12-AH12-AJ12-AK12-AL12),0),0),0)</f>
        <v>0</v>
      </c>
      <c r="AN12" s="135">
        <f t="shared" ref="AN12:AN13" si="5">IF(J12&lt;&gt;0,IF(W12&gt;1,MAX(MIN(AB12-AC12,W12-AH12-AJ12-AK12-AL12-AM12),0),0),0)</f>
        <v>0</v>
      </c>
      <c r="AO12" s="134">
        <f>IF(W12&gt;1,MAX(0,MIN(W12-AH12-AJ12-AK12-AL12-AM12,W12-AH12-AJ12-AK12-AL12-AM12-X12+1)),0)</f>
        <v>0</v>
      </c>
      <c r="AP12" s="134">
        <f t="shared" ref="AP12:AP22" si="6">AI12+AO12</f>
        <v>0</v>
      </c>
      <c r="AQ12" s="136" t="s">
        <v>113</v>
      </c>
      <c r="AR12" s="137">
        <f t="shared" ref="AR12:AY22" si="7">AI12/($W12-1)*100</f>
        <v>0</v>
      </c>
      <c r="AS12" s="137">
        <f t="shared" si="7"/>
        <v>0</v>
      </c>
      <c r="AT12" s="137">
        <f t="shared" si="7"/>
        <v>0</v>
      </c>
      <c r="AU12" s="137">
        <f t="shared" si="7"/>
        <v>0</v>
      </c>
      <c r="AV12" s="137">
        <f t="shared" si="7"/>
        <v>0</v>
      </c>
      <c r="AW12" s="138">
        <f t="shared" si="7"/>
        <v>0</v>
      </c>
      <c r="AX12" s="137">
        <f t="shared" si="7"/>
        <v>0</v>
      </c>
      <c r="AY12" s="137">
        <f t="shared" si="7"/>
        <v>0</v>
      </c>
      <c r="AZ12" s="139" t="s">
        <v>113</v>
      </c>
      <c r="BA12" s="139" t="s">
        <v>113</v>
      </c>
      <c r="BB12" s="139" t="s">
        <v>113</v>
      </c>
      <c r="BC12" s="139" t="s">
        <v>113</v>
      </c>
      <c r="BD12" s="139" t="s">
        <v>113</v>
      </c>
      <c r="BE12" s="139" t="s">
        <v>113</v>
      </c>
      <c r="BF12" s="139" t="s">
        <v>113</v>
      </c>
      <c r="BG12" s="139" t="s">
        <v>113</v>
      </c>
      <c r="BH12" s="140">
        <v>265113008.68080005</v>
      </c>
      <c r="BI12" s="140">
        <v>133572987.13680005</v>
      </c>
      <c r="BJ12" s="140">
        <v>7801362.7392000016</v>
      </c>
      <c r="BK12" s="140">
        <v>6106739.3447999991</v>
      </c>
      <c r="BL12" s="141">
        <f>BH12/SUM($BH12:$BK12)</f>
        <v>0.64255162647534292</v>
      </c>
      <c r="BM12" s="141">
        <f t="shared" ref="BM12:BO12" si="8">BI12/SUM($BH12:$BK12)</f>
        <v>0.32373945196049791</v>
      </c>
      <c r="BN12" s="141">
        <f t="shared" si="8"/>
        <v>1.8908081281037992E-2</v>
      </c>
      <c r="BO12" s="141">
        <f t="shared" si="8"/>
        <v>1.4800840283121064E-2</v>
      </c>
      <c r="BP12" s="139" t="s">
        <v>113</v>
      </c>
      <c r="BQ12" s="139" t="s">
        <v>113</v>
      </c>
      <c r="BR12" s="139" t="s">
        <v>113</v>
      </c>
      <c r="BS12" s="131">
        <f>P12/P$22*100</f>
        <v>1.7014807057747952</v>
      </c>
      <c r="BT12" s="139"/>
      <c r="BU12" s="139"/>
      <c r="BV12" s="139"/>
      <c r="BW12" s="139"/>
      <c r="BX12" s="139"/>
      <c r="BY12" s="139"/>
      <c r="BZ12" s="139"/>
      <c r="CA12" s="139"/>
      <c r="CB12" s="139"/>
      <c r="CC12" s="142" t="s">
        <v>113</v>
      </c>
      <c r="CD12" s="142" t="s">
        <v>113</v>
      </c>
      <c r="CE12" s="142" t="s">
        <v>113</v>
      </c>
      <c r="CF12" s="142" t="s">
        <v>113</v>
      </c>
      <c r="CG12" s="142" t="s">
        <v>113</v>
      </c>
      <c r="CH12" s="142" t="s">
        <v>113</v>
      </c>
      <c r="CI12" s="142" t="s">
        <v>113</v>
      </c>
      <c r="CJ12" s="142"/>
      <c r="CK12" s="139" t="s">
        <v>113</v>
      </c>
      <c r="CL12" s="139" t="s">
        <v>113</v>
      </c>
      <c r="CM12" s="139" t="s">
        <v>113</v>
      </c>
      <c r="CN12" s="139" t="s">
        <v>113</v>
      </c>
      <c r="CO12" s="139" t="s">
        <v>113</v>
      </c>
      <c r="CP12" s="139" t="s">
        <v>113</v>
      </c>
      <c r="CQ12" s="139" t="s">
        <v>113</v>
      </c>
      <c r="CR12" s="139"/>
      <c r="CS12" s="143" t="s">
        <v>113</v>
      </c>
      <c r="CT12" s="143" t="s">
        <v>113</v>
      </c>
      <c r="CU12" s="143" t="s">
        <v>113</v>
      </c>
      <c r="CV12" s="143" t="s">
        <v>113</v>
      </c>
      <c r="CW12" s="143" t="s">
        <v>113</v>
      </c>
      <c r="CX12" s="143" t="s">
        <v>113</v>
      </c>
      <c r="CY12" s="143" t="s">
        <v>113</v>
      </c>
      <c r="CZ12" s="143"/>
      <c r="DA12" s="139" t="s">
        <v>113</v>
      </c>
      <c r="DB12" s="139" t="s">
        <v>113</v>
      </c>
      <c r="DC12" s="139" t="s">
        <v>113</v>
      </c>
      <c r="DD12" s="144">
        <f>(1-DE12)*100</f>
        <v>37.135708581159989</v>
      </c>
      <c r="DE12" s="145">
        <v>0.62864291418840013</v>
      </c>
      <c r="DF12" s="1"/>
      <c r="DG12" s="1"/>
      <c r="DH12" s="1"/>
      <c r="DI12" s="1"/>
      <c r="DJ12" s="1"/>
      <c r="DK12" s="1"/>
      <c r="DL12" s="1"/>
      <c r="DM12" s="1"/>
      <c r="DN12" s="1"/>
      <c r="DO12" s="1"/>
      <c r="DP12" s="1"/>
      <c r="DQ12" s="1"/>
      <c r="DR12" s="1"/>
      <c r="DS12" s="1"/>
      <c r="DT12" s="1"/>
      <c r="DU12" s="1"/>
      <c r="DV12" s="1"/>
      <c r="DW12" s="1"/>
      <c r="DX12" s="1"/>
      <c r="DY12" s="1"/>
      <c r="DZ12" s="1"/>
      <c r="EA12" s="146">
        <v>-38281507.076399997</v>
      </c>
      <c r="EB12" s="146">
        <v>-38392263.053999975</v>
      </c>
      <c r="EC12" s="146">
        <v>-38734688.22240001</v>
      </c>
      <c r="ED12" s="147"/>
      <c r="EE12" s="147"/>
      <c r="EF12" s="147"/>
      <c r="EG12" s="129"/>
      <c r="EH12" s="122"/>
      <c r="EI12" s="130" t="s">
        <v>113</v>
      </c>
      <c r="EJ12" s="130" t="s">
        <v>113</v>
      </c>
      <c r="EK12" s="130" t="s">
        <v>113</v>
      </c>
      <c r="EL12" s="130" t="s">
        <v>113</v>
      </c>
      <c r="EM12" s="131">
        <f t="shared" ref="EM12:EM21" si="9">EA12/EA$22*100</f>
        <v>-0.74229341953998751</v>
      </c>
      <c r="EN12" s="146">
        <v>489063850.71720004</v>
      </c>
      <c r="EO12" s="146">
        <v>493954442.31839979</v>
      </c>
      <c r="EP12" s="131">
        <f t="shared" ref="EP12:EP21" si="10">(EO12/EN12-1)*100</f>
        <v>0.9999904090289613</v>
      </c>
      <c r="EQ12" s="130" t="s">
        <v>113</v>
      </c>
      <c r="ER12" s="130" t="s">
        <v>113</v>
      </c>
      <c r="ES12" s="130" t="s">
        <v>113</v>
      </c>
      <c r="ET12" s="130" t="s">
        <v>113</v>
      </c>
      <c r="EU12" s="131">
        <f>EN12/EN$22*100</f>
        <v>1.7068909748718646</v>
      </c>
      <c r="EV12" s="132">
        <f>((EB12-$EA12)/ABS($EA12)) / ($EO12/$EN12-1)</f>
        <v>-0.28932256937141398</v>
      </c>
      <c r="EW12" s="132">
        <f>IF(EC12&lt;&gt;0,((EC12-$EA12)/ABS($EA12)) / ($EO12/$EN12-1),0)</f>
        <v>-1.1838235406576476</v>
      </c>
      <c r="EX12" s="132"/>
      <c r="EY12" s="148">
        <f t="shared" ref="EY12:EY22" si="11">EV12-W12</f>
        <v>0.41933586820665936</v>
      </c>
      <c r="EZ12" s="144">
        <f>(1-FA12)*100</f>
        <v>52.497073068030041</v>
      </c>
      <c r="FA12" s="145">
        <v>0.47502926931969963</v>
      </c>
      <c r="FB12" s="130" t="s">
        <v>113</v>
      </c>
      <c r="FC12" s="130" t="s">
        <v>113</v>
      </c>
      <c r="FD12" s="130" t="s">
        <v>113</v>
      </c>
      <c r="FE12" s="130" t="s">
        <v>113</v>
      </c>
      <c r="FF12" s="130" t="s">
        <v>113</v>
      </c>
      <c r="FG12" s="130" t="s">
        <v>113</v>
      </c>
      <c r="FH12" s="130" t="s">
        <v>113</v>
      </c>
      <c r="FI12" s="130" t="s">
        <v>113</v>
      </c>
      <c r="FJ12" s="1"/>
      <c r="FK12" s="1"/>
      <c r="FL12" s="1"/>
      <c r="FM12" s="1"/>
      <c r="FN12" s="1"/>
      <c r="FO12" s="1"/>
      <c r="FP12" s="1"/>
      <c r="FQ12" s="1"/>
    </row>
    <row r="13" spans="1:173" x14ac:dyDescent="0.3">
      <c r="A13" s="1"/>
      <c r="B13" s="28">
        <v>2</v>
      </c>
      <c r="C13" s="129">
        <v>15677750.686800003</v>
      </c>
      <c r="D13" s="129">
        <v>16861116.875999995</v>
      </c>
      <c r="E13" s="129">
        <v>15457114.563600004</v>
      </c>
      <c r="F13" s="129">
        <v>15930848.955600005</v>
      </c>
      <c r="G13" s="129">
        <v>15709115.221200008</v>
      </c>
      <c r="H13" s="129">
        <v>15557700.140400015</v>
      </c>
      <c r="I13" s="129">
        <v>15527684.19120001</v>
      </c>
      <c r="J13" s="122"/>
      <c r="K13" s="130" t="s">
        <v>113</v>
      </c>
      <c r="L13" s="130" t="s">
        <v>113</v>
      </c>
      <c r="M13" s="130" t="s">
        <v>113</v>
      </c>
      <c r="N13" s="130" t="s">
        <v>113</v>
      </c>
      <c r="O13" s="131">
        <f t="shared" ref="O13:O21" si="12">C13/C$22*100</f>
        <v>0.3557172750197351</v>
      </c>
      <c r="P13" s="129">
        <v>951793692.93360078</v>
      </c>
      <c r="Q13" s="129">
        <v>961311578.24160004</v>
      </c>
      <c r="R13" s="131">
        <f t="shared" si="0"/>
        <v>0.99999457641533063</v>
      </c>
      <c r="S13" s="130" t="s">
        <v>113</v>
      </c>
      <c r="T13" s="130" t="s">
        <v>113</v>
      </c>
      <c r="U13" s="130" t="s">
        <v>113</v>
      </c>
      <c r="V13" s="130" t="s">
        <v>113</v>
      </c>
      <c r="W13" s="132">
        <f t="shared" ref="W13:X22" si="13">IF(D13&lt;&gt;0,((D13-$C13)/ABS($C13)) / ($Q13/$P13-1),0)</f>
        <v>7.5481019628528223</v>
      </c>
      <c r="X13" s="132">
        <f t="shared" si="13"/>
        <v>-1.4073276470134963</v>
      </c>
      <c r="Y13" s="132">
        <f t="shared" si="1"/>
        <v>1.6143874626124537</v>
      </c>
      <c r="Z13" s="132">
        <f t="shared" si="1"/>
        <v>0.20005870188727501</v>
      </c>
      <c r="AA13" s="132">
        <f t="shared" si="1"/>
        <v>0</v>
      </c>
      <c r="AB13" s="132">
        <f t="shared" ref="AB13:AC22" si="14">IF(I13&lt;&gt;0,MAX(((I13-$C13)/ABS($C13)) / ($Q13/$P13-1),0),AA13)</f>
        <v>0</v>
      </c>
      <c r="AC13" s="132">
        <f t="shared" si="14"/>
        <v>0</v>
      </c>
      <c r="AD13" s="130" t="s">
        <v>113</v>
      </c>
      <c r="AE13" s="130" t="s">
        <v>113</v>
      </c>
      <c r="AF13" s="130" t="s">
        <v>113</v>
      </c>
      <c r="AG13" s="130" t="s">
        <v>113</v>
      </c>
      <c r="AH13" s="133">
        <f t="shared" si="2"/>
        <v>1</v>
      </c>
      <c r="AI13" s="134">
        <f t="shared" ref="AI13:AI22" si="15">IF(W13&gt;1,MAX(W13-SUM(AH13,AJ13:AO13),0),0)</f>
        <v>0</v>
      </c>
      <c r="AJ13" s="134">
        <f t="shared" si="3"/>
        <v>5.9337145002403684</v>
      </c>
      <c r="AK13" s="134">
        <f t="shared" si="4"/>
        <v>0.61438746261245392</v>
      </c>
      <c r="AL13" s="134">
        <f t="shared" ref="AL13:AL22" si="16">IF(W13&gt;1,MAX(MIN(Z13-AA13,W13-AH13-AJ13-AK13),0),0)</f>
        <v>0</v>
      </c>
      <c r="AM13" s="134">
        <f t="shared" ref="AM13:AM22" si="17">IF(I13&lt;&gt;0,IF(W13&gt;1,MAX(MIN(AA13-AB13,W13-AH13-AJ13-AK13-AL13),0),0),0)</f>
        <v>0</v>
      </c>
      <c r="AN13" s="135">
        <f t="shared" si="5"/>
        <v>0</v>
      </c>
      <c r="AO13" s="134">
        <f t="shared" ref="AO13:AO22" si="18">IF(W13&gt;1,MAX(0,MIN(W13-AH13-AJ13-AK13-AL13-AM13,W13-AH13-AJ13-AK13-AL13-AM13-X13+1)),0)</f>
        <v>0</v>
      </c>
      <c r="AP13" s="134">
        <f t="shared" si="6"/>
        <v>0</v>
      </c>
      <c r="AQ13" s="136" t="s">
        <v>113</v>
      </c>
      <c r="AR13" s="137">
        <f t="shared" si="7"/>
        <v>0</v>
      </c>
      <c r="AS13" s="137">
        <f t="shared" si="7"/>
        <v>90.617319856992836</v>
      </c>
      <c r="AT13" s="137">
        <f t="shared" si="7"/>
        <v>9.3826801430071622</v>
      </c>
      <c r="AU13" s="137">
        <f t="shared" si="7"/>
        <v>0</v>
      </c>
      <c r="AV13" s="137">
        <f t="shared" si="7"/>
        <v>0</v>
      </c>
      <c r="AW13" s="138">
        <f t="shared" si="7"/>
        <v>0</v>
      </c>
      <c r="AX13" s="137">
        <f t="shared" si="7"/>
        <v>0</v>
      </c>
      <c r="AY13" s="137">
        <f t="shared" si="7"/>
        <v>0</v>
      </c>
      <c r="AZ13" s="139" t="s">
        <v>113</v>
      </c>
      <c r="BA13" s="139" t="s">
        <v>113</v>
      </c>
      <c r="BB13" s="139" t="s">
        <v>113</v>
      </c>
      <c r="BC13" s="139" t="s">
        <v>113</v>
      </c>
      <c r="BD13" s="139" t="s">
        <v>113</v>
      </c>
      <c r="BE13" s="139" t="s">
        <v>113</v>
      </c>
      <c r="BF13" s="139" t="s">
        <v>113</v>
      </c>
      <c r="BG13" s="139" t="s">
        <v>113</v>
      </c>
      <c r="BH13" s="140">
        <v>657816884.98679984</v>
      </c>
      <c r="BI13" s="140">
        <v>269134190.03639996</v>
      </c>
      <c r="BJ13" s="140">
        <v>17326688.832000002</v>
      </c>
      <c r="BK13" s="140">
        <v>7515844.3103999952</v>
      </c>
      <c r="BL13" s="141">
        <f t="shared" ref="BL13:BL22" si="19">BH13/SUM($BH13:$BK13)</f>
        <v>0.69113395944590983</v>
      </c>
      <c r="BM13" s="141">
        <f t="shared" ref="BM13:BM22" si="20">BI13/SUM($BH13:$BK13)</f>
        <v>0.2827652841198468</v>
      </c>
      <c r="BN13" s="141">
        <f t="shared" ref="BN13:BO22" si="21">BJ13/SUM($BH13:$BK13)</f>
        <v>1.8204250042605227E-2</v>
      </c>
      <c r="BO13" s="141">
        <f t="shared" si="21"/>
        <v>7.89650639163815E-3</v>
      </c>
      <c r="BP13" s="139" t="s">
        <v>113</v>
      </c>
      <c r="BQ13" s="139" t="s">
        <v>113</v>
      </c>
      <c r="BR13" s="139" t="s">
        <v>113</v>
      </c>
      <c r="BS13" s="131">
        <f t="shared" ref="BS13:BS21" si="22">P13/P$22*100</f>
        <v>3.9250643033659047</v>
      </c>
      <c r="BT13" s="139"/>
      <c r="BU13" s="139"/>
      <c r="BV13" s="139"/>
      <c r="BW13" s="139"/>
      <c r="BX13" s="139"/>
      <c r="BY13" s="139"/>
      <c r="BZ13" s="139"/>
      <c r="CA13" s="139"/>
      <c r="CB13" s="139"/>
      <c r="CC13" s="142" t="s">
        <v>113</v>
      </c>
      <c r="CD13" s="142" t="s">
        <v>113</v>
      </c>
      <c r="CE13" s="142" t="s">
        <v>113</v>
      </c>
      <c r="CF13" s="142" t="s">
        <v>113</v>
      </c>
      <c r="CG13" s="142" t="s">
        <v>113</v>
      </c>
      <c r="CH13" s="142" t="s">
        <v>113</v>
      </c>
      <c r="CI13" s="142" t="s">
        <v>113</v>
      </c>
      <c r="CJ13" s="142"/>
      <c r="CK13" s="139" t="s">
        <v>113</v>
      </c>
      <c r="CL13" s="139" t="s">
        <v>113</v>
      </c>
      <c r="CM13" s="139" t="s">
        <v>113</v>
      </c>
      <c r="CN13" s="139" t="s">
        <v>113</v>
      </c>
      <c r="CO13" s="139" t="s">
        <v>113</v>
      </c>
      <c r="CP13" s="139" t="s">
        <v>113</v>
      </c>
      <c r="CQ13" s="139" t="s">
        <v>113</v>
      </c>
      <c r="CR13" s="139"/>
      <c r="CS13" s="143" t="s">
        <v>113</v>
      </c>
      <c r="CT13" s="143" t="s">
        <v>113</v>
      </c>
      <c r="CU13" s="143" t="s">
        <v>113</v>
      </c>
      <c r="CV13" s="143" t="s">
        <v>113</v>
      </c>
      <c r="CW13" s="143" t="s">
        <v>113</v>
      </c>
      <c r="CX13" s="143" t="s">
        <v>113</v>
      </c>
      <c r="CY13" s="143" t="s">
        <v>113</v>
      </c>
      <c r="CZ13" s="143"/>
      <c r="DA13" s="139" t="s">
        <v>113</v>
      </c>
      <c r="DB13" s="139" t="s">
        <v>113</v>
      </c>
      <c r="DC13" s="139" t="s">
        <v>113</v>
      </c>
      <c r="DD13" s="144">
        <f t="shared" ref="DD13:DD22" si="23">(1-DE13)*100</f>
        <v>4.0351713167629537</v>
      </c>
      <c r="DE13" s="145">
        <v>0.95964828683237047</v>
      </c>
      <c r="DF13" s="1"/>
      <c r="DG13" s="1"/>
      <c r="DH13" s="1"/>
      <c r="DI13" s="1"/>
      <c r="DJ13" s="1"/>
      <c r="DK13" s="1"/>
      <c r="DL13" s="1"/>
      <c r="DM13" s="1"/>
      <c r="DN13" s="1"/>
      <c r="DO13" s="1"/>
      <c r="DP13" s="1"/>
      <c r="DQ13" s="1"/>
      <c r="DR13" s="1"/>
      <c r="DS13" s="1"/>
      <c r="DT13" s="1"/>
      <c r="DU13" s="1"/>
      <c r="DV13" s="1"/>
      <c r="DW13" s="1"/>
      <c r="DX13" s="1"/>
      <c r="DY13" s="1"/>
      <c r="DZ13" s="1"/>
      <c r="EA13" s="146">
        <v>-7239657.5748000033</v>
      </c>
      <c r="EB13" s="146">
        <v>-5446920.077999997</v>
      </c>
      <c r="EC13" s="146">
        <v>-7295014.7844000058</v>
      </c>
      <c r="ED13" s="147"/>
      <c r="EE13" s="147"/>
      <c r="EF13" s="147"/>
      <c r="EG13" s="129"/>
      <c r="EH13" s="122"/>
      <c r="EI13" s="130" t="s">
        <v>113</v>
      </c>
      <c r="EJ13" s="130" t="s">
        <v>113</v>
      </c>
      <c r="EK13" s="130" t="s">
        <v>113</v>
      </c>
      <c r="EL13" s="130" t="s">
        <v>113</v>
      </c>
      <c r="EM13" s="131">
        <f t="shared" si="9"/>
        <v>-0.14037979661489949</v>
      </c>
      <c r="EN13" s="146">
        <v>1135429006.4808006</v>
      </c>
      <c r="EO13" s="146">
        <v>1146783466.5648003</v>
      </c>
      <c r="EP13" s="131">
        <f t="shared" si="10"/>
        <v>1.0000149740045927</v>
      </c>
      <c r="EQ13" s="130" t="s">
        <v>113</v>
      </c>
      <c r="ER13" s="130" t="s">
        <v>113</v>
      </c>
      <c r="ES13" s="130" t="s">
        <v>113</v>
      </c>
      <c r="ET13" s="130" t="s">
        <v>113</v>
      </c>
      <c r="EU13" s="131">
        <f t="shared" ref="EU13:EU21" si="24">EN13/EN$22*100</f>
        <v>3.9627822030348367</v>
      </c>
      <c r="EV13" s="132">
        <f t="shared" ref="EV13:EV22" si="25">((EB13-$EA13)/ABS($EA13)) / ($EO13/$EN13-1)</f>
        <v>24.762368029429663</v>
      </c>
      <c r="EW13" s="132">
        <f t="shared" ref="EW13:EW22" si="26">IF(EC13&lt;&gt;0,((EC13-$EA13)/ABS($EA13)) / ($EO13/$EN13-1),0)</f>
        <v>-0.76462705758335525</v>
      </c>
      <c r="EX13" s="132"/>
      <c r="EY13" s="148">
        <f t="shared" si="11"/>
        <v>17.21426606657684</v>
      </c>
      <c r="EZ13" s="144">
        <f t="shared" ref="EZ13:EZ22" si="27">(1-FA13)*100</f>
        <v>3.0797254151359033</v>
      </c>
      <c r="FA13" s="145">
        <v>0.96920274584864097</v>
      </c>
      <c r="FB13" s="130" t="s">
        <v>113</v>
      </c>
      <c r="FC13" s="130" t="s">
        <v>113</v>
      </c>
      <c r="FD13" s="130" t="s">
        <v>113</v>
      </c>
      <c r="FE13" s="130" t="s">
        <v>113</v>
      </c>
      <c r="FF13" s="130" t="s">
        <v>113</v>
      </c>
      <c r="FG13" s="130" t="s">
        <v>113</v>
      </c>
      <c r="FH13" s="130" t="s">
        <v>113</v>
      </c>
      <c r="FI13" s="130" t="s">
        <v>113</v>
      </c>
      <c r="FJ13" s="1"/>
      <c r="FK13" s="1"/>
      <c r="FL13" s="1"/>
      <c r="FM13" s="1"/>
      <c r="FN13" s="1"/>
      <c r="FO13" s="1"/>
      <c r="FP13" s="1"/>
      <c r="FQ13" s="1"/>
    </row>
    <row r="14" spans="1:173" x14ac:dyDescent="0.3">
      <c r="A14" s="1"/>
      <c r="B14" s="28">
        <v>3</v>
      </c>
      <c r="C14" s="129">
        <v>56253785.41080004</v>
      </c>
      <c r="D14" s="129">
        <v>58896361.308000013</v>
      </c>
      <c r="E14" s="129">
        <v>56740619.090399995</v>
      </c>
      <c r="F14" s="129">
        <v>57403299.43560002</v>
      </c>
      <c r="G14" s="129">
        <v>57130541.31479995</v>
      </c>
      <c r="H14" s="129">
        <v>56892380.128799982</v>
      </c>
      <c r="I14" s="129">
        <v>56836504.46039997</v>
      </c>
      <c r="J14" s="122"/>
      <c r="K14" s="130" t="s">
        <v>113</v>
      </c>
      <c r="L14" s="130" t="s">
        <v>113</v>
      </c>
      <c r="M14" s="130" t="s">
        <v>113</v>
      </c>
      <c r="N14" s="130" t="s">
        <v>113</v>
      </c>
      <c r="O14" s="131">
        <f t="shared" si="12"/>
        <v>1.2763593231982353</v>
      </c>
      <c r="P14" s="129">
        <v>1254712748.598001</v>
      </c>
      <c r="Q14" s="129">
        <v>1267259862.1320009</v>
      </c>
      <c r="R14" s="131">
        <f t="shared" si="0"/>
        <v>0.99999888803392611</v>
      </c>
      <c r="S14" s="130" t="s">
        <v>113</v>
      </c>
      <c r="T14" s="130" t="s">
        <v>113</v>
      </c>
      <c r="U14" s="130" t="s">
        <v>113</v>
      </c>
      <c r="V14" s="130" t="s">
        <v>113</v>
      </c>
      <c r="W14" s="132">
        <f t="shared" si="13"/>
        <v>4.6976017993460104</v>
      </c>
      <c r="X14" s="132">
        <f t="shared" si="13"/>
        <v>0.86542481965956142</v>
      </c>
      <c r="Y14" s="132">
        <f t="shared" si="1"/>
        <v>2.0434452448444578</v>
      </c>
      <c r="Z14" s="132">
        <f t="shared" si="1"/>
        <v>1.5585740097687497</v>
      </c>
      <c r="AA14" s="132">
        <f t="shared" si="1"/>
        <v>1.1352043661292723</v>
      </c>
      <c r="AB14" s="132">
        <f t="shared" si="14"/>
        <v>1.035876418465147</v>
      </c>
      <c r="AC14" s="132">
        <f t="shared" si="14"/>
        <v>1.035876418465147</v>
      </c>
      <c r="AD14" s="130" t="s">
        <v>113</v>
      </c>
      <c r="AE14" s="130" t="s">
        <v>113</v>
      </c>
      <c r="AF14" s="130" t="s">
        <v>113</v>
      </c>
      <c r="AG14" s="130" t="s">
        <v>113</v>
      </c>
      <c r="AH14" s="133">
        <f t="shared" si="2"/>
        <v>1</v>
      </c>
      <c r="AI14" s="134">
        <f t="shared" si="15"/>
        <v>0</v>
      </c>
      <c r="AJ14" s="134">
        <f t="shared" si="3"/>
        <v>2.6541565545015526</v>
      </c>
      <c r="AK14" s="134">
        <f t="shared" si="4"/>
        <v>0.48487123507570806</v>
      </c>
      <c r="AL14" s="134">
        <f t="shared" si="16"/>
        <v>0.42336964363947738</v>
      </c>
      <c r="AM14" s="134">
        <f t="shared" si="17"/>
        <v>9.9327947664125338E-2</v>
      </c>
      <c r="AN14" s="135">
        <f>IF(J14&lt;&gt;0,IF(W14&gt;1,MAX(MIN(AB14-AC14,W14-AH14-AJ14-AK14-AL14-AM14),0),0),0)</f>
        <v>0</v>
      </c>
      <c r="AO14" s="134">
        <f t="shared" si="18"/>
        <v>3.5876418465146998E-2</v>
      </c>
      <c r="AP14" s="134">
        <f t="shared" si="6"/>
        <v>3.5876418465146998E-2</v>
      </c>
      <c r="AQ14" s="136" t="s">
        <v>113</v>
      </c>
      <c r="AR14" s="137">
        <f t="shared" si="7"/>
        <v>0</v>
      </c>
      <c r="AS14" s="137">
        <f t="shared" si="7"/>
        <v>71.780486340389317</v>
      </c>
      <c r="AT14" s="137">
        <f t="shared" si="7"/>
        <v>13.113127410351936</v>
      </c>
      <c r="AU14" s="137">
        <f t="shared" si="7"/>
        <v>11.449844158837173</v>
      </c>
      <c r="AV14" s="137">
        <f t="shared" si="7"/>
        <v>2.6862802717613707</v>
      </c>
      <c r="AW14" s="138">
        <f t="shared" si="7"/>
        <v>0</v>
      </c>
      <c r="AX14" s="137">
        <f t="shared" si="7"/>
        <v>0.97026181866020322</v>
      </c>
      <c r="AY14" s="137">
        <f t="shared" si="7"/>
        <v>0.97026181866020322</v>
      </c>
      <c r="AZ14" s="139" t="s">
        <v>113</v>
      </c>
      <c r="BA14" s="139" t="s">
        <v>113</v>
      </c>
      <c r="BB14" s="139" t="s">
        <v>113</v>
      </c>
      <c r="BC14" s="139" t="s">
        <v>113</v>
      </c>
      <c r="BD14" s="139" t="s">
        <v>113</v>
      </c>
      <c r="BE14" s="139" t="s">
        <v>113</v>
      </c>
      <c r="BF14" s="139" t="s">
        <v>113</v>
      </c>
      <c r="BG14" s="139" t="s">
        <v>113</v>
      </c>
      <c r="BH14" s="140">
        <v>857587335.85079932</v>
      </c>
      <c r="BI14" s="140">
        <v>371417999.53199983</v>
      </c>
      <c r="BJ14" s="140">
        <v>16511479.759200001</v>
      </c>
      <c r="BK14" s="140">
        <v>9195839.8967999965</v>
      </c>
      <c r="BL14" s="141">
        <f t="shared" si="19"/>
        <v>0.68349301523883987</v>
      </c>
      <c r="BM14" s="141">
        <f t="shared" si="20"/>
        <v>0.2960183736415048</v>
      </c>
      <c r="BN14" s="141">
        <f t="shared" si="21"/>
        <v>1.3159570594025307E-2</v>
      </c>
      <c r="BO14" s="141">
        <f t="shared" si="21"/>
        <v>7.3290405256298584E-3</v>
      </c>
      <c r="BP14" s="139" t="s">
        <v>113</v>
      </c>
      <c r="BQ14" s="139" t="s">
        <v>113</v>
      </c>
      <c r="BR14" s="139" t="s">
        <v>113</v>
      </c>
      <c r="BS14" s="131">
        <f t="shared" si="22"/>
        <v>5.1742601963676806</v>
      </c>
      <c r="BT14" s="139"/>
      <c r="BU14" s="139"/>
      <c r="BV14" s="139"/>
      <c r="BW14" s="139"/>
      <c r="BX14" s="139"/>
      <c r="BY14" s="139"/>
      <c r="BZ14" s="139"/>
      <c r="CA14" s="139"/>
      <c r="CB14" s="139"/>
      <c r="CC14" s="142" t="s">
        <v>113</v>
      </c>
      <c r="CD14" s="142" t="s">
        <v>113</v>
      </c>
      <c r="CE14" s="142" t="s">
        <v>113</v>
      </c>
      <c r="CF14" s="142" t="s">
        <v>113</v>
      </c>
      <c r="CG14" s="142" t="s">
        <v>113</v>
      </c>
      <c r="CH14" s="142" t="s">
        <v>113</v>
      </c>
      <c r="CI14" s="142" t="s">
        <v>113</v>
      </c>
      <c r="CJ14" s="142"/>
      <c r="CK14" s="139" t="s">
        <v>113</v>
      </c>
      <c r="CL14" s="139" t="s">
        <v>113</v>
      </c>
      <c r="CM14" s="139" t="s">
        <v>113</v>
      </c>
      <c r="CN14" s="139" t="s">
        <v>113</v>
      </c>
      <c r="CO14" s="139" t="s">
        <v>113</v>
      </c>
      <c r="CP14" s="139" t="s">
        <v>113</v>
      </c>
      <c r="CQ14" s="139" t="s">
        <v>113</v>
      </c>
      <c r="CR14" s="139"/>
      <c r="CS14" s="143" t="s">
        <v>113</v>
      </c>
      <c r="CT14" s="143" t="s">
        <v>113</v>
      </c>
      <c r="CU14" s="143" t="s">
        <v>113</v>
      </c>
      <c r="CV14" s="143" t="s">
        <v>113</v>
      </c>
      <c r="CW14" s="143" t="s">
        <v>113</v>
      </c>
      <c r="CX14" s="143" t="s">
        <v>113</v>
      </c>
      <c r="CY14" s="143" t="s">
        <v>113</v>
      </c>
      <c r="CZ14" s="143"/>
      <c r="DA14" s="139" t="s">
        <v>113</v>
      </c>
      <c r="DB14" s="139" t="s">
        <v>113</v>
      </c>
      <c r="DC14" s="139" t="s">
        <v>113</v>
      </c>
      <c r="DD14" s="144">
        <f t="shared" si="23"/>
        <v>0</v>
      </c>
      <c r="DE14" s="145">
        <v>1</v>
      </c>
      <c r="DF14" s="1"/>
      <c r="DG14" s="1"/>
      <c r="DH14" s="1"/>
      <c r="DI14" s="1"/>
      <c r="DJ14" s="1"/>
      <c r="DK14" s="1"/>
      <c r="DL14" s="1"/>
      <c r="DM14" s="1"/>
      <c r="DN14" s="1"/>
      <c r="DO14" s="1"/>
      <c r="DP14" s="1"/>
      <c r="DQ14" s="1"/>
      <c r="DR14" s="1"/>
      <c r="DS14" s="1"/>
      <c r="DT14" s="1"/>
      <c r="DU14" s="1"/>
      <c r="DV14" s="1"/>
      <c r="DW14" s="1"/>
      <c r="DX14" s="1"/>
      <c r="DY14" s="1"/>
      <c r="DZ14" s="1"/>
      <c r="EA14" s="146">
        <v>45040373.337599978</v>
      </c>
      <c r="EB14" s="146">
        <v>48780181.287599981</v>
      </c>
      <c r="EC14" s="146">
        <v>45681173.683200009</v>
      </c>
      <c r="ED14" s="147"/>
      <c r="EE14" s="147"/>
      <c r="EF14" s="147"/>
      <c r="EG14" s="129"/>
      <c r="EH14" s="122"/>
      <c r="EI14" s="130" t="s">
        <v>113</v>
      </c>
      <c r="EJ14" s="130" t="s">
        <v>113</v>
      </c>
      <c r="EK14" s="130" t="s">
        <v>113</v>
      </c>
      <c r="EL14" s="130" t="s">
        <v>113</v>
      </c>
      <c r="EM14" s="131">
        <f t="shared" si="9"/>
        <v>0.87335048422730044</v>
      </c>
      <c r="EN14" s="146">
        <v>1518918518.6520004</v>
      </c>
      <c r="EO14" s="146">
        <v>1534107743.177999</v>
      </c>
      <c r="EP14" s="131">
        <f t="shared" si="10"/>
        <v>1.0000025899663534</v>
      </c>
      <c r="EQ14" s="130" t="s">
        <v>113</v>
      </c>
      <c r="ER14" s="130" t="s">
        <v>113</v>
      </c>
      <c r="ES14" s="130" t="s">
        <v>113</v>
      </c>
      <c r="ET14" s="130" t="s">
        <v>113</v>
      </c>
      <c r="EU14" s="131">
        <f t="shared" si="24"/>
        <v>5.3012061865762847</v>
      </c>
      <c r="EV14" s="132">
        <f t="shared" si="25"/>
        <v>8.3032132882573695</v>
      </c>
      <c r="EW14" s="132">
        <f t="shared" si="26"/>
        <v>1.4227206358834792</v>
      </c>
      <c r="EX14" s="132"/>
      <c r="EY14" s="148">
        <f t="shared" si="11"/>
        <v>3.6056114889113591</v>
      </c>
      <c r="EZ14" s="144">
        <f t="shared" si="27"/>
        <v>0</v>
      </c>
      <c r="FA14" s="145">
        <v>1</v>
      </c>
      <c r="FB14" s="130" t="s">
        <v>113</v>
      </c>
      <c r="FC14" s="130" t="s">
        <v>113</v>
      </c>
      <c r="FD14" s="130" t="s">
        <v>113</v>
      </c>
      <c r="FE14" s="130" t="s">
        <v>113</v>
      </c>
      <c r="FF14" s="130" t="s">
        <v>113</v>
      </c>
      <c r="FG14" s="130" t="s">
        <v>113</v>
      </c>
      <c r="FH14" s="130" t="s">
        <v>113</v>
      </c>
      <c r="FI14" s="130" t="s">
        <v>113</v>
      </c>
      <c r="FJ14" s="1"/>
      <c r="FK14" s="1"/>
      <c r="FL14" s="1"/>
      <c r="FM14" s="1"/>
      <c r="FN14" s="1"/>
      <c r="FO14" s="1"/>
      <c r="FP14" s="1"/>
      <c r="FQ14" s="1"/>
    </row>
    <row r="15" spans="1:173" x14ac:dyDescent="0.3">
      <c r="A15" s="1"/>
      <c r="B15" s="28">
        <v>4</v>
      </c>
      <c r="C15" s="129">
        <v>111662522.646</v>
      </c>
      <c r="D15" s="129">
        <v>115581410.48880006</v>
      </c>
      <c r="E15" s="129">
        <v>112802881.94759992</v>
      </c>
      <c r="F15" s="129">
        <v>113388135.9228</v>
      </c>
      <c r="G15" s="129">
        <v>113083993.9763999</v>
      </c>
      <c r="H15" s="129">
        <v>112993993.18680003</v>
      </c>
      <c r="I15" s="129">
        <v>112928587.44239998</v>
      </c>
      <c r="J15" s="122"/>
      <c r="K15" s="130" t="s">
        <v>113</v>
      </c>
      <c r="L15" s="130" t="s">
        <v>113</v>
      </c>
      <c r="M15" s="130" t="s">
        <v>113</v>
      </c>
      <c r="N15" s="130" t="s">
        <v>113</v>
      </c>
      <c r="O15" s="131">
        <f t="shared" si="12"/>
        <v>2.533545090170835</v>
      </c>
      <c r="P15" s="129">
        <v>1530383855.5776</v>
      </c>
      <c r="Q15" s="129">
        <v>1545687730.8804011</v>
      </c>
      <c r="R15" s="131">
        <f t="shared" si="0"/>
        <v>1.0000024011639352</v>
      </c>
      <c r="S15" s="130" t="s">
        <v>113</v>
      </c>
      <c r="T15" s="130" t="s">
        <v>113</v>
      </c>
      <c r="U15" s="130" t="s">
        <v>113</v>
      </c>
      <c r="V15" s="130" t="s">
        <v>113</v>
      </c>
      <c r="W15" s="132">
        <f t="shared" si="13"/>
        <v>3.5095736152714343</v>
      </c>
      <c r="X15" s="132">
        <f t="shared" si="13"/>
        <v>1.0212527322458056</v>
      </c>
      <c r="Y15" s="132">
        <f t="shared" si="1"/>
        <v>1.5453789619281939</v>
      </c>
      <c r="Z15" s="132">
        <f t="shared" si="1"/>
        <v>1.2730035857499256</v>
      </c>
      <c r="AA15" s="132">
        <f t="shared" si="1"/>
        <v>1.1924030661117833</v>
      </c>
      <c r="AB15" s="132">
        <f t="shared" si="14"/>
        <v>1.1338287246043197</v>
      </c>
      <c r="AC15" s="132">
        <f t="shared" si="14"/>
        <v>1.1338287246043197</v>
      </c>
      <c r="AD15" s="130" t="s">
        <v>113</v>
      </c>
      <c r="AE15" s="130" t="s">
        <v>113</v>
      </c>
      <c r="AF15" s="130" t="s">
        <v>113</v>
      </c>
      <c r="AG15" s="130" t="s">
        <v>113</v>
      </c>
      <c r="AH15" s="133">
        <f t="shared" si="2"/>
        <v>1</v>
      </c>
      <c r="AI15" s="134">
        <f t="shared" si="15"/>
        <v>2.1252732245805817E-2</v>
      </c>
      <c r="AJ15" s="134">
        <f t="shared" si="3"/>
        <v>1.9641946533432404</v>
      </c>
      <c r="AK15" s="134">
        <f t="shared" si="4"/>
        <v>0.27237537617826835</v>
      </c>
      <c r="AL15" s="134">
        <f t="shared" si="16"/>
        <v>8.0600519638142298E-2</v>
      </c>
      <c r="AM15" s="134">
        <f t="shared" si="17"/>
        <v>5.8574341507463545E-2</v>
      </c>
      <c r="AN15" s="135">
        <f t="shared" ref="AN15:AN22" si="28">IF(J15&lt;&gt;0,IF(W15&gt;1,MAX(MIN(AB15-AC15,W15-AH15-AJ15-AK15-AL15-AM15),0),0),0)</f>
        <v>0</v>
      </c>
      <c r="AO15" s="134">
        <f t="shared" si="18"/>
        <v>0.11257599235851412</v>
      </c>
      <c r="AP15" s="134">
        <f t="shared" si="6"/>
        <v>0.13382872460431994</v>
      </c>
      <c r="AQ15" s="136" t="s">
        <v>113</v>
      </c>
      <c r="AR15" s="137">
        <f t="shared" si="7"/>
        <v>0.84686626112408858</v>
      </c>
      <c r="AS15" s="137">
        <f t="shared" si="7"/>
        <v>78.26806280519466</v>
      </c>
      <c r="AT15" s="137">
        <f t="shared" si="7"/>
        <v>10.853452336316835</v>
      </c>
      <c r="AU15" s="137">
        <f t="shared" si="7"/>
        <v>3.2117216704728779</v>
      </c>
      <c r="AV15" s="137">
        <f t="shared" si="7"/>
        <v>2.3340355967652369</v>
      </c>
      <c r="AW15" s="138">
        <f t="shared" si="7"/>
        <v>0</v>
      </c>
      <c r="AX15" s="137">
        <f t="shared" si="7"/>
        <v>4.4858613301263111</v>
      </c>
      <c r="AY15" s="137">
        <f t="shared" si="7"/>
        <v>5.3327275912504</v>
      </c>
      <c r="AZ15" s="139" t="s">
        <v>113</v>
      </c>
      <c r="BA15" s="139" t="s">
        <v>113</v>
      </c>
      <c r="BB15" s="139" t="s">
        <v>113</v>
      </c>
      <c r="BC15" s="139" t="s">
        <v>113</v>
      </c>
      <c r="BD15" s="139" t="s">
        <v>113</v>
      </c>
      <c r="BE15" s="139" t="s">
        <v>113</v>
      </c>
      <c r="BF15" s="139" t="s">
        <v>113</v>
      </c>
      <c r="BG15" s="139" t="s">
        <v>113</v>
      </c>
      <c r="BH15" s="140">
        <v>1039765501.8324006</v>
      </c>
      <c r="BI15" s="140">
        <v>433698559.00080001</v>
      </c>
      <c r="BJ15" s="140">
        <v>38070321.391199991</v>
      </c>
      <c r="BK15" s="140">
        <v>18849282.508799993</v>
      </c>
      <c r="BL15" s="141">
        <f t="shared" si="19"/>
        <v>0.67941492437039841</v>
      </c>
      <c r="BM15" s="141">
        <f t="shared" si="20"/>
        <v>0.28339204671033186</v>
      </c>
      <c r="BN15" s="141">
        <f t="shared" si="21"/>
        <v>2.487632498209982E-2</v>
      </c>
      <c r="BO15" s="141">
        <f t="shared" si="21"/>
        <v>1.2316703937169953E-2</v>
      </c>
      <c r="BP15" s="139" t="s">
        <v>113</v>
      </c>
      <c r="BQ15" s="139" t="s">
        <v>113</v>
      </c>
      <c r="BR15" s="139" t="s">
        <v>113</v>
      </c>
      <c r="BS15" s="131">
        <f t="shared" si="22"/>
        <v>6.3110893532619494</v>
      </c>
      <c r="BT15" s="139"/>
      <c r="BU15" s="139"/>
      <c r="BV15" s="139"/>
      <c r="BW15" s="139"/>
      <c r="BX15" s="139"/>
      <c r="BY15" s="139"/>
      <c r="BZ15" s="139"/>
      <c r="CA15" s="139"/>
      <c r="CB15" s="139"/>
      <c r="CC15" s="142" t="s">
        <v>113</v>
      </c>
      <c r="CD15" s="142" t="s">
        <v>113</v>
      </c>
      <c r="CE15" s="142" t="s">
        <v>113</v>
      </c>
      <c r="CF15" s="142" t="s">
        <v>113</v>
      </c>
      <c r="CG15" s="142" t="s">
        <v>113</v>
      </c>
      <c r="CH15" s="142" t="s">
        <v>113</v>
      </c>
      <c r="CI15" s="142" t="s">
        <v>113</v>
      </c>
      <c r="CJ15" s="142"/>
      <c r="CK15" s="139" t="s">
        <v>113</v>
      </c>
      <c r="CL15" s="139" t="s">
        <v>113</v>
      </c>
      <c r="CM15" s="139" t="s">
        <v>113</v>
      </c>
      <c r="CN15" s="139" t="s">
        <v>113</v>
      </c>
      <c r="CO15" s="139" t="s">
        <v>113</v>
      </c>
      <c r="CP15" s="139" t="s">
        <v>113</v>
      </c>
      <c r="CQ15" s="139" t="s">
        <v>113</v>
      </c>
      <c r="CR15" s="139"/>
      <c r="CS15" s="143" t="s">
        <v>113</v>
      </c>
      <c r="CT15" s="143" t="s">
        <v>113</v>
      </c>
      <c r="CU15" s="143" t="s">
        <v>113</v>
      </c>
      <c r="CV15" s="143" t="s">
        <v>113</v>
      </c>
      <c r="CW15" s="143" t="s">
        <v>113</v>
      </c>
      <c r="CX15" s="143" t="s">
        <v>113</v>
      </c>
      <c r="CY15" s="143" t="s">
        <v>113</v>
      </c>
      <c r="CZ15" s="143"/>
      <c r="DA15" s="139" t="s">
        <v>113</v>
      </c>
      <c r="DB15" s="139" t="s">
        <v>113</v>
      </c>
      <c r="DC15" s="139" t="s">
        <v>113</v>
      </c>
      <c r="DD15" s="144">
        <f t="shared" si="23"/>
        <v>0</v>
      </c>
      <c r="DE15" s="145">
        <v>1</v>
      </c>
      <c r="DF15" s="1"/>
      <c r="DG15" s="1"/>
      <c r="DH15" s="1"/>
      <c r="DI15" s="1"/>
      <c r="DJ15" s="1"/>
      <c r="DK15" s="1"/>
      <c r="DL15" s="1"/>
      <c r="DM15" s="1"/>
      <c r="DN15" s="1"/>
      <c r="DO15" s="1"/>
      <c r="DP15" s="1"/>
      <c r="DQ15" s="1"/>
      <c r="DR15" s="1"/>
      <c r="DS15" s="1"/>
      <c r="DT15" s="1"/>
      <c r="DU15" s="1"/>
      <c r="DV15" s="1"/>
      <c r="DW15" s="1"/>
      <c r="DX15" s="1"/>
      <c r="DY15" s="1"/>
      <c r="DZ15" s="1"/>
      <c r="EA15" s="146">
        <v>106133278.14960009</v>
      </c>
      <c r="EB15" s="146">
        <v>112938960.87839998</v>
      </c>
      <c r="EC15" s="146">
        <v>107436786.15360001</v>
      </c>
      <c r="ED15" s="147"/>
      <c r="EE15" s="147"/>
      <c r="EF15" s="147"/>
      <c r="EG15" s="129"/>
      <c r="EH15" s="122"/>
      <c r="EI15" s="130" t="s">
        <v>113</v>
      </c>
      <c r="EJ15" s="130" t="s">
        <v>113</v>
      </c>
      <c r="EK15" s="130" t="s">
        <v>113</v>
      </c>
      <c r="EL15" s="130" t="s">
        <v>113</v>
      </c>
      <c r="EM15" s="131">
        <f t="shared" si="9"/>
        <v>2.0579658425522984</v>
      </c>
      <c r="EN15" s="146">
        <v>1781894145.0623999</v>
      </c>
      <c r="EO15" s="146">
        <v>1799713194.8928015</v>
      </c>
      <c r="EP15" s="131">
        <f t="shared" si="10"/>
        <v>1.0000060822792367</v>
      </c>
      <c r="EQ15" s="130" t="s">
        <v>113</v>
      </c>
      <c r="ER15" s="130" t="s">
        <v>113</v>
      </c>
      <c r="ES15" s="130" t="s">
        <v>113</v>
      </c>
      <c r="ET15" s="130" t="s">
        <v>113</v>
      </c>
      <c r="EU15" s="131">
        <f t="shared" si="24"/>
        <v>6.2190223831177551</v>
      </c>
      <c r="EV15" s="132">
        <f t="shared" si="25"/>
        <v>6.4123538381581158</v>
      </c>
      <c r="EW15" s="132">
        <f t="shared" si="26"/>
        <v>1.2281728205088749</v>
      </c>
      <c r="EX15" s="132"/>
      <c r="EY15" s="148">
        <f t="shared" si="11"/>
        <v>2.9027802228866815</v>
      </c>
      <c r="EZ15" s="144">
        <f t="shared" si="27"/>
        <v>0</v>
      </c>
      <c r="FA15" s="145">
        <v>1</v>
      </c>
      <c r="FB15" s="130" t="s">
        <v>113</v>
      </c>
      <c r="FC15" s="130" t="s">
        <v>113</v>
      </c>
      <c r="FD15" s="130" t="s">
        <v>113</v>
      </c>
      <c r="FE15" s="130" t="s">
        <v>113</v>
      </c>
      <c r="FF15" s="130" t="s">
        <v>113</v>
      </c>
      <c r="FG15" s="130" t="s">
        <v>113</v>
      </c>
      <c r="FH15" s="130" t="s">
        <v>113</v>
      </c>
      <c r="FI15" s="130" t="s">
        <v>113</v>
      </c>
      <c r="FJ15" s="1"/>
      <c r="FK15" s="1"/>
      <c r="FL15" s="1"/>
      <c r="FM15" s="1"/>
      <c r="FN15" s="1"/>
      <c r="FO15" s="1"/>
      <c r="FP15" s="1"/>
      <c r="FQ15" s="1"/>
    </row>
    <row r="16" spans="1:173" x14ac:dyDescent="0.3">
      <c r="A16" s="1"/>
      <c r="B16" s="28">
        <v>5</v>
      </c>
      <c r="C16" s="129">
        <v>180422120.1839999</v>
      </c>
      <c r="D16" s="129">
        <v>185606783.2332001</v>
      </c>
      <c r="E16" s="129">
        <v>182250862.57919982</v>
      </c>
      <c r="F16" s="129">
        <v>182700947.93880016</v>
      </c>
      <c r="G16" s="129">
        <v>182353503.56760001</v>
      </c>
      <c r="H16" s="129">
        <v>182457139.28760004</v>
      </c>
      <c r="I16" s="129">
        <v>182392762.78919992</v>
      </c>
      <c r="J16" s="122"/>
      <c r="K16" s="130" t="s">
        <v>113</v>
      </c>
      <c r="L16" s="130" t="s">
        <v>113</v>
      </c>
      <c r="M16" s="130" t="s">
        <v>113</v>
      </c>
      <c r="N16" s="130" t="s">
        <v>113</v>
      </c>
      <c r="O16" s="131">
        <f t="shared" si="12"/>
        <v>4.0936526053556781</v>
      </c>
      <c r="P16" s="129">
        <v>1810253098.5083995</v>
      </c>
      <c r="Q16" s="129">
        <v>1828355350.5372009</v>
      </c>
      <c r="R16" s="131">
        <f t="shared" si="0"/>
        <v>0.9999845902054938</v>
      </c>
      <c r="S16" s="130" t="s">
        <v>113</v>
      </c>
      <c r="T16" s="130" t="s">
        <v>113</v>
      </c>
      <c r="U16" s="130" t="s">
        <v>113</v>
      </c>
      <c r="V16" s="130" t="s">
        <v>113</v>
      </c>
      <c r="W16" s="132">
        <f t="shared" si="13"/>
        <v>2.8736736602673778</v>
      </c>
      <c r="X16" s="132">
        <f t="shared" si="13"/>
        <v>1.0136066322209645</v>
      </c>
      <c r="Y16" s="132">
        <f t="shared" si="1"/>
        <v>1.2630728811327383</v>
      </c>
      <c r="Z16" s="132">
        <f t="shared" si="1"/>
        <v>1.0704968682942499</v>
      </c>
      <c r="AA16" s="132">
        <f t="shared" si="1"/>
        <v>1.1279384485861201</v>
      </c>
      <c r="AB16" s="132">
        <f t="shared" si="14"/>
        <v>1.0922568534588895</v>
      </c>
      <c r="AC16" s="132">
        <f t="shared" si="14"/>
        <v>1.0922568534588895</v>
      </c>
      <c r="AD16" s="130" t="s">
        <v>113</v>
      </c>
      <c r="AE16" s="130" t="s">
        <v>113</v>
      </c>
      <c r="AF16" s="130" t="s">
        <v>113</v>
      </c>
      <c r="AG16" s="130" t="s">
        <v>113</v>
      </c>
      <c r="AH16" s="133">
        <f t="shared" si="2"/>
        <v>1</v>
      </c>
      <c r="AI16" s="134">
        <f t="shared" si="15"/>
        <v>1.3606632220964698E-2</v>
      </c>
      <c r="AJ16" s="134">
        <f t="shared" si="3"/>
        <v>1.6106007791346395</v>
      </c>
      <c r="AK16" s="134">
        <f t="shared" si="4"/>
        <v>0.19257601283848835</v>
      </c>
      <c r="AL16" s="134">
        <f t="shared" si="16"/>
        <v>0</v>
      </c>
      <c r="AM16" s="134">
        <f t="shared" si="17"/>
        <v>3.5681595127230681E-2</v>
      </c>
      <c r="AN16" s="135">
        <f t="shared" si="28"/>
        <v>0</v>
      </c>
      <c r="AO16" s="134">
        <f t="shared" si="18"/>
        <v>2.1208640946054791E-2</v>
      </c>
      <c r="AP16" s="134">
        <f t="shared" si="6"/>
        <v>3.4815273167019489E-2</v>
      </c>
      <c r="AQ16" s="136" t="s">
        <v>113</v>
      </c>
      <c r="AR16" s="137">
        <f t="shared" si="7"/>
        <v>0.72620075253782446</v>
      </c>
      <c r="AS16" s="137">
        <f t="shared" si="7"/>
        <v>85.95951436413975</v>
      </c>
      <c r="AT16" s="137">
        <f t="shared" si="7"/>
        <v>10.277991142331972</v>
      </c>
      <c r="AU16" s="137">
        <f t="shared" si="7"/>
        <v>0</v>
      </c>
      <c r="AV16" s="137">
        <f t="shared" si="7"/>
        <v>1.9043655191341502</v>
      </c>
      <c r="AW16" s="138">
        <f t="shared" si="7"/>
        <v>0</v>
      </c>
      <c r="AX16" s="137">
        <f t="shared" si="7"/>
        <v>1.131928221856322</v>
      </c>
      <c r="AY16" s="137">
        <f t="shared" si="7"/>
        <v>1.8581289743941465</v>
      </c>
      <c r="AZ16" s="139" t="s">
        <v>113</v>
      </c>
      <c r="BA16" s="139" t="s">
        <v>113</v>
      </c>
      <c r="BB16" s="139" t="s">
        <v>113</v>
      </c>
      <c r="BC16" s="139" t="s">
        <v>113</v>
      </c>
      <c r="BD16" s="139" t="s">
        <v>113</v>
      </c>
      <c r="BE16" s="139" t="s">
        <v>113</v>
      </c>
      <c r="BF16" s="139" t="s">
        <v>113</v>
      </c>
      <c r="BG16" s="139" t="s">
        <v>113</v>
      </c>
      <c r="BH16" s="140">
        <v>1102180973.0387998</v>
      </c>
      <c r="BI16" s="140">
        <v>645174889.68599987</v>
      </c>
      <c r="BJ16" s="140">
        <v>31588248.362399999</v>
      </c>
      <c r="BK16" s="140">
        <v>31308989.61119999</v>
      </c>
      <c r="BL16" s="141">
        <f t="shared" si="19"/>
        <v>0.60885462514251509</v>
      </c>
      <c r="BM16" s="141">
        <f t="shared" si="20"/>
        <v>0.35640037817755427</v>
      </c>
      <c r="BN16" s="141">
        <f t="shared" si="21"/>
        <v>1.7449630855604213E-2</v>
      </c>
      <c r="BO16" s="141">
        <f t="shared" si="21"/>
        <v>1.7295365824326395E-2</v>
      </c>
      <c r="BP16" s="139" t="s">
        <v>113</v>
      </c>
      <c r="BQ16" s="139" t="s">
        <v>113</v>
      </c>
      <c r="BR16" s="139" t="s">
        <v>113</v>
      </c>
      <c r="BS16" s="131">
        <f t="shared" si="22"/>
        <v>7.4652310366890902</v>
      </c>
      <c r="BT16" s="139"/>
      <c r="BU16" s="139"/>
      <c r="BV16" s="139"/>
      <c r="BW16" s="139"/>
      <c r="BX16" s="139"/>
      <c r="BY16" s="139"/>
      <c r="BZ16" s="139"/>
      <c r="CA16" s="139"/>
      <c r="CB16" s="139"/>
      <c r="CC16" s="142" t="s">
        <v>113</v>
      </c>
      <c r="CD16" s="142" t="s">
        <v>113</v>
      </c>
      <c r="CE16" s="142" t="s">
        <v>113</v>
      </c>
      <c r="CF16" s="142" t="s">
        <v>113</v>
      </c>
      <c r="CG16" s="142" t="s">
        <v>113</v>
      </c>
      <c r="CH16" s="142" t="s">
        <v>113</v>
      </c>
      <c r="CI16" s="142" t="s">
        <v>113</v>
      </c>
      <c r="CJ16" s="142"/>
      <c r="CK16" s="139" t="s">
        <v>113</v>
      </c>
      <c r="CL16" s="139" t="s">
        <v>113</v>
      </c>
      <c r="CM16" s="139" t="s">
        <v>113</v>
      </c>
      <c r="CN16" s="139" t="s">
        <v>113</v>
      </c>
      <c r="CO16" s="139" t="s">
        <v>113</v>
      </c>
      <c r="CP16" s="139" t="s">
        <v>113</v>
      </c>
      <c r="CQ16" s="139" t="s">
        <v>113</v>
      </c>
      <c r="CR16" s="139"/>
      <c r="CS16" s="143" t="s">
        <v>113</v>
      </c>
      <c r="CT16" s="143" t="s">
        <v>113</v>
      </c>
      <c r="CU16" s="143" t="s">
        <v>113</v>
      </c>
      <c r="CV16" s="143" t="s">
        <v>113</v>
      </c>
      <c r="CW16" s="143" t="s">
        <v>113</v>
      </c>
      <c r="CX16" s="143" t="s">
        <v>113</v>
      </c>
      <c r="CY16" s="143" t="s">
        <v>113</v>
      </c>
      <c r="CZ16" s="143"/>
      <c r="DA16" s="139" t="s">
        <v>113</v>
      </c>
      <c r="DB16" s="139" t="s">
        <v>113</v>
      </c>
      <c r="DC16" s="139" t="s">
        <v>113</v>
      </c>
      <c r="DD16" s="144">
        <f t="shared" si="23"/>
        <v>0</v>
      </c>
      <c r="DE16" s="145">
        <v>1</v>
      </c>
      <c r="DF16" s="1"/>
      <c r="DG16" s="1"/>
      <c r="DH16" s="1"/>
      <c r="DI16" s="1"/>
      <c r="DJ16" s="1"/>
      <c r="DK16" s="1"/>
      <c r="DL16" s="1"/>
      <c r="DM16" s="1"/>
      <c r="DN16" s="1"/>
      <c r="DO16" s="1"/>
      <c r="DP16" s="1"/>
      <c r="DQ16" s="1"/>
      <c r="DR16" s="1"/>
      <c r="DS16" s="1"/>
      <c r="DT16" s="1"/>
      <c r="DU16" s="1"/>
      <c r="DV16" s="1"/>
      <c r="DW16" s="1"/>
      <c r="DX16" s="1"/>
      <c r="DY16" s="1"/>
      <c r="DZ16" s="1"/>
      <c r="EA16" s="146">
        <v>202568873.28119999</v>
      </c>
      <c r="EB16" s="146">
        <v>209309256.55800003</v>
      </c>
      <c r="EC16" s="146">
        <v>204855615.67079997</v>
      </c>
      <c r="ED16" s="147"/>
      <c r="EE16" s="147"/>
      <c r="EF16" s="147"/>
      <c r="EG16" s="129"/>
      <c r="EH16" s="122"/>
      <c r="EI16" s="130" t="s">
        <v>113</v>
      </c>
      <c r="EJ16" s="130" t="s">
        <v>113</v>
      </c>
      <c r="EK16" s="130" t="s">
        <v>113</v>
      </c>
      <c r="EL16" s="130" t="s">
        <v>113</v>
      </c>
      <c r="EM16" s="131">
        <f t="shared" si="9"/>
        <v>3.9278898121793788</v>
      </c>
      <c r="EN16" s="146">
        <v>2143807554.3863974</v>
      </c>
      <c r="EO16" s="146">
        <v>2165245791.2759976</v>
      </c>
      <c r="EP16" s="131">
        <f t="shared" si="10"/>
        <v>1.0000075261296537</v>
      </c>
      <c r="EQ16" s="130" t="s">
        <v>113</v>
      </c>
      <c r="ER16" s="130" t="s">
        <v>113</v>
      </c>
      <c r="ES16" s="130" t="s">
        <v>113</v>
      </c>
      <c r="ET16" s="130" t="s">
        <v>113</v>
      </c>
      <c r="EU16" s="131">
        <f t="shared" si="24"/>
        <v>7.4821432029336705</v>
      </c>
      <c r="EV16" s="132">
        <f t="shared" si="25"/>
        <v>3.3274275751273215</v>
      </c>
      <c r="EW16" s="132">
        <f t="shared" si="26"/>
        <v>1.1288630589535014</v>
      </c>
      <c r="EX16" s="132"/>
      <c r="EY16" s="148">
        <f t="shared" si="11"/>
        <v>0.45375391485994365</v>
      </c>
      <c r="EZ16" s="144">
        <f t="shared" si="27"/>
        <v>0</v>
      </c>
      <c r="FA16" s="145">
        <v>1</v>
      </c>
      <c r="FB16" s="130" t="s">
        <v>113</v>
      </c>
      <c r="FC16" s="130" t="s">
        <v>113</v>
      </c>
      <c r="FD16" s="130" t="s">
        <v>113</v>
      </c>
      <c r="FE16" s="130" t="s">
        <v>113</v>
      </c>
      <c r="FF16" s="130" t="s">
        <v>113</v>
      </c>
      <c r="FG16" s="130" t="s">
        <v>113</v>
      </c>
      <c r="FH16" s="130" t="s">
        <v>113</v>
      </c>
      <c r="FI16" s="130" t="s">
        <v>113</v>
      </c>
      <c r="FJ16" s="1"/>
      <c r="FK16" s="1"/>
      <c r="FL16" s="1"/>
      <c r="FM16" s="1"/>
      <c r="FN16" s="1"/>
      <c r="FO16" s="1"/>
      <c r="FP16" s="1"/>
      <c r="FQ16" s="1"/>
    </row>
    <row r="17" spans="1:173" x14ac:dyDescent="0.3">
      <c r="A17" s="1"/>
      <c r="B17" s="28">
        <v>6</v>
      </c>
      <c r="C17" s="129">
        <v>270398131.58999979</v>
      </c>
      <c r="D17" s="129">
        <v>277636341.28200054</v>
      </c>
      <c r="E17" s="129">
        <v>273145485.33359987</v>
      </c>
      <c r="F17" s="129">
        <v>273861152.19480014</v>
      </c>
      <c r="G17" s="129">
        <v>273487012.01039994</v>
      </c>
      <c r="H17" s="129">
        <v>273429482.59319997</v>
      </c>
      <c r="I17" s="129">
        <v>273336939.67919993</v>
      </c>
      <c r="J17" s="122"/>
      <c r="K17" s="130" t="s">
        <v>113</v>
      </c>
      <c r="L17" s="130" t="s">
        <v>113</v>
      </c>
      <c r="M17" s="130" t="s">
        <v>113</v>
      </c>
      <c r="N17" s="130" t="s">
        <v>113</v>
      </c>
      <c r="O17" s="131">
        <f t="shared" si="12"/>
        <v>6.1351458165874773</v>
      </c>
      <c r="P17" s="129">
        <v>2171649564.0875983</v>
      </c>
      <c r="Q17" s="129">
        <v>2193365947.6404004</v>
      </c>
      <c r="R17" s="131">
        <f t="shared" si="0"/>
        <v>0.99999483857451388</v>
      </c>
      <c r="S17" s="130" t="s">
        <v>113</v>
      </c>
      <c r="T17" s="130" t="s">
        <v>113</v>
      </c>
      <c r="U17" s="130" t="s">
        <v>113</v>
      </c>
      <c r="V17" s="130" t="s">
        <v>113</v>
      </c>
      <c r="W17" s="132">
        <f t="shared" si="13"/>
        <v>2.6768850099337183</v>
      </c>
      <c r="X17" s="132">
        <f t="shared" si="13"/>
        <v>1.0160454540790544</v>
      </c>
      <c r="Y17" s="132">
        <f t="shared" si="1"/>
        <v>1.2807183461853044</v>
      </c>
      <c r="Z17" s="132">
        <f t="shared" si="1"/>
        <v>1.1423512231187305</v>
      </c>
      <c r="AA17" s="132">
        <f t="shared" si="1"/>
        <v>1.1210752942515394</v>
      </c>
      <c r="AB17" s="132">
        <f t="shared" si="14"/>
        <v>1.0868504306729048</v>
      </c>
      <c r="AC17" s="132">
        <f t="shared" si="14"/>
        <v>1.0868504306729048</v>
      </c>
      <c r="AD17" s="130" t="s">
        <v>113</v>
      </c>
      <c r="AE17" s="130" t="s">
        <v>113</v>
      </c>
      <c r="AF17" s="130" t="s">
        <v>113</v>
      </c>
      <c r="AG17" s="130" t="s">
        <v>113</v>
      </c>
      <c r="AH17" s="133">
        <f t="shared" si="2"/>
        <v>1</v>
      </c>
      <c r="AI17" s="134">
        <f t="shared" si="15"/>
        <v>1.6045454079055332E-2</v>
      </c>
      <c r="AJ17" s="134">
        <f t="shared" si="3"/>
        <v>1.3961666637484138</v>
      </c>
      <c r="AK17" s="134">
        <f t="shared" si="4"/>
        <v>0.13836712306657395</v>
      </c>
      <c r="AL17" s="134">
        <f t="shared" si="16"/>
        <v>2.1275928867191096E-2</v>
      </c>
      <c r="AM17" s="134">
        <f t="shared" si="17"/>
        <v>3.4224863578634634E-2</v>
      </c>
      <c r="AN17" s="135">
        <f t="shared" si="28"/>
        <v>0</v>
      </c>
      <c r="AO17" s="134">
        <f t="shared" si="18"/>
        <v>7.0804976593850322E-2</v>
      </c>
      <c r="AP17" s="134">
        <f t="shared" si="6"/>
        <v>8.6850430672905654E-2</v>
      </c>
      <c r="AQ17" s="136" t="s">
        <v>113</v>
      </c>
      <c r="AR17" s="137">
        <f t="shared" si="7"/>
        <v>0.95686072592953508</v>
      </c>
      <c r="AS17" s="137">
        <f t="shared" si="7"/>
        <v>83.259535118845136</v>
      </c>
      <c r="AT17" s="137">
        <f t="shared" si="7"/>
        <v>8.2514377698470298</v>
      </c>
      <c r="AU17" s="137">
        <f t="shared" si="7"/>
        <v>1.2687768535799639</v>
      </c>
      <c r="AV17" s="137">
        <f t="shared" si="7"/>
        <v>2.0409785629837214</v>
      </c>
      <c r="AW17" s="138">
        <f t="shared" si="7"/>
        <v>0</v>
      </c>
      <c r="AX17" s="137">
        <f t="shared" si="7"/>
        <v>4.222410968814672</v>
      </c>
      <c r="AY17" s="137">
        <f t="shared" si="7"/>
        <v>5.179271694744207</v>
      </c>
      <c r="AZ17" s="139" t="s">
        <v>113</v>
      </c>
      <c r="BA17" s="139" t="s">
        <v>113</v>
      </c>
      <c r="BB17" s="139" t="s">
        <v>113</v>
      </c>
      <c r="BC17" s="139" t="s">
        <v>113</v>
      </c>
      <c r="BD17" s="139" t="s">
        <v>113</v>
      </c>
      <c r="BE17" s="139" t="s">
        <v>113</v>
      </c>
      <c r="BF17" s="139" t="s">
        <v>113</v>
      </c>
      <c r="BG17" s="139" t="s">
        <v>113</v>
      </c>
      <c r="BH17" s="140">
        <v>1284508263.8351991</v>
      </c>
      <c r="BI17" s="140">
        <v>798098673.32879996</v>
      </c>
      <c r="BJ17" s="140">
        <v>43736253.667200007</v>
      </c>
      <c r="BK17" s="140">
        <v>45306313.112399995</v>
      </c>
      <c r="BL17" s="141">
        <f t="shared" si="19"/>
        <v>0.59148967708767042</v>
      </c>
      <c r="BM17" s="141">
        <f t="shared" si="20"/>
        <v>0.36750804947091853</v>
      </c>
      <c r="BN17" s="141">
        <f t="shared" si="21"/>
        <v>2.0139646654663799E-2</v>
      </c>
      <c r="BO17" s="141">
        <f t="shared" si="21"/>
        <v>2.0862626786747197E-2</v>
      </c>
      <c r="BP17" s="139" t="s">
        <v>113</v>
      </c>
      <c r="BQ17" s="139" t="s">
        <v>113</v>
      </c>
      <c r="BR17" s="139" t="s">
        <v>113</v>
      </c>
      <c r="BS17" s="131">
        <f t="shared" si="22"/>
        <v>8.9555796037566342</v>
      </c>
      <c r="BT17" s="139"/>
      <c r="BU17" s="139"/>
      <c r="BV17" s="139"/>
      <c r="BW17" s="139"/>
      <c r="BX17" s="139"/>
      <c r="BY17" s="139"/>
      <c r="BZ17" s="139"/>
      <c r="CA17" s="139"/>
      <c r="CB17" s="139"/>
      <c r="CC17" s="142" t="s">
        <v>113</v>
      </c>
      <c r="CD17" s="142" t="s">
        <v>113</v>
      </c>
      <c r="CE17" s="142" t="s">
        <v>113</v>
      </c>
      <c r="CF17" s="142" t="s">
        <v>113</v>
      </c>
      <c r="CG17" s="142" t="s">
        <v>113</v>
      </c>
      <c r="CH17" s="142" t="s">
        <v>113</v>
      </c>
      <c r="CI17" s="142" t="s">
        <v>113</v>
      </c>
      <c r="CJ17" s="142"/>
      <c r="CK17" s="139" t="s">
        <v>113</v>
      </c>
      <c r="CL17" s="139" t="s">
        <v>113</v>
      </c>
      <c r="CM17" s="139" t="s">
        <v>113</v>
      </c>
      <c r="CN17" s="139" t="s">
        <v>113</v>
      </c>
      <c r="CO17" s="139" t="s">
        <v>113</v>
      </c>
      <c r="CP17" s="139" t="s">
        <v>113</v>
      </c>
      <c r="CQ17" s="139" t="s">
        <v>113</v>
      </c>
      <c r="CR17" s="139"/>
      <c r="CS17" s="143" t="s">
        <v>113</v>
      </c>
      <c r="CT17" s="143" t="s">
        <v>113</v>
      </c>
      <c r="CU17" s="143" t="s">
        <v>113</v>
      </c>
      <c r="CV17" s="143" t="s">
        <v>113</v>
      </c>
      <c r="CW17" s="143" t="s">
        <v>113</v>
      </c>
      <c r="CX17" s="143" t="s">
        <v>113</v>
      </c>
      <c r="CY17" s="143" t="s">
        <v>113</v>
      </c>
      <c r="CZ17" s="143"/>
      <c r="DA17" s="139" t="s">
        <v>113</v>
      </c>
      <c r="DB17" s="139" t="s">
        <v>113</v>
      </c>
      <c r="DC17" s="139" t="s">
        <v>113</v>
      </c>
      <c r="DD17" s="144">
        <f t="shared" si="23"/>
        <v>0</v>
      </c>
      <c r="DE17" s="145">
        <v>1</v>
      </c>
      <c r="DF17" s="1"/>
      <c r="DG17" s="1"/>
      <c r="DH17" s="1"/>
      <c r="DI17" s="1"/>
      <c r="DJ17" s="1"/>
      <c r="DK17" s="1"/>
      <c r="DL17" s="1"/>
      <c r="DM17" s="1"/>
      <c r="DN17" s="1"/>
      <c r="DO17" s="1"/>
      <c r="DP17" s="1"/>
      <c r="DQ17" s="1"/>
      <c r="DR17" s="1"/>
      <c r="DS17" s="1"/>
      <c r="DT17" s="1"/>
      <c r="DU17" s="1"/>
      <c r="DV17" s="1"/>
      <c r="DW17" s="1"/>
      <c r="DX17" s="1"/>
      <c r="DY17" s="1"/>
      <c r="DZ17" s="1"/>
      <c r="EA17" s="146">
        <v>305194233.23160017</v>
      </c>
      <c r="EB17" s="146">
        <v>314133987.88800007</v>
      </c>
      <c r="EC17" s="146">
        <v>308552967.13679975</v>
      </c>
      <c r="ED17" s="147"/>
      <c r="EE17" s="147"/>
      <c r="EF17" s="147"/>
      <c r="EG17" s="129"/>
      <c r="EH17" s="122"/>
      <c r="EI17" s="130" t="s">
        <v>113</v>
      </c>
      <c r="EJ17" s="130" t="s">
        <v>113</v>
      </c>
      <c r="EK17" s="130" t="s">
        <v>113</v>
      </c>
      <c r="EL17" s="130" t="s">
        <v>113</v>
      </c>
      <c r="EM17" s="131">
        <f t="shared" si="9"/>
        <v>5.9178357465720026</v>
      </c>
      <c r="EN17" s="146">
        <v>2570147507.4755983</v>
      </c>
      <c r="EO17" s="146">
        <v>2595849405.2663999</v>
      </c>
      <c r="EP17" s="131">
        <f t="shared" si="10"/>
        <v>1.000016447151153</v>
      </c>
      <c r="EQ17" s="130" t="s">
        <v>113</v>
      </c>
      <c r="ER17" s="130" t="s">
        <v>113</v>
      </c>
      <c r="ES17" s="130" t="s">
        <v>113</v>
      </c>
      <c r="ET17" s="130" t="s">
        <v>113</v>
      </c>
      <c r="EU17" s="131">
        <f t="shared" si="24"/>
        <v>8.9701203189852343</v>
      </c>
      <c r="EV17" s="132">
        <f t="shared" si="25"/>
        <v>2.9291535199284446</v>
      </c>
      <c r="EW17" s="132">
        <f t="shared" si="26"/>
        <v>1.1005052844347638</v>
      </c>
      <c r="EX17" s="132"/>
      <c r="EY17" s="148">
        <f t="shared" si="11"/>
        <v>0.25226850999472639</v>
      </c>
      <c r="EZ17" s="144">
        <f t="shared" si="27"/>
        <v>0</v>
      </c>
      <c r="FA17" s="145">
        <v>1</v>
      </c>
      <c r="FB17" s="130" t="s">
        <v>113</v>
      </c>
      <c r="FC17" s="130" t="s">
        <v>113</v>
      </c>
      <c r="FD17" s="130" t="s">
        <v>113</v>
      </c>
      <c r="FE17" s="130" t="s">
        <v>113</v>
      </c>
      <c r="FF17" s="130" t="s">
        <v>113</v>
      </c>
      <c r="FG17" s="130" t="s">
        <v>113</v>
      </c>
      <c r="FH17" s="130" t="s">
        <v>113</v>
      </c>
      <c r="FI17" s="130" t="s">
        <v>113</v>
      </c>
      <c r="FJ17" s="1"/>
      <c r="FK17" s="1"/>
      <c r="FL17" s="1"/>
      <c r="FM17" s="1"/>
      <c r="FN17" s="1"/>
      <c r="FO17" s="1"/>
      <c r="FP17" s="1"/>
      <c r="FQ17" s="1"/>
    </row>
    <row r="18" spans="1:173" x14ac:dyDescent="0.3">
      <c r="A18" s="1"/>
      <c r="B18" s="28">
        <v>7</v>
      </c>
      <c r="C18" s="129">
        <v>385250476.71719962</v>
      </c>
      <c r="D18" s="129">
        <v>394717930.47360003</v>
      </c>
      <c r="E18" s="129">
        <v>389195497.47960043</v>
      </c>
      <c r="F18" s="129">
        <v>390403894.81680024</v>
      </c>
      <c r="G18" s="129">
        <v>390046636.52760005</v>
      </c>
      <c r="H18" s="129">
        <v>389553120.15240014</v>
      </c>
      <c r="I18" s="129">
        <v>389433613.52640003</v>
      </c>
      <c r="J18" s="122"/>
      <c r="K18" s="130" t="s">
        <v>113</v>
      </c>
      <c r="L18" s="130" t="s">
        <v>113</v>
      </c>
      <c r="M18" s="130" t="s">
        <v>113</v>
      </c>
      <c r="N18" s="130" t="s">
        <v>113</v>
      </c>
      <c r="O18" s="131">
        <f t="shared" si="12"/>
        <v>8.7410657635523066</v>
      </c>
      <c r="P18" s="129">
        <v>2512970994.4223986</v>
      </c>
      <c r="Q18" s="129">
        <v>2538100775.4720006</v>
      </c>
      <c r="R18" s="131">
        <f t="shared" si="0"/>
        <v>1.0000028295343633</v>
      </c>
      <c r="S18" s="130" t="s">
        <v>113</v>
      </c>
      <c r="T18" s="130" t="s">
        <v>113</v>
      </c>
      <c r="U18" s="130" t="s">
        <v>113</v>
      </c>
      <c r="V18" s="130" t="s">
        <v>113</v>
      </c>
      <c r="W18" s="132">
        <f t="shared" si="13"/>
        <v>2.4574731350534349</v>
      </c>
      <c r="X18" s="132">
        <f t="shared" si="13"/>
        <v>1.0240116075849761</v>
      </c>
      <c r="Y18" s="132">
        <f t="shared" si="1"/>
        <v>1.3376760910931267</v>
      </c>
      <c r="Z18" s="132">
        <f t="shared" si="1"/>
        <v>1.2449423243830355</v>
      </c>
      <c r="AA18" s="132">
        <f t="shared" si="1"/>
        <v>1.1168399575832155</v>
      </c>
      <c r="AB18" s="132">
        <f t="shared" si="14"/>
        <v>1.0858195448711283</v>
      </c>
      <c r="AC18" s="132">
        <f t="shared" si="14"/>
        <v>1.0858195448711283</v>
      </c>
      <c r="AD18" s="130" t="s">
        <v>113</v>
      </c>
      <c r="AE18" s="130" t="s">
        <v>113</v>
      </c>
      <c r="AF18" s="130" t="s">
        <v>113</v>
      </c>
      <c r="AG18" s="130" t="s">
        <v>113</v>
      </c>
      <c r="AH18" s="133">
        <f t="shared" si="2"/>
        <v>1</v>
      </c>
      <c r="AI18" s="134">
        <f t="shared" si="15"/>
        <v>2.4011607584975891E-2</v>
      </c>
      <c r="AJ18" s="134">
        <f t="shared" si="3"/>
        <v>1.1197970439603082</v>
      </c>
      <c r="AK18" s="134">
        <f t="shared" si="4"/>
        <v>9.2733766710091148E-2</v>
      </c>
      <c r="AL18" s="134">
        <f t="shared" si="16"/>
        <v>0.12810236679982001</v>
      </c>
      <c r="AM18" s="134">
        <f t="shared" si="17"/>
        <v>3.102041271208722E-2</v>
      </c>
      <c r="AN18" s="135">
        <f t="shared" si="28"/>
        <v>0</v>
      </c>
      <c r="AO18" s="134">
        <f t="shared" si="18"/>
        <v>6.1807937286152193E-2</v>
      </c>
      <c r="AP18" s="134">
        <f t="shared" si="6"/>
        <v>8.5819544871128084E-2</v>
      </c>
      <c r="AQ18" s="136" t="s">
        <v>113</v>
      </c>
      <c r="AR18" s="137">
        <f t="shared" si="7"/>
        <v>1.6474820020676102</v>
      </c>
      <c r="AS18" s="137">
        <f t="shared" si="7"/>
        <v>76.831402036048743</v>
      </c>
      <c r="AT18" s="137">
        <f t="shared" si="7"/>
        <v>6.3626398648295686</v>
      </c>
      <c r="AU18" s="137">
        <f t="shared" si="7"/>
        <v>8.7893466931809652</v>
      </c>
      <c r="AV18" s="137">
        <f t="shared" si="7"/>
        <v>2.1283694337837606</v>
      </c>
      <c r="AW18" s="138">
        <f t="shared" si="7"/>
        <v>0</v>
      </c>
      <c r="AX18" s="137">
        <f t="shared" si="7"/>
        <v>4.2407599700893392</v>
      </c>
      <c r="AY18" s="137">
        <f t="shared" si="7"/>
        <v>5.8882419721569494</v>
      </c>
      <c r="AZ18" s="139" t="s">
        <v>113</v>
      </c>
      <c r="BA18" s="139" t="s">
        <v>113</v>
      </c>
      <c r="BB18" s="139" t="s">
        <v>113</v>
      </c>
      <c r="BC18" s="139" t="s">
        <v>113</v>
      </c>
      <c r="BD18" s="139" t="s">
        <v>113</v>
      </c>
      <c r="BE18" s="139" t="s">
        <v>113</v>
      </c>
      <c r="BF18" s="139" t="s">
        <v>113</v>
      </c>
      <c r="BG18" s="139" t="s">
        <v>113</v>
      </c>
      <c r="BH18" s="140">
        <v>1706096370.072001</v>
      </c>
      <c r="BI18" s="140">
        <v>672915955.73879969</v>
      </c>
      <c r="BJ18" s="140">
        <v>73203623.326799989</v>
      </c>
      <c r="BK18" s="140">
        <v>60754988.445600003</v>
      </c>
      <c r="BL18" s="141">
        <f t="shared" si="19"/>
        <v>0.67891607680620658</v>
      </c>
      <c r="BM18" s="141">
        <f t="shared" si="20"/>
        <v>0.2677770545114076</v>
      </c>
      <c r="BN18" s="141">
        <f t="shared" si="21"/>
        <v>2.9130310355758474E-2</v>
      </c>
      <c r="BO18" s="141">
        <f t="shared" si="21"/>
        <v>2.4176558326627486E-2</v>
      </c>
      <c r="BP18" s="139" t="s">
        <v>113</v>
      </c>
      <c r="BQ18" s="139" t="s">
        <v>113</v>
      </c>
      <c r="BR18" s="139" t="s">
        <v>113</v>
      </c>
      <c r="BS18" s="131">
        <f t="shared" si="22"/>
        <v>10.363141528286405</v>
      </c>
      <c r="BT18" s="139"/>
      <c r="BU18" s="139"/>
      <c r="BV18" s="139"/>
      <c r="BW18" s="139"/>
      <c r="BX18" s="139"/>
      <c r="BY18" s="139"/>
      <c r="BZ18" s="139"/>
      <c r="CA18" s="139"/>
      <c r="CB18" s="139"/>
      <c r="CC18" s="142" t="s">
        <v>113</v>
      </c>
      <c r="CD18" s="142" t="s">
        <v>113</v>
      </c>
      <c r="CE18" s="142" t="s">
        <v>113</v>
      </c>
      <c r="CF18" s="142" t="s">
        <v>113</v>
      </c>
      <c r="CG18" s="142" t="s">
        <v>113</v>
      </c>
      <c r="CH18" s="142" t="s">
        <v>113</v>
      </c>
      <c r="CI18" s="142" t="s">
        <v>113</v>
      </c>
      <c r="CJ18" s="142"/>
      <c r="CK18" s="139" t="s">
        <v>113</v>
      </c>
      <c r="CL18" s="139" t="s">
        <v>113</v>
      </c>
      <c r="CM18" s="139" t="s">
        <v>113</v>
      </c>
      <c r="CN18" s="139" t="s">
        <v>113</v>
      </c>
      <c r="CO18" s="139" t="s">
        <v>113</v>
      </c>
      <c r="CP18" s="139" t="s">
        <v>113</v>
      </c>
      <c r="CQ18" s="139" t="s">
        <v>113</v>
      </c>
      <c r="CR18" s="139"/>
      <c r="CS18" s="143" t="s">
        <v>113</v>
      </c>
      <c r="CT18" s="143" t="s">
        <v>113</v>
      </c>
      <c r="CU18" s="143" t="s">
        <v>113</v>
      </c>
      <c r="CV18" s="143" t="s">
        <v>113</v>
      </c>
      <c r="CW18" s="143" t="s">
        <v>113</v>
      </c>
      <c r="CX18" s="143" t="s">
        <v>113</v>
      </c>
      <c r="CY18" s="143" t="s">
        <v>113</v>
      </c>
      <c r="CZ18" s="143"/>
      <c r="DA18" s="139" t="s">
        <v>113</v>
      </c>
      <c r="DB18" s="139" t="s">
        <v>113</v>
      </c>
      <c r="DC18" s="139" t="s">
        <v>113</v>
      </c>
      <c r="DD18" s="144">
        <f t="shared" si="23"/>
        <v>0</v>
      </c>
      <c r="DE18" s="145">
        <v>1</v>
      </c>
      <c r="DF18" s="1"/>
      <c r="DG18" s="1"/>
      <c r="DH18" s="1"/>
      <c r="DI18" s="1"/>
      <c r="DJ18" s="1"/>
      <c r="DK18" s="1"/>
      <c r="DL18" s="1"/>
      <c r="DM18" s="1"/>
      <c r="DN18" s="1"/>
      <c r="DO18" s="1"/>
      <c r="DP18" s="1"/>
      <c r="DQ18" s="1"/>
      <c r="DR18" s="1"/>
      <c r="DS18" s="1"/>
      <c r="DT18" s="1"/>
      <c r="DU18" s="1"/>
      <c r="DV18" s="1"/>
      <c r="DW18" s="1"/>
      <c r="DX18" s="1"/>
      <c r="DY18" s="1"/>
      <c r="DZ18" s="1"/>
      <c r="EA18" s="146">
        <v>459959670.11879981</v>
      </c>
      <c r="EB18" s="146">
        <v>470782984.68839991</v>
      </c>
      <c r="EC18" s="146">
        <v>464738723.10840029</v>
      </c>
      <c r="ED18" s="147"/>
      <c r="EE18" s="147"/>
      <c r="EF18" s="147"/>
      <c r="EG18" s="129"/>
      <c r="EH18" s="122"/>
      <c r="EI18" s="130" t="s">
        <v>113</v>
      </c>
      <c r="EJ18" s="130" t="s">
        <v>113</v>
      </c>
      <c r="EK18" s="130" t="s">
        <v>113</v>
      </c>
      <c r="EL18" s="130" t="s">
        <v>113</v>
      </c>
      <c r="EM18" s="131">
        <f t="shared" si="9"/>
        <v>8.9187981993909577</v>
      </c>
      <c r="EN18" s="146">
        <v>2965123003.4879999</v>
      </c>
      <c r="EO18" s="146">
        <v>2994774348.0827999</v>
      </c>
      <c r="EP18" s="131">
        <f t="shared" si="10"/>
        <v>1.0000038635807007</v>
      </c>
      <c r="EQ18" s="130" t="s">
        <v>113</v>
      </c>
      <c r="ER18" s="130" t="s">
        <v>113</v>
      </c>
      <c r="ES18" s="130" t="s">
        <v>113</v>
      </c>
      <c r="ET18" s="130" t="s">
        <v>113</v>
      </c>
      <c r="EU18" s="131">
        <f t="shared" si="24"/>
        <v>10.348631751491313</v>
      </c>
      <c r="EV18" s="132">
        <f t="shared" si="25"/>
        <v>2.3530916852377315</v>
      </c>
      <c r="EW18" s="132">
        <f t="shared" si="26"/>
        <v>1.039011642951343</v>
      </c>
      <c r="EX18" s="132"/>
      <c r="EY18" s="148">
        <f t="shared" si="11"/>
        <v>-0.10438144981570341</v>
      </c>
      <c r="EZ18" s="144">
        <f t="shared" si="27"/>
        <v>0</v>
      </c>
      <c r="FA18" s="145">
        <v>1</v>
      </c>
      <c r="FB18" s="130" t="s">
        <v>113</v>
      </c>
      <c r="FC18" s="130" t="s">
        <v>113</v>
      </c>
      <c r="FD18" s="130" t="s">
        <v>113</v>
      </c>
      <c r="FE18" s="130" t="s">
        <v>113</v>
      </c>
      <c r="FF18" s="130" t="s">
        <v>113</v>
      </c>
      <c r="FG18" s="130" t="s">
        <v>113</v>
      </c>
      <c r="FH18" s="130" t="s">
        <v>113</v>
      </c>
      <c r="FI18" s="130" t="s">
        <v>113</v>
      </c>
      <c r="FJ18" s="1"/>
      <c r="FK18" s="1"/>
      <c r="FL18" s="1"/>
      <c r="FM18" s="1"/>
      <c r="FN18" s="1"/>
      <c r="FO18" s="1"/>
      <c r="FP18" s="1"/>
      <c r="FQ18" s="1"/>
    </row>
    <row r="19" spans="1:173" x14ac:dyDescent="0.3">
      <c r="A19" s="1"/>
      <c r="B19" s="28">
        <v>8</v>
      </c>
      <c r="C19" s="129">
        <v>568417745.34720004</v>
      </c>
      <c r="D19" s="129">
        <v>579889027.46160042</v>
      </c>
      <c r="E19" s="129">
        <v>574284085.44239998</v>
      </c>
      <c r="F19" s="129">
        <v>575030449.43759966</v>
      </c>
      <c r="G19" s="129">
        <v>574681011.44159997</v>
      </c>
      <c r="H19" s="129">
        <v>574646941.38840032</v>
      </c>
      <c r="I19" s="129">
        <v>574465765.15440011</v>
      </c>
      <c r="J19" s="122"/>
      <c r="K19" s="130" t="s">
        <v>113</v>
      </c>
      <c r="L19" s="130" t="s">
        <v>113</v>
      </c>
      <c r="M19" s="130" t="s">
        <v>113</v>
      </c>
      <c r="N19" s="130" t="s">
        <v>113</v>
      </c>
      <c r="O19" s="131">
        <f t="shared" si="12"/>
        <v>12.89700388066562</v>
      </c>
      <c r="P19" s="129">
        <v>3036051904.2624016</v>
      </c>
      <c r="Q19" s="129">
        <v>3066412237.5540004</v>
      </c>
      <c r="R19" s="131">
        <f t="shared" si="0"/>
        <v>0.99999388182312465</v>
      </c>
      <c r="S19" s="130" t="s">
        <v>113</v>
      </c>
      <c r="T19" s="130" t="s">
        <v>113</v>
      </c>
      <c r="U19" s="130" t="s">
        <v>113</v>
      </c>
      <c r="V19" s="130" t="s">
        <v>113</v>
      </c>
      <c r="W19" s="132">
        <f t="shared" si="13"/>
        <v>2.018120016847087</v>
      </c>
      <c r="X19" s="132">
        <f t="shared" si="13"/>
        <v>1.0320536321649416</v>
      </c>
      <c r="Y19" s="132">
        <f t="shared" si="1"/>
        <v>1.1633599764379654</v>
      </c>
      <c r="Z19" s="132">
        <f t="shared" si="1"/>
        <v>1.1018840396297653</v>
      </c>
      <c r="AA19" s="132">
        <f t="shared" si="1"/>
        <v>1.0958901624282849</v>
      </c>
      <c r="AB19" s="132">
        <f t="shared" si="14"/>
        <v>1.064016185241917</v>
      </c>
      <c r="AC19" s="132">
        <f t="shared" si="14"/>
        <v>1.064016185241917</v>
      </c>
      <c r="AD19" s="130" t="s">
        <v>113</v>
      </c>
      <c r="AE19" s="130" t="s">
        <v>113</v>
      </c>
      <c r="AF19" s="130" t="s">
        <v>113</v>
      </c>
      <c r="AG19" s="130" t="s">
        <v>113</v>
      </c>
      <c r="AH19" s="133">
        <f t="shared" si="2"/>
        <v>1</v>
      </c>
      <c r="AI19" s="134">
        <f t="shared" si="15"/>
        <v>3.2053632164941614E-2</v>
      </c>
      <c r="AJ19" s="134">
        <f t="shared" si="3"/>
        <v>0.85476004040912157</v>
      </c>
      <c r="AK19" s="134">
        <f t="shared" si="4"/>
        <v>6.1475936808200071E-2</v>
      </c>
      <c r="AL19" s="134">
        <f t="shared" si="16"/>
        <v>5.9938772014804798E-3</v>
      </c>
      <c r="AM19" s="134">
        <f t="shared" si="17"/>
        <v>3.1873977186367863E-2</v>
      </c>
      <c r="AN19" s="135">
        <f t="shared" si="28"/>
        <v>0</v>
      </c>
      <c r="AO19" s="134">
        <f t="shared" si="18"/>
        <v>3.1962553076975375E-2</v>
      </c>
      <c r="AP19" s="134">
        <f t="shared" si="6"/>
        <v>6.401618524191699E-2</v>
      </c>
      <c r="AQ19" s="136" t="s">
        <v>113</v>
      </c>
      <c r="AR19" s="137">
        <f t="shared" si="7"/>
        <v>3.1483156832733012</v>
      </c>
      <c r="AS19" s="137">
        <f t="shared" si="7"/>
        <v>83.954742688994727</v>
      </c>
      <c r="AT19" s="137">
        <f t="shared" si="7"/>
        <v>6.0381817262152149</v>
      </c>
      <c r="AU19" s="137">
        <f t="shared" si="7"/>
        <v>0.58872010198191682</v>
      </c>
      <c r="AV19" s="137">
        <f t="shared" si="7"/>
        <v>3.1306699268201372</v>
      </c>
      <c r="AW19" s="138">
        <f t="shared" si="7"/>
        <v>0</v>
      </c>
      <c r="AX19" s="137">
        <f t="shared" si="7"/>
        <v>3.1393698727147097</v>
      </c>
      <c r="AY19" s="137">
        <f t="shared" si="7"/>
        <v>6.2876855559880109</v>
      </c>
      <c r="AZ19" s="139" t="s">
        <v>113</v>
      </c>
      <c r="BA19" s="139" t="s">
        <v>113</v>
      </c>
      <c r="BB19" s="139" t="s">
        <v>113</v>
      </c>
      <c r="BC19" s="139" t="s">
        <v>113</v>
      </c>
      <c r="BD19" s="139" t="s">
        <v>113</v>
      </c>
      <c r="BE19" s="139" t="s">
        <v>113</v>
      </c>
      <c r="BF19" s="139" t="s">
        <v>113</v>
      </c>
      <c r="BG19" s="139" t="s">
        <v>113</v>
      </c>
      <c r="BH19" s="140">
        <v>2052323569.5264008</v>
      </c>
      <c r="BI19" s="140">
        <v>815057579.11799991</v>
      </c>
      <c r="BJ19" s="140">
        <v>70938117.5616</v>
      </c>
      <c r="BK19" s="140">
        <v>97732499.519999996</v>
      </c>
      <c r="BL19" s="141">
        <f t="shared" si="19"/>
        <v>0.67598437967859737</v>
      </c>
      <c r="BM19" s="141">
        <f t="shared" si="20"/>
        <v>0.26845971083865822</v>
      </c>
      <c r="BN19" s="141">
        <f t="shared" si="21"/>
        <v>2.3365252978365079E-2</v>
      </c>
      <c r="BO19" s="141">
        <f t="shared" si="21"/>
        <v>3.2190656504379314E-2</v>
      </c>
      <c r="BP19" s="139" t="s">
        <v>113</v>
      </c>
      <c r="BQ19" s="139" t="s">
        <v>113</v>
      </c>
      <c r="BR19" s="139" t="s">
        <v>113</v>
      </c>
      <c r="BS19" s="131">
        <f t="shared" si="22"/>
        <v>12.520254169637335</v>
      </c>
      <c r="BT19" s="139"/>
      <c r="BU19" s="139"/>
      <c r="BV19" s="139"/>
      <c r="BW19" s="139"/>
      <c r="BX19" s="139"/>
      <c r="BY19" s="139"/>
      <c r="BZ19" s="139"/>
      <c r="CA19" s="139"/>
      <c r="CB19" s="139"/>
      <c r="CC19" s="142" t="s">
        <v>113</v>
      </c>
      <c r="CD19" s="142" t="s">
        <v>113</v>
      </c>
      <c r="CE19" s="142" t="s">
        <v>113</v>
      </c>
      <c r="CF19" s="142" t="s">
        <v>113</v>
      </c>
      <c r="CG19" s="142" t="s">
        <v>113</v>
      </c>
      <c r="CH19" s="142" t="s">
        <v>113</v>
      </c>
      <c r="CI19" s="142" t="s">
        <v>113</v>
      </c>
      <c r="CJ19" s="142"/>
      <c r="CK19" s="139" t="s">
        <v>113</v>
      </c>
      <c r="CL19" s="139" t="s">
        <v>113</v>
      </c>
      <c r="CM19" s="139" t="s">
        <v>113</v>
      </c>
      <c r="CN19" s="139" t="s">
        <v>113</v>
      </c>
      <c r="CO19" s="139" t="s">
        <v>113</v>
      </c>
      <c r="CP19" s="139" t="s">
        <v>113</v>
      </c>
      <c r="CQ19" s="139" t="s">
        <v>113</v>
      </c>
      <c r="CR19" s="139"/>
      <c r="CS19" s="143" t="s">
        <v>113</v>
      </c>
      <c r="CT19" s="143" t="s">
        <v>113</v>
      </c>
      <c r="CU19" s="143" t="s">
        <v>113</v>
      </c>
      <c r="CV19" s="143" t="s">
        <v>113</v>
      </c>
      <c r="CW19" s="143" t="s">
        <v>113</v>
      </c>
      <c r="CX19" s="143" t="s">
        <v>113</v>
      </c>
      <c r="CY19" s="143" t="s">
        <v>113</v>
      </c>
      <c r="CZ19" s="143"/>
      <c r="DA19" s="139" t="s">
        <v>113</v>
      </c>
      <c r="DB19" s="139" t="s">
        <v>113</v>
      </c>
      <c r="DC19" s="139" t="s">
        <v>113</v>
      </c>
      <c r="DD19" s="144">
        <f t="shared" si="23"/>
        <v>0</v>
      </c>
      <c r="DE19" s="145">
        <v>1</v>
      </c>
      <c r="DF19" s="1"/>
      <c r="DG19" s="1"/>
      <c r="DH19" s="1"/>
      <c r="DI19" s="1"/>
      <c r="DJ19" s="1"/>
      <c r="DK19" s="1"/>
      <c r="DL19" s="1"/>
      <c r="DM19" s="1"/>
      <c r="DN19" s="1"/>
      <c r="DO19" s="1"/>
      <c r="DP19" s="1"/>
      <c r="DQ19" s="1"/>
      <c r="DR19" s="1"/>
      <c r="DS19" s="1"/>
      <c r="DT19" s="1"/>
      <c r="DU19" s="1"/>
      <c r="DV19" s="1"/>
      <c r="DW19" s="1"/>
      <c r="DX19" s="1"/>
      <c r="DY19" s="1"/>
      <c r="DZ19" s="1"/>
      <c r="EA19" s="146">
        <v>695165647.5983994</v>
      </c>
      <c r="EB19" s="146">
        <v>708822731.9004004</v>
      </c>
      <c r="EC19" s="146">
        <v>702348466.04160023</v>
      </c>
      <c r="ED19" s="147"/>
      <c r="EE19" s="147"/>
      <c r="EF19" s="147"/>
      <c r="EG19" s="129"/>
      <c r="EH19" s="122"/>
      <c r="EI19" s="130" t="s">
        <v>113</v>
      </c>
      <c r="EJ19" s="130" t="s">
        <v>113</v>
      </c>
      <c r="EK19" s="130" t="s">
        <v>113</v>
      </c>
      <c r="EL19" s="130" t="s">
        <v>113</v>
      </c>
      <c r="EM19" s="131">
        <f t="shared" si="9"/>
        <v>13.479534248030243</v>
      </c>
      <c r="EN19" s="146">
        <v>3603468758.2823997</v>
      </c>
      <c r="EO19" s="146">
        <v>3639564811.5984039</v>
      </c>
      <c r="EP19" s="131">
        <f t="shared" si="10"/>
        <v>1.0017029628198948</v>
      </c>
      <c r="EQ19" s="130" t="s">
        <v>113</v>
      </c>
      <c r="ER19" s="130" t="s">
        <v>113</v>
      </c>
      <c r="ES19" s="130" t="s">
        <v>113</v>
      </c>
      <c r="ET19" s="130" t="s">
        <v>113</v>
      </c>
      <c r="EU19" s="131">
        <f t="shared" si="24"/>
        <v>12.576534316991662</v>
      </c>
      <c r="EV19" s="132">
        <f t="shared" si="25"/>
        <v>1.9612399406735661</v>
      </c>
      <c r="EW19" s="132">
        <f t="shared" si="26"/>
        <v>1.031496189515954</v>
      </c>
      <c r="EX19" s="132"/>
      <c r="EY19" s="148">
        <f t="shared" si="11"/>
        <v>-5.6880076173520866E-2</v>
      </c>
      <c r="EZ19" s="144">
        <f t="shared" si="27"/>
        <v>0</v>
      </c>
      <c r="FA19" s="145">
        <v>1</v>
      </c>
      <c r="FB19" s="130" t="s">
        <v>113</v>
      </c>
      <c r="FC19" s="130" t="s">
        <v>113</v>
      </c>
      <c r="FD19" s="130" t="s">
        <v>113</v>
      </c>
      <c r="FE19" s="130" t="s">
        <v>113</v>
      </c>
      <c r="FF19" s="130" t="s">
        <v>113</v>
      </c>
      <c r="FG19" s="130" t="s">
        <v>113</v>
      </c>
      <c r="FH19" s="130" t="s">
        <v>113</v>
      </c>
      <c r="FI19" s="130" t="s">
        <v>113</v>
      </c>
      <c r="FJ19" s="1"/>
      <c r="FK19" s="1"/>
      <c r="FL19" s="1"/>
      <c r="FM19" s="1"/>
      <c r="FN19" s="1"/>
      <c r="FO19" s="1"/>
      <c r="FP19" s="1"/>
      <c r="FQ19" s="1"/>
    </row>
    <row r="20" spans="1:173" x14ac:dyDescent="0.3">
      <c r="A20" s="1"/>
      <c r="B20" s="28">
        <v>9</v>
      </c>
      <c r="C20" s="129">
        <v>852505300.17480016</v>
      </c>
      <c r="D20" s="129">
        <v>867246532.84439969</v>
      </c>
      <c r="E20" s="129">
        <v>861371482.16760063</v>
      </c>
      <c r="F20" s="129">
        <v>861881898.64680111</v>
      </c>
      <c r="G20" s="129">
        <v>861635600.01240039</v>
      </c>
      <c r="H20" s="129">
        <v>861649237.49280047</v>
      </c>
      <c r="I20" s="129">
        <v>861398101.56720006</v>
      </c>
      <c r="J20" s="122"/>
      <c r="K20" s="130" t="s">
        <v>113</v>
      </c>
      <c r="L20" s="130" t="s">
        <v>113</v>
      </c>
      <c r="M20" s="130" t="s">
        <v>113</v>
      </c>
      <c r="N20" s="130" t="s">
        <v>113</v>
      </c>
      <c r="O20" s="131">
        <f t="shared" si="12"/>
        <v>19.342753203326897</v>
      </c>
      <c r="P20" s="129">
        <v>3879351082.8792009</v>
      </c>
      <c r="Q20" s="129">
        <v>3918144450.247201</v>
      </c>
      <c r="R20" s="131">
        <f t="shared" si="0"/>
        <v>0.9999963019384106</v>
      </c>
      <c r="S20" s="130" t="s">
        <v>113</v>
      </c>
      <c r="T20" s="130" t="s">
        <v>113</v>
      </c>
      <c r="U20" s="130" t="s">
        <v>113</v>
      </c>
      <c r="V20" s="130" t="s">
        <v>113</v>
      </c>
      <c r="W20" s="132">
        <f t="shared" si="13"/>
        <v>1.7291724967299147</v>
      </c>
      <c r="X20" s="132">
        <f t="shared" si="13"/>
        <v>1.040018728187478</v>
      </c>
      <c r="Y20" s="132">
        <f t="shared" si="1"/>
        <v>1.0998914781462621</v>
      </c>
      <c r="Z20" s="132">
        <f t="shared" si="1"/>
        <v>1.0710002155135121</v>
      </c>
      <c r="AA20" s="132">
        <f t="shared" si="1"/>
        <v>1.0725999159294179</v>
      </c>
      <c r="AB20" s="132">
        <f t="shared" si="14"/>
        <v>1.0431412305384331</v>
      </c>
      <c r="AC20" s="132">
        <f t="shared" si="14"/>
        <v>1.0431412305384331</v>
      </c>
      <c r="AD20" s="130" t="s">
        <v>113</v>
      </c>
      <c r="AE20" s="130" t="s">
        <v>113</v>
      </c>
      <c r="AF20" s="130" t="s">
        <v>113</v>
      </c>
      <c r="AG20" s="130" t="s">
        <v>113</v>
      </c>
      <c r="AH20" s="133">
        <f t="shared" si="2"/>
        <v>1</v>
      </c>
      <c r="AI20" s="134">
        <f t="shared" si="15"/>
        <v>4.0018728187477981E-2</v>
      </c>
      <c r="AJ20" s="134">
        <f t="shared" si="3"/>
        <v>0.6292810185836526</v>
      </c>
      <c r="AK20" s="134">
        <f t="shared" si="4"/>
        <v>2.8891262632749992E-2</v>
      </c>
      <c r="AL20" s="134">
        <f t="shared" si="16"/>
        <v>0</v>
      </c>
      <c r="AM20" s="134">
        <f t="shared" si="17"/>
        <v>2.945868539098484E-2</v>
      </c>
      <c r="AN20" s="135">
        <f t="shared" si="28"/>
        <v>0</v>
      </c>
      <c r="AO20" s="134">
        <f t="shared" si="18"/>
        <v>1.5228019350492783E-3</v>
      </c>
      <c r="AP20" s="134">
        <f t="shared" si="6"/>
        <v>4.1541530122527259E-2</v>
      </c>
      <c r="AQ20" s="136" t="s">
        <v>113</v>
      </c>
      <c r="AR20" s="137">
        <f t="shared" si="7"/>
        <v>5.4882388415564316</v>
      </c>
      <c r="AS20" s="137">
        <f t="shared" si="7"/>
        <v>86.300706815706747</v>
      </c>
      <c r="AT20" s="137">
        <f t="shared" si="7"/>
        <v>3.9621986241002327</v>
      </c>
      <c r="AU20" s="137">
        <f t="shared" si="7"/>
        <v>0</v>
      </c>
      <c r="AV20" s="137">
        <f t="shared" si="7"/>
        <v>4.0400159801825781</v>
      </c>
      <c r="AW20" s="138">
        <f t="shared" si="7"/>
        <v>0</v>
      </c>
      <c r="AX20" s="137">
        <f t="shared" si="7"/>
        <v>0.20883973845400314</v>
      </c>
      <c r="AY20" s="137">
        <f t="shared" si="7"/>
        <v>5.6970785800104347</v>
      </c>
      <c r="AZ20" s="139" t="s">
        <v>113</v>
      </c>
      <c r="BA20" s="139" t="s">
        <v>113</v>
      </c>
      <c r="BB20" s="139" t="s">
        <v>113</v>
      </c>
      <c r="BC20" s="139" t="s">
        <v>113</v>
      </c>
      <c r="BD20" s="139" t="s">
        <v>113</v>
      </c>
      <c r="BE20" s="139" t="s">
        <v>113</v>
      </c>
      <c r="BF20" s="139" t="s">
        <v>113</v>
      </c>
      <c r="BG20" s="139" t="s">
        <v>113</v>
      </c>
      <c r="BH20" s="140">
        <v>2830493830.4724016</v>
      </c>
      <c r="BI20" s="140">
        <v>805231598.9652003</v>
      </c>
      <c r="BJ20" s="140">
        <v>126739421.33640006</v>
      </c>
      <c r="BK20" s="140">
        <v>116885876.35080005</v>
      </c>
      <c r="BL20" s="141">
        <f t="shared" si="19"/>
        <v>0.72963081442502997</v>
      </c>
      <c r="BM20" s="141">
        <f t="shared" si="20"/>
        <v>0.20756865145884895</v>
      </c>
      <c r="BN20" s="141">
        <f t="shared" si="21"/>
        <v>3.2670266302612327E-2</v>
      </c>
      <c r="BO20" s="141">
        <f t="shared" si="21"/>
        <v>3.0130267813508714E-2</v>
      </c>
      <c r="BP20" s="139" t="s">
        <v>113</v>
      </c>
      <c r="BQ20" s="139" t="s">
        <v>113</v>
      </c>
      <c r="BR20" s="139" t="s">
        <v>113</v>
      </c>
      <c r="BS20" s="131">
        <f t="shared" si="22"/>
        <v>15.997902243606553</v>
      </c>
      <c r="BT20" s="139"/>
      <c r="BU20" s="139"/>
      <c r="BV20" s="139"/>
      <c r="BW20" s="139"/>
      <c r="BX20" s="139"/>
      <c r="BY20" s="139"/>
      <c r="BZ20" s="139"/>
      <c r="CA20" s="139"/>
      <c r="CB20" s="139"/>
      <c r="CC20" s="142" t="s">
        <v>113</v>
      </c>
      <c r="CD20" s="142" t="s">
        <v>113</v>
      </c>
      <c r="CE20" s="142" t="s">
        <v>113</v>
      </c>
      <c r="CF20" s="142" t="s">
        <v>113</v>
      </c>
      <c r="CG20" s="142" t="s">
        <v>113</v>
      </c>
      <c r="CH20" s="142" t="s">
        <v>113</v>
      </c>
      <c r="CI20" s="142" t="s">
        <v>113</v>
      </c>
      <c r="CJ20" s="142"/>
      <c r="CK20" s="139" t="s">
        <v>113</v>
      </c>
      <c r="CL20" s="139" t="s">
        <v>113</v>
      </c>
      <c r="CM20" s="139" t="s">
        <v>113</v>
      </c>
      <c r="CN20" s="139" t="s">
        <v>113</v>
      </c>
      <c r="CO20" s="139" t="s">
        <v>113</v>
      </c>
      <c r="CP20" s="139" t="s">
        <v>113</v>
      </c>
      <c r="CQ20" s="139" t="s">
        <v>113</v>
      </c>
      <c r="CR20" s="139"/>
      <c r="CS20" s="143" t="s">
        <v>113</v>
      </c>
      <c r="CT20" s="143" t="s">
        <v>113</v>
      </c>
      <c r="CU20" s="143" t="s">
        <v>113</v>
      </c>
      <c r="CV20" s="143" t="s">
        <v>113</v>
      </c>
      <c r="CW20" s="143" t="s">
        <v>113</v>
      </c>
      <c r="CX20" s="143" t="s">
        <v>113</v>
      </c>
      <c r="CY20" s="143" t="s">
        <v>113</v>
      </c>
      <c r="CZ20" s="143"/>
      <c r="DA20" s="139" t="s">
        <v>113</v>
      </c>
      <c r="DB20" s="139" t="s">
        <v>113</v>
      </c>
      <c r="DC20" s="139" t="s">
        <v>113</v>
      </c>
      <c r="DD20" s="144">
        <f t="shared" si="23"/>
        <v>0</v>
      </c>
      <c r="DE20" s="145">
        <v>1</v>
      </c>
      <c r="DF20" s="1"/>
      <c r="DG20" s="1"/>
      <c r="DH20" s="1"/>
      <c r="DI20" s="1"/>
      <c r="DJ20" s="1"/>
      <c r="DK20" s="1"/>
      <c r="DL20" s="1"/>
      <c r="DM20" s="1"/>
      <c r="DN20" s="1"/>
      <c r="DO20" s="1"/>
      <c r="DP20" s="1"/>
      <c r="DQ20" s="1"/>
      <c r="DR20" s="1"/>
      <c r="DS20" s="1"/>
      <c r="DT20" s="1"/>
      <c r="DU20" s="1"/>
      <c r="DV20" s="1"/>
      <c r="DW20" s="1"/>
      <c r="DX20" s="1"/>
      <c r="DY20" s="1"/>
      <c r="DZ20" s="1"/>
      <c r="EA20" s="146">
        <v>1034098786.0920005</v>
      </c>
      <c r="EB20" s="146">
        <v>1051422990.0852001</v>
      </c>
      <c r="EC20" s="146">
        <v>1044565797.4488003</v>
      </c>
      <c r="ED20" s="147"/>
      <c r="EE20" s="147"/>
      <c r="EF20" s="147"/>
      <c r="EG20" s="129"/>
      <c r="EH20" s="122"/>
      <c r="EI20" s="130" t="s">
        <v>113</v>
      </c>
      <c r="EJ20" s="130" t="s">
        <v>113</v>
      </c>
      <c r="EK20" s="130" t="s">
        <v>113</v>
      </c>
      <c r="EL20" s="130" t="s">
        <v>113</v>
      </c>
      <c r="EM20" s="131">
        <f t="shared" si="9"/>
        <v>20.05158058533172</v>
      </c>
      <c r="EN20" s="146">
        <v>4553281236.1499987</v>
      </c>
      <c r="EO20" s="146">
        <v>4598813881.1447983</v>
      </c>
      <c r="EP20" s="131">
        <f t="shared" si="10"/>
        <v>0.99999632426173157</v>
      </c>
      <c r="EQ20" s="130" t="s">
        <v>113</v>
      </c>
      <c r="ER20" s="130" t="s">
        <v>113</v>
      </c>
      <c r="ES20" s="130" t="s">
        <v>113</v>
      </c>
      <c r="ET20" s="130" t="s">
        <v>113</v>
      </c>
      <c r="EU20" s="131">
        <f t="shared" si="24"/>
        <v>15.89149277060748</v>
      </c>
      <c r="EV20" s="132">
        <f t="shared" si="25"/>
        <v>1.6753010356142086</v>
      </c>
      <c r="EW20" s="132">
        <f t="shared" si="26"/>
        <v>1.0121905152303547</v>
      </c>
      <c r="EX20" s="132"/>
      <c r="EY20" s="148">
        <f t="shared" si="11"/>
        <v>-5.3871461115706065E-2</v>
      </c>
      <c r="EZ20" s="144">
        <f t="shared" si="27"/>
        <v>0</v>
      </c>
      <c r="FA20" s="145">
        <v>1</v>
      </c>
      <c r="FB20" s="130" t="s">
        <v>113</v>
      </c>
      <c r="FC20" s="130" t="s">
        <v>113</v>
      </c>
      <c r="FD20" s="130" t="s">
        <v>113</v>
      </c>
      <c r="FE20" s="130" t="s">
        <v>113</v>
      </c>
      <c r="FF20" s="130" t="s">
        <v>113</v>
      </c>
      <c r="FG20" s="130" t="s">
        <v>113</v>
      </c>
      <c r="FH20" s="130" t="s">
        <v>113</v>
      </c>
      <c r="FI20" s="130" t="s">
        <v>113</v>
      </c>
      <c r="FJ20" s="1"/>
      <c r="FK20" s="1"/>
      <c r="FL20" s="1"/>
      <c r="FM20" s="1"/>
      <c r="FN20" s="1"/>
      <c r="FO20" s="1"/>
      <c r="FP20" s="1"/>
      <c r="FQ20" s="1"/>
    </row>
    <row r="21" spans="1:173" x14ac:dyDescent="0.3">
      <c r="A21" s="1"/>
      <c r="B21" s="33">
        <v>10</v>
      </c>
      <c r="C21" s="129">
        <v>1960956326.0195997</v>
      </c>
      <c r="D21" s="129">
        <v>1987690579.9991994</v>
      </c>
      <c r="E21" s="129">
        <v>1981670430.7872005</v>
      </c>
      <c r="F21" s="129">
        <v>1981457634.970799</v>
      </c>
      <c r="G21" s="129">
        <v>1981306931.8799992</v>
      </c>
      <c r="H21" s="129">
        <v>1981301453.7923989</v>
      </c>
      <c r="I21" s="149">
        <v>1981082476.8827991</v>
      </c>
      <c r="J21" s="122"/>
      <c r="K21" s="130" t="s">
        <v>113</v>
      </c>
      <c r="L21" s="130" t="s">
        <v>113</v>
      </c>
      <c r="M21" s="130" t="s">
        <v>113</v>
      </c>
      <c r="N21" s="130" t="s">
        <v>113</v>
      </c>
      <c r="O21" s="131">
        <f t="shared" si="12"/>
        <v>44.492737169988757</v>
      </c>
      <c r="P21" s="129">
        <v>6689362465.0704079</v>
      </c>
      <c r="Q21" s="129">
        <v>6756256049.2608051</v>
      </c>
      <c r="R21" s="131">
        <f t="shared" si="0"/>
        <v>0.99999939515451608</v>
      </c>
      <c r="S21" s="130" t="s">
        <v>113</v>
      </c>
      <c r="T21" s="130" t="s">
        <v>113</v>
      </c>
      <c r="U21" s="130" t="s">
        <v>113</v>
      </c>
      <c r="V21" s="130" t="s">
        <v>113</v>
      </c>
      <c r="W21" s="132">
        <f t="shared" si="13"/>
        <v>1.3633281779389856</v>
      </c>
      <c r="X21" s="132">
        <f t="shared" si="13"/>
        <v>1.0563273144633023</v>
      </c>
      <c r="Y21" s="132">
        <f t="shared" si="1"/>
        <v>1.045475673236693</v>
      </c>
      <c r="Z21" s="132">
        <f t="shared" si="1"/>
        <v>1.0377904851500286</v>
      </c>
      <c r="AA21" s="132">
        <f t="shared" si="1"/>
        <v>1.0375111270204802</v>
      </c>
      <c r="AB21" s="132">
        <f t="shared" si="14"/>
        <v>1.0263442775021361</v>
      </c>
      <c r="AC21" s="132">
        <f t="shared" si="14"/>
        <v>1.0263442775021361</v>
      </c>
      <c r="AD21" s="130" t="s">
        <v>113</v>
      </c>
      <c r="AE21" s="130" t="s">
        <v>113</v>
      </c>
      <c r="AF21" s="130" t="s">
        <v>113</v>
      </c>
      <c r="AG21" s="130" t="s">
        <v>113</v>
      </c>
      <c r="AH21" s="133">
        <f t="shared" si="2"/>
        <v>1</v>
      </c>
      <c r="AI21" s="134">
        <f t="shared" si="15"/>
        <v>2.6344277502136082E-2</v>
      </c>
      <c r="AJ21" s="134">
        <f t="shared" si="3"/>
        <v>0.31785250470229265</v>
      </c>
      <c r="AK21" s="134">
        <f>IF(W21&gt;1,MAX(MIN(Y21-Z21,W21-AH21-AJ21),0),0)</f>
        <v>7.6851880866644073E-3</v>
      </c>
      <c r="AL21" s="134">
        <f t="shared" si="16"/>
        <v>2.7935812954837935E-4</v>
      </c>
      <c r="AM21" s="134">
        <f t="shared" si="17"/>
        <v>1.1166849518344124E-2</v>
      </c>
      <c r="AN21" s="135">
        <f t="shared" si="28"/>
        <v>0</v>
      </c>
      <c r="AO21" s="134">
        <f t="shared" si="18"/>
        <v>0</v>
      </c>
      <c r="AP21" s="134">
        <f t="shared" si="6"/>
        <v>2.6344277502136082E-2</v>
      </c>
      <c r="AQ21" s="136" t="s">
        <v>113</v>
      </c>
      <c r="AR21" s="137">
        <f t="shared" si="7"/>
        <v>7.2508214616263871</v>
      </c>
      <c r="AS21" s="137">
        <f t="shared" si="7"/>
        <v>87.483582062184624</v>
      </c>
      <c r="AT21" s="137">
        <f t="shared" si="7"/>
        <v>2.1152193948345497</v>
      </c>
      <c r="AU21" s="137">
        <f t="shared" si="7"/>
        <v>7.6888649576552379E-2</v>
      </c>
      <c r="AV21" s="137">
        <f t="shared" si="7"/>
        <v>3.0734884317778937</v>
      </c>
      <c r="AW21" s="138">
        <f t="shared" si="7"/>
        <v>0</v>
      </c>
      <c r="AX21" s="137">
        <f t="shared" si="7"/>
        <v>0</v>
      </c>
      <c r="AY21" s="137">
        <f t="shared" si="7"/>
        <v>7.2508214616263871</v>
      </c>
      <c r="AZ21" s="139" t="s">
        <v>113</v>
      </c>
      <c r="BA21" s="139" t="s">
        <v>113</v>
      </c>
      <c r="BB21" s="139" t="s">
        <v>113</v>
      </c>
      <c r="BC21" s="139" t="s">
        <v>113</v>
      </c>
      <c r="BD21" s="139" t="s">
        <v>113</v>
      </c>
      <c r="BE21" s="139" t="s">
        <v>113</v>
      </c>
      <c r="BF21" s="139" t="s">
        <v>113</v>
      </c>
      <c r="BG21" s="139" t="s">
        <v>113</v>
      </c>
      <c r="BH21" s="140">
        <v>4906901990.2643995</v>
      </c>
      <c r="BI21" s="140">
        <v>1010546230.0848</v>
      </c>
      <c r="BJ21" s="140">
        <v>397405115.06759989</v>
      </c>
      <c r="BK21" s="140">
        <v>374509059.63359988</v>
      </c>
      <c r="BL21" s="141">
        <f t="shared" si="19"/>
        <v>0.73353807141546401</v>
      </c>
      <c r="BM21" s="141">
        <f t="shared" si="20"/>
        <v>0.15106764597363187</v>
      </c>
      <c r="BN21" s="141">
        <f t="shared" si="21"/>
        <v>5.9408519317423782E-2</v>
      </c>
      <c r="BO21" s="141">
        <f t="shared" si="21"/>
        <v>5.5985763293480262E-2</v>
      </c>
      <c r="BP21" s="139" t="s">
        <v>113</v>
      </c>
      <c r="BQ21" s="139" t="s">
        <v>113</v>
      </c>
      <c r="BR21" s="139" t="s">
        <v>113</v>
      </c>
      <c r="BS21" s="131">
        <f t="shared" si="22"/>
        <v>27.585996859253513</v>
      </c>
      <c r="BT21" s="139"/>
      <c r="BU21" s="139"/>
      <c r="BV21" s="139"/>
      <c r="BW21" s="139"/>
      <c r="BX21" s="139"/>
      <c r="BY21" s="139"/>
      <c r="BZ21" s="139"/>
      <c r="CA21" s="139"/>
      <c r="CB21" s="139"/>
      <c r="CC21" s="142" t="s">
        <v>113</v>
      </c>
      <c r="CD21" s="142" t="s">
        <v>113</v>
      </c>
      <c r="CE21" s="142" t="s">
        <v>113</v>
      </c>
      <c r="CF21" s="142" t="s">
        <v>113</v>
      </c>
      <c r="CG21" s="142" t="s">
        <v>113</v>
      </c>
      <c r="CH21" s="142" t="s">
        <v>113</v>
      </c>
      <c r="CI21" s="142" t="s">
        <v>113</v>
      </c>
      <c r="CJ21" s="142"/>
      <c r="CK21" s="139" t="s">
        <v>113</v>
      </c>
      <c r="CL21" s="139" t="s">
        <v>113</v>
      </c>
      <c r="CM21" s="139" t="s">
        <v>113</v>
      </c>
      <c r="CN21" s="139" t="s">
        <v>113</v>
      </c>
      <c r="CO21" s="139" t="s">
        <v>113</v>
      </c>
      <c r="CP21" s="139" t="s">
        <v>113</v>
      </c>
      <c r="CQ21" s="139" t="s">
        <v>113</v>
      </c>
      <c r="CR21" s="139"/>
      <c r="CS21" s="143" t="s">
        <v>113</v>
      </c>
      <c r="CT21" s="143" t="s">
        <v>113</v>
      </c>
      <c r="CU21" s="143" t="s">
        <v>113</v>
      </c>
      <c r="CV21" s="143" t="s">
        <v>113</v>
      </c>
      <c r="CW21" s="143" t="s">
        <v>113</v>
      </c>
      <c r="CX21" s="143" t="s">
        <v>113</v>
      </c>
      <c r="CY21" s="143" t="s">
        <v>113</v>
      </c>
      <c r="CZ21" s="143"/>
      <c r="DA21" s="139" t="s">
        <v>113</v>
      </c>
      <c r="DB21" s="139" t="s">
        <v>113</v>
      </c>
      <c r="DC21" s="139" t="s">
        <v>113</v>
      </c>
      <c r="DD21" s="144">
        <f t="shared" si="23"/>
        <v>0</v>
      </c>
      <c r="DE21" s="145">
        <v>1</v>
      </c>
      <c r="DF21" s="1"/>
      <c r="DG21" s="1"/>
      <c r="DH21" s="1"/>
      <c r="DI21" s="1"/>
      <c r="DJ21" s="1"/>
      <c r="DK21" s="1"/>
      <c r="DL21" s="1"/>
      <c r="DM21" s="1"/>
      <c r="DN21" s="1"/>
      <c r="DO21" s="1"/>
      <c r="DP21" s="1"/>
      <c r="DQ21" s="1"/>
      <c r="DR21" s="1"/>
      <c r="DS21" s="1"/>
      <c r="DT21" s="1"/>
      <c r="DU21" s="1"/>
      <c r="DV21" s="1"/>
      <c r="DW21" s="1"/>
      <c r="DX21" s="1"/>
      <c r="DY21" s="1"/>
      <c r="DZ21" s="1"/>
      <c r="EA21" s="146">
        <v>2354553680.647202</v>
      </c>
      <c r="EB21" s="146">
        <v>2386634273.4755998</v>
      </c>
      <c r="EC21" s="146">
        <v>2378245334.8595996</v>
      </c>
      <c r="ED21" s="147"/>
      <c r="EE21" s="147"/>
      <c r="EF21" s="147"/>
      <c r="EG21" s="129"/>
      <c r="EH21" s="122"/>
      <c r="EI21" s="130" t="s">
        <v>113</v>
      </c>
      <c r="EJ21" s="130" t="s">
        <v>113</v>
      </c>
      <c r="EK21" s="130" t="s">
        <v>113</v>
      </c>
      <c r="EL21" s="130" t="s">
        <v>113</v>
      </c>
      <c r="EM21" s="131">
        <f t="shared" si="9"/>
        <v>45.655718297871047</v>
      </c>
      <c r="EN21" s="146">
        <v>7891185631.0764027</v>
      </c>
      <c r="EO21" s="146">
        <v>7970097440.1371975</v>
      </c>
      <c r="EP21" s="131">
        <f t="shared" si="10"/>
        <v>0.99999940123105535</v>
      </c>
      <c r="EQ21" s="130" t="s">
        <v>113</v>
      </c>
      <c r="ER21" s="130" t="s">
        <v>113</v>
      </c>
      <c r="ES21" s="130" t="s">
        <v>113</v>
      </c>
      <c r="ET21" s="130" t="s">
        <v>113</v>
      </c>
      <c r="EU21" s="131">
        <f t="shared" si="24"/>
        <v>27.541175891389884</v>
      </c>
      <c r="EV21" s="132">
        <f t="shared" si="25"/>
        <v>1.362492276177534</v>
      </c>
      <c r="EW21" s="132">
        <f t="shared" si="26"/>
        <v>1.0062063393568785</v>
      </c>
      <c r="EX21" s="132"/>
      <c r="EY21" s="148">
        <f t="shared" si="11"/>
        <v>-8.3590176145165174E-4</v>
      </c>
      <c r="EZ21" s="144">
        <f t="shared" si="27"/>
        <v>0</v>
      </c>
      <c r="FA21" s="145">
        <v>1</v>
      </c>
      <c r="FB21" s="130" t="s">
        <v>113</v>
      </c>
      <c r="FC21" s="130" t="s">
        <v>113</v>
      </c>
      <c r="FD21" s="130" t="s">
        <v>113</v>
      </c>
      <c r="FE21" s="130" t="s">
        <v>113</v>
      </c>
      <c r="FF21" s="130" t="s">
        <v>113</v>
      </c>
      <c r="FG21" s="130" t="s">
        <v>113</v>
      </c>
      <c r="FH21" s="130" t="s">
        <v>113</v>
      </c>
      <c r="FI21" s="130" t="s">
        <v>113</v>
      </c>
      <c r="FJ21" s="1"/>
      <c r="FK21" s="1"/>
      <c r="FL21" s="1"/>
      <c r="FM21" s="1"/>
      <c r="FN21" s="1"/>
      <c r="FO21" s="1"/>
      <c r="FP21" s="1"/>
      <c r="FQ21" s="1"/>
    </row>
    <row r="22" spans="1:173" ht="13.2" customHeight="1" x14ac:dyDescent="0.3">
      <c r="A22" s="1"/>
      <c r="B22" s="34" t="s">
        <v>114</v>
      </c>
      <c r="C22" s="150">
        <v>4407362753.4480028</v>
      </c>
      <c r="D22" s="150">
        <v>4489903444.6200037</v>
      </c>
      <c r="E22" s="150">
        <v>4451888150.595602</v>
      </c>
      <c r="F22" s="150">
        <v>4457236831.3188124</v>
      </c>
      <c r="G22" s="150">
        <v>4454495303.4096069</v>
      </c>
      <c r="H22" s="150">
        <v>4453546392.0828018</v>
      </c>
      <c r="I22" s="150">
        <v>4452461810.8596039</v>
      </c>
      <c r="J22" s="122"/>
      <c r="K22" s="151">
        <v>4465059995.4827995</v>
      </c>
      <c r="L22" s="151">
        <v>4427720159.2788105</v>
      </c>
      <c r="M22" s="151">
        <v>4410139489.5012112</v>
      </c>
      <c r="N22" s="151">
        <v>4410346983.115202</v>
      </c>
      <c r="O22" s="152" t="s">
        <v>113</v>
      </c>
      <c r="P22" s="150">
        <v>24249123565.11964</v>
      </c>
      <c r="Q22" s="150">
        <v>24491614087.968029</v>
      </c>
      <c r="R22" s="153">
        <f>(Q22/P22-1)*100</f>
        <v>0.99999706050073467</v>
      </c>
      <c r="S22" s="151">
        <v>24416201814.940735</v>
      </c>
      <c r="T22" s="151">
        <v>24308671737.627537</v>
      </c>
      <c r="U22" s="151">
        <v>24257356744.412395</v>
      </c>
      <c r="V22" s="151">
        <v>24256804810.501194</v>
      </c>
      <c r="W22" s="154">
        <f t="shared" si="13"/>
        <v>1.8727964639724985</v>
      </c>
      <c r="X22" s="154">
        <f t="shared" si="13"/>
        <v>1.0102533084104002</v>
      </c>
      <c r="Y22" s="154">
        <f t="shared" si="1"/>
        <v>1.1316115161393911</v>
      </c>
      <c r="Z22" s="154">
        <f t="shared" si="1"/>
        <v>1.0694079689999227</v>
      </c>
      <c r="AA22" s="154">
        <f t="shared" si="1"/>
        <v>1.0478777667175012</v>
      </c>
      <c r="AB22" s="154">
        <f t="shared" si="14"/>
        <v>1.0232692996589521</v>
      </c>
      <c r="AC22" s="154">
        <f t="shared" si="14"/>
        <v>1.0232692996589521</v>
      </c>
      <c r="AD22" s="155">
        <f>(K22/$C22-1) / (S22/$P22-1)</f>
        <v>1.8999946856387637</v>
      </c>
      <c r="AE22" s="155">
        <f>(L22/$C22-1) / (T22/$P22-1)</f>
        <v>1.8809239920002523</v>
      </c>
      <c r="AF22" s="155">
        <f>(M22/$C22-1) / (U22/$P22-1)</f>
        <v>1.855599622654609</v>
      </c>
      <c r="AG22" s="155">
        <f>(N22/$C22-1) / (V22/$P22-1)</f>
        <v>2.1375577352985529</v>
      </c>
      <c r="AH22" s="156">
        <f t="shared" si="2"/>
        <v>1</v>
      </c>
      <c r="AI22" s="155">
        <f t="shared" si="15"/>
        <v>1.0253308410400175E-2</v>
      </c>
      <c r="AJ22" s="155">
        <f t="shared" si="3"/>
        <v>0.7411849478331074</v>
      </c>
      <c r="AK22" s="155">
        <f>IF(W22&gt;1,MAX(MIN(Y22-Z22,W22-AH22-AJ22),0),0)</f>
        <v>6.2203547139468407E-2</v>
      </c>
      <c r="AL22" s="155">
        <f t="shared" si="16"/>
        <v>2.1530202282421529E-2</v>
      </c>
      <c r="AM22" s="155">
        <f t="shared" si="17"/>
        <v>2.4608467058549133E-2</v>
      </c>
      <c r="AN22" s="157">
        <f t="shared" si="28"/>
        <v>0</v>
      </c>
      <c r="AO22" s="155">
        <f t="shared" si="18"/>
        <v>1.3015991248551906E-2</v>
      </c>
      <c r="AP22" s="155">
        <f t="shared" si="6"/>
        <v>2.3269299658952081E-2</v>
      </c>
      <c r="AQ22" s="136" t="s">
        <v>113</v>
      </c>
      <c r="AR22" s="137">
        <f>AI22/($W22-1)*100</f>
        <v>1.174765118058871</v>
      </c>
      <c r="AS22" s="137">
        <f t="shared" si="7"/>
        <v>84.920709286519497</v>
      </c>
      <c r="AT22" s="137">
        <f t="shared" si="7"/>
        <v>7.1269247421502397</v>
      </c>
      <c r="AU22" s="137">
        <f t="shared" si="7"/>
        <v>2.466806772386275</v>
      </c>
      <c r="AV22" s="137">
        <f t="shared" si="7"/>
        <v>2.8194966494874039</v>
      </c>
      <c r="AW22" s="138">
        <f t="shared" si="7"/>
        <v>0</v>
      </c>
      <c r="AX22" s="137">
        <f t="shared" si="7"/>
        <v>1.4912974313977094</v>
      </c>
      <c r="AY22" s="137">
        <f t="shared" si="7"/>
        <v>2.6660625494565804</v>
      </c>
      <c r="AZ22" s="158">
        <v>2.2400000000000002</v>
      </c>
      <c r="BA22" s="158">
        <v>2.2799999999999998</v>
      </c>
      <c r="BB22" s="158">
        <v>1.92</v>
      </c>
      <c r="BC22" s="158">
        <v>1.86</v>
      </c>
      <c r="BD22" s="159">
        <f>W22-AZ22</f>
        <v>-0.36720353602750166</v>
      </c>
      <c r="BE22" s="159">
        <f>AD22-BA22</f>
        <v>-0.38000531436123608</v>
      </c>
      <c r="BF22" s="159">
        <f>AF22-BB22</f>
        <v>-6.4400377345390947E-2</v>
      </c>
      <c r="BG22" s="159">
        <f>AG22-BC22</f>
        <v>0.27755773529855277</v>
      </c>
      <c r="BH22" s="160">
        <v>16702787728.560032</v>
      </c>
      <c r="BI22" s="160">
        <v>5954848662.6275959</v>
      </c>
      <c r="BJ22" s="160">
        <v>823320632.04360008</v>
      </c>
      <c r="BK22" s="160">
        <v>768165432.73439789</v>
      </c>
      <c r="BL22" s="141">
        <f t="shared" si="19"/>
        <v>0.68879967755084304</v>
      </c>
      <c r="BM22" s="141">
        <f t="shared" si="20"/>
        <v>0.24556965611605538</v>
      </c>
      <c r="BN22" s="141">
        <f t="shared" si="21"/>
        <v>3.3952594925390857E-2</v>
      </c>
      <c r="BO22" s="141">
        <f t="shared" si="21"/>
        <v>3.1678071407710603E-2</v>
      </c>
      <c r="BP22" s="159">
        <f>(AD22*BL22+AF22*BN22+AG22*BO22)/(BL22+BN22+BO22)</f>
        <v>1.9079718457696586</v>
      </c>
      <c r="BQ22" s="159">
        <f>W22-BP22</f>
        <v>-3.5175381797160066E-2</v>
      </c>
      <c r="BR22" s="159">
        <f>BP22-AZ22</f>
        <v>-0.3320281542303416</v>
      </c>
      <c r="BS22" s="152" t="s">
        <v>113</v>
      </c>
      <c r="BT22" s="161"/>
      <c r="BU22" s="161"/>
      <c r="BV22" s="161"/>
      <c r="BW22" s="161"/>
      <c r="BX22" s="162"/>
      <c r="BY22" s="162"/>
      <c r="BZ22" s="163"/>
      <c r="CA22" s="164"/>
      <c r="CB22" s="165"/>
      <c r="CC22" s="166"/>
      <c r="CD22" s="166"/>
      <c r="CE22" s="166"/>
      <c r="CF22" s="166"/>
      <c r="CG22" s="167"/>
      <c r="CH22" s="167"/>
      <c r="CI22" s="168"/>
      <c r="CJ22" s="169"/>
      <c r="CK22" s="161">
        <v>0.361142895627585</v>
      </c>
      <c r="CL22" s="161">
        <v>0.306741406398294</v>
      </c>
      <c r="CM22" s="161">
        <v>0.36114290113016301</v>
      </c>
      <c r="CN22" s="161">
        <v>0.30665634191264901</v>
      </c>
      <c r="CO22" s="162">
        <f t="shared" ref="CO22" si="29">(CK22-CL22)/CK22</f>
        <v>0.15063701899701909</v>
      </c>
      <c r="CP22" s="162">
        <f>(CM22-CN22)/CM22</f>
        <v>0.15087257439369123</v>
      </c>
      <c r="CQ22" s="163">
        <f>(CP22-CO22)*100</f>
        <v>2.3555539667213798E-2</v>
      </c>
      <c r="CR22" s="165">
        <f>CN22-CL22</f>
        <v>-8.5064485644992249E-5</v>
      </c>
      <c r="CS22" s="170">
        <f>(SUM(P20:P21))/(SUM(P12:P13))</f>
        <v>7.7461211155433913</v>
      </c>
      <c r="CT22" s="170">
        <f>(SUM(P20:P21)-SUM(C20:C21))/(SUM(P12:P13)-SUM(C12:C13))</f>
        <v>5.7750398189680041</v>
      </c>
      <c r="CU22" s="170">
        <f>(SUM(Q20:Q21))/(SUM(Q12:Q13))</f>
        <v>7.7461212405751576</v>
      </c>
      <c r="CV22" s="170">
        <f>(SUM(Q20:Q21)-SUM(D20:D21))/(SUM(Q12:Q13)-SUM(D12:D13))</f>
        <v>5.7691475417803018</v>
      </c>
      <c r="CW22" s="162">
        <f>(CS22-CT22)/CS22</f>
        <v>0.25446042828070548</v>
      </c>
      <c r="CX22" s="162">
        <f>(CU22-CV22)/CU22</f>
        <v>0.25522111485154902</v>
      </c>
      <c r="CY22" s="163">
        <f>(CX22-CW22)*100</f>
        <v>7.6068657084354951E-2</v>
      </c>
      <c r="CZ22" s="165">
        <f>CV22-CT22</f>
        <v>-5.892277187702355E-3</v>
      </c>
      <c r="DA22" s="171">
        <v>0.25292400154439199</v>
      </c>
      <c r="DB22" s="171">
        <v>0.25056604470354399</v>
      </c>
      <c r="DC22" s="172">
        <f>DB22-DA22</f>
        <v>-2.3579568408479967E-3</v>
      </c>
      <c r="DD22" s="144">
        <f t="shared" si="23"/>
        <v>4.1840421770169449</v>
      </c>
      <c r="DE22" s="145">
        <v>0.95815957822983056</v>
      </c>
      <c r="DF22" s="1"/>
      <c r="DG22" s="1"/>
      <c r="DH22" s="1"/>
      <c r="DI22" s="1"/>
      <c r="DJ22" s="1"/>
      <c r="DK22" s="1"/>
      <c r="DL22" s="1"/>
      <c r="DM22" s="1"/>
      <c r="DN22" s="1"/>
      <c r="DO22" s="1"/>
      <c r="DP22" s="1"/>
      <c r="DQ22" s="1"/>
      <c r="DR22" s="1"/>
      <c r="DS22" s="1"/>
      <c r="DT22" s="1"/>
      <c r="DU22" s="1"/>
      <c r="DV22" s="1"/>
      <c r="DW22" s="1"/>
      <c r="DX22" s="1"/>
      <c r="DY22" s="1"/>
      <c r="DZ22" s="1"/>
      <c r="EA22" s="151">
        <v>5157193377.8051987</v>
      </c>
      <c r="EB22" s="151">
        <v>5258986183.6296024</v>
      </c>
      <c r="EC22" s="151">
        <v>5210395161.0959797</v>
      </c>
      <c r="ED22" s="173"/>
      <c r="EE22" s="173"/>
      <c r="EF22" s="173"/>
      <c r="EG22" s="150"/>
      <c r="EH22" s="123"/>
      <c r="EI22" s="151">
        <v>5229768469.5936098</v>
      </c>
      <c r="EJ22" s="151">
        <v>5180153287.6812096</v>
      </c>
      <c r="EK22" s="151">
        <v>5160203302.3140163</v>
      </c>
      <c r="EL22" s="151">
        <v>5160288207.8976088</v>
      </c>
      <c r="EM22" s="152" t="s">
        <v>113</v>
      </c>
      <c r="EN22" s="151">
        <v>28652319211.771202</v>
      </c>
      <c r="EO22" s="151">
        <v>28938904524.459629</v>
      </c>
      <c r="EP22" s="153">
        <f>(EO22/EN22-1)*100</f>
        <v>1.0002168081761686</v>
      </c>
      <c r="EQ22" s="151">
        <v>28854417432.798035</v>
      </c>
      <c r="ER22" s="151">
        <v>28720676527.674065</v>
      </c>
      <c r="ES22" s="151">
        <v>28660552415.212784</v>
      </c>
      <c r="ET22" s="151">
        <v>28660215040.376411</v>
      </c>
      <c r="EU22" s="152" t="s">
        <v>113</v>
      </c>
      <c r="EV22" s="154">
        <f t="shared" si="25"/>
        <v>1.9733745399896396</v>
      </c>
      <c r="EW22" s="154">
        <f t="shared" si="26"/>
        <v>1.031379808993377</v>
      </c>
      <c r="EX22" s="174">
        <f>EW22-X22</f>
        <v>2.1126500582976826E-2</v>
      </c>
      <c r="EY22" s="175">
        <f t="shared" si="11"/>
        <v>0.10057807601714108</v>
      </c>
      <c r="EZ22" s="144">
        <f t="shared" si="27"/>
        <v>5.7418058558826086</v>
      </c>
      <c r="FA22" s="176">
        <v>0.94258194144117391</v>
      </c>
      <c r="FB22" s="155">
        <f>(EI22/$EA22-1) / (EQ22/$EN22-1)</f>
        <v>1.995131234567999</v>
      </c>
      <c r="FC22" s="155">
        <f>(EJ22/$EA22-1) / (ER22/$EN22-1)</f>
        <v>1.8660855163124692</v>
      </c>
      <c r="FD22" s="155">
        <f>(EK22/$EA22-1) / (ES22/$EN22-1)</f>
        <v>2.0311084875522374</v>
      </c>
      <c r="FE22" s="155">
        <f>(EL22/$EA22-1) / (ET22/$EN22-1)</f>
        <v>2.1776368803792376</v>
      </c>
      <c r="FF22" s="75">
        <f>FB22-AD22</f>
        <v>9.5136548929235287E-2</v>
      </c>
      <c r="FG22" s="75">
        <f>FC22-AE22</f>
        <v>-1.483847568778307E-2</v>
      </c>
      <c r="FH22" s="75">
        <f>FD22-AF22</f>
        <v>0.1755088648976284</v>
      </c>
      <c r="FI22" s="75">
        <f>FE22-AG22</f>
        <v>4.0079145080684775E-2</v>
      </c>
      <c r="FJ22" s="1"/>
      <c r="FK22" s="1"/>
      <c r="FL22" s="1"/>
      <c r="FM22" s="1"/>
      <c r="FN22" s="1"/>
      <c r="FO22" s="1"/>
      <c r="FP22" s="1"/>
      <c r="FQ22" s="1"/>
    </row>
    <row r="23" spans="1:173" x14ac:dyDescent="0.3">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c r="ET23" s="1"/>
      <c r="EU23" s="1"/>
      <c r="EV23" s="1"/>
      <c r="EW23" s="1"/>
      <c r="EX23" s="1"/>
      <c r="EY23" s="1"/>
      <c r="EZ23" s="1"/>
      <c r="FA23" s="1"/>
      <c r="FB23" s="1"/>
      <c r="FC23" s="1"/>
      <c r="FD23" s="1"/>
      <c r="FE23" s="1"/>
      <c r="FF23" s="1"/>
      <c r="FG23" s="1"/>
      <c r="FH23" s="1"/>
      <c r="FI23" s="1"/>
      <c r="FJ23" s="1"/>
      <c r="FK23" s="1"/>
      <c r="FL23" s="1"/>
      <c r="FM23" s="1"/>
      <c r="FN23" s="1"/>
      <c r="FO23" s="1"/>
      <c r="FP23" s="1"/>
      <c r="FQ23" s="1"/>
    </row>
    <row r="24" spans="1:173" x14ac:dyDescent="0.3">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c r="EJ24" s="1"/>
      <c r="EK24" s="1"/>
      <c r="EL24" s="1"/>
      <c r="EM24" s="1"/>
      <c r="EN24" s="1"/>
      <c r="EO24" s="1"/>
      <c r="EP24" s="1"/>
      <c r="EQ24" s="1"/>
      <c r="ER24" s="1"/>
      <c r="ES24" s="1"/>
      <c r="ET24" s="1"/>
      <c r="EU24" s="1"/>
      <c r="EV24" s="1"/>
      <c r="EW24" s="1"/>
      <c r="EX24" s="1"/>
      <c r="EY24" s="1"/>
      <c r="EZ24" s="1"/>
      <c r="FA24" s="1"/>
      <c r="FB24" s="1"/>
      <c r="FC24" s="1"/>
      <c r="FD24" s="1"/>
      <c r="FE24" s="1"/>
      <c r="FF24" s="1"/>
      <c r="FG24" s="1"/>
      <c r="FH24" s="1"/>
      <c r="FI24" s="1"/>
      <c r="FJ24" s="1"/>
      <c r="FK24" s="1"/>
      <c r="FL24" s="1"/>
      <c r="FM24" s="1"/>
      <c r="FN24" s="1"/>
      <c r="FO24" s="1"/>
      <c r="FP24" s="1"/>
      <c r="FQ24" s="1"/>
    </row>
    <row r="25" spans="1:173" x14ac:dyDescent="0.3">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Q25" s="1"/>
    </row>
    <row r="26" spans="1:173" x14ac:dyDescent="0.3">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c r="ER26" s="1"/>
      <c r="ES26" s="1"/>
      <c r="ET26" s="1"/>
      <c r="EU26" s="1"/>
      <c r="EV26" s="1"/>
      <c r="EW26" s="1"/>
      <c r="EX26" s="1"/>
      <c r="EY26" s="1"/>
      <c r="EZ26" s="1"/>
      <c r="FA26" s="1"/>
      <c r="FB26" s="1"/>
      <c r="FC26" s="1"/>
      <c r="FD26" s="1"/>
      <c r="FE26" s="1"/>
      <c r="FF26" s="1"/>
      <c r="FG26" s="1"/>
      <c r="FH26" s="1"/>
      <c r="FI26" s="1"/>
      <c r="FJ26" s="1"/>
      <c r="FK26" s="1"/>
      <c r="FL26" s="1"/>
      <c r="FM26" s="1"/>
      <c r="FN26" s="1"/>
      <c r="FO26" s="1"/>
      <c r="FP26" s="1"/>
      <c r="FQ26" s="1"/>
    </row>
    <row r="27" spans="1:173" x14ac:dyDescent="0.3">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c r="CW27" s="1"/>
      <c r="CX27" s="1"/>
      <c r="CY27" s="1"/>
      <c r="CZ27" s="1"/>
      <c r="DA27" s="1"/>
      <c r="DB27" s="1"/>
      <c r="DC27" s="1"/>
      <c r="DD27" s="1"/>
      <c r="DE27" s="1"/>
      <c r="DF27" s="1"/>
      <c r="DG27" s="1"/>
      <c r="DH27" s="1"/>
      <c r="DI27" s="1"/>
      <c r="DJ27" s="1"/>
      <c r="DK27" s="1"/>
      <c r="DL27" s="1"/>
      <c r="DM27" s="1"/>
      <c r="DN27" s="1"/>
      <c r="DO27" s="1"/>
      <c r="DP27" s="1"/>
      <c r="DQ27" s="1"/>
      <c r="DR27" s="1"/>
      <c r="DS27" s="1"/>
      <c r="DT27" s="1"/>
      <c r="DU27" s="1"/>
      <c r="DV27" s="1"/>
      <c r="DW27" s="1"/>
      <c r="DX27" s="1"/>
      <c r="DY27" s="1"/>
      <c r="DZ27" s="1"/>
      <c r="EA27" s="1"/>
      <c r="EB27" s="1"/>
      <c r="EC27" s="1"/>
      <c r="ED27" s="1"/>
      <c r="EE27" s="1"/>
      <c r="EF27" s="1"/>
      <c r="EG27" s="1"/>
      <c r="EH27" s="1"/>
      <c r="EI27" s="1"/>
      <c r="EJ27" s="1"/>
      <c r="EK27" s="1"/>
      <c r="EL27" s="1"/>
      <c r="EM27" s="1"/>
      <c r="EN27" s="1"/>
      <c r="EO27" s="1"/>
      <c r="EP27" s="1"/>
      <c r="EQ27" s="1"/>
      <c r="ER27" s="1"/>
      <c r="ES27" s="1"/>
      <c r="ET27" s="1"/>
      <c r="EU27" s="1"/>
      <c r="EV27" s="1"/>
      <c r="EW27" s="1"/>
      <c r="EX27" s="1"/>
      <c r="EY27" s="1"/>
      <c r="EZ27" s="1"/>
      <c r="FA27" s="1"/>
      <c r="FB27" s="1"/>
      <c r="FC27" s="1"/>
      <c r="FD27" s="1"/>
      <c r="FE27" s="1"/>
      <c r="FF27" s="1"/>
      <c r="FG27" s="1"/>
      <c r="FH27" s="1"/>
      <c r="FI27" s="1"/>
      <c r="FJ27" s="1"/>
      <c r="FK27" s="1"/>
      <c r="FL27" s="1"/>
      <c r="FM27" s="1"/>
      <c r="FN27" s="1"/>
      <c r="FO27" s="1"/>
      <c r="FP27" s="1"/>
      <c r="FQ27" s="1"/>
    </row>
  </sheetData>
  <pageMargins left="0.7" right="0.7" top="0.75" bottom="0.75" header="0.3" footer="0.3"/>
  <pageSetup paperSize="9" orientation="portrait" r:id="rId1"/>
  <headerFooter>
    <oddHeader>&amp;R&amp;"Arial"&amp;10&amp;K000000 ECB-RESTRICTED&amp;1#_x000D_</oddHeader>
  </headerFooter>
  <legacyDrawing r:id="rId2"/>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E53B3-7726-422A-93EB-23F629BDA40C}">
  <dimension ref="A1:BN121"/>
  <sheetViews>
    <sheetView zoomScale="55" zoomScaleNormal="55" workbookViewId="0">
      <selection activeCell="D8" sqref="D8"/>
    </sheetView>
  </sheetViews>
  <sheetFormatPr baseColWidth="10" defaultColWidth="8.6640625" defaultRowHeight="14.4" x14ac:dyDescent="0.3"/>
  <cols>
    <col min="1" max="1" width="4.33203125" customWidth="1"/>
    <col min="3" max="3" width="17.33203125" customWidth="1"/>
    <col min="4" max="4" width="15.6640625" customWidth="1"/>
    <col min="5" max="5" width="16.33203125" customWidth="1"/>
    <col min="6" max="6" width="15.6640625" customWidth="1"/>
    <col min="7" max="7" width="16" customWidth="1"/>
    <col min="8" max="8" width="19" customWidth="1"/>
    <col min="9" max="12" width="17" customWidth="1"/>
    <col min="13" max="13" width="17.33203125" customWidth="1"/>
    <col min="14" max="18" width="16.33203125" customWidth="1"/>
    <col min="19" max="19" width="17" customWidth="1"/>
    <col min="20" max="33" width="16.33203125" customWidth="1"/>
    <col min="34" max="34" width="14.6640625" customWidth="1"/>
    <col min="35" max="36" width="12.6640625" customWidth="1"/>
    <col min="37" max="37" width="17.33203125" customWidth="1"/>
    <col min="38" max="38" width="12.33203125" customWidth="1"/>
    <col min="39" max="39" width="9.6640625" customWidth="1"/>
    <col min="40" max="42" width="19" customWidth="1"/>
    <col min="43" max="50" width="9.6640625" customWidth="1"/>
    <col min="51" max="59" width="0.5546875" customWidth="1"/>
  </cols>
  <sheetData>
    <row r="1" spans="1:66" ht="15" thickBot="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row>
    <row r="2" spans="1:66" ht="18" customHeight="1" thickBot="1" x14ac:dyDescent="0.35">
      <c r="A2" s="1"/>
      <c r="B2" s="2" t="s">
        <v>654</v>
      </c>
      <c r="C2" s="3"/>
      <c r="D2" s="3"/>
      <c r="E2" s="3"/>
      <c r="F2" s="3"/>
      <c r="G2" s="3"/>
      <c r="H2" s="3"/>
      <c r="I2" s="3"/>
      <c r="J2" s="3"/>
      <c r="K2" s="3"/>
      <c r="L2" s="3"/>
      <c r="M2" s="4"/>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row>
    <row r="3" spans="1:66" ht="18" customHeight="1" x14ac:dyDescent="0.3">
      <c r="A3" s="1"/>
      <c r="B3" s="5" t="s">
        <v>115</v>
      </c>
      <c r="C3" s="6"/>
      <c r="D3" s="6"/>
      <c r="E3" s="6"/>
      <c r="F3" s="6"/>
      <c r="G3" s="6"/>
      <c r="H3" s="6"/>
      <c r="I3" s="6"/>
      <c r="J3" s="6"/>
      <c r="K3" s="6"/>
      <c r="L3" s="6"/>
      <c r="M3" s="7"/>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row>
    <row r="4" spans="1:66" ht="18" customHeight="1" x14ac:dyDescent="0.3">
      <c r="A4" s="1"/>
      <c r="B4" s="99" t="s">
        <v>1</v>
      </c>
      <c r="C4" s="296"/>
      <c r="D4" s="296"/>
      <c r="E4" s="296"/>
      <c r="F4" s="296"/>
      <c r="G4" s="296"/>
      <c r="H4" s="296"/>
      <c r="I4" s="296"/>
      <c r="J4" s="296"/>
      <c r="K4" s="296"/>
      <c r="L4" s="296"/>
      <c r="M4" s="100"/>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row>
    <row r="5" spans="1:66" ht="14.25" customHeight="1" x14ac:dyDescent="0.3">
      <c r="A5" s="1"/>
      <c r="B5" s="293" t="s">
        <v>116</v>
      </c>
      <c r="C5" s="294"/>
      <c r="D5" s="294"/>
      <c r="E5" s="294"/>
      <c r="F5" s="294"/>
      <c r="G5" s="294"/>
      <c r="H5" s="294"/>
      <c r="I5" s="294"/>
      <c r="J5" s="294"/>
      <c r="K5" s="294"/>
      <c r="L5" s="294"/>
      <c r="M5" s="295"/>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row>
    <row r="6" spans="1:66" ht="12.6" customHeight="1" x14ac:dyDescent="0.3">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row>
    <row r="7" spans="1:66" ht="12.6" customHeight="1" x14ac:dyDescent="0.3">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row>
    <row r="8" spans="1:66" ht="17.7" customHeight="1" x14ac:dyDescent="0.3">
      <c r="A8" s="1"/>
      <c r="B8" s="11" t="s">
        <v>2</v>
      </c>
      <c r="C8" s="12" t="s">
        <v>240</v>
      </c>
      <c r="D8" s="12" t="s">
        <v>241</v>
      </c>
      <c r="E8" s="124" t="s">
        <v>523</v>
      </c>
      <c r="F8" s="125"/>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row>
    <row r="9" spans="1:66" ht="10.35" customHeight="1" x14ac:dyDescent="0.3">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row>
    <row r="10" spans="1:66" x14ac:dyDescent="0.3">
      <c r="A10" s="1"/>
      <c r="B10" s="1"/>
      <c r="C10" s="13" t="s">
        <v>6</v>
      </c>
      <c r="D10" s="14"/>
      <c r="E10" s="14"/>
      <c r="F10" s="14"/>
      <c r="G10" s="14"/>
      <c r="H10" s="14"/>
      <c r="I10" s="14"/>
      <c r="J10" s="14"/>
      <c r="K10" s="14"/>
      <c r="L10" s="14"/>
      <c r="M10" s="14"/>
      <c r="N10" s="14"/>
      <c r="O10" s="14"/>
      <c r="P10" s="15" t="s">
        <v>596</v>
      </c>
      <c r="Q10" s="16"/>
      <c r="R10" s="16"/>
      <c r="S10" s="16"/>
      <c r="T10" s="16"/>
      <c r="U10" s="16"/>
      <c r="V10" s="16"/>
      <c r="W10" s="16"/>
      <c r="X10" s="13"/>
      <c r="Y10" s="17"/>
      <c r="Z10" s="17"/>
      <c r="AA10" s="17"/>
      <c r="AB10" s="17"/>
      <c r="AC10" s="17"/>
      <c r="AD10" s="17"/>
      <c r="AE10" s="19"/>
      <c r="AF10" s="16"/>
      <c r="AG10" s="16"/>
      <c r="AH10" s="16"/>
      <c r="AI10" s="16"/>
      <c r="AJ10" s="16"/>
      <c r="AK10" s="1"/>
      <c r="AL10" s="1"/>
      <c r="AM10" s="99" t="s">
        <v>562</v>
      </c>
      <c r="AN10" s="9"/>
      <c r="AO10" s="9"/>
      <c r="AP10" s="9"/>
      <c r="AQ10" s="9"/>
      <c r="AR10" s="9"/>
      <c r="AS10" s="10"/>
      <c r="AT10" s="1"/>
      <c r="AU10" s="1"/>
      <c r="AV10" s="1"/>
      <c r="AW10" s="1"/>
      <c r="AX10" s="1"/>
      <c r="AY10" s="1"/>
      <c r="AZ10" s="1"/>
      <c r="BA10" s="1"/>
      <c r="BB10" s="1"/>
      <c r="BC10" s="1"/>
      <c r="BD10" s="1"/>
      <c r="BE10" s="1"/>
      <c r="BF10" s="1"/>
      <c r="BG10" s="1"/>
      <c r="BH10" s="1"/>
      <c r="BI10" s="1"/>
      <c r="BJ10" s="1"/>
      <c r="BK10" s="1"/>
      <c r="BL10" s="1"/>
      <c r="BM10" s="1"/>
      <c r="BN10" s="1"/>
    </row>
    <row r="11" spans="1:66" ht="78.75" customHeight="1" x14ac:dyDescent="0.3">
      <c r="A11" s="1"/>
      <c r="B11" s="25" t="s">
        <v>20</v>
      </c>
      <c r="C11" s="26" t="s">
        <v>119</v>
      </c>
      <c r="D11" s="27" t="s">
        <v>120</v>
      </c>
      <c r="E11" s="26" t="s">
        <v>121</v>
      </c>
      <c r="F11" s="27" t="s">
        <v>122</v>
      </c>
      <c r="G11" s="27" t="s">
        <v>123</v>
      </c>
      <c r="H11" s="27" t="s">
        <v>124</v>
      </c>
      <c r="I11" s="27" t="s">
        <v>125</v>
      </c>
      <c r="J11" s="27" t="s">
        <v>126</v>
      </c>
      <c r="K11" s="27" t="s">
        <v>127</v>
      </c>
      <c r="L11" s="27"/>
      <c r="M11" s="27"/>
      <c r="N11" s="27"/>
      <c r="O11" s="27"/>
      <c r="P11" s="26" t="s">
        <v>119</v>
      </c>
      <c r="Q11" s="27" t="s">
        <v>120</v>
      </c>
      <c r="R11" s="27" t="s">
        <v>121</v>
      </c>
      <c r="S11" s="27" t="s">
        <v>122</v>
      </c>
      <c r="T11" s="27" t="s">
        <v>123</v>
      </c>
      <c r="U11" s="27" t="s">
        <v>130</v>
      </c>
      <c r="V11" s="27"/>
      <c r="W11" s="27"/>
      <c r="X11" s="27"/>
      <c r="Y11" s="27"/>
      <c r="Z11" s="27"/>
      <c r="AA11" s="27"/>
      <c r="AB11" s="27"/>
      <c r="AC11" s="27"/>
      <c r="AD11" s="27"/>
      <c r="AE11" s="27"/>
      <c r="AF11" s="27"/>
      <c r="AG11" s="27"/>
      <c r="AH11" s="27"/>
      <c r="AI11" s="27"/>
      <c r="AJ11" s="27"/>
      <c r="AK11" s="27" t="s">
        <v>150</v>
      </c>
      <c r="AL11" s="1"/>
      <c r="AM11" s="522" t="s">
        <v>563</v>
      </c>
      <c r="AN11" s="523" t="s">
        <v>568</v>
      </c>
      <c r="AO11" s="523" t="s">
        <v>569</v>
      </c>
      <c r="AP11" s="523" t="s">
        <v>570</v>
      </c>
      <c r="AQ11" s="523" t="s">
        <v>564</v>
      </c>
      <c r="AR11" s="523" t="s">
        <v>565</v>
      </c>
      <c r="AS11" s="523" t="s">
        <v>566</v>
      </c>
      <c r="AT11" s="1"/>
      <c r="AU11" s="1"/>
      <c r="AV11" s="1"/>
      <c r="AW11" s="1"/>
      <c r="AX11" s="1"/>
      <c r="AY11" s="1"/>
      <c r="AZ11" s="1"/>
      <c r="BA11" s="1"/>
      <c r="BB11" s="1"/>
      <c r="BC11" s="1"/>
      <c r="BD11" s="1"/>
      <c r="BE11" s="1"/>
      <c r="BF11" s="1"/>
      <c r="BG11" s="1"/>
      <c r="BH11" s="1"/>
      <c r="BI11" s="1"/>
      <c r="BJ11" s="1"/>
      <c r="BK11" s="1"/>
      <c r="BL11" s="1"/>
      <c r="BM11" s="1"/>
      <c r="BN11" s="1"/>
    </row>
    <row r="12" spans="1:66" x14ac:dyDescent="0.3">
      <c r="A12" s="1"/>
      <c r="B12" s="28">
        <v>1</v>
      </c>
      <c r="C12" s="129">
        <v>5818594.6716000009</v>
      </c>
      <c r="D12" s="129">
        <v>-14629669.457999999</v>
      </c>
      <c r="E12" s="129">
        <v>-14022187.345199995</v>
      </c>
      <c r="F12" s="129">
        <v>-33247227.866400015</v>
      </c>
      <c r="G12" s="129">
        <v>-38456259.065999985</v>
      </c>
      <c r="H12" s="129">
        <v>7967582.4311999939</v>
      </c>
      <c r="I12" s="129">
        <v>-7634806.9524000064</v>
      </c>
      <c r="J12" s="129">
        <v>-4396869.4980000015</v>
      </c>
      <c r="K12" s="129">
        <v>-5244114.8759999964</v>
      </c>
      <c r="L12" s="139"/>
      <c r="M12" s="139"/>
      <c r="N12" s="139"/>
      <c r="O12" s="139"/>
      <c r="P12" s="129">
        <v>412594158.77999985</v>
      </c>
      <c r="Q12" s="129">
        <v>419478090.93959999</v>
      </c>
      <c r="R12" s="129">
        <v>440517747.3348</v>
      </c>
      <c r="S12" s="129">
        <v>460978344.17279983</v>
      </c>
      <c r="T12" s="129">
        <v>486348285.61679995</v>
      </c>
      <c r="U12" s="209">
        <f t="shared" ref="U12:U22" si="0">T12/P12-1</f>
        <v>0.17875707948673769</v>
      </c>
      <c r="V12" s="139">
        <v>534983126.9951998</v>
      </c>
      <c r="W12" s="209"/>
      <c r="X12" s="132"/>
      <c r="Y12" s="132"/>
      <c r="Z12" s="132"/>
      <c r="AA12" s="132"/>
      <c r="AB12" s="132"/>
      <c r="AC12" s="132"/>
      <c r="AD12" s="132"/>
      <c r="AE12" s="139"/>
      <c r="AF12" s="139"/>
      <c r="AG12" s="139"/>
      <c r="AH12" s="139"/>
      <c r="AI12" s="139"/>
      <c r="AJ12" s="139"/>
      <c r="AK12" s="408">
        <v>-32041163.200799994</v>
      </c>
      <c r="AL12" s="1"/>
      <c r="AM12" s="32" cm="1">
        <f t="array" aca="1" ref="AM12" ca="1">INDIRECT("'1"&amp;$C$8&amp;"'!W12")</f>
        <v>-0.70865843757807334</v>
      </c>
      <c r="AN12" s="524">
        <f t="shared" ref="AN12:AN21" ca="1" si="1">C12+C12*U12*AM12</f>
        <v>5081508.407734612</v>
      </c>
      <c r="AO12" s="524">
        <f t="shared" ref="AO12:AO21" ca="1" si="2">C12+C12*U$22*AM12</f>
        <v>5069861.6220287113</v>
      </c>
      <c r="AP12" s="524">
        <f t="shared" ref="AP12:AP21" ca="1" si="3">C12+C12*AR12*AM12</f>
        <v>5081508.407734612</v>
      </c>
      <c r="AQ12" s="525">
        <f t="shared" ref="AQ12:AQ21" si="4">U12</f>
        <v>0.17875707948673769</v>
      </c>
      <c r="AR12" s="344">
        <f>AQ12</f>
        <v>0.17875707948673769</v>
      </c>
      <c r="AS12" s="41">
        <f>P12/P$22</f>
        <v>1.7014807057747952E-2</v>
      </c>
      <c r="AT12" s="1"/>
      <c r="AU12" s="1"/>
      <c r="AV12" s="1"/>
      <c r="AW12" s="1"/>
      <c r="AX12" s="1"/>
      <c r="AY12" s="1"/>
      <c r="AZ12" s="1"/>
      <c r="BA12" s="1"/>
      <c r="BB12" s="1"/>
      <c r="BC12" s="1"/>
      <c r="BD12" s="1"/>
      <c r="BE12" s="1"/>
      <c r="BF12" s="1"/>
      <c r="BG12" s="1"/>
      <c r="BH12" s="1"/>
      <c r="BI12" s="1"/>
      <c r="BJ12" s="1"/>
      <c r="BK12" s="1"/>
      <c r="BL12" s="1"/>
      <c r="BM12" s="1"/>
      <c r="BN12" s="1"/>
    </row>
    <row r="13" spans="1:66" x14ac:dyDescent="0.3">
      <c r="A13" s="1"/>
      <c r="B13" s="28">
        <v>2</v>
      </c>
      <c r="C13" s="129">
        <v>15677750.686800003</v>
      </c>
      <c r="D13" s="129">
        <v>13141059.629999995</v>
      </c>
      <c r="E13" s="129">
        <v>17800510.720799983</v>
      </c>
      <c r="F13" s="129">
        <v>-1694856.2327999992</v>
      </c>
      <c r="G13" s="129">
        <v>-7165573.4364000047</v>
      </c>
      <c r="H13" s="129">
        <v>42932561.378399968</v>
      </c>
      <c r="I13" s="129">
        <v>15319456.891200002</v>
      </c>
      <c r="J13" s="129">
        <v>20958259.595999993</v>
      </c>
      <c r="K13" s="129">
        <v>18996695.161200024</v>
      </c>
      <c r="L13" s="139"/>
      <c r="M13" s="139"/>
      <c r="N13" s="139"/>
      <c r="O13" s="139"/>
      <c r="P13" s="129">
        <v>951793692.93360078</v>
      </c>
      <c r="Q13" s="129">
        <v>966917949.42240024</v>
      </c>
      <c r="R13" s="129">
        <v>1017518855.5979998</v>
      </c>
      <c r="S13" s="129">
        <v>1066362926.8332</v>
      </c>
      <c r="T13" s="129">
        <v>1128483723.9756007</v>
      </c>
      <c r="U13" s="209">
        <f t="shared" si="0"/>
        <v>0.18563900176456216</v>
      </c>
      <c r="V13" s="139">
        <v>1241332281.414001</v>
      </c>
      <c r="W13" s="209"/>
      <c r="X13" s="132"/>
      <c r="Y13" s="132"/>
      <c r="Z13" s="132"/>
      <c r="AA13" s="132"/>
      <c r="AB13" s="132"/>
      <c r="AC13" s="132"/>
      <c r="AD13" s="132"/>
      <c r="AE13" s="139"/>
      <c r="AF13" s="139"/>
      <c r="AG13" s="139"/>
      <c r="AH13" s="139"/>
      <c r="AI13" s="139"/>
      <c r="AJ13" s="139"/>
      <c r="AK13" s="408">
        <v>-1285654.2300000007</v>
      </c>
      <c r="AL13" s="1"/>
      <c r="AM13" s="32" cm="1">
        <f t="array" aca="1" ref="AM13" ca="1">INDIRECT("'1"&amp;$C$8&amp;"'!W13")</f>
        <v>7.5481019628528223</v>
      </c>
      <c r="AN13" s="524">
        <f t="shared" ca="1" si="1"/>
        <v>37645761.640669473</v>
      </c>
      <c r="AO13" s="524">
        <f t="shared" ca="1" si="2"/>
        <v>37165624.666789472</v>
      </c>
      <c r="AP13" s="524">
        <f t="shared" ca="1" si="3"/>
        <v>37645761.640669473</v>
      </c>
      <c r="AQ13" s="525">
        <f t="shared" si="4"/>
        <v>0.18563900176456216</v>
      </c>
      <c r="AR13" s="344">
        <f t="shared" ref="AR13:AR18" si="5">AQ13</f>
        <v>0.18563900176456216</v>
      </c>
      <c r="AS13" s="41">
        <f t="shared" ref="AS13:AS21" si="6">P13/P$22</f>
        <v>3.9250643033659049E-2</v>
      </c>
      <c r="AT13" s="1"/>
      <c r="AU13" s="1"/>
      <c r="AV13" s="1"/>
      <c r="AW13" s="1"/>
      <c r="AX13" s="1"/>
      <c r="AY13" s="1"/>
      <c r="AZ13" s="1"/>
      <c r="BA13" s="1"/>
      <c r="BB13" s="1"/>
      <c r="BC13" s="1"/>
      <c r="BD13" s="1"/>
      <c r="BE13" s="1"/>
      <c r="BF13" s="1"/>
      <c r="BG13" s="1"/>
      <c r="BH13" s="1"/>
      <c r="BI13" s="1"/>
      <c r="BJ13" s="1"/>
      <c r="BK13" s="1"/>
      <c r="BL13" s="1"/>
      <c r="BM13" s="1"/>
      <c r="BN13" s="1"/>
    </row>
    <row r="14" spans="1:66" x14ac:dyDescent="0.3">
      <c r="A14" s="1"/>
      <c r="B14" s="28">
        <v>3</v>
      </c>
      <c r="C14" s="129">
        <v>56253785.41080004</v>
      </c>
      <c r="D14" s="129">
        <v>59085117.060000017</v>
      </c>
      <c r="E14" s="129">
        <v>71123121.673199907</v>
      </c>
      <c r="F14" s="129">
        <v>58945671.7368</v>
      </c>
      <c r="G14" s="129">
        <v>47963174.714400001</v>
      </c>
      <c r="H14" s="129">
        <v>109607334.57239994</v>
      </c>
      <c r="I14" s="129">
        <v>66683364.169199914</v>
      </c>
      <c r="J14" s="129">
        <v>76646903.984399974</v>
      </c>
      <c r="K14" s="129">
        <v>73438229.582400054</v>
      </c>
      <c r="L14" s="139"/>
      <c r="M14" s="139"/>
      <c r="N14" s="139"/>
      <c r="O14" s="139"/>
      <c r="P14" s="129">
        <v>1254712748.598001</v>
      </c>
      <c r="Q14" s="129">
        <v>1275162674.4887996</v>
      </c>
      <c r="R14" s="129">
        <v>1341337868.9340012</v>
      </c>
      <c r="S14" s="129">
        <v>1406574281.5284007</v>
      </c>
      <c r="T14" s="129">
        <v>1489460692.8923998</v>
      </c>
      <c r="U14" s="209">
        <f t="shared" si="0"/>
        <v>0.18709297770083477</v>
      </c>
      <c r="V14" s="139">
        <v>1638406777.6907992</v>
      </c>
      <c r="W14" s="209"/>
      <c r="X14" s="132"/>
      <c r="Y14" s="132"/>
      <c r="Z14" s="132"/>
      <c r="AA14" s="132"/>
      <c r="AB14" s="132"/>
      <c r="AC14" s="132"/>
      <c r="AD14" s="132"/>
      <c r="AE14" s="139"/>
      <c r="AF14" s="139"/>
      <c r="AG14" s="139"/>
      <c r="AH14" s="139"/>
      <c r="AI14" s="139"/>
      <c r="AJ14" s="139"/>
      <c r="AK14" s="408">
        <v>55977088.434000045</v>
      </c>
      <c r="AL14" s="1"/>
      <c r="AM14" s="32" cm="1">
        <f t="array" aca="1" ref="AM14" ca="1">INDIRECT("'1"&amp;$C$8&amp;"'!W14")</f>
        <v>4.6976017993460104</v>
      </c>
      <c r="AN14" s="524">
        <f t="shared" ca="1" si="1"/>
        <v>105694579.72804579</v>
      </c>
      <c r="AO14" s="524">
        <f t="shared" ca="1" si="2"/>
        <v>104238165.52192259</v>
      </c>
      <c r="AP14" s="524">
        <f t="shared" ca="1" si="3"/>
        <v>105694579.72804579</v>
      </c>
      <c r="AQ14" s="525">
        <f t="shared" si="4"/>
        <v>0.18709297770083477</v>
      </c>
      <c r="AR14" s="344">
        <f t="shared" si="5"/>
        <v>0.18709297770083477</v>
      </c>
      <c r="AS14" s="41">
        <f t="shared" si="6"/>
        <v>5.1742601963676804E-2</v>
      </c>
      <c r="AT14" s="1"/>
      <c r="AU14" s="1"/>
      <c r="AV14" s="1"/>
      <c r="AW14" s="1"/>
      <c r="AX14" s="1"/>
      <c r="AY14" s="1"/>
      <c r="AZ14" s="1"/>
      <c r="BA14" s="1"/>
      <c r="BB14" s="1"/>
      <c r="BC14" s="1"/>
      <c r="BD14" s="1"/>
      <c r="BE14" s="1"/>
      <c r="BF14" s="1"/>
      <c r="BG14" s="1"/>
      <c r="BH14" s="1"/>
      <c r="BI14" s="1"/>
      <c r="BJ14" s="1"/>
      <c r="BK14" s="1"/>
      <c r="BL14" s="1"/>
      <c r="BM14" s="1"/>
      <c r="BN14" s="1"/>
    </row>
    <row r="15" spans="1:66" x14ac:dyDescent="0.3">
      <c r="A15" s="1"/>
      <c r="B15" s="28">
        <v>4</v>
      </c>
      <c r="C15" s="129">
        <v>111662522.646</v>
      </c>
      <c r="D15" s="129">
        <v>117639464.01600002</v>
      </c>
      <c r="E15" s="129">
        <v>136391883.40919998</v>
      </c>
      <c r="F15" s="129">
        <v>131921035.46640006</v>
      </c>
      <c r="G15" s="129">
        <v>99785100.748799995</v>
      </c>
      <c r="H15" s="129">
        <v>192257094.28560013</v>
      </c>
      <c r="I15" s="129">
        <v>134276975.50200018</v>
      </c>
      <c r="J15" s="129">
        <v>146699052.48480001</v>
      </c>
      <c r="K15" s="129">
        <v>142455729.06720009</v>
      </c>
      <c r="L15" s="139"/>
      <c r="M15" s="139"/>
      <c r="N15" s="139"/>
      <c r="O15" s="139"/>
      <c r="P15" s="129">
        <v>1530383855.5776</v>
      </c>
      <c r="Q15" s="129">
        <v>1553063141.5763993</v>
      </c>
      <c r="R15" s="129">
        <v>1635312339.3839989</v>
      </c>
      <c r="S15" s="129">
        <v>1713234990.0119998</v>
      </c>
      <c r="T15" s="129">
        <v>1812992368.7567997</v>
      </c>
      <c r="U15" s="209">
        <f t="shared" si="0"/>
        <v>0.18466511663019158</v>
      </c>
      <c r="V15" s="139">
        <v>1994291679.0696008</v>
      </c>
      <c r="W15" s="209"/>
      <c r="X15" s="132"/>
      <c r="Y15" s="132"/>
      <c r="Z15" s="132"/>
      <c r="AA15" s="132"/>
      <c r="AB15" s="132"/>
      <c r="AC15" s="132"/>
      <c r="AD15" s="132"/>
      <c r="AE15" s="139"/>
      <c r="AF15" s="139"/>
      <c r="AG15" s="139"/>
      <c r="AH15" s="139"/>
      <c r="AI15" s="139"/>
      <c r="AJ15" s="139"/>
      <c r="AK15" s="408">
        <v>125198414.68319988</v>
      </c>
      <c r="AL15" s="1"/>
      <c r="AM15" s="32" cm="1">
        <f t="array" aca="1" ref="AM15" ca="1">INDIRECT("'1"&amp;$C$8&amp;"'!W15")</f>
        <v>3.5095736152714343</v>
      </c>
      <c r="AN15" s="524">
        <f t="shared" ca="1" si="1"/>
        <v>184030536.93366542</v>
      </c>
      <c r="AO15" s="524">
        <f t="shared" ca="1" si="2"/>
        <v>182822160.26876771</v>
      </c>
      <c r="AP15" s="524">
        <f t="shared" ca="1" si="3"/>
        <v>184030536.93366542</v>
      </c>
      <c r="AQ15" s="525">
        <f t="shared" si="4"/>
        <v>0.18466511663019158</v>
      </c>
      <c r="AR15" s="344">
        <f t="shared" si="5"/>
        <v>0.18466511663019158</v>
      </c>
      <c r="AS15" s="41">
        <f t="shared" si="6"/>
        <v>6.3110893532619491E-2</v>
      </c>
      <c r="AT15" s="1"/>
      <c r="AU15" s="1"/>
      <c r="AV15" s="1"/>
      <c r="AW15" s="1"/>
      <c r="AX15" s="1"/>
      <c r="AY15" s="1"/>
      <c r="AZ15" s="1"/>
      <c r="BA15" s="1"/>
      <c r="BB15" s="1"/>
      <c r="BC15" s="1"/>
      <c r="BD15" s="1"/>
      <c r="BE15" s="1"/>
      <c r="BF15" s="1"/>
      <c r="BG15" s="1"/>
      <c r="BH15" s="1"/>
      <c r="BI15" s="1"/>
      <c r="BJ15" s="1"/>
      <c r="BK15" s="1"/>
      <c r="BL15" s="1"/>
      <c r="BM15" s="1"/>
      <c r="BN15" s="1"/>
    </row>
    <row r="16" spans="1:66" x14ac:dyDescent="0.3">
      <c r="A16" s="1"/>
      <c r="B16" s="28">
        <v>5</v>
      </c>
      <c r="C16" s="129">
        <v>180422120.1839999</v>
      </c>
      <c r="D16" s="129">
        <v>189289573.29240006</v>
      </c>
      <c r="E16" s="129">
        <v>214908510.12720001</v>
      </c>
      <c r="F16" s="129">
        <v>218757767.6784001</v>
      </c>
      <c r="G16" s="129">
        <v>205359704.55600005</v>
      </c>
      <c r="H16" s="129">
        <v>283904297.30520016</v>
      </c>
      <c r="I16" s="129">
        <v>212899992.82080013</v>
      </c>
      <c r="J16" s="129">
        <v>229016668.7951999</v>
      </c>
      <c r="K16" s="129">
        <v>223781742.98879999</v>
      </c>
      <c r="L16" s="139"/>
      <c r="M16" s="139"/>
      <c r="N16" s="139"/>
      <c r="O16" s="139"/>
      <c r="P16" s="129">
        <v>1810253098.5083995</v>
      </c>
      <c r="Q16" s="129">
        <v>1840181082.2195988</v>
      </c>
      <c r="R16" s="129">
        <v>1932873148.0320001</v>
      </c>
      <c r="S16" s="129">
        <v>2023440827.5811992</v>
      </c>
      <c r="T16" s="129">
        <v>2136963775.131598</v>
      </c>
      <c r="U16" s="209">
        <f t="shared" si="0"/>
        <v>0.18047789941218695</v>
      </c>
      <c r="V16" s="139">
        <v>2350660287.9684005</v>
      </c>
      <c r="W16" s="209"/>
      <c r="X16" s="132"/>
      <c r="Y16" s="132"/>
      <c r="Z16" s="132"/>
      <c r="AA16" s="132"/>
      <c r="AB16" s="132"/>
      <c r="AC16" s="132"/>
      <c r="AD16" s="132"/>
      <c r="AE16" s="139"/>
      <c r="AF16" s="139"/>
      <c r="AG16" s="139"/>
      <c r="AH16" s="139"/>
      <c r="AI16" s="139"/>
      <c r="AJ16" s="139"/>
      <c r="AK16" s="408">
        <v>219354761.79360017</v>
      </c>
      <c r="AL16" s="1"/>
      <c r="AM16" s="32" cm="1">
        <f t="array" aca="1" ref="AM16" ca="1">INDIRECT("'1"&amp;$C$8&amp;"'!W16")</f>
        <v>2.8736736602673778</v>
      </c>
      <c r="AN16" s="524">
        <f t="shared" ca="1" si="1"/>
        <v>273995271.75500065</v>
      </c>
      <c r="AO16" s="524">
        <f t="shared" ca="1" si="2"/>
        <v>274567533.3294605</v>
      </c>
      <c r="AP16" s="524">
        <f t="shared" ca="1" si="3"/>
        <v>273995271.75500065</v>
      </c>
      <c r="AQ16" s="525">
        <f t="shared" si="4"/>
        <v>0.18047789941218695</v>
      </c>
      <c r="AR16" s="344">
        <f t="shared" si="5"/>
        <v>0.18047789941218695</v>
      </c>
      <c r="AS16" s="41">
        <f t="shared" si="6"/>
        <v>7.4652310366890906E-2</v>
      </c>
      <c r="AT16" s="1"/>
      <c r="AU16" s="1"/>
      <c r="AV16" s="1"/>
      <c r="AW16" s="1"/>
      <c r="AX16" s="1"/>
      <c r="AY16" s="1"/>
      <c r="AZ16" s="1"/>
      <c r="BA16" s="1"/>
      <c r="BB16" s="1"/>
      <c r="BC16" s="1"/>
      <c r="BD16" s="1"/>
      <c r="BE16" s="1"/>
      <c r="BF16" s="1"/>
      <c r="BG16" s="1"/>
      <c r="BH16" s="1"/>
      <c r="BI16" s="1"/>
      <c r="BJ16" s="1"/>
      <c r="BK16" s="1"/>
      <c r="BL16" s="1"/>
      <c r="BM16" s="1"/>
      <c r="BN16" s="1"/>
    </row>
    <row r="17" spans="1:66" x14ac:dyDescent="0.3">
      <c r="A17" s="1"/>
      <c r="B17" s="28">
        <v>6</v>
      </c>
      <c r="C17" s="129">
        <v>270398131.58999979</v>
      </c>
      <c r="D17" s="129">
        <v>282020920.91159987</v>
      </c>
      <c r="E17" s="129">
        <v>317995044.89159977</v>
      </c>
      <c r="F17" s="129">
        <v>332516130.97199988</v>
      </c>
      <c r="G17" s="129">
        <v>307610988.97560018</v>
      </c>
      <c r="H17" s="129">
        <v>407296362.36119986</v>
      </c>
      <c r="I17" s="129">
        <v>319100368.52639997</v>
      </c>
      <c r="J17" s="129">
        <v>339136900.50719988</v>
      </c>
      <c r="K17" s="129">
        <v>332521572.43439996</v>
      </c>
      <c r="L17" s="139"/>
      <c r="M17" s="139"/>
      <c r="N17" s="139"/>
      <c r="O17" s="139"/>
      <c r="P17" s="129">
        <v>2171649564.0875983</v>
      </c>
      <c r="Q17" s="129">
        <v>2205125267.8751974</v>
      </c>
      <c r="R17" s="129">
        <v>2318938789.7940025</v>
      </c>
      <c r="S17" s="129">
        <v>2426655176.2200003</v>
      </c>
      <c r="T17" s="129">
        <v>2562461813.8163991</v>
      </c>
      <c r="U17" s="209">
        <f t="shared" si="0"/>
        <v>0.17996101037277512</v>
      </c>
      <c r="V17" s="139">
        <v>2818702736.3508005</v>
      </c>
      <c r="W17" s="209"/>
      <c r="X17" s="132"/>
      <c r="Y17" s="132"/>
      <c r="Z17" s="132"/>
      <c r="AA17" s="132"/>
      <c r="AB17" s="132"/>
      <c r="AC17" s="132"/>
      <c r="AD17" s="132"/>
      <c r="AE17" s="139"/>
      <c r="AF17" s="139"/>
      <c r="AG17" s="139"/>
      <c r="AH17" s="139"/>
      <c r="AI17" s="139"/>
      <c r="AJ17" s="139"/>
      <c r="AK17" s="408">
        <v>330050867.52480018</v>
      </c>
      <c r="AL17" s="1"/>
      <c r="AM17" s="32" cm="1">
        <f t="array" aca="1" ref="AM17" ca="1">INDIRECT("'1"&amp;$C$8&amp;"'!W17")</f>
        <v>2.6768850099337183</v>
      </c>
      <c r="AN17" s="524">
        <f t="shared" ca="1" si="1"/>
        <v>400658356.86469316</v>
      </c>
      <c r="AO17" s="524">
        <f t="shared" ca="1" si="2"/>
        <v>401831409.25765908</v>
      </c>
      <c r="AP17" s="524">
        <f t="shared" ca="1" si="3"/>
        <v>400658356.86469316</v>
      </c>
      <c r="AQ17" s="525">
        <f t="shared" si="4"/>
        <v>0.17996101037277512</v>
      </c>
      <c r="AR17" s="344">
        <f t="shared" si="5"/>
        <v>0.17996101037277512</v>
      </c>
      <c r="AS17" s="41">
        <f t="shared" si="6"/>
        <v>8.9555796037566346E-2</v>
      </c>
      <c r="AT17" s="1"/>
      <c r="AU17" s="1"/>
      <c r="AV17" s="1"/>
      <c r="AW17" s="1"/>
      <c r="AX17" s="1"/>
      <c r="AY17" s="1"/>
      <c r="AZ17" s="1"/>
      <c r="BA17" s="1"/>
      <c r="BB17" s="1"/>
      <c r="BC17" s="1"/>
      <c r="BD17" s="1"/>
      <c r="BE17" s="1"/>
      <c r="BF17" s="1"/>
      <c r="BG17" s="1"/>
      <c r="BH17" s="1"/>
      <c r="BI17" s="1"/>
      <c r="BJ17" s="1"/>
      <c r="BK17" s="1"/>
      <c r="BL17" s="1"/>
      <c r="BM17" s="1"/>
      <c r="BN17" s="1"/>
    </row>
    <row r="18" spans="1:66" x14ac:dyDescent="0.3">
      <c r="A18" s="1"/>
      <c r="B18" s="28">
        <v>7</v>
      </c>
      <c r="C18" s="129">
        <v>385250476.71719962</v>
      </c>
      <c r="D18" s="129">
        <v>398515257.38279998</v>
      </c>
      <c r="E18" s="129">
        <v>445229981.11679959</v>
      </c>
      <c r="F18" s="129">
        <v>473511930.16200018</v>
      </c>
      <c r="G18" s="129">
        <v>459361954.38479948</v>
      </c>
      <c r="H18" s="129">
        <v>553303652.69880021</v>
      </c>
      <c r="I18" s="129">
        <v>457251490.31039983</v>
      </c>
      <c r="J18" s="129">
        <v>479822909.79839993</v>
      </c>
      <c r="K18" s="129">
        <v>472387947.33600008</v>
      </c>
      <c r="L18" s="139"/>
      <c r="M18" s="139"/>
      <c r="N18" s="139"/>
      <c r="O18" s="139"/>
      <c r="P18" s="129">
        <v>2512970994.4223986</v>
      </c>
      <c r="Q18" s="129">
        <v>2548225305.9227991</v>
      </c>
      <c r="R18" s="129">
        <v>2682956712.4656014</v>
      </c>
      <c r="S18" s="129">
        <v>2809209079.166399</v>
      </c>
      <c r="T18" s="129">
        <v>2971563599.0795994</v>
      </c>
      <c r="U18" s="209">
        <f t="shared" si="0"/>
        <v>0.18249021006412658</v>
      </c>
      <c r="V18" s="139">
        <v>3268720180.2000003</v>
      </c>
      <c r="W18" s="209"/>
      <c r="X18" s="132"/>
      <c r="Y18" s="132"/>
      <c r="Z18" s="132"/>
      <c r="AA18" s="132"/>
      <c r="AB18" s="132"/>
      <c r="AC18" s="132"/>
      <c r="AD18" s="132"/>
      <c r="AE18" s="139"/>
      <c r="AF18" s="139"/>
      <c r="AG18" s="139"/>
      <c r="AH18" s="139"/>
      <c r="AI18" s="139"/>
      <c r="AJ18" s="139"/>
      <c r="AK18" s="408">
        <v>471672076.76759982</v>
      </c>
      <c r="AL18" s="1"/>
      <c r="AM18" s="32" cm="1">
        <f t="array" aca="1" ref="AM18" ca="1">INDIRECT("'1"&amp;$C$8&amp;"'!W18")</f>
        <v>2.4574731350534349</v>
      </c>
      <c r="AN18" s="524">
        <f t="shared" ca="1" si="1"/>
        <v>558021750.3327353</v>
      </c>
      <c r="AO18" s="524">
        <f t="shared" ca="1" si="2"/>
        <v>557161569.08513343</v>
      </c>
      <c r="AP18" s="524">
        <f t="shared" ca="1" si="3"/>
        <v>558021750.3327353</v>
      </c>
      <c r="AQ18" s="525">
        <f t="shared" si="4"/>
        <v>0.18249021006412658</v>
      </c>
      <c r="AR18" s="344">
        <f t="shared" si="5"/>
        <v>0.18249021006412658</v>
      </c>
      <c r="AS18" s="41">
        <f t="shared" si="6"/>
        <v>0.10363141528286406</v>
      </c>
      <c r="AT18" s="1"/>
      <c r="AU18" s="1"/>
      <c r="AV18" s="1"/>
      <c r="AW18" s="1"/>
      <c r="AX18" s="1"/>
      <c r="AY18" s="1"/>
      <c r="AZ18" s="1"/>
      <c r="BA18" s="1"/>
      <c r="BB18" s="1"/>
      <c r="BC18" s="1"/>
      <c r="BD18" s="1"/>
      <c r="BE18" s="1"/>
      <c r="BF18" s="1"/>
      <c r="BG18" s="1"/>
      <c r="BH18" s="1"/>
      <c r="BI18" s="1"/>
      <c r="BJ18" s="1"/>
      <c r="BK18" s="1"/>
      <c r="BL18" s="1"/>
      <c r="BM18" s="1"/>
      <c r="BN18" s="1"/>
    </row>
    <row r="19" spans="1:66" x14ac:dyDescent="0.3">
      <c r="A19" s="1"/>
      <c r="B19" s="28">
        <v>8</v>
      </c>
      <c r="C19" s="129">
        <v>568417745.34720004</v>
      </c>
      <c r="D19" s="129">
        <v>584128576.23599982</v>
      </c>
      <c r="E19" s="129">
        <v>643964438.03519928</v>
      </c>
      <c r="F19" s="129">
        <v>684738410.54759979</v>
      </c>
      <c r="G19" s="129">
        <v>692088211.89119911</v>
      </c>
      <c r="H19" s="129">
        <v>776391674.18520021</v>
      </c>
      <c r="I19" s="129">
        <v>673266254.92440009</v>
      </c>
      <c r="J19" s="129">
        <v>698107477.00680017</v>
      </c>
      <c r="K19" s="129">
        <v>690047099.0880003</v>
      </c>
      <c r="L19" s="139"/>
      <c r="M19" s="139"/>
      <c r="N19" s="139"/>
      <c r="O19" s="139"/>
      <c r="P19" s="129">
        <v>3036051904.2624016</v>
      </c>
      <c r="Q19" s="129">
        <v>3077911992.5795994</v>
      </c>
      <c r="R19" s="129">
        <v>3241250534.3700008</v>
      </c>
      <c r="S19" s="129">
        <v>3393480320.614799</v>
      </c>
      <c r="T19" s="129">
        <v>3589985738.6232014</v>
      </c>
      <c r="U19" s="209">
        <f t="shared" si="0"/>
        <v>0.182452030409334</v>
      </c>
      <c r="V19" s="139">
        <v>3948377694.5532031</v>
      </c>
      <c r="W19" s="209"/>
      <c r="X19" s="132"/>
      <c r="Y19" s="132"/>
      <c r="Z19" s="132"/>
      <c r="AA19" s="132"/>
      <c r="AB19" s="132"/>
      <c r="AC19" s="132"/>
      <c r="AD19" s="132"/>
      <c r="AE19" s="139"/>
      <c r="AF19" s="139"/>
      <c r="AG19" s="139"/>
      <c r="AH19" s="139"/>
      <c r="AI19" s="139"/>
      <c r="AJ19" s="139"/>
      <c r="AK19" s="408">
        <v>702009747.61080062</v>
      </c>
      <c r="AL19" s="1"/>
      <c r="AM19" s="32" cm="1">
        <f t="array" aca="1" ref="AM19" ca="1">INDIRECT("'1"&amp;$C$8&amp;"'!W19")</f>
        <v>2.018120016847087</v>
      </c>
      <c r="AN19" s="524">
        <f t="shared" ca="1" si="1"/>
        <v>777714897.18125725</v>
      </c>
      <c r="AO19" s="524">
        <f t="shared" ca="1" si="2"/>
        <v>776716442.67880964</v>
      </c>
      <c r="AP19" s="524">
        <f t="shared" ca="1" si="3"/>
        <v>722232929.15306652</v>
      </c>
      <c r="AQ19" s="525">
        <f t="shared" si="4"/>
        <v>0.182452030409334</v>
      </c>
      <c r="AR19" s="526">
        <f>U19-AP31*AS21/SUM(AS19:AS20)</f>
        <v>0.13408635687224216</v>
      </c>
      <c r="AS19" s="41">
        <f t="shared" si="6"/>
        <v>0.12520254169637335</v>
      </c>
      <c r="AT19" s="1"/>
      <c r="AU19" s="1"/>
      <c r="AV19" s="1"/>
      <c r="AW19" s="1"/>
      <c r="AX19" s="1"/>
      <c r="AY19" s="1"/>
      <c r="AZ19" s="1"/>
      <c r="BA19" s="1"/>
      <c r="BB19" s="1"/>
      <c r="BC19" s="1"/>
      <c r="BD19" s="1"/>
      <c r="BE19" s="1"/>
      <c r="BF19" s="1"/>
      <c r="BG19" s="1"/>
      <c r="BH19" s="1"/>
      <c r="BI19" s="1"/>
      <c r="BJ19" s="1"/>
      <c r="BK19" s="1"/>
      <c r="BL19" s="1"/>
      <c r="BM19" s="1"/>
      <c r="BN19" s="1"/>
    </row>
    <row r="20" spans="1:66" x14ac:dyDescent="0.3">
      <c r="A20" s="1"/>
      <c r="B20" s="28">
        <v>9</v>
      </c>
      <c r="C20" s="129">
        <v>852505300.17480016</v>
      </c>
      <c r="D20" s="129">
        <v>871129242.48240018</v>
      </c>
      <c r="E20" s="129">
        <v>951006286.26000023</v>
      </c>
      <c r="F20" s="129">
        <v>1016502942.8363998</v>
      </c>
      <c r="G20" s="129">
        <v>1040827048.6368008</v>
      </c>
      <c r="H20" s="129">
        <v>1122606024.6528001</v>
      </c>
      <c r="I20" s="129">
        <v>1011230172.0492005</v>
      </c>
      <c r="J20" s="129">
        <v>1038047350.0500002</v>
      </c>
      <c r="K20" s="129">
        <v>1029347621.3351989</v>
      </c>
      <c r="L20" s="139"/>
      <c r="M20" s="139"/>
      <c r="N20" s="139"/>
      <c r="O20" s="139"/>
      <c r="P20" s="129">
        <v>3879351082.8792009</v>
      </c>
      <c r="Q20" s="129">
        <v>3929640078.8616018</v>
      </c>
      <c r="R20" s="129">
        <v>4142249563.2876024</v>
      </c>
      <c r="S20" s="129">
        <v>4338436850.1743984</v>
      </c>
      <c r="T20" s="129">
        <v>4595167005.3599987</v>
      </c>
      <c r="U20" s="209">
        <f t="shared" si="0"/>
        <v>0.18451950008853779</v>
      </c>
      <c r="V20" s="139">
        <v>5054683575.6300049</v>
      </c>
      <c r="W20" s="209"/>
      <c r="X20" s="132"/>
      <c r="Y20" s="132"/>
      <c r="Z20" s="132"/>
      <c r="AA20" s="132"/>
      <c r="AB20" s="132"/>
      <c r="AC20" s="132"/>
      <c r="AD20" s="132"/>
      <c r="AE20" s="139"/>
      <c r="AF20" s="139"/>
      <c r="AG20" s="139"/>
      <c r="AH20" s="139"/>
      <c r="AI20" s="139"/>
      <c r="AJ20" s="139"/>
      <c r="AK20" s="408">
        <v>1044390058.332001</v>
      </c>
      <c r="AL20" s="1"/>
      <c r="AM20" s="32" cm="1">
        <f t="array" aca="1" ref="AM20" ca="1">INDIRECT("'1"&amp;$C$8&amp;"'!W20")</f>
        <v>1.7291724967299147</v>
      </c>
      <c r="AN20" s="524">
        <f t="shared" ca="1" si="1"/>
        <v>1124510794.3562031</v>
      </c>
      <c r="AO20" s="524">
        <f t="shared" ca="1" si="2"/>
        <v>1120180011.7138979</v>
      </c>
      <c r="AP20" s="524">
        <f t="shared" ca="1" si="3"/>
        <v>1053213566.011445</v>
      </c>
      <c r="AQ20" s="525">
        <f t="shared" si="4"/>
        <v>0.18451950008853779</v>
      </c>
      <c r="AR20" s="526">
        <f>U20-AP31*AS21/SUM(AS19:AS20)</f>
        <v>0.13615382655144595</v>
      </c>
      <c r="AS20" s="41">
        <f t="shared" si="6"/>
        <v>0.15997902243606554</v>
      </c>
      <c r="AT20" s="1"/>
      <c r="AU20" s="1"/>
      <c r="AV20" s="1"/>
      <c r="AW20" s="1"/>
      <c r="AX20" s="1"/>
      <c r="AY20" s="1"/>
      <c r="AZ20" s="1"/>
      <c r="BA20" s="1"/>
      <c r="BB20" s="1"/>
      <c r="BC20" s="1"/>
      <c r="BD20" s="1"/>
      <c r="BE20" s="1"/>
      <c r="BF20" s="1"/>
      <c r="BG20" s="1"/>
      <c r="BH20" s="1"/>
      <c r="BI20" s="1"/>
      <c r="BJ20" s="1"/>
      <c r="BK20" s="1"/>
      <c r="BL20" s="1"/>
      <c r="BM20" s="1"/>
      <c r="BN20" s="1"/>
    </row>
    <row r="21" spans="1:66" x14ac:dyDescent="0.3">
      <c r="A21" s="1"/>
      <c r="B21" s="33">
        <v>10</v>
      </c>
      <c r="C21" s="129">
        <v>1960956326.0195997</v>
      </c>
      <c r="D21" s="129">
        <v>1983740868.4847984</v>
      </c>
      <c r="E21" s="129">
        <v>2137379556.1739981</v>
      </c>
      <c r="F21" s="129">
        <v>2259144890.9075985</v>
      </c>
      <c r="G21" s="129">
        <v>2349819026.4000015</v>
      </c>
      <c r="H21" s="129">
        <v>2437540078.5791988</v>
      </c>
      <c r="I21" s="129">
        <v>2303843115.1247997</v>
      </c>
      <c r="J21" s="129">
        <v>2336151972.9575987</v>
      </c>
      <c r="K21" s="129">
        <v>2325801661.0380025</v>
      </c>
      <c r="L21" s="139"/>
      <c r="M21" s="139"/>
      <c r="N21" s="139"/>
      <c r="O21" s="139"/>
      <c r="P21" s="129">
        <v>6689362465.0704079</v>
      </c>
      <c r="Q21" s="129">
        <v>6753853958.4516077</v>
      </c>
      <c r="R21" s="129">
        <v>7129940335.4279976</v>
      </c>
      <c r="S21" s="129">
        <v>7449491098.7076044</v>
      </c>
      <c r="T21" s="129">
        <v>7878892208.5188026</v>
      </c>
      <c r="U21" s="209">
        <f t="shared" si="0"/>
        <v>0.17782408258779769</v>
      </c>
      <c r="V21" s="139">
        <v>8666781355.5191956</v>
      </c>
      <c r="W21" s="209"/>
      <c r="X21" s="132"/>
      <c r="Y21" s="132"/>
      <c r="Z21" s="132"/>
      <c r="AA21" s="132"/>
      <c r="AB21" s="132"/>
      <c r="AC21" s="132"/>
      <c r="AD21" s="132"/>
      <c r="AE21" s="139"/>
      <c r="AF21" s="139"/>
      <c r="AG21" s="139"/>
      <c r="AH21" s="139"/>
      <c r="AI21" s="139"/>
      <c r="AJ21" s="139"/>
      <c r="AK21" s="408">
        <v>2350588369.3128023</v>
      </c>
      <c r="AL21" s="1"/>
      <c r="AM21" s="32" cm="1">
        <f t="array" aca="1" ref="AM21" ca="1">INDIRECT("'1"&amp;$C$8&amp;"'!W21")</f>
        <v>1.3633281779389856</v>
      </c>
      <c r="AN21" s="524">
        <f t="shared" ca="1" si="1"/>
        <v>2436356032.3221149</v>
      </c>
      <c r="AO21" s="524">
        <f t="shared" ca="1" si="2"/>
        <v>2446401590.148242</v>
      </c>
      <c r="AP21" s="524">
        <f t="shared" ca="1" si="3"/>
        <v>2570027383.0706263</v>
      </c>
      <c r="AQ21" s="525">
        <f t="shared" si="4"/>
        <v>0.17782408258779769</v>
      </c>
      <c r="AR21" s="527">
        <f>U21+AP31</f>
        <v>0.22782408258779768</v>
      </c>
      <c r="AS21" s="41">
        <f t="shared" si="6"/>
        <v>0.27585996859253514</v>
      </c>
      <c r="AT21" s="1"/>
      <c r="AU21" s="1"/>
      <c r="AV21" s="1"/>
      <c r="AW21" s="1"/>
      <c r="AX21" s="1"/>
      <c r="AY21" s="1"/>
      <c r="AZ21" s="1"/>
      <c r="BA21" s="1"/>
      <c r="BB21" s="1"/>
      <c r="BC21" s="1"/>
      <c r="BD21" s="1"/>
      <c r="BE21" s="1"/>
      <c r="BF21" s="1"/>
      <c r="BG21" s="1"/>
      <c r="BH21" s="1"/>
      <c r="BI21" s="1"/>
      <c r="BJ21" s="1"/>
      <c r="BK21" s="1"/>
      <c r="BL21" s="1"/>
      <c r="BM21" s="1"/>
      <c r="BN21" s="1"/>
    </row>
    <row r="22" spans="1:66" ht="13.2" customHeight="1" x14ac:dyDescent="0.3">
      <c r="A22" s="1"/>
      <c r="B22" s="34" t="s">
        <v>114</v>
      </c>
      <c r="C22" s="150">
        <v>4407362753.4480028</v>
      </c>
      <c r="D22" s="150">
        <v>4484060410.0379982</v>
      </c>
      <c r="E22" s="150">
        <v>4921777145.0627804</v>
      </c>
      <c r="F22" s="150">
        <v>5141096696.2080021</v>
      </c>
      <c r="G22" s="150">
        <v>5157193377.8051987</v>
      </c>
      <c r="H22" s="150">
        <v>5933806662.4500122</v>
      </c>
      <c r="I22" s="150">
        <v>5186236383.3660049</v>
      </c>
      <c r="J22" s="150">
        <v>5360190625.6823893</v>
      </c>
      <c r="K22" s="150">
        <v>5303534183.1551962</v>
      </c>
      <c r="L22" s="139"/>
      <c r="M22" s="139"/>
      <c r="N22" s="139"/>
      <c r="O22" s="139"/>
      <c r="P22" s="150">
        <v>24249123565.11964</v>
      </c>
      <c r="Q22" s="150">
        <v>24569559542.337608</v>
      </c>
      <c r="R22" s="150">
        <v>25882895894.627991</v>
      </c>
      <c r="S22" s="150">
        <v>27087863895.010796</v>
      </c>
      <c r="T22" s="150">
        <v>28652319211.771202</v>
      </c>
      <c r="U22" s="210">
        <f t="shared" si="0"/>
        <v>0.18158164087155693</v>
      </c>
      <c r="V22" s="139">
        <v>31516939695.391171</v>
      </c>
      <c r="W22" s="210"/>
      <c r="X22" s="154"/>
      <c r="Y22" s="154"/>
      <c r="Z22" s="154"/>
      <c r="AA22" s="154"/>
      <c r="AB22" s="154"/>
      <c r="AC22" s="154"/>
      <c r="AD22" s="154"/>
      <c r="AE22" s="161"/>
      <c r="AF22" s="161"/>
      <c r="AG22" s="161"/>
      <c r="AH22" s="161"/>
      <c r="AI22" s="162"/>
      <c r="AJ22" s="162"/>
      <c r="AK22" s="409">
        <v>5265914567.0279903</v>
      </c>
      <c r="AL22" s="1"/>
      <c r="AM22" s="534" cm="1">
        <f t="array" aca="1" ref="AM22" ca="1">INDIRECT("'1"&amp;$C$8&amp;"'!W22")</f>
        <v>1.8727964639724985</v>
      </c>
      <c r="AN22" s="528">
        <f ca="1">SUM(AN12:AN21)</f>
        <v>5903709489.5221195</v>
      </c>
      <c r="AO22" s="528">
        <f ca="1">SUM(AO12:AO21)</f>
        <v>5906154368.2927113</v>
      </c>
      <c r="AP22" s="528">
        <f ca="1">SUM(AP12:AP21)</f>
        <v>5910601643.8976822</v>
      </c>
      <c r="AQ22" s="529">
        <f>SUMPRODUCT(AQ12:AQ21,AS12:AS21)</f>
        <v>0.18158164087155806</v>
      </c>
      <c r="AR22" s="529">
        <f>SUMPRODUCT(AR12:AR21,AS12:AS21)</f>
        <v>0.18158164087155806</v>
      </c>
      <c r="AS22" s="530"/>
      <c r="AT22" s="1"/>
      <c r="AU22" s="1"/>
      <c r="AV22" s="1"/>
      <c r="AW22" s="1"/>
      <c r="AX22" s="1"/>
      <c r="AY22" s="1"/>
      <c r="AZ22" s="1"/>
      <c r="BA22" s="1"/>
      <c r="BB22" s="1"/>
      <c r="BC22" s="1"/>
      <c r="BD22" s="1"/>
      <c r="BE22" s="1"/>
      <c r="BF22" s="1"/>
      <c r="BG22" s="1"/>
      <c r="BH22" s="1"/>
      <c r="BI22" s="1"/>
      <c r="BJ22" s="1"/>
      <c r="BK22" s="1"/>
      <c r="BL22" s="1"/>
      <c r="BM22" s="1"/>
      <c r="BN22" s="1"/>
    </row>
    <row r="23" spans="1:66" ht="12.6" customHeight="1" x14ac:dyDescent="0.3">
      <c r="A23" s="1"/>
      <c r="B23" s="1"/>
      <c r="C23" s="1"/>
      <c r="D23" s="1"/>
      <c r="E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531"/>
      <c r="AO23" s="531"/>
      <c r="AP23" s="1"/>
      <c r="AQ23" s="1"/>
      <c r="AR23" s="525">
        <f>U22</f>
        <v>0.18158164087155693</v>
      </c>
      <c r="AS23" s="1"/>
      <c r="AT23" s="1"/>
      <c r="AU23" s="1"/>
      <c r="AV23" s="1"/>
      <c r="AW23" s="1"/>
      <c r="AX23" s="1"/>
      <c r="AY23" s="1"/>
      <c r="AZ23" s="1"/>
      <c r="BA23" s="1"/>
      <c r="BB23" s="1"/>
      <c r="BC23" s="1"/>
      <c r="BD23" s="1"/>
      <c r="BE23" s="1"/>
      <c r="BF23" s="1"/>
      <c r="BG23" s="1"/>
      <c r="BH23" s="1"/>
      <c r="BI23" s="1"/>
      <c r="BJ23" s="1"/>
      <c r="BK23" s="1"/>
      <c r="BL23" s="1"/>
      <c r="BM23" s="1"/>
      <c r="BN23" s="1"/>
    </row>
    <row r="24" spans="1:66" ht="13.95" customHeight="1" x14ac:dyDescent="0.3">
      <c r="A24" s="1"/>
      <c r="B24" s="1"/>
      <c r="C24" s="1"/>
      <c r="D24" s="1"/>
      <c r="E24" s="1"/>
      <c r="F24" s="1"/>
      <c r="G24" s="11" t="s">
        <v>151</v>
      </c>
      <c r="H24" s="212">
        <f>U22</f>
        <v>0.18158164087155693</v>
      </c>
      <c r="I24" s="1"/>
      <c r="J24" s="1"/>
      <c r="K24" s="11" t="s">
        <v>151</v>
      </c>
      <c r="L24" s="212"/>
      <c r="M24" s="1"/>
      <c r="O24" s="1"/>
      <c r="P24" s="1"/>
      <c r="Q24" s="1"/>
      <c r="R24" s="1"/>
      <c r="S24" s="1"/>
      <c r="T24" s="1"/>
      <c r="U24" s="1"/>
      <c r="V24" s="1"/>
      <c r="W24" s="1"/>
      <c r="X24" s="1"/>
      <c r="Y24" s="55"/>
      <c r="Z24" s="55"/>
      <c r="AA24" s="55"/>
      <c r="AB24" s="55"/>
      <c r="AC24" s="55"/>
      <c r="AD24" s="55"/>
      <c r="AE24" s="55"/>
      <c r="AF24" s="55"/>
      <c r="AG24" s="55"/>
      <c r="AH24" s="1"/>
      <c r="AI24" s="1"/>
      <c r="AJ24" s="1"/>
      <c r="AK24" s="1"/>
      <c r="AL24" s="1"/>
      <c r="AM24" s="1"/>
      <c r="AN24" s="531">
        <f ca="1">AN22/G22-1</f>
        <v>0.14475239864568024</v>
      </c>
      <c r="AO24" s="531"/>
      <c r="AP24" s="1"/>
      <c r="AQ24" s="1"/>
      <c r="AR24" s="532" t="str">
        <f>IF(AR23-AR22&lt;0.0000000001,"ok","wrong")</f>
        <v>ok</v>
      </c>
      <c r="AS24" s="1"/>
      <c r="AT24" s="1"/>
      <c r="AU24" s="1"/>
      <c r="AV24" s="1"/>
      <c r="AW24" s="1"/>
      <c r="AX24" s="1"/>
      <c r="AY24" s="1"/>
      <c r="AZ24" s="1"/>
      <c r="BA24" s="1"/>
      <c r="BB24" s="1"/>
      <c r="BC24" s="1"/>
      <c r="BD24" s="1"/>
      <c r="BE24" s="1"/>
      <c r="BF24" s="1"/>
      <c r="BG24" s="1"/>
      <c r="BH24" s="1"/>
      <c r="BI24" s="1"/>
      <c r="BJ24" s="1"/>
      <c r="BK24" s="1"/>
      <c r="BL24" s="1"/>
      <c r="BM24" s="1"/>
      <c r="BN24" s="1"/>
    </row>
    <row r="25" spans="1:66" ht="13.95" customHeight="1" x14ac:dyDescent="0.3">
      <c r="A25" s="1"/>
      <c r="B25" s="1"/>
      <c r="C25" s="1"/>
      <c r="D25" s="1"/>
      <c r="E25" s="1"/>
      <c r="F25" s="1"/>
      <c r="G25" s="11" t="s">
        <v>152</v>
      </c>
      <c r="H25" s="213">
        <v>0.1376</v>
      </c>
      <c r="I25" s="1"/>
      <c r="J25" s="1"/>
      <c r="K25" s="11" t="s">
        <v>152</v>
      </c>
      <c r="L25" s="139"/>
      <c r="M25" s="1"/>
      <c r="N25" s="1"/>
      <c r="O25" s="1"/>
      <c r="P25" s="1"/>
      <c r="Q25" s="1"/>
      <c r="R25" s="1"/>
      <c r="S25" s="1"/>
      <c r="T25" s="1"/>
      <c r="U25" s="1"/>
      <c r="V25" s="1"/>
      <c r="W25" s="1"/>
      <c r="X25" s="1"/>
      <c r="Y25" s="55"/>
      <c r="Z25" s="55"/>
      <c r="AA25" s="55"/>
      <c r="AB25" s="55"/>
      <c r="AC25" s="55"/>
      <c r="AD25" s="55"/>
      <c r="AE25" s="55"/>
      <c r="AF25" s="55"/>
      <c r="AG25" s="55"/>
      <c r="AH25" s="1"/>
      <c r="AI25" s="1"/>
      <c r="AJ25" s="1"/>
      <c r="AK25" s="1"/>
      <c r="AL25" s="1"/>
      <c r="AM25" s="1"/>
      <c r="AN25" s="1"/>
      <c r="AO25" s="531"/>
      <c r="AP25" s="1"/>
      <c r="AQ25" s="1"/>
      <c r="AR25" s="532" t="str">
        <f>IF(AQ22-AR22&lt;0.0000000001,"ok","wrong")</f>
        <v>ok</v>
      </c>
      <c r="AS25" s="1"/>
      <c r="AT25" s="1"/>
      <c r="AU25" s="1"/>
      <c r="AV25" s="1"/>
      <c r="AW25" s="1"/>
      <c r="AX25" s="1"/>
      <c r="AY25" s="1"/>
      <c r="AZ25" s="1"/>
      <c r="BA25" s="1"/>
      <c r="BB25" s="1"/>
      <c r="BC25" s="1"/>
      <c r="BD25" s="1"/>
      <c r="BE25" s="1"/>
      <c r="BF25" s="1"/>
      <c r="BG25" s="1"/>
      <c r="BH25" s="1"/>
      <c r="BI25" s="1"/>
      <c r="BJ25" s="1"/>
      <c r="BK25" s="1"/>
      <c r="BL25" s="1"/>
      <c r="BM25" s="1"/>
      <c r="BN25" s="1"/>
    </row>
    <row r="26" spans="1:66" ht="13.95" customHeight="1" x14ac:dyDescent="0.3">
      <c r="A26" s="1"/>
      <c r="B26" s="1"/>
      <c r="C26" s="1"/>
      <c r="D26" s="1"/>
      <c r="E26" s="1"/>
      <c r="F26" s="1"/>
      <c r="G26" s="11" t="s">
        <v>153</v>
      </c>
      <c r="H26" s="213">
        <v>0.15190000000000001</v>
      </c>
      <c r="I26" s="1"/>
      <c r="J26" s="1"/>
      <c r="K26" s="11" t="s">
        <v>153</v>
      </c>
      <c r="L26" s="139"/>
      <c r="M26" s="1"/>
      <c r="N26" s="1"/>
      <c r="O26" s="1"/>
      <c r="P26" s="1"/>
      <c r="Q26" s="1"/>
      <c r="R26" s="1"/>
      <c r="S26" s="1"/>
      <c r="T26" s="1"/>
      <c r="U26" s="1"/>
      <c r="V26" s="1"/>
      <c r="W26" s="1"/>
      <c r="X26" s="1"/>
      <c r="Y26" s="55"/>
      <c r="Z26" s="55"/>
      <c r="AA26" s="55"/>
      <c r="AB26" s="55"/>
      <c r="AC26" s="55"/>
      <c r="AD26" s="55"/>
      <c r="AE26" s="55"/>
      <c r="AF26" s="55"/>
      <c r="AG26" s="55"/>
      <c r="AH26" s="1"/>
      <c r="AI26" s="1"/>
      <c r="AJ26" s="1"/>
      <c r="AK26" s="1"/>
      <c r="AL26" s="1"/>
      <c r="AM26" s="8" t="s">
        <v>571</v>
      </c>
      <c r="AN26" s="533"/>
      <c r="AO26" s="535">
        <f ca="1">AO22/$AN22-1</f>
        <v>4.1412586017841591E-4</v>
      </c>
      <c r="AP26" s="536">
        <f ca="1">AP22/$AN22-1</f>
        <v>1.1674277651694265E-3</v>
      </c>
      <c r="AQ26" s="1"/>
      <c r="AR26" s="1"/>
      <c r="AS26" s="1"/>
      <c r="AT26" s="1"/>
      <c r="AU26" s="1"/>
      <c r="AV26" s="1"/>
      <c r="AW26" s="1"/>
      <c r="AX26" s="1"/>
      <c r="AY26" s="1"/>
      <c r="AZ26" s="1"/>
      <c r="BA26" s="1"/>
      <c r="BB26" s="1"/>
      <c r="BC26" s="1"/>
      <c r="BD26" s="1"/>
      <c r="BE26" s="1"/>
      <c r="BF26" s="1"/>
      <c r="BG26" s="1"/>
      <c r="BH26" s="1"/>
      <c r="BI26" s="1"/>
      <c r="BJ26" s="1"/>
      <c r="BK26" s="1"/>
      <c r="BL26" s="1"/>
      <c r="BM26" s="1"/>
      <c r="BN26" s="1"/>
    </row>
    <row r="27" spans="1:66" ht="9" customHeight="1" x14ac:dyDescent="0.3">
      <c r="A27" s="1"/>
      <c r="B27" s="1"/>
      <c r="C27" s="1"/>
      <c r="D27" s="1"/>
      <c r="E27" s="1"/>
      <c r="F27" s="1"/>
      <c r="G27" s="1"/>
      <c r="H27" s="1"/>
      <c r="I27" s="1"/>
      <c r="J27" s="1"/>
      <c r="K27" s="1"/>
      <c r="L27" s="1"/>
      <c r="M27" s="1"/>
      <c r="N27" s="1"/>
      <c r="O27" s="1"/>
      <c r="P27" s="1"/>
      <c r="Q27" s="1"/>
      <c r="R27" s="1"/>
      <c r="S27" s="1"/>
      <c r="T27" s="55"/>
      <c r="U27" s="55"/>
      <c r="V27" s="55"/>
      <c r="W27" s="55"/>
      <c r="X27" s="55"/>
      <c r="Y27" s="55"/>
      <c r="Z27" s="55"/>
      <c r="AA27" s="55"/>
      <c r="AB27" s="55"/>
      <c r="AC27" s="55"/>
      <c r="AD27" s="55"/>
      <c r="AE27" s="55"/>
      <c r="AF27" s="55"/>
      <c r="AG27" s="55"/>
      <c r="AH27" s="1"/>
      <c r="AI27" s="1"/>
      <c r="AJ27" s="1"/>
      <c r="AK27" s="1"/>
      <c r="AL27" s="1"/>
      <c r="AM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row>
    <row r="28" spans="1:66" ht="12" customHeight="1" thickBot="1" x14ac:dyDescent="0.35">
      <c r="A28" s="214"/>
      <c r="B28" s="214"/>
      <c r="C28" s="214"/>
      <c r="D28" s="214"/>
      <c r="E28" s="214"/>
      <c r="F28" s="214"/>
      <c r="G28" s="214"/>
      <c r="H28" s="214"/>
      <c r="I28" s="214"/>
      <c r="J28" s="214"/>
      <c r="K28" s="214"/>
      <c r="L28" s="214"/>
      <c r="M28" s="214"/>
      <c r="N28" s="214"/>
      <c r="O28" s="214"/>
      <c r="P28" s="214"/>
      <c r="Q28" s="214"/>
      <c r="R28" s="214"/>
      <c r="S28" s="214"/>
      <c r="T28" s="215"/>
      <c r="U28" s="215"/>
      <c r="V28" s="215"/>
      <c r="W28" s="215"/>
      <c r="X28" s="215"/>
      <c r="Y28" s="215"/>
      <c r="Z28" s="215"/>
      <c r="AA28" s="214"/>
      <c r="AB28" s="214"/>
      <c r="AC28" s="214"/>
      <c r="AD28" s="214"/>
      <c r="AE28" s="214"/>
      <c r="AF28" s="214"/>
      <c r="AG28" s="214"/>
      <c r="AH28" s="214"/>
      <c r="AI28" s="214"/>
      <c r="AJ28" s="1"/>
      <c r="AK28" s="1"/>
      <c r="AL28" s="1"/>
      <c r="AM28" s="8" t="s">
        <v>572</v>
      </c>
      <c r="AN28" s="8"/>
      <c r="AO28" s="535">
        <f ca="1">(AO22-$AN22)/($W$37*1000000)</f>
        <v>2.7988316610474688E-3</v>
      </c>
      <c r="AP28" s="536">
        <f ca="1">(AP22-$AN22)/($W$37*1000000)</f>
        <v>7.8899535270138873E-3</v>
      </c>
      <c r="AQ28" s="1"/>
      <c r="AR28" s="1"/>
      <c r="AS28" s="1"/>
      <c r="AT28" s="1"/>
      <c r="AU28" s="1"/>
      <c r="AV28" s="1"/>
      <c r="AW28" s="1"/>
      <c r="AX28" s="1"/>
      <c r="AY28" s="1"/>
      <c r="AZ28" s="1"/>
      <c r="BA28" s="1"/>
      <c r="BB28" s="1"/>
      <c r="BC28" s="1"/>
      <c r="BD28" s="1"/>
      <c r="BE28" s="1"/>
      <c r="BF28" s="1"/>
      <c r="BG28" s="1"/>
      <c r="BH28" s="1"/>
      <c r="BI28" s="1"/>
      <c r="BJ28" s="1"/>
      <c r="BK28" s="1"/>
      <c r="BL28" s="1"/>
      <c r="BM28" s="1"/>
      <c r="BN28" s="1"/>
    </row>
    <row r="29" spans="1:66" ht="12" customHeight="1" thickBot="1" x14ac:dyDescent="0.35">
      <c r="A29" s="214"/>
      <c r="B29" s="216" t="s">
        <v>154</v>
      </c>
      <c r="C29" s="217"/>
      <c r="D29" s="217"/>
      <c r="E29" s="217"/>
      <c r="F29" s="217"/>
      <c r="G29" s="217"/>
      <c r="H29" s="217"/>
      <c r="I29" s="217"/>
      <c r="J29" s="217"/>
      <c r="K29" s="217"/>
      <c r="L29" s="217"/>
      <c r="M29" s="217"/>
      <c r="N29" s="217"/>
      <c r="O29" s="217"/>
      <c r="P29" s="217"/>
      <c r="Q29" s="217"/>
      <c r="R29" s="217"/>
      <c r="S29" s="217"/>
      <c r="T29" s="218"/>
      <c r="U29" s="218"/>
      <c r="V29" s="219"/>
      <c r="W29" s="215"/>
      <c r="X29" s="215"/>
      <c r="Y29" s="215"/>
      <c r="Z29" s="215"/>
      <c r="AA29" s="214"/>
      <c r="AB29" s="214"/>
      <c r="AC29" s="214"/>
      <c r="AD29" s="214"/>
      <c r="AE29" s="214"/>
      <c r="AF29" s="214"/>
      <c r="AG29" s="214"/>
      <c r="AH29" s="214"/>
      <c r="AI29" s="214"/>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row>
    <row r="30" spans="1:66" ht="21.6" customHeight="1" thickBot="1" x14ac:dyDescent="0.35">
      <c r="A30" s="214"/>
      <c r="B30" s="220"/>
      <c r="C30" s="214"/>
      <c r="D30" s="214"/>
      <c r="E30" s="214"/>
      <c r="F30" s="214"/>
      <c r="G30" s="214"/>
      <c r="H30" s="214"/>
      <c r="I30" s="214"/>
      <c r="J30" s="214"/>
      <c r="K30" s="214"/>
      <c r="L30" s="214"/>
      <c r="M30" s="214"/>
      <c r="N30" s="214"/>
      <c r="O30" s="214"/>
      <c r="P30" s="214"/>
      <c r="Q30" s="214"/>
      <c r="R30" s="214"/>
      <c r="S30" s="214"/>
      <c r="T30" s="214"/>
      <c r="U30" s="214"/>
      <c r="V30" s="214"/>
      <c r="W30" s="214"/>
      <c r="X30" s="214"/>
      <c r="Y30" s="214"/>
      <c r="Z30" s="214"/>
      <c r="AA30" s="214"/>
      <c r="AB30" s="214"/>
      <c r="AC30" s="216" t="s">
        <v>158</v>
      </c>
      <c r="AD30" s="221"/>
      <c r="AE30" s="214"/>
      <c r="AF30" s="214"/>
      <c r="AG30" s="214"/>
      <c r="AH30" s="214"/>
      <c r="AI30" s="214"/>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row>
    <row r="31" spans="1:66" ht="21" customHeight="1" thickBot="1" x14ac:dyDescent="0.35">
      <c r="A31" s="214"/>
      <c r="B31" s="216" t="s">
        <v>159</v>
      </c>
      <c r="C31" s="221"/>
      <c r="D31" s="223"/>
      <c r="E31" s="222" t="s">
        <v>160</v>
      </c>
      <c r="F31" s="222" t="s">
        <v>160</v>
      </c>
      <c r="G31" s="223"/>
      <c r="H31" s="224" t="s">
        <v>161</v>
      </c>
      <c r="I31" s="222"/>
      <c r="J31" s="222"/>
      <c r="K31" s="222"/>
      <c r="L31" s="222"/>
      <c r="M31" s="223"/>
      <c r="N31" s="216" t="s">
        <v>162</v>
      </c>
      <c r="O31" s="221"/>
      <c r="P31" s="222" t="s">
        <v>163</v>
      </c>
      <c r="Q31" s="222"/>
      <c r="R31" s="222"/>
      <c r="S31" s="223"/>
      <c r="T31" s="224" t="s">
        <v>164</v>
      </c>
      <c r="U31" s="222"/>
      <c r="V31" s="222"/>
      <c r="W31" s="223"/>
      <c r="X31" s="225" t="s">
        <v>165</v>
      </c>
      <c r="Y31" s="222"/>
      <c r="Z31" s="222"/>
      <c r="AA31" s="223"/>
      <c r="AB31" s="214"/>
      <c r="AC31" s="347" t="s">
        <v>163</v>
      </c>
      <c r="AD31" s="348"/>
      <c r="AE31" s="223"/>
      <c r="AF31" s="224" t="s">
        <v>164</v>
      </c>
      <c r="AG31" s="222"/>
      <c r="AH31" s="223"/>
      <c r="AI31" s="214"/>
      <c r="AJ31" s="1"/>
      <c r="AK31" s="1"/>
      <c r="AL31" s="1"/>
      <c r="AM31" s="1"/>
      <c r="AN31" s="1"/>
      <c r="AO31" s="8" t="s">
        <v>567</v>
      </c>
      <c r="AP31" s="10">
        <v>0.05</v>
      </c>
      <c r="AQ31" s="1"/>
      <c r="AR31" s="1"/>
      <c r="AS31" s="1"/>
      <c r="AT31" s="1"/>
      <c r="AU31" s="1"/>
      <c r="AV31" s="1"/>
      <c r="AW31" s="1"/>
      <c r="AX31" s="1"/>
      <c r="AY31" s="1"/>
      <c r="AZ31" s="1"/>
      <c r="BA31" s="1"/>
      <c r="BB31" s="1"/>
      <c r="BC31" s="1"/>
      <c r="BD31" s="1"/>
      <c r="BE31" s="1"/>
      <c r="BF31" s="1"/>
      <c r="BG31" s="1"/>
      <c r="BH31" s="1"/>
      <c r="BI31" s="1"/>
      <c r="BJ31" s="1"/>
      <c r="BK31" s="1"/>
      <c r="BL31" s="1"/>
      <c r="BM31" s="1"/>
      <c r="BN31" s="1"/>
    </row>
    <row r="32" spans="1:66" ht="51" customHeight="1" x14ac:dyDescent="0.3">
      <c r="A32" s="214"/>
      <c r="B32" s="226"/>
      <c r="C32" s="227" t="s">
        <v>166</v>
      </c>
      <c r="D32" s="228" t="s">
        <v>167</v>
      </c>
      <c r="E32" s="228" t="s">
        <v>168</v>
      </c>
      <c r="F32" s="410" t="s">
        <v>169</v>
      </c>
      <c r="G32" s="228" t="s">
        <v>170</v>
      </c>
      <c r="H32" s="228" t="s">
        <v>171</v>
      </c>
      <c r="I32" s="229" t="s">
        <v>172</v>
      </c>
      <c r="J32" s="229" t="s">
        <v>173</v>
      </c>
      <c r="K32" s="230" t="s">
        <v>174</v>
      </c>
      <c r="L32" s="229" t="s">
        <v>175</v>
      </c>
      <c r="M32" s="411" t="s">
        <v>176</v>
      </c>
      <c r="N32" s="227"/>
      <c r="O32" s="227" t="s">
        <v>177</v>
      </c>
      <c r="P32" s="231" t="s">
        <v>178</v>
      </c>
      <c r="Q32" s="231" t="s">
        <v>179</v>
      </c>
      <c r="R32" s="231" t="s">
        <v>180</v>
      </c>
      <c r="S32" s="231" t="s">
        <v>181</v>
      </c>
      <c r="T32" s="231" t="s">
        <v>182</v>
      </c>
      <c r="U32" s="231" t="s">
        <v>183</v>
      </c>
      <c r="V32" s="231" t="s">
        <v>184</v>
      </c>
      <c r="W32" s="231" t="s">
        <v>185</v>
      </c>
      <c r="X32" s="231" t="s">
        <v>186</v>
      </c>
      <c r="Y32" s="231" t="s">
        <v>187</v>
      </c>
      <c r="Z32" s="231" t="s">
        <v>188</v>
      </c>
      <c r="AA32" s="231" t="s">
        <v>189</v>
      </c>
      <c r="AB32" s="214"/>
      <c r="AC32" s="231" t="s">
        <v>178</v>
      </c>
      <c r="AD32" s="231" t="s">
        <v>179</v>
      </c>
      <c r="AE32" s="231" t="s">
        <v>180</v>
      </c>
      <c r="AF32" s="231" t="s">
        <v>182</v>
      </c>
      <c r="AG32" s="231" t="s">
        <v>183</v>
      </c>
      <c r="AH32" s="231" t="s">
        <v>184</v>
      </c>
      <c r="AI32" s="214"/>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row>
    <row r="33" spans="1:66" ht="15.6" customHeight="1" x14ac:dyDescent="0.3">
      <c r="A33" s="214"/>
      <c r="B33" s="232">
        <v>2019</v>
      </c>
      <c r="C33" s="233">
        <f>C22</f>
        <v>4407362753.4480028</v>
      </c>
      <c r="D33" s="146">
        <v>62432</v>
      </c>
      <c r="E33" s="259">
        <f>(F33/1000000/D33)*100</f>
        <v>7.173725012813942</v>
      </c>
      <c r="F33" s="146">
        <v>4478700000</v>
      </c>
      <c r="G33" s="234">
        <f>F33/C33</f>
        <v>1.0161859258115724</v>
      </c>
      <c r="H33" s="235">
        <f>C33*G33</f>
        <v>4478700000</v>
      </c>
      <c r="I33" s="235" t="s">
        <v>113</v>
      </c>
      <c r="J33" s="235" t="s">
        <v>113</v>
      </c>
      <c r="K33" s="235" t="s">
        <v>113</v>
      </c>
      <c r="L33" s="235" t="s">
        <v>113</v>
      </c>
      <c r="M33" s="214"/>
      <c r="N33" s="232">
        <v>2019</v>
      </c>
      <c r="O33" s="236">
        <f>G33</f>
        <v>1.0161859258115724</v>
      </c>
      <c r="P33" s="237"/>
      <c r="Q33" s="237"/>
      <c r="R33" s="237"/>
      <c r="S33" s="237"/>
      <c r="T33" s="237"/>
      <c r="U33" s="237"/>
      <c r="V33" s="238"/>
      <c r="W33" s="238"/>
      <c r="X33" s="238"/>
      <c r="Y33" s="238"/>
      <c r="Z33" s="238"/>
      <c r="AA33" s="238"/>
      <c r="AB33" s="214"/>
      <c r="AC33" s="237"/>
      <c r="AD33" s="237"/>
      <c r="AE33" s="237"/>
      <c r="AF33" s="237"/>
      <c r="AG33" s="237"/>
      <c r="AH33" s="238"/>
      <c r="AI33" s="214"/>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row>
    <row r="34" spans="1:66" s="51" customFormat="1" ht="15.6" customHeight="1" x14ac:dyDescent="0.3">
      <c r="A34" s="239"/>
      <c r="B34" s="240">
        <v>2020</v>
      </c>
      <c r="C34" s="241">
        <f>D22</f>
        <v>4484060410.0379982</v>
      </c>
      <c r="D34" s="146">
        <v>64524</v>
      </c>
      <c r="E34" s="259">
        <f t="shared" ref="E34:E36" si="7">(F34/1000000/D34)*100</f>
        <v>7.3760926167007632</v>
      </c>
      <c r="F34" s="146">
        <v>4759350000</v>
      </c>
      <c r="G34" s="234">
        <f>F34/C34</f>
        <v>1.0613929262294817</v>
      </c>
      <c r="H34" s="242">
        <f>C34*G34</f>
        <v>4759350000</v>
      </c>
      <c r="I34" s="243"/>
      <c r="J34" s="243"/>
      <c r="K34" s="243"/>
      <c r="L34" s="243"/>
      <c r="M34" s="214"/>
      <c r="N34" s="240">
        <v>2020</v>
      </c>
      <c r="O34" s="244"/>
      <c r="P34" s="245"/>
      <c r="Q34" s="245"/>
      <c r="R34" s="245"/>
      <c r="S34" s="245"/>
      <c r="T34" s="245"/>
      <c r="U34" s="245"/>
      <c r="V34" s="245"/>
      <c r="W34" s="245"/>
      <c r="X34" s="245"/>
      <c r="Y34" s="245"/>
      <c r="Z34" s="245"/>
      <c r="AA34" s="245"/>
      <c r="AB34" s="239"/>
      <c r="AC34" s="245"/>
      <c r="AD34" s="245"/>
      <c r="AE34" s="245"/>
      <c r="AF34" s="245"/>
      <c r="AG34" s="245"/>
      <c r="AH34" s="245"/>
      <c r="AI34" s="239"/>
      <c r="AJ34" s="47"/>
      <c r="AK34" s="47"/>
      <c r="AL34" s="47"/>
      <c r="AM34" s="47"/>
      <c r="AN34" s="47"/>
      <c r="AO34" s="47"/>
      <c r="AP34" s="47"/>
      <c r="AQ34" s="47"/>
      <c r="AR34" s="47"/>
      <c r="AS34" s="47"/>
      <c r="AT34" s="47"/>
      <c r="AU34" s="47"/>
      <c r="AV34" s="47"/>
      <c r="AW34" s="47"/>
      <c r="AX34" s="47"/>
      <c r="AY34" s="47"/>
      <c r="AZ34" s="47"/>
      <c r="BA34" s="47"/>
      <c r="BB34" s="47"/>
      <c r="BC34" s="47"/>
      <c r="BD34" s="47"/>
      <c r="BE34" s="47"/>
      <c r="BF34" s="47"/>
      <c r="BG34" s="47"/>
      <c r="BH34" s="47"/>
      <c r="BI34" s="47"/>
      <c r="BJ34" s="47"/>
      <c r="BK34" s="47"/>
      <c r="BL34" s="47"/>
      <c r="BM34" s="47"/>
      <c r="BN34" s="47"/>
    </row>
    <row r="35" spans="1:66" ht="15.6" customHeight="1" x14ac:dyDescent="0.3">
      <c r="A35" s="214"/>
      <c r="B35" s="232">
        <v>2021</v>
      </c>
      <c r="C35" s="241">
        <f>E22</f>
        <v>4921777145.0627804</v>
      </c>
      <c r="D35" s="146">
        <v>72361</v>
      </c>
      <c r="E35" s="259">
        <f t="shared" si="7"/>
        <v>7.6432401431710453</v>
      </c>
      <c r="F35" s="146">
        <v>5530725000</v>
      </c>
      <c r="G35" s="234">
        <f>F35/C35</f>
        <v>1.123725198640511</v>
      </c>
      <c r="H35" s="242">
        <f>C35*G35</f>
        <v>5530725000</v>
      </c>
      <c r="I35" s="243"/>
      <c r="J35" s="243"/>
      <c r="K35" s="243"/>
      <c r="L35" s="243"/>
      <c r="M35" s="214"/>
      <c r="N35" s="232">
        <v>2021</v>
      </c>
      <c r="O35" s="244"/>
      <c r="P35" s="246"/>
      <c r="Q35" s="246"/>
      <c r="R35" s="246"/>
      <c r="S35" s="246"/>
      <c r="T35" s="246"/>
      <c r="U35" s="246"/>
      <c r="V35" s="247"/>
      <c r="W35" s="247"/>
      <c r="X35" s="247"/>
      <c r="Y35" s="247"/>
      <c r="Z35" s="247"/>
      <c r="AA35" s="247"/>
      <c r="AB35" s="214"/>
      <c r="AC35" s="246"/>
      <c r="AD35" s="246"/>
      <c r="AE35" s="246"/>
      <c r="AF35" s="246"/>
      <c r="AG35" s="246"/>
      <c r="AH35" s="247"/>
      <c r="AI35" s="214"/>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row>
    <row r="36" spans="1:66" ht="15.6" customHeight="1" x14ac:dyDescent="0.3">
      <c r="A36" s="214"/>
      <c r="B36" s="240">
        <v>2022</v>
      </c>
      <c r="C36" s="248">
        <f>F22</f>
        <v>5141096696.2080021</v>
      </c>
      <c r="D36" s="146">
        <v>77529</v>
      </c>
      <c r="E36" s="259">
        <f t="shared" si="7"/>
        <v>7.8209766667956497</v>
      </c>
      <c r="F36" s="146">
        <v>6063525000</v>
      </c>
      <c r="G36" s="234">
        <f>F36/C36</f>
        <v>1.179422477012029</v>
      </c>
      <c r="H36" s="242">
        <f>C36*G36</f>
        <v>6063525000</v>
      </c>
      <c r="I36" s="249"/>
      <c r="J36" s="249"/>
      <c r="K36" s="249"/>
      <c r="L36" s="249"/>
      <c r="M36" s="214"/>
      <c r="N36" s="240">
        <v>2022</v>
      </c>
      <c r="O36" s="250"/>
      <c r="P36" s="225"/>
      <c r="Q36" s="225"/>
      <c r="R36" s="225"/>
      <c r="S36" s="225"/>
      <c r="T36" s="225"/>
      <c r="U36" s="225"/>
      <c r="V36" s="225"/>
      <c r="W36" s="225"/>
      <c r="X36" s="225"/>
      <c r="Y36" s="225"/>
      <c r="Z36" s="225"/>
      <c r="AA36" s="225"/>
      <c r="AB36" s="214"/>
      <c r="AC36" s="225"/>
      <c r="AD36" s="225"/>
      <c r="AE36" s="225"/>
      <c r="AF36" s="225"/>
      <c r="AG36" s="225"/>
      <c r="AH36" s="225"/>
      <c r="AI36" s="214"/>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row>
    <row r="37" spans="1:66" ht="15.6" customHeight="1" x14ac:dyDescent="0.3">
      <c r="A37" s="214"/>
      <c r="B37" s="232">
        <v>2023</v>
      </c>
      <c r="C37" s="251">
        <f>G22</f>
        <v>5157193377.8051987</v>
      </c>
      <c r="D37" s="146">
        <v>79310</v>
      </c>
      <c r="E37" s="259">
        <f>(F37/1000000/D37)*100</f>
        <v>8.7322847055856752</v>
      </c>
      <c r="F37" s="146">
        <v>6925575000</v>
      </c>
      <c r="G37" s="234">
        <f>F37/C37</f>
        <v>1.3428961244318107</v>
      </c>
      <c r="H37" s="242">
        <f>C37*G37</f>
        <v>6925575000</v>
      </c>
      <c r="I37" s="235">
        <f>H22*$G37</f>
        <v>7968485970.1317787</v>
      </c>
      <c r="J37" s="235">
        <f>I22*$G37</f>
        <v>6964576739.6094589</v>
      </c>
      <c r="K37" s="235">
        <f>J22*$G37</f>
        <v>7198179217.444603</v>
      </c>
      <c r="L37" s="235">
        <f>K22*$G37</f>
        <v>7122095500.3507423</v>
      </c>
      <c r="M37" s="412">
        <f>AK22*$G37</f>
        <v>7071576263.6509047</v>
      </c>
      <c r="N37" s="232">
        <v>2023</v>
      </c>
      <c r="O37" s="252">
        <f>G37</f>
        <v>1.3428961244318107</v>
      </c>
      <c r="P37" s="253">
        <f>($H37-J37)/1000000</f>
        <v>-39.001739609458923</v>
      </c>
      <c r="Q37" s="253">
        <f>($H37-K37)/1000000</f>
        <v>-272.60421744460297</v>
      </c>
      <c r="R37" s="253">
        <f>($H37-L37)/1000000</f>
        <v>-196.52050035074234</v>
      </c>
      <c r="S37" s="253">
        <f>AVERAGE(P37:R37)</f>
        <v>-169.3754858016014</v>
      </c>
      <c r="T37" s="253">
        <f t="shared" ref="T37:V37" si="8">($I37-J37)/1000000</f>
        <v>1003.9092305223198</v>
      </c>
      <c r="U37" s="253">
        <f t="shared" si="8"/>
        <v>770.30675268717573</v>
      </c>
      <c r="V37" s="253">
        <f t="shared" si="8"/>
        <v>846.39046978103636</v>
      </c>
      <c r="W37" s="253">
        <f>AVERAGE(T37:V37)</f>
        <v>873.53548433017738</v>
      </c>
      <c r="X37" s="254">
        <f>(T37-P37)/T37</f>
        <v>1.0388498665254497</v>
      </c>
      <c r="Y37" s="254">
        <f>(U37-Q37)/U37</f>
        <v>1.3538904683019291</v>
      </c>
      <c r="Z37" s="254">
        <f>(V37-R37)/V37</f>
        <v>1.2321865703445156</v>
      </c>
      <c r="AA37" s="254">
        <f>AVERAGE(X37:Z37)</f>
        <v>1.2083089683906316</v>
      </c>
      <c r="AB37" s="214"/>
      <c r="AC37" s="351">
        <f>P37/$D37</f>
        <v>-4.9176320274188533E-4</v>
      </c>
      <c r="AD37" s="351">
        <f>Q37/$D37</f>
        <v>-3.4371985555995835E-3</v>
      </c>
      <c r="AE37" s="351">
        <f>R37/$D37</f>
        <v>-2.4778779517178454E-3</v>
      </c>
      <c r="AF37" s="351">
        <f>T37/$D37</f>
        <v>1.2658040985024837E-2</v>
      </c>
      <c r="AG37" s="351">
        <f>U37/$D37</f>
        <v>9.712605632167139E-3</v>
      </c>
      <c r="AH37" s="351">
        <f>V37/$D37</f>
        <v>1.0671926236048877E-2</v>
      </c>
      <c r="AI37" s="214"/>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row>
    <row r="38" spans="1:66" ht="15.6" customHeight="1" x14ac:dyDescent="0.3">
      <c r="A38" s="214"/>
      <c r="B38" s="240">
        <v>2024</v>
      </c>
      <c r="C38" s="255"/>
      <c r="D38" s="256"/>
      <c r="E38" s="256"/>
      <c r="F38" s="256"/>
      <c r="G38" s="257"/>
      <c r="H38" s="256"/>
      <c r="I38" s="249"/>
      <c r="J38" s="249"/>
      <c r="K38" s="249"/>
      <c r="L38" s="249"/>
      <c r="M38" s="214"/>
      <c r="N38" s="240">
        <v>2024</v>
      </c>
      <c r="O38" s="250"/>
      <c r="P38" s="225"/>
      <c r="Q38" s="225"/>
      <c r="R38" s="225"/>
      <c r="S38" s="225"/>
      <c r="T38" s="258"/>
      <c r="U38" s="258"/>
      <c r="V38" s="258"/>
      <c r="W38" s="258"/>
      <c r="X38" s="225"/>
      <c r="Y38" s="225"/>
      <c r="Z38" s="225"/>
      <c r="AA38" s="225"/>
      <c r="AB38" s="214"/>
      <c r="AC38" s="353"/>
      <c r="AD38" s="353"/>
      <c r="AE38" s="353"/>
      <c r="AF38" s="354"/>
      <c r="AG38" s="354"/>
      <c r="AH38" s="354"/>
      <c r="AI38" s="214"/>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row>
    <row r="39" spans="1:66" ht="15.6" customHeight="1" x14ac:dyDescent="0.3">
      <c r="A39" s="214"/>
      <c r="B39" s="232">
        <v>2025</v>
      </c>
      <c r="C39" s="255"/>
      <c r="D39" s="256"/>
      <c r="E39" s="256"/>
      <c r="F39" s="256"/>
      <c r="G39" s="257"/>
      <c r="H39" s="256"/>
      <c r="I39" s="249"/>
      <c r="J39" s="249"/>
      <c r="K39" s="249"/>
      <c r="L39" s="249"/>
      <c r="M39" s="214"/>
      <c r="N39" s="232">
        <v>2025</v>
      </c>
      <c r="O39" s="250"/>
      <c r="P39" s="225"/>
      <c r="Q39" s="225"/>
      <c r="R39" s="225"/>
      <c r="S39" s="225"/>
      <c r="T39" s="258"/>
      <c r="U39" s="258"/>
      <c r="V39" s="258"/>
      <c r="W39" s="258"/>
      <c r="X39" s="225"/>
      <c r="Y39" s="225"/>
      <c r="Z39" s="225"/>
      <c r="AA39" s="225"/>
      <c r="AB39" s="214"/>
      <c r="AC39" s="353"/>
      <c r="AD39" s="353"/>
      <c r="AE39" s="353"/>
      <c r="AF39" s="354"/>
      <c r="AG39" s="354"/>
      <c r="AH39" s="354"/>
      <c r="AI39" s="214"/>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row>
    <row r="40" spans="1:66" ht="15.6" customHeight="1" x14ac:dyDescent="0.3">
      <c r="A40" s="214"/>
      <c r="B40" s="240">
        <v>2026</v>
      </c>
      <c r="C40" s="251"/>
      <c r="D40" s="256"/>
      <c r="E40" s="256"/>
      <c r="F40" s="256"/>
      <c r="G40" s="259"/>
      <c r="H40" s="256"/>
      <c r="I40" s="235"/>
      <c r="J40" s="235"/>
      <c r="K40" s="235"/>
      <c r="L40" s="235"/>
      <c r="M40" s="214"/>
      <c r="N40" s="240">
        <v>2026</v>
      </c>
      <c r="O40" s="252"/>
      <c r="P40" s="225"/>
      <c r="Q40" s="225"/>
      <c r="R40" s="225"/>
      <c r="S40" s="225"/>
      <c r="T40" s="253"/>
      <c r="U40" s="253"/>
      <c r="V40" s="253"/>
      <c r="W40" s="253"/>
      <c r="X40" s="225"/>
      <c r="Y40" s="225"/>
      <c r="Z40" s="225"/>
      <c r="AA40" s="225"/>
      <c r="AB40" s="214"/>
      <c r="AC40" s="353"/>
      <c r="AD40" s="353"/>
      <c r="AE40" s="353"/>
      <c r="AF40" s="351"/>
      <c r="AG40" s="351"/>
      <c r="AH40" s="351"/>
      <c r="AI40" s="214"/>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row>
    <row r="41" spans="1:66" ht="12.6" customHeight="1" x14ac:dyDescent="0.3">
      <c r="A41" s="214"/>
      <c r="B41" s="214"/>
      <c r="C41" s="214"/>
      <c r="D41" s="214"/>
      <c r="E41" s="214"/>
      <c r="F41" s="214"/>
      <c r="G41" s="214"/>
      <c r="H41" s="214"/>
      <c r="I41" s="260"/>
      <c r="J41" s="214"/>
      <c r="K41" s="214"/>
      <c r="L41" s="214"/>
      <c r="M41" s="214"/>
      <c r="N41" s="214"/>
      <c r="O41" s="214"/>
      <c r="P41" s="214"/>
      <c r="Q41" s="214"/>
      <c r="R41" s="214"/>
      <c r="S41" s="214"/>
      <c r="T41" s="260"/>
      <c r="U41" s="214"/>
      <c r="V41" s="214"/>
      <c r="W41" s="214"/>
      <c r="X41" s="413" t="s">
        <v>190</v>
      </c>
      <c r="Y41" s="414"/>
      <c r="Z41" s="414"/>
      <c r="AA41" s="415"/>
      <c r="AB41" s="214"/>
      <c r="AC41" s="214"/>
      <c r="AD41" s="214"/>
      <c r="AE41" s="214"/>
      <c r="AF41" s="260"/>
      <c r="AG41" s="214"/>
      <c r="AH41" s="214"/>
      <c r="AI41" s="214"/>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row>
    <row r="42" spans="1:66" ht="12.6" customHeight="1" x14ac:dyDescent="0.3">
      <c r="A42" s="214"/>
      <c r="B42" s="214"/>
      <c r="C42" s="214"/>
      <c r="D42" s="214"/>
      <c r="E42" s="214"/>
      <c r="F42" s="214"/>
      <c r="G42" s="214"/>
      <c r="H42" s="214"/>
      <c r="I42" s="214"/>
      <c r="J42" s="214"/>
      <c r="K42" s="214"/>
      <c r="L42" s="214"/>
      <c r="M42" s="214"/>
      <c r="N42" s="214"/>
      <c r="O42" s="214"/>
      <c r="P42" s="214"/>
      <c r="Q42" s="214"/>
      <c r="R42" s="214"/>
      <c r="S42" s="214"/>
      <c r="T42" s="214"/>
      <c r="U42" s="214"/>
      <c r="V42" s="214"/>
      <c r="W42" s="416">
        <v>2023</v>
      </c>
      <c r="X42" s="417">
        <f>(($M37-$H37)/1000000)/T37</f>
        <v>0.14543273356988884</v>
      </c>
      <c r="Y42" s="417">
        <f t="shared" ref="Y42:Z42" si="9">(($M37-$H37)/1000000)/U37</f>
        <v>0.18953652313391608</v>
      </c>
      <c r="Z42" s="417">
        <f t="shared" si="9"/>
        <v>0.17249870935890335</v>
      </c>
      <c r="AA42" s="417">
        <f>AVERAGE(X42:Z42)</f>
        <v>0.16915598868756943</v>
      </c>
      <c r="AB42" s="214"/>
      <c r="AC42" s="214"/>
      <c r="AD42" s="214"/>
      <c r="AE42" s="214"/>
      <c r="AF42" s="214"/>
      <c r="AG42" s="214"/>
      <c r="AH42" s="214"/>
      <c r="AI42" s="214"/>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row>
    <row r="43" spans="1:66" ht="12.6" customHeight="1" thickBot="1" x14ac:dyDescent="0.35">
      <c r="A43" s="214"/>
      <c r="B43" s="214"/>
      <c r="C43" s="214"/>
      <c r="D43" s="214"/>
      <c r="E43" s="214"/>
      <c r="F43" s="214"/>
      <c r="G43" s="214"/>
      <c r="H43" s="214"/>
      <c r="I43" s="214"/>
      <c r="J43" s="214"/>
      <c r="K43" s="214"/>
      <c r="L43" s="214"/>
      <c r="M43" s="214"/>
      <c r="N43" s="214"/>
      <c r="O43" s="214"/>
      <c r="P43" s="214"/>
      <c r="Q43" s="214"/>
      <c r="R43" s="214"/>
      <c r="S43" s="214"/>
      <c r="T43" s="214"/>
      <c r="U43" s="214"/>
      <c r="V43" s="214"/>
      <c r="W43" s="214"/>
      <c r="X43" s="214"/>
      <c r="Y43" s="214"/>
      <c r="Z43" s="214"/>
      <c r="AA43" s="214"/>
      <c r="AB43" s="214"/>
      <c r="AC43" s="214"/>
      <c r="AD43" s="214"/>
      <c r="AE43" s="214"/>
      <c r="AF43" s="214"/>
      <c r="AG43" s="214"/>
      <c r="AH43" s="214"/>
      <c r="AI43" s="214"/>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row>
    <row r="44" spans="1:66" ht="18" customHeight="1" thickBot="1" x14ac:dyDescent="0.35">
      <c r="A44" s="214"/>
      <c r="B44" s="216" t="s">
        <v>191</v>
      </c>
      <c r="C44" s="221"/>
      <c r="D44" s="222" t="s">
        <v>160</v>
      </c>
      <c r="E44" s="223"/>
      <c r="F44" s="224" t="s">
        <v>161</v>
      </c>
      <c r="G44" s="222"/>
      <c r="H44" s="222"/>
      <c r="I44" s="222"/>
      <c r="J44" s="223"/>
      <c r="K44" s="214"/>
      <c r="L44" s="214"/>
      <c r="M44" s="214"/>
      <c r="N44" s="214"/>
      <c r="O44" s="214"/>
      <c r="P44" s="214"/>
      <c r="Q44" s="214"/>
      <c r="R44" s="214"/>
      <c r="S44" s="214"/>
      <c r="T44" s="214"/>
      <c r="U44" s="216" t="s">
        <v>192</v>
      </c>
      <c r="V44" s="221"/>
      <c r="W44" s="222" t="s">
        <v>160</v>
      </c>
      <c r="X44" s="223"/>
      <c r="Y44" s="224" t="s">
        <v>161</v>
      </c>
      <c r="Z44" s="222"/>
      <c r="AA44" s="222"/>
      <c r="AB44" s="222"/>
      <c r="AC44" s="223"/>
      <c r="AD44" s="214"/>
      <c r="AE44" s="214"/>
      <c r="AF44" s="214"/>
      <c r="AG44" s="214"/>
      <c r="AH44" s="214"/>
      <c r="AI44" s="214"/>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row>
    <row r="45" spans="1:66" ht="42" customHeight="1" x14ac:dyDescent="0.3">
      <c r="A45" s="214"/>
      <c r="B45" s="227"/>
      <c r="C45" s="231" t="s">
        <v>193</v>
      </c>
      <c r="D45" s="228" t="s">
        <v>194</v>
      </c>
      <c r="E45" s="228" t="s">
        <v>170</v>
      </c>
      <c r="F45" s="229" t="s">
        <v>195</v>
      </c>
      <c r="G45" s="229" t="s">
        <v>196</v>
      </c>
      <c r="H45" s="261" t="s">
        <v>197</v>
      </c>
      <c r="I45" s="261" t="s">
        <v>198</v>
      </c>
      <c r="J45" s="261" t="s">
        <v>199</v>
      </c>
      <c r="K45" s="411" t="s">
        <v>176</v>
      </c>
      <c r="L45" s="214"/>
      <c r="M45" s="214"/>
      <c r="N45" s="214"/>
      <c r="O45" s="214"/>
      <c r="P45" s="214"/>
      <c r="Q45" s="214"/>
      <c r="R45" s="214"/>
      <c r="S45" s="214"/>
      <c r="T45" s="214"/>
      <c r="U45" s="227"/>
      <c r="V45" s="231" t="s">
        <v>193</v>
      </c>
      <c r="W45" s="228" t="s">
        <v>194</v>
      </c>
      <c r="X45" s="228" t="s">
        <v>170</v>
      </c>
      <c r="Y45" s="229" t="s">
        <v>195</v>
      </c>
      <c r="Z45" s="229" t="s">
        <v>196</v>
      </c>
      <c r="AA45" s="261" t="s">
        <v>197</v>
      </c>
      <c r="AB45" s="261" t="s">
        <v>198</v>
      </c>
      <c r="AC45" s="261" t="s">
        <v>199</v>
      </c>
      <c r="AD45" s="214"/>
      <c r="AE45" s="214"/>
      <c r="AF45" s="214"/>
      <c r="AG45" s="214"/>
      <c r="AH45" s="214"/>
      <c r="AI45" s="214"/>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row>
    <row r="46" spans="1:66" ht="15" customHeight="1" x14ac:dyDescent="0.3">
      <c r="A46" s="214"/>
      <c r="B46" s="232">
        <v>2019</v>
      </c>
      <c r="C46" s="262">
        <f>C33/1000000</f>
        <v>4407.3627534480029</v>
      </c>
      <c r="D46" s="263">
        <f>F33/1000000</f>
        <v>4478.7</v>
      </c>
      <c r="E46" s="264"/>
      <c r="F46" s="262">
        <f>H33/1000000</f>
        <v>4478.7</v>
      </c>
      <c r="G46" s="264"/>
      <c r="H46" s="264"/>
      <c r="I46" s="264"/>
      <c r="J46" s="264"/>
      <c r="K46" s="214"/>
      <c r="L46" s="214"/>
      <c r="M46" s="214"/>
      <c r="N46" s="214"/>
      <c r="O46" s="214"/>
      <c r="P46" s="214"/>
      <c r="Q46" s="214"/>
      <c r="R46" s="214"/>
      <c r="S46" s="214"/>
      <c r="T46" s="214"/>
      <c r="U46" s="232">
        <v>2019</v>
      </c>
      <c r="V46" s="355">
        <f>C33/1000000/D33</f>
        <v>7.0594610991927265E-2</v>
      </c>
      <c r="W46" s="355">
        <f>F33/(D33*1000000)</f>
        <v>7.1737250128139418E-2</v>
      </c>
      <c r="X46" s="264"/>
      <c r="Y46" s="355">
        <f>H33/($D33*1000000)</f>
        <v>7.1737250128139418E-2</v>
      </c>
      <c r="Z46" s="355"/>
      <c r="AA46" s="355"/>
      <c r="AB46" s="355"/>
      <c r="AC46" s="355"/>
      <c r="AD46" s="214"/>
      <c r="AE46" s="214"/>
      <c r="AF46" s="214"/>
      <c r="AG46" s="214"/>
      <c r="AH46" s="214"/>
      <c r="AI46" s="214"/>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row>
    <row r="47" spans="1:66" ht="15" customHeight="1" x14ac:dyDescent="0.3">
      <c r="A47" s="214"/>
      <c r="B47" s="240">
        <v>2020</v>
      </c>
      <c r="C47" s="262">
        <f t="shared" ref="C47:C49" si="10">C34/1000000</f>
        <v>4484.0604100379978</v>
      </c>
      <c r="D47" s="263">
        <f>F34/1000000</f>
        <v>4759.3500000000004</v>
      </c>
      <c r="E47" s="264"/>
      <c r="F47" s="264"/>
      <c r="G47" s="264"/>
      <c r="H47" s="264"/>
      <c r="I47" s="264"/>
      <c r="J47" s="264"/>
      <c r="K47" s="214"/>
      <c r="L47" s="214"/>
      <c r="M47" s="214"/>
      <c r="N47" s="214"/>
      <c r="O47" s="214"/>
      <c r="P47" s="214"/>
      <c r="Q47" s="214"/>
      <c r="R47" s="214"/>
      <c r="S47" s="214"/>
      <c r="T47" s="214"/>
      <c r="U47" s="240">
        <v>2020</v>
      </c>
      <c r="V47" s="355">
        <f t="shared" ref="V47:V50" si="11">C34/1000000/D34</f>
        <v>6.9494458031709103E-2</v>
      </c>
      <c r="W47" s="355">
        <f t="shared" ref="W47:W50" si="12">F34/(D34*1000000)</f>
        <v>7.3760926167007621E-2</v>
      </c>
      <c r="X47" s="264"/>
      <c r="Y47" s="355"/>
      <c r="Z47" s="355"/>
      <c r="AA47" s="355"/>
      <c r="AB47" s="355"/>
      <c r="AC47" s="355"/>
      <c r="AD47" s="214"/>
      <c r="AE47" s="214"/>
      <c r="AF47" s="214"/>
      <c r="AG47" s="214"/>
      <c r="AH47" s="214"/>
      <c r="AI47" s="214"/>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row>
    <row r="48" spans="1:66" ht="15" customHeight="1" x14ac:dyDescent="0.3">
      <c r="A48" s="214"/>
      <c r="B48" s="232">
        <v>2021</v>
      </c>
      <c r="C48" s="262">
        <f t="shared" si="10"/>
        <v>4921.7771450627806</v>
      </c>
      <c r="D48" s="263">
        <f>F35/1000000</f>
        <v>5530.7250000000004</v>
      </c>
      <c r="E48" s="264"/>
      <c r="F48" s="264"/>
      <c r="G48" s="264"/>
      <c r="H48" s="264"/>
      <c r="I48" s="264"/>
      <c r="J48" s="264"/>
      <c r="K48" s="214"/>
      <c r="L48" s="214"/>
      <c r="M48" s="214"/>
      <c r="N48" s="214"/>
      <c r="O48" s="214"/>
      <c r="P48" s="214"/>
      <c r="Q48" s="214"/>
      <c r="R48" s="214"/>
      <c r="S48" s="214"/>
      <c r="T48" s="214"/>
      <c r="U48" s="232">
        <v>2021</v>
      </c>
      <c r="V48" s="355">
        <f t="shared" si="11"/>
        <v>6.801698629182544E-2</v>
      </c>
      <c r="W48" s="355">
        <f t="shared" si="12"/>
        <v>7.6432401431710456E-2</v>
      </c>
      <c r="X48" s="264"/>
      <c r="Y48" s="355"/>
      <c r="Z48" s="355"/>
      <c r="AA48" s="355"/>
      <c r="AB48" s="355"/>
      <c r="AC48" s="355"/>
      <c r="AD48" s="214"/>
      <c r="AE48" s="214"/>
      <c r="AF48" s="214"/>
      <c r="AG48" s="214"/>
      <c r="AH48" s="214"/>
      <c r="AI48" s="214"/>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row>
    <row r="49" spans="1:66" ht="15" customHeight="1" x14ac:dyDescent="0.3">
      <c r="A49" s="214"/>
      <c r="B49" s="240">
        <v>2022</v>
      </c>
      <c r="C49" s="262">
        <f t="shared" si="10"/>
        <v>5141.096696208002</v>
      </c>
      <c r="D49" s="263">
        <f>F36/1000000</f>
        <v>6063.5249999999996</v>
      </c>
      <c r="E49" s="264"/>
      <c r="F49" s="264"/>
      <c r="G49" s="264"/>
      <c r="H49" s="264"/>
      <c r="I49" s="264"/>
      <c r="J49" s="264"/>
      <c r="K49" s="214"/>
      <c r="L49" s="214"/>
      <c r="M49" s="214"/>
      <c r="N49" s="214"/>
      <c r="O49" s="214"/>
      <c r="P49" s="214"/>
      <c r="Q49" s="214"/>
      <c r="R49" s="214"/>
      <c r="S49" s="214"/>
      <c r="T49" s="214"/>
      <c r="U49" s="240">
        <v>2022</v>
      </c>
      <c r="V49" s="355">
        <f t="shared" si="11"/>
        <v>6.6311918072050488E-2</v>
      </c>
      <c r="W49" s="355">
        <f t="shared" si="12"/>
        <v>7.820976666795651E-2</v>
      </c>
      <c r="X49" s="264"/>
      <c r="Y49" s="355"/>
      <c r="Z49" s="355"/>
      <c r="AA49" s="355"/>
      <c r="AB49" s="355"/>
      <c r="AC49" s="355"/>
      <c r="AD49" s="214"/>
      <c r="AE49" s="214"/>
      <c r="AF49" s="214"/>
      <c r="AG49" s="214"/>
      <c r="AH49" s="214"/>
      <c r="AI49" s="214"/>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row>
    <row r="50" spans="1:66" ht="15" customHeight="1" x14ac:dyDescent="0.3">
      <c r="A50" s="214"/>
      <c r="B50" s="232">
        <v>2023</v>
      </c>
      <c r="C50" s="262">
        <f>C37/1000000</f>
        <v>5157.1933778051989</v>
      </c>
      <c r="D50" s="263">
        <f>F37/1000000</f>
        <v>6925.5749999999998</v>
      </c>
      <c r="E50" s="264"/>
      <c r="F50" s="262">
        <f t="shared" ref="F50:K50" si="13">H37/1000000</f>
        <v>6925.5749999999998</v>
      </c>
      <c r="G50" s="262">
        <f t="shared" si="13"/>
        <v>7968.4859701317791</v>
      </c>
      <c r="H50" s="262">
        <f t="shared" si="13"/>
        <v>6964.5767396094589</v>
      </c>
      <c r="I50" s="262">
        <f t="shared" si="13"/>
        <v>7198.1792174446027</v>
      </c>
      <c r="J50" s="262">
        <f t="shared" si="13"/>
        <v>7122.0955003507424</v>
      </c>
      <c r="K50" s="418">
        <f t="shared" si="13"/>
        <v>7071.5762636509044</v>
      </c>
      <c r="L50" s="214"/>
      <c r="M50" s="214"/>
      <c r="N50" s="214"/>
      <c r="O50" s="214"/>
      <c r="P50" s="214"/>
      <c r="Q50" s="214"/>
      <c r="R50" s="214"/>
      <c r="S50" s="214"/>
      <c r="T50" s="214"/>
      <c r="U50" s="232">
        <v>2023</v>
      </c>
      <c r="V50" s="355">
        <f t="shared" si="11"/>
        <v>6.5025764440867467E-2</v>
      </c>
      <c r="W50" s="355">
        <f t="shared" si="12"/>
        <v>8.7322847055856759E-2</v>
      </c>
      <c r="X50" s="264"/>
      <c r="Y50" s="355">
        <f>H37/($D37*1000000)</f>
        <v>8.7322847055856759E-2</v>
      </c>
      <c r="Z50" s="355">
        <f t="shared" ref="Z50:AC50" si="14">I37/($D37*1000000)</f>
        <v>0.10047265124362349</v>
      </c>
      <c r="AA50" s="355">
        <f t="shared" si="14"/>
        <v>8.7814610258598644E-2</v>
      </c>
      <c r="AB50" s="355">
        <f t="shared" si="14"/>
        <v>9.0760045611456341E-2</v>
      </c>
      <c r="AC50" s="355">
        <f t="shared" si="14"/>
        <v>8.9800725007574606E-2</v>
      </c>
      <c r="AD50" s="214"/>
      <c r="AE50" s="214"/>
      <c r="AF50" s="214"/>
      <c r="AG50" s="214"/>
      <c r="AH50" s="214"/>
      <c r="AI50" s="214"/>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row>
    <row r="51" spans="1:66" ht="15" customHeight="1" x14ac:dyDescent="0.3">
      <c r="A51" s="214"/>
      <c r="B51" s="240">
        <v>2024</v>
      </c>
      <c r="C51" s="264"/>
      <c r="D51" s="264"/>
      <c r="E51" s="264"/>
      <c r="F51" s="264"/>
      <c r="G51" s="264"/>
      <c r="H51" s="264"/>
      <c r="I51" s="264"/>
      <c r="J51" s="264"/>
      <c r="K51" s="214"/>
      <c r="L51" s="214"/>
      <c r="M51" s="214"/>
      <c r="N51" s="214"/>
      <c r="O51" s="214"/>
      <c r="P51" s="214"/>
      <c r="Q51" s="214"/>
      <c r="R51" s="214"/>
      <c r="S51" s="214"/>
      <c r="T51" s="214"/>
      <c r="U51" s="240">
        <v>2024</v>
      </c>
      <c r="V51" s="264"/>
      <c r="W51" s="264"/>
      <c r="X51" s="264"/>
      <c r="Y51" s="355"/>
      <c r="Z51" s="355"/>
      <c r="AA51" s="355"/>
      <c r="AB51" s="355"/>
      <c r="AC51" s="355"/>
      <c r="AD51" s="214"/>
      <c r="AE51" s="214"/>
      <c r="AF51" s="214"/>
      <c r="AG51" s="214"/>
      <c r="AH51" s="214"/>
      <c r="AI51" s="214"/>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row>
    <row r="52" spans="1:66" ht="15" customHeight="1" x14ac:dyDescent="0.3">
      <c r="A52" s="214"/>
      <c r="B52" s="232">
        <v>2025</v>
      </c>
      <c r="C52" s="264"/>
      <c r="D52" s="264"/>
      <c r="E52" s="264"/>
      <c r="F52" s="264"/>
      <c r="G52" s="264"/>
      <c r="H52" s="264"/>
      <c r="I52" s="264"/>
      <c r="J52" s="264"/>
      <c r="K52" s="214"/>
      <c r="L52" s="214"/>
      <c r="M52" s="214"/>
      <c r="N52" s="214"/>
      <c r="O52" s="214"/>
      <c r="P52" s="214"/>
      <c r="Q52" s="214"/>
      <c r="R52" s="214"/>
      <c r="S52" s="214"/>
      <c r="T52" s="214"/>
      <c r="U52" s="232">
        <v>2025</v>
      </c>
      <c r="V52" s="264"/>
      <c r="W52" s="264"/>
      <c r="X52" s="264"/>
      <c r="Y52" s="355"/>
      <c r="Z52" s="355"/>
      <c r="AA52" s="355"/>
      <c r="AB52" s="355"/>
      <c r="AC52" s="355"/>
      <c r="AD52" s="214"/>
      <c r="AE52" s="214"/>
      <c r="AF52" s="214"/>
      <c r="AG52" s="214"/>
      <c r="AH52" s="214"/>
      <c r="AI52" s="214"/>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row>
    <row r="53" spans="1:66" ht="15" customHeight="1" x14ac:dyDescent="0.3">
      <c r="A53" s="214"/>
      <c r="B53" s="240">
        <v>2026</v>
      </c>
      <c r="C53" s="262"/>
      <c r="D53" s="264"/>
      <c r="E53" s="264"/>
      <c r="F53" s="264"/>
      <c r="G53" s="262"/>
      <c r="H53" s="262"/>
      <c r="I53" s="262"/>
      <c r="J53" s="262"/>
      <c r="K53" s="214"/>
      <c r="L53" s="214"/>
      <c r="M53" s="214"/>
      <c r="N53" s="214"/>
      <c r="O53" s="214"/>
      <c r="P53" s="214"/>
      <c r="Q53" s="214"/>
      <c r="R53" s="214"/>
      <c r="S53" s="214"/>
      <c r="T53" s="214"/>
      <c r="U53" s="240">
        <v>2026</v>
      </c>
      <c r="V53" s="262"/>
      <c r="W53" s="264"/>
      <c r="X53" s="264"/>
      <c r="Y53" s="355"/>
      <c r="Z53" s="355"/>
      <c r="AA53" s="355"/>
      <c r="AB53" s="355"/>
      <c r="AC53" s="355"/>
      <c r="AD53" s="214"/>
      <c r="AE53" s="214"/>
      <c r="AF53" s="214"/>
      <c r="AG53" s="214"/>
      <c r="AH53" s="214"/>
      <c r="AI53" s="214"/>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row>
    <row r="54" spans="1:66" ht="12.6" customHeight="1" x14ac:dyDescent="0.3">
      <c r="A54" s="214"/>
      <c r="B54" s="214"/>
      <c r="C54" s="214"/>
      <c r="D54" s="214"/>
      <c r="E54" s="214"/>
      <c r="F54" s="214"/>
      <c r="G54" s="214"/>
      <c r="H54" s="214"/>
      <c r="I54" s="214"/>
      <c r="J54" s="214"/>
      <c r="K54" s="214"/>
      <c r="L54" s="214"/>
      <c r="M54" s="214"/>
      <c r="N54" s="214"/>
      <c r="O54" s="214"/>
      <c r="P54" s="214"/>
      <c r="Q54" s="214"/>
      <c r="R54" s="214"/>
      <c r="S54" s="214"/>
      <c r="T54" s="214"/>
      <c r="U54" s="214"/>
      <c r="V54" s="214"/>
      <c r="W54" s="214"/>
      <c r="X54" s="214"/>
      <c r="Y54" s="214"/>
      <c r="Z54" s="214"/>
      <c r="AA54" s="214"/>
      <c r="AB54" s="214"/>
      <c r="AC54" s="214"/>
      <c r="AD54" s="214"/>
      <c r="AE54" s="214"/>
      <c r="AF54" s="214"/>
      <c r="AG54" s="214"/>
      <c r="AH54" s="214"/>
      <c r="AI54" s="214"/>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row>
    <row r="55" spans="1:66" ht="12.6" customHeight="1" x14ac:dyDescent="0.3">
      <c r="A55" s="214"/>
      <c r="B55" s="214"/>
      <c r="C55" s="214"/>
      <c r="D55" s="214"/>
      <c r="E55" s="214"/>
      <c r="F55" s="214"/>
      <c r="G55" s="214"/>
      <c r="H55" s="214"/>
      <c r="I55" s="214"/>
      <c r="J55" s="214"/>
      <c r="K55" s="214"/>
      <c r="L55" s="214"/>
      <c r="M55" s="214"/>
      <c r="N55" s="214"/>
      <c r="O55" s="214"/>
      <c r="P55" s="214"/>
      <c r="Q55" s="214"/>
      <c r="R55" s="214"/>
      <c r="S55" s="214"/>
      <c r="T55" s="214"/>
      <c r="U55" s="214"/>
      <c r="V55" s="214"/>
      <c r="W55" s="214"/>
      <c r="X55" s="214"/>
      <c r="Y55" s="214"/>
      <c r="Z55" s="214"/>
      <c r="AA55" s="214"/>
      <c r="AB55" s="214"/>
      <c r="AC55" s="214"/>
      <c r="AD55" s="214"/>
      <c r="AE55" s="214"/>
      <c r="AF55" s="214"/>
      <c r="AG55" s="214"/>
      <c r="AH55" s="214"/>
      <c r="AI55" s="214"/>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row>
    <row r="56" spans="1:66" ht="12.6" customHeight="1" x14ac:dyDescent="0.3">
      <c r="A56" s="214"/>
      <c r="B56" s="214"/>
      <c r="C56" s="214"/>
      <c r="D56" s="214"/>
      <c r="E56" s="214"/>
      <c r="F56" s="214"/>
      <c r="G56" s="214"/>
      <c r="H56" s="214"/>
      <c r="I56" s="214"/>
      <c r="J56" s="214"/>
      <c r="K56" s="214"/>
      <c r="L56" s="214"/>
      <c r="M56" s="214"/>
      <c r="N56" s="214"/>
      <c r="O56" s="214"/>
      <c r="P56" s="214"/>
      <c r="Q56" s="214"/>
      <c r="R56" s="214"/>
      <c r="S56" s="214"/>
      <c r="T56" s="214"/>
      <c r="U56" s="214"/>
      <c r="V56" s="214"/>
      <c r="W56" s="214"/>
      <c r="X56" s="214"/>
      <c r="Y56" s="214"/>
      <c r="Z56" s="214"/>
      <c r="AA56" s="214"/>
      <c r="AB56" s="214"/>
      <c r="AC56" s="214"/>
      <c r="AD56" s="214"/>
      <c r="AE56" s="214"/>
      <c r="AF56" s="214"/>
      <c r="AG56" s="214"/>
      <c r="AH56" s="214"/>
      <c r="AI56" s="214"/>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row>
    <row r="57" spans="1:66" ht="12.6" customHeight="1" x14ac:dyDescent="0.3">
      <c r="A57" s="214"/>
      <c r="B57" s="214"/>
      <c r="C57" s="214"/>
      <c r="D57" s="214"/>
      <c r="E57" s="214"/>
      <c r="F57" s="214"/>
      <c r="G57" s="214"/>
      <c r="H57" s="214"/>
      <c r="I57" s="214"/>
      <c r="J57" s="214"/>
      <c r="K57" s="214"/>
      <c r="L57" s="214"/>
      <c r="M57" s="214"/>
      <c r="N57" s="214"/>
      <c r="O57" s="214"/>
      <c r="P57" s="214"/>
      <c r="Q57" s="214"/>
      <c r="R57" s="214"/>
      <c r="S57" s="214"/>
      <c r="T57" s="214"/>
      <c r="U57" s="214"/>
      <c r="V57" s="214"/>
      <c r="W57" s="214"/>
      <c r="X57" s="214"/>
      <c r="Y57" s="214"/>
      <c r="Z57" s="214"/>
      <c r="AA57" s="214"/>
      <c r="AB57" s="214"/>
      <c r="AC57" s="214"/>
      <c r="AD57" s="214"/>
      <c r="AE57" s="214"/>
      <c r="AF57" s="214"/>
      <c r="AG57" s="214"/>
      <c r="AH57" s="214"/>
      <c r="AI57" s="214"/>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row>
    <row r="58" spans="1:66" ht="12.6" customHeight="1" x14ac:dyDescent="0.3">
      <c r="A58" s="214"/>
      <c r="B58" s="214"/>
      <c r="C58" s="214"/>
      <c r="D58" s="214"/>
      <c r="E58" s="214"/>
      <c r="F58" s="214"/>
      <c r="G58" s="214"/>
      <c r="H58" s="214"/>
      <c r="I58" s="214"/>
      <c r="J58" s="214"/>
      <c r="K58" s="214"/>
      <c r="L58" s="214"/>
      <c r="M58" s="214"/>
      <c r="N58" s="214"/>
      <c r="O58" s="214"/>
      <c r="P58" s="214"/>
      <c r="Q58" s="214"/>
      <c r="R58" s="214"/>
      <c r="S58" s="214"/>
      <c r="T58" s="214"/>
      <c r="U58" s="214"/>
      <c r="V58" s="214"/>
      <c r="W58" s="214"/>
      <c r="X58" s="214"/>
      <c r="Y58" s="214"/>
      <c r="Z58" s="214"/>
      <c r="AA58" s="214"/>
      <c r="AB58" s="214"/>
      <c r="AC58" s="214"/>
      <c r="AD58" s="214"/>
      <c r="AE58" s="214"/>
      <c r="AF58" s="214"/>
      <c r="AG58" s="214"/>
      <c r="AH58" s="214"/>
      <c r="AI58" s="214"/>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row>
    <row r="59" spans="1:66" ht="12.6"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row>
    <row r="60" spans="1:66" ht="12" customHeight="1" thickBot="1" x14ac:dyDescent="0.35">
      <c r="A60" s="98"/>
      <c r="B60" s="98"/>
      <c r="C60" s="98"/>
      <c r="D60" s="98"/>
      <c r="E60" s="98"/>
      <c r="F60" s="98"/>
      <c r="G60" s="98"/>
      <c r="H60" s="98"/>
      <c r="I60" s="98"/>
      <c r="J60" s="98"/>
      <c r="K60" s="98"/>
      <c r="L60" s="98"/>
      <c r="M60" s="98"/>
      <c r="N60" s="98"/>
      <c r="O60" s="98"/>
      <c r="P60" s="98"/>
      <c r="Q60" s="98"/>
      <c r="R60" s="98"/>
      <c r="S60" s="98"/>
      <c r="T60" s="265"/>
      <c r="U60" s="265"/>
      <c r="V60" s="265"/>
      <c r="W60" s="265"/>
      <c r="X60" s="55"/>
      <c r="Y60" s="55"/>
      <c r="Z60" s="55"/>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row>
    <row r="61" spans="1:66" ht="12" customHeight="1" thickBot="1" x14ac:dyDescent="0.35">
      <c r="A61" s="98"/>
      <c r="B61" s="266" t="s">
        <v>200</v>
      </c>
      <c r="C61" s="267"/>
      <c r="D61" s="267"/>
      <c r="E61" s="267"/>
      <c r="F61" s="267"/>
      <c r="G61" s="267"/>
      <c r="H61" s="267"/>
      <c r="I61" s="267"/>
      <c r="J61" s="267"/>
      <c r="K61" s="267"/>
      <c r="L61" s="267"/>
      <c r="M61" s="267"/>
      <c r="N61" s="267"/>
      <c r="O61" s="267"/>
      <c r="P61" s="267"/>
      <c r="Q61" s="267"/>
      <c r="R61" s="267"/>
      <c r="S61" s="267"/>
      <c r="T61" s="268"/>
      <c r="U61" s="268"/>
      <c r="V61" s="269"/>
      <c r="W61" s="265"/>
      <c r="X61" s="55"/>
      <c r="Y61" s="55"/>
      <c r="Z61" s="55"/>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row>
    <row r="62" spans="1:66" ht="21.6" customHeight="1" x14ac:dyDescent="0.3">
      <c r="A62" s="98"/>
      <c r="B62" s="270"/>
      <c r="C62" s="98"/>
      <c r="D62" s="98"/>
      <c r="E62" s="98"/>
      <c r="F62" s="98"/>
      <c r="G62" s="98"/>
      <c r="H62" s="98"/>
      <c r="I62" s="98"/>
      <c r="J62" s="98"/>
      <c r="K62" s="98"/>
      <c r="L62" s="98"/>
      <c r="M62" s="98"/>
      <c r="N62" s="98"/>
      <c r="O62" s="98"/>
      <c r="P62" s="98"/>
      <c r="Q62" s="98"/>
      <c r="R62" s="98"/>
      <c r="S62" s="98"/>
      <c r="T62" s="98"/>
      <c r="U62" s="98"/>
      <c r="V62" s="98"/>
      <c r="W62" s="98"/>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row>
    <row r="63" spans="1:66" ht="21" customHeight="1" x14ac:dyDescent="0.3">
      <c r="A63" s="98"/>
      <c r="B63" s="98"/>
      <c r="C63" s="98"/>
      <c r="D63" s="98"/>
      <c r="E63" s="98"/>
      <c r="F63" s="98"/>
      <c r="G63" s="98"/>
      <c r="H63" s="98"/>
      <c r="I63" s="98"/>
      <c r="J63" s="98"/>
      <c r="K63" s="98"/>
      <c r="L63" s="98"/>
      <c r="M63" s="98"/>
      <c r="N63" s="98"/>
      <c r="O63" s="98"/>
      <c r="P63" s="98"/>
      <c r="Q63" s="98"/>
      <c r="R63" s="98"/>
      <c r="S63" s="98"/>
      <c r="T63" s="98"/>
      <c r="U63" s="98"/>
      <c r="V63" s="98"/>
      <c r="W63" s="98"/>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row>
    <row r="64" spans="1:66" ht="42.6" customHeight="1" x14ac:dyDescent="0.3">
      <c r="A64" s="98"/>
      <c r="B64" s="356" t="s">
        <v>201</v>
      </c>
      <c r="C64" s="271" t="s">
        <v>202</v>
      </c>
      <c r="D64" s="272" t="s">
        <v>172</v>
      </c>
      <c r="E64" s="272" t="s">
        <v>173</v>
      </c>
      <c r="F64" s="273" t="s">
        <v>174</v>
      </c>
      <c r="G64" s="272" t="s">
        <v>175</v>
      </c>
      <c r="H64" s="274"/>
      <c r="I64" s="274"/>
      <c r="J64" s="274"/>
      <c r="K64" s="274"/>
      <c r="L64" s="274"/>
      <c r="M64" s="274"/>
      <c r="N64" s="274"/>
      <c r="O64" s="274"/>
      <c r="P64" s="274"/>
      <c r="Q64" s="274"/>
      <c r="R64" s="274"/>
      <c r="S64" s="274"/>
      <c r="T64" s="274"/>
      <c r="U64" s="274"/>
      <c r="V64" s="274"/>
      <c r="W64" s="98"/>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row>
    <row r="65" spans="1:66" ht="15.6" customHeight="1" x14ac:dyDescent="0.3">
      <c r="A65" s="98"/>
      <c r="B65" s="275">
        <v>2019</v>
      </c>
      <c r="C65" s="357">
        <f>C22/P22*100</f>
        <v>18.175348653786521</v>
      </c>
      <c r="D65" s="276"/>
      <c r="E65" s="276"/>
      <c r="F65" s="276"/>
      <c r="G65" s="276"/>
      <c r="H65" s="277"/>
      <c r="I65" s="277"/>
      <c r="J65" s="277"/>
      <c r="K65" s="277"/>
      <c r="L65" s="277"/>
      <c r="M65" s="277"/>
      <c r="N65" s="277"/>
      <c r="O65" s="277"/>
      <c r="P65" s="277"/>
      <c r="Q65" s="277"/>
      <c r="R65" s="277"/>
      <c r="S65" s="277"/>
      <c r="T65" s="277"/>
      <c r="U65" s="277"/>
      <c r="V65" s="277"/>
      <c r="W65" s="278"/>
      <c r="X65" s="44"/>
      <c r="Y65" s="44"/>
      <c r="Z65" s="44"/>
      <c r="AA65" s="46"/>
      <c r="AB65" s="46"/>
      <c r="AC65" s="46"/>
      <c r="AD65" s="46"/>
      <c r="AE65" s="46"/>
      <c r="AF65" s="46"/>
      <c r="AG65" s="44"/>
      <c r="AH65" s="44"/>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row>
    <row r="66" spans="1:66" s="51" customFormat="1" ht="15.6" customHeight="1" x14ac:dyDescent="0.3">
      <c r="A66" s="279"/>
      <c r="B66" s="280">
        <v>2020</v>
      </c>
      <c r="C66" s="357">
        <f>D22/Q22*100</f>
        <v>18.250471288714742</v>
      </c>
      <c r="D66" s="276"/>
      <c r="E66" s="276"/>
      <c r="F66" s="276"/>
      <c r="G66" s="276"/>
      <c r="H66" s="281"/>
      <c r="I66" s="281"/>
      <c r="J66" s="281"/>
      <c r="K66" s="281"/>
      <c r="L66" s="281"/>
      <c r="M66" s="281"/>
      <c r="N66" s="281"/>
      <c r="O66" s="281"/>
      <c r="P66" s="281"/>
      <c r="Q66" s="281"/>
      <c r="R66" s="281"/>
      <c r="S66" s="281"/>
      <c r="T66" s="281"/>
      <c r="U66" s="281"/>
      <c r="V66" s="281"/>
      <c r="W66" s="282"/>
      <c r="X66" s="48"/>
      <c r="Y66" s="48"/>
      <c r="Z66" s="48"/>
      <c r="AA66" s="48"/>
      <c r="AB66" s="48"/>
      <c r="AC66" s="48"/>
      <c r="AD66" s="48"/>
      <c r="AE66" s="48"/>
      <c r="AF66" s="48"/>
      <c r="AG66" s="48"/>
      <c r="AH66" s="48"/>
      <c r="AI66" s="47"/>
      <c r="AJ66" s="47"/>
      <c r="AK66" s="47"/>
      <c r="AL66" s="47"/>
      <c r="AM66" s="47"/>
      <c r="AN66" s="47"/>
      <c r="AO66" s="47"/>
      <c r="AP66" s="47"/>
      <c r="AQ66" s="47"/>
      <c r="AR66" s="47"/>
      <c r="AS66" s="47"/>
      <c r="AT66" s="47"/>
      <c r="AU66" s="47"/>
      <c r="AV66" s="47"/>
      <c r="AW66" s="47"/>
      <c r="AX66" s="47"/>
      <c r="AY66" s="47"/>
      <c r="AZ66" s="47"/>
      <c r="BA66" s="47"/>
      <c r="BB66" s="47"/>
      <c r="BC66" s="47"/>
      <c r="BD66" s="47"/>
      <c r="BE66" s="47"/>
      <c r="BF66" s="47"/>
      <c r="BG66" s="47"/>
      <c r="BH66" s="47"/>
      <c r="BI66" s="47"/>
      <c r="BJ66" s="47"/>
      <c r="BK66" s="47"/>
      <c r="BL66" s="47"/>
      <c r="BM66" s="47"/>
      <c r="BN66" s="47"/>
    </row>
    <row r="67" spans="1:66" ht="15.6" customHeight="1" x14ac:dyDescent="0.3">
      <c r="A67" s="98"/>
      <c r="B67" s="275">
        <v>2021</v>
      </c>
      <c r="C67" s="357">
        <f>E22/R22*100</f>
        <v>19.015558247809118</v>
      </c>
      <c r="D67" s="276"/>
      <c r="E67" s="276"/>
      <c r="F67" s="276"/>
      <c r="G67" s="276"/>
      <c r="H67" s="281"/>
      <c r="I67" s="281"/>
      <c r="J67" s="281"/>
      <c r="K67" s="281"/>
      <c r="L67" s="281"/>
      <c r="M67" s="281"/>
      <c r="N67" s="281"/>
      <c r="O67" s="281"/>
      <c r="P67" s="281"/>
      <c r="Q67" s="281"/>
      <c r="R67" s="281"/>
      <c r="S67" s="281"/>
      <c r="T67" s="281"/>
      <c r="U67" s="281"/>
      <c r="V67" s="281"/>
      <c r="W67" s="283"/>
      <c r="X67" s="52"/>
      <c r="Y67" s="52"/>
      <c r="Z67" s="52"/>
      <c r="AA67" s="43"/>
      <c r="AB67" s="43"/>
      <c r="AC67" s="43"/>
      <c r="AD67" s="43"/>
      <c r="AE67" s="43"/>
      <c r="AF67" s="43"/>
      <c r="AG67" s="43"/>
      <c r="AH67" s="43"/>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row>
    <row r="68" spans="1:66" ht="15.6" customHeight="1" x14ac:dyDescent="0.3">
      <c r="A68" s="98"/>
      <c r="B68" s="280">
        <v>2022</v>
      </c>
      <c r="C68" s="357">
        <f>F22/S22*100</f>
        <v>18.97933597176306</v>
      </c>
      <c r="D68" s="276"/>
      <c r="E68" s="276"/>
      <c r="F68" s="276"/>
      <c r="G68" s="276"/>
      <c r="H68" s="284"/>
      <c r="I68" s="284"/>
      <c r="J68" s="284"/>
      <c r="K68" s="284"/>
      <c r="L68" s="284"/>
      <c r="M68" s="284"/>
      <c r="N68" s="284"/>
      <c r="O68" s="284"/>
      <c r="P68" s="284"/>
      <c r="Q68" s="284"/>
      <c r="R68" s="284"/>
      <c r="S68" s="284"/>
      <c r="T68" s="284"/>
      <c r="U68" s="284"/>
      <c r="V68" s="284"/>
      <c r="W68" s="98"/>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row>
    <row r="69" spans="1:66" ht="15.6" customHeight="1" x14ac:dyDescent="0.3">
      <c r="A69" s="98"/>
      <c r="B69" s="275">
        <v>2023</v>
      </c>
      <c r="C69" s="357">
        <f>G22/$T22*100</f>
        <v>17.99921793306866</v>
      </c>
      <c r="D69" s="357">
        <f>H22/$T22*100</f>
        <v>20.709690613848224</v>
      </c>
      <c r="E69" s="357">
        <f>I22/$T22*100</f>
        <v>18.100581474868356</v>
      </c>
      <c r="F69" s="357">
        <f>J22/$T22*100</f>
        <v>18.707702458795264</v>
      </c>
      <c r="G69" s="357">
        <f>K22/$T22*100</f>
        <v>18.509964739525696</v>
      </c>
      <c r="H69" s="277"/>
      <c r="I69" s="277"/>
      <c r="J69" s="277"/>
      <c r="K69" s="277"/>
      <c r="L69" s="277"/>
      <c r="M69" s="277"/>
      <c r="N69" s="277"/>
      <c r="O69" s="277"/>
      <c r="P69" s="277"/>
      <c r="Q69" s="277"/>
      <c r="R69" s="277"/>
      <c r="S69" s="277"/>
      <c r="T69" s="277"/>
      <c r="U69" s="277"/>
      <c r="V69" s="277"/>
      <c r="W69" s="98"/>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row>
    <row r="70" spans="1:66" ht="15.6" customHeight="1" x14ac:dyDescent="0.3">
      <c r="A70" s="98"/>
      <c r="B70" s="280">
        <v>2024</v>
      </c>
      <c r="C70" s="276"/>
      <c r="D70" s="358"/>
      <c r="E70" s="357"/>
      <c r="F70" s="357"/>
      <c r="G70" s="357"/>
      <c r="H70" s="284"/>
      <c r="I70" s="284"/>
      <c r="J70" s="284"/>
      <c r="K70" s="284"/>
      <c r="L70" s="284"/>
      <c r="M70" s="284"/>
      <c r="N70" s="284"/>
      <c r="O70" s="284"/>
      <c r="P70" s="284"/>
      <c r="Q70" s="284"/>
      <c r="R70" s="284"/>
      <c r="S70" s="284"/>
      <c r="T70" s="284"/>
      <c r="U70" s="284"/>
      <c r="V70" s="284"/>
      <c r="W70" s="98"/>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row>
    <row r="71" spans="1:66" ht="15.6" customHeight="1" x14ac:dyDescent="0.3">
      <c r="A71" s="98"/>
      <c r="B71" s="275">
        <v>2025</v>
      </c>
      <c r="C71" s="276"/>
      <c r="D71" s="358"/>
      <c r="E71" s="357"/>
      <c r="F71" s="357"/>
      <c r="G71" s="357"/>
      <c r="H71" s="284"/>
      <c r="I71" s="284"/>
      <c r="J71" s="284"/>
      <c r="K71" s="284"/>
      <c r="L71" s="284"/>
      <c r="M71" s="284"/>
      <c r="N71" s="284"/>
      <c r="O71" s="284"/>
      <c r="P71" s="284"/>
      <c r="Q71" s="284"/>
      <c r="R71" s="284"/>
      <c r="S71" s="284"/>
      <c r="T71" s="284"/>
      <c r="U71" s="284"/>
      <c r="V71" s="284"/>
      <c r="W71" s="98"/>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row>
    <row r="72" spans="1:66" ht="15.6" customHeight="1" x14ac:dyDescent="0.3">
      <c r="A72" s="98"/>
      <c r="B72" s="280">
        <v>2026</v>
      </c>
      <c r="C72" s="276"/>
      <c r="D72" s="357"/>
      <c r="E72" s="357"/>
      <c r="F72" s="357"/>
      <c r="G72" s="357"/>
      <c r="H72" s="277"/>
      <c r="I72" s="277"/>
      <c r="J72" s="277"/>
      <c r="K72" s="277"/>
      <c r="L72" s="277"/>
      <c r="M72" s="277"/>
      <c r="N72" s="277"/>
      <c r="O72" s="277"/>
      <c r="P72" s="277"/>
      <c r="Q72" s="277"/>
      <c r="R72" s="277"/>
      <c r="S72" s="277"/>
      <c r="T72" s="277"/>
      <c r="U72" s="277"/>
      <c r="V72" s="277"/>
      <c r="W72" s="98"/>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row>
    <row r="73" spans="1:66" ht="12.6" customHeight="1" x14ac:dyDescent="0.3">
      <c r="A73" s="98"/>
      <c r="B73" s="98"/>
      <c r="C73" s="98"/>
      <c r="D73" s="98"/>
      <c r="E73" s="98"/>
      <c r="F73" s="98"/>
      <c r="G73" s="98"/>
      <c r="H73" s="98"/>
      <c r="I73" s="98"/>
      <c r="J73" s="98"/>
      <c r="K73" s="98"/>
      <c r="L73" s="98"/>
      <c r="M73" s="98"/>
      <c r="N73" s="98"/>
      <c r="O73" s="98"/>
      <c r="P73" s="98"/>
      <c r="Q73" s="98"/>
      <c r="R73" s="98"/>
      <c r="S73" s="98"/>
      <c r="T73" s="98"/>
      <c r="U73" s="98"/>
      <c r="V73" s="98"/>
      <c r="W73" s="98"/>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row>
    <row r="74" spans="1:66" ht="12.6" customHeight="1" x14ac:dyDescent="0.3">
      <c r="A74" s="98"/>
      <c r="B74" s="98"/>
      <c r="C74" s="285"/>
      <c r="D74" s="98"/>
      <c r="E74" s="98"/>
      <c r="F74" s="98"/>
      <c r="G74" s="98"/>
      <c r="H74" s="98"/>
      <c r="I74" s="98"/>
      <c r="J74" s="98"/>
      <c r="K74" s="98"/>
      <c r="L74" s="98"/>
      <c r="M74" s="98"/>
      <c r="N74" s="98"/>
      <c r="O74" s="98"/>
      <c r="P74" s="98"/>
      <c r="Q74" s="98"/>
      <c r="R74" s="98"/>
      <c r="S74" s="98"/>
      <c r="T74" s="98"/>
      <c r="U74" s="98"/>
      <c r="V74" s="98"/>
      <c r="W74" s="98"/>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row>
    <row r="75" spans="1:66" ht="12.6" customHeight="1" x14ac:dyDescent="0.3">
      <c r="A75" s="98"/>
      <c r="B75" s="98"/>
      <c r="C75" s="98"/>
      <c r="D75" s="98"/>
      <c r="E75" s="98"/>
      <c r="F75" s="98"/>
      <c r="G75" s="98"/>
      <c r="H75" s="98"/>
      <c r="I75" s="98"/>
      <c r="J75" s="98"/>
      <c r="K75" s="98"/>
      <c r="L75" s="98"/>
      <c r="M75" s="98"/>
      <c r="N75" s="98"/>
      <c r="O75" s="98"/>
      <c r="P75" s="98"/>
      <c r="Q75" s="98"/>
      <c r="R75" s="98"/>
      <c r="S75" s="98"/>
      <c r="T75" s="98"/>
      <c r="U75" s="98"/>
      <c r="V75" s="98"/>
      <c r="W75" s="98"/>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row>
    <row r="76" spans="1:66" ht="18" customHeight="1" x14ac:dyDescent="0.3">
      <c r="A76" s="98"/>
      <c r="B76" s="98"/>
      <c r="C76" s="98"/>
      <c r="D76" s="98"/>
      <c r="E76" s="98"/>
      <c r="F76" s="98"/>
      <c r="G76" s="98"/>
      <c r="H76" s="98"/>
      <c r="I76" s="98"/>
      <c r="J76" s="98"/>
      <c r="K76" s="98"/>
      <c r="L76" s="98"/>
      <c r="M76" s="98"/>
      <c r="N76" s="98"/>
      <c r="O76" s="98"/>
      <c r="P76" s="98"/>
      <c r="Q76" s="98"/>
      <c r="R76" s="98"/>
      <c r="S76" s="98"/>
      <c r="T76" s="98"/>
      <c r="U76" s="98"/>
      <c r="V76" s="98"/>
      <c r="W76" s="98"/>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row>
    <row r="77" spans="1:66" ht="42" customHeight="1" x14ac:dyDescent="0.3">
      <c r="A77" s="98"/>
      <c r="B77" s="356" t="s">
        <v>203</v>
      </c>
      <c r="C77" s="271" t="s">
        <v>202</v>
      </c>
      <c r="D77" s="272" t="s">
        <v>172</v>
      </c>
      <c r="E77" s="272" t="s">
        <v>173</v>
      </c>
      <c r="F77" s="273" t="s">
        <v>174</v>
      </c>
      <c r="G77" s="272" t="s">
        <v>175</v>
      </c>
      <c r="H77" s="98"/>
      <c r="I77" s="98"/>
      <c r="J77" s="98"/>
      <c r="K77" s="98"/>
      <c r="L77" s="98"/>
      <c r="M77" s="98"/>
      <c r="N77" s="98"/>
      <c r="O77" s="98"/>
      <c r="P77" s="98"/>
      <c r="Q77" s="98"/>
      <c r="R77" s="98"/>
      <c r="S77" s="98"/>
      <c r="T77" s="98"/>
      <c r="U77" s="98"/>
      <c r="V77" s="98"/>
      <c r="W77" s="98"/>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row>
    <row r="78" spans="1:66" ht="15.6" customHeight="1" x14ac:dyDescent="0.3">
      <c r="A78" s="98"/>
      <c r="B78" s="275">
        <v>2019</v>
      </c>
      <c r="C78" s="357">
        <f>C65</f>
        <v>18.175348653786521</v>
      </c>
      <c r="D78" s="276"/>
      <c r="E78" s="276"/>
      <c r="F78" s="276"/>
      <c r="G78" s="276"/>
      <c r="H78" s="98"/>
      <c r="I78" s="98"/>
      <c r="J78" s="98"/>
      <c r="K78" s="98"/>
      <c r="L78" s="98"/>
      <c r="M78" s="98"/>
      <c r="N78" s="98"/>
      <c r="O78" s="98"/>
      <c r="P78" s="98"/>
      <c r="Q78" s="98"/>
      <c r="R78" s="98"/>
      <c r="S78" s="98"/>
      <c r="T78" s="98"/>
      <c r="U78" s="98"/>
      <c r="V78" s="98"/>
      <c r="W78" s="98"/>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row>
    <row r="79" spans="1:66" s="1" customFormat="1" ht="15" customHeight="1" x14ac:dyDescent="0.3">
      <c r="A79" s="98"/>
      <c r="B79" s="280">
        <v>2020</v>
      </c>
      <c r="C79" s="357">
        <f>C66</f>
        <v>18.250471288714742</v>
      </c>
      <c r="D79" s="276"/>
      <c r="E79" s="276"/>
      <c r="F79" s="276"/>
      <c r="G79" s="276"/>
      <c r="H79" s="98"/>
      <c r="I79" s="98"/>
      <c r="J79" s="98"/>
      <c r="K79" s="98"/>
      <c r="L79" s="98"/>
      <c r="M79" s="98"/>
      <c r="N79" s="98"/>
      <c r="O79" s="98"/>
      <c r="P79" s="98"/>
      <c r="Q79" s="98"/>
      <c r="R79" s="98"/>
      <c r="S79" s="98"/>
      <c r="T79" s="98"/>
      <c r="U79" s="98"/>
      <c r="V79" s="98"/>
      <c r="W79" s="98"/>
    </row>
    <row r="80" spans="1:66" s="1" customFormat="1" ht="15" customHeight="1" x14ac:dyDescent="0.3">
      <c r="A80" s="98"/>
      <c r="B80" s="275">
        <v>2021</v>
      </c>
      <c r="C80" s="357">
        <f>C67</f>
        <v>19.015558247809118</v>
      </c>
      <c r="D80" s="276"/>
      <c r="E80" s="276"/>
      <c r="F80" s="276"/>
      <c r="G80" s="276"/>
      <c r="H80" s="98"/>
      <c r="I80" s="98"/>
      <c r="J80" s="98"/>
      <c r="K80" s="98"/>
      <c r="L80" s="98"/>
      <c r="M80" s="98"/>
      <c r="N80" s="98"/>
      <c r="O80" s="98"/>
      <c r="P80" s="98"/>
      <c r="Q80" s="98"/>
      <c r="R80" s="98"/>
      <c r="S80" s="98"/>
      <c r="T80" s="98"/>
      <c r="U80" s="98"/>
      <c r="V80" s="98"/>
      <c r="W80" s="98"/>
    </row>
    <row r="81" spans="1:23" s="1" customFormat="1" ht="15" customHeight="1" x14ac:dyDescent="0.3">
      <c r="A81" s="98"/>
      <c r="B81" s="280">
        <v>2022</v>
      </c>
      <c r="C81" s="357">
        <f>C68</f>
        <v>18.97933597176306</v>
      </c>
      <c r="D81" s="276"/>
      <c r="E81" s="276"/>
      <c r="F81" s="276"/>
      <c r="G81" s="276"/>
      <c r="H81" s="98"/>
      <c r="I81" s="98"/>
      <c r="J81" s="98"/>
      <c r="K81" s="98"/>
      <c r="L81" s="98"/>
      <c r="M81" s="98"/>
      <c r="N81" s="98"/>
      <c r="O81" s="98"/>
      <c r="P81" s="98"/>
      <c r="Q81" s="98"/>
      <c r="R81" s="98"/>
      <c r="S81" s="98"/>
      <c r="T81" s="98"/>
      <c r="U81" s="98"/>
      <c r="V81" s="98"/>
      <c r="W81" s="98"/>
    </row>
    <row r="82" spans="1:23" s="1" customFormat="1" ht="15" customHeight="1" x14ac:dyDescent="0.3">
      <c r="A82" s="98"/>
      <c r="B82" s="275">
        <v>2023</v>
      </c>
      <c r="C82" s="357">
        <f>C69</f>
        <v>17.99921793306866</v>
      </c>
      <c r="D82" s="357">
        <f>D69</f>
        <v>20.709690613848224</v>
      </c>
      <c r="E82" s="357">
        <f>E69</f>
        <v>18.100581474868356</v>
      </c>
      <c r="F82" s="357">
        <f>F69</f>
        <v>18.707702458795264</v>
      </c>
      <c r="G82" s="357">
        <f>G69</f>
        <v>18.509964739525696</v>
      </c>
      <c r="H82" s="98"/>
      <c r="I82" s="98"/>
      <c r="J82" s="98"/>
      <c r="K82" s="98"/>
      <c r="L82" s="98"/>
      <c r="M82" s="98"/>
      <c r="N82" s="98"/>
      <c r="O82" s="98"/>
      <c r="P82" s="98"/>
      <c r="Q82" s="98"/>
      <c r="R82" s="98"/>
      <c r="S82" s="98"/>
      <c r="T82" s="98"/>
      <c r="U82" s="98"/>
      <c r="V82" s="98"/>
      <c r="W82" s="98"/>
    </row>
    <row r="83" spans="1:23" s="1" customFormat="1" ht="15" customHeight="1" x14ac:dyDescent="0.3">
      <c r="A83" s="98"/>
      <c r="B83" s="280">
        <v>2024</v>
      </c>
      <c r="C83" s="357"/>
      <c r="D83" s="358"/>
      <c r="E83" s="358"/>
      <c r="F83" s="358"/>
      <c r="G83" s="358"/>
      <c r="H83" s="98"/>
      <c r="I83" s="98"/>
      <c r="J83" s="98"/>
      <c r="K83" s="98"/>
      <c r="L83" s="98"/>
      <c r="M83" s="98"/>
      <c r="N83" s="98"/>
      <c r="O83" s="98"/>
      <c r="P83" s="98"/>
      <c r="Q83" s="98"/>
      <c r="R83" s="98"/>
      <c r="S83" s="98"/>
      <c r="T83" s="98"/>
      <c r="U83" s="98"/>
      <c r="V83" s="98"/>
      <c r="W83" s="98"/>
    </row>
    <row r="84" spans="1:23" s="1" customFormat="1" ht="15" customHeight="1" x14ac:dyDescent="0.3">
      <c r="A84" s="98"/>
      <c r="B84" s="275">
        <v>2025</v>
      </c>
      <c r="C84" s="357"/>
      <c r="D84" s="358"/>
      <c r="E84" s="358"/>
      <c r="F84" s="358"/>
      <c r="G84" s="358"/>
      <c r="H84" s="98"/>
      <c r="I84" s="98"/>
      <c r="J84" s="98"/>
      <c r="K84" s="98"/>
      <c r="L84" s="98"/>
      <c r="M84" s="98"/>
      <c r="N84" s="98"/>
      <c r="O84" s="98"/>
      <c r="P84" s="98"/>
      <c r="Q84" s="98"/>
      <c r="R84" s="98"/>
      <c r="S84" s="98"/>
      <c r="T84" s="98"/>
      <c r="U84" s="98"/>
      <c r="V84" s="98"/>
      <c r="W84" s="98"/>
    </row>
    <row r="85" spans="1:23" s="1" customFormat="1" ht="15" customHeight="1" x14ac:dyDescent="0.3">
      <c r="A85" s="98"/>
      <c r="B85" s="280">
        <v>2026</v>
      </c>
      <c r="C85" s="357"/>
      <c r="D85" s="357"/>
      <c r="E85" s="357"/>
      <c r="F85" s="357"/>
      <c r="G85" s="357"/>
      <c r="H85" s="98"/>
      <c r="I85" s="98"/>
      <c r="J85" s="98"/>
      <c r="K85" s="98"/>
      <c r="L85" s="98"/>
      <c r="M85" s="98"/>
      <c r="N85" s="98"/>
      <c r="O85" s="98"/>
      <c r="P85" s="98"/>
      <c r="Q85" s="98"/>
      <c r="R85" s="98"/>
      <c r="S85" s="98"/>
      <c r="T85" s="98"/>
      <c r="U85" s="98"/>
      <c r="V85" s="98"/>
      <c r="W85" s="98"/>
    </row>
    <row r="86" spans="1:23" s="1" customFormat="1" ht="12.6" customHeight="1" x14ac:dyDescent="0.3">
      <c r="A86" s="98"/>
      <c r="B86" s="98"/>
      <c r="C86" s="98"/>
      <c r="D86" s="285"/>
      <c r="E86" s="98"/>
      <c r="F86" s="98"/>
      <c r="G86" s="98"/>
      <c r="H86" s="98"/>
      <c r="I86" s="98"/>
      <c r="J86" s="98"/>
      <c r="K86" s="98"/>
      <c r="L86" s="98"/>
      <c r="M86" s="98"/>
      <c r="N86" s="98"/>
      <c r="O86" s="98"/>
      <c r="P86" s="98"/>
      <c r="Q86" s="98"/>
      <c r="R86" s="98"/>
      <c r="S86" s="98"/>
      <c r="T86" s="98"/>
      <c r="U86" s="98"/>
      <c r="V86" s="98"/>
      <c r="W86" s="98"/>
    </row>
    <row r="87" spans="1:23" s="1" customFormat="1" ht="12.6" customHeight="1" x14ac:dyDescent="0.3">
      <c r="A87" s="98"/>
      <c r="B87" s="98"/>
      <c r="C87" s="98"/>
      <c r="D87" s="98"/>
      <c r="E87" s="98"/>
      <c r="F87" s="98"/>
      <c r="G87" s="98"/>
      <c r="H87" s="98"/>
      <c r="I87" s="98"/>
      <c r="J87" s="98"/>
      <c r="K87" s="98"/>
      <c r="L87" s="98"/>
      <c r="M87" s="98"/>
      <c r="N87" s="98"/>
      <c r="O87" s="98"/>
      <c r="P87" s="98"/>
      <c r="Q87" s="98"/>
      <c r="R87" s="98"/>
      <c r="S87" s="98"/>
      <c r="T87" s="98"/>
      <c r="U87" s="98"/>
      <c r="V87" s="98"/>
      <c r="W87" s="98"/>
    </row>
    <row r="88" spans="1:23" s="1" customFormat="1" ht="12.6" customHeight="1" x14ac:dyDescent="0.3">
      <c r="A88" s="98"/>
      <c r="B88" s="98"/>
      <c r="C88" s="98"/>
      <c r="D88" s="98"/>
      <c r="E88" s="98"/>
      <c r="F88" s="98"/>
      <c r="G88" s="98"/>
      <c r="H88" s="98"/>
      <c r="I88" s="98"/>
      <c r="J88" s="98"/>
      <c r="K88" s="98"/>
      <c r="L88" s="98"/>
      <c r="M88" s="98"/>
      <c r="N88" s="98"/>
      <c r="O88" s="98"/>
      <c r="P88" s="98"/>
      <c r="Q88" s="98"/>
      <c r="R88" s="98"/>
      <c r="S88" s="98"/>
      <c r="T88" s="98"/>
      <c r="U88" s="98"/>
      <c r="V88" s="98"/>
      <c r="W88" s="98"/>
    </row>
    <row r="89" spans="1:23" s="1" customFormat="1" ht="12.6" customHeight="1" x14ac:dyDescent="0.3"/>
    <row r="90" spans="1:23" s="1" customFormat="1" ht="12.6" customHeight="1" x14ac:dyDescent="0.3"/>
    <row r="91" spans="1:23" s="1" customFormat="1" x14ac:dyDescent="0.3"/>
    <row r="92" spans="1:23" s="1" customFormat="1" x14ac:dyDescent="0.3"/>
    <row r="93" spans="1:23" s="1" customFormat="1" x14ac:dyDescent="0.3"/>
    <row r="94" spans="1:23" s="1" customFormat="1" x14ac:dyDescent="0.3"/>
    <row r="95" spans="1:23" s="1" customFormat="1" x14ac:dyDescent="0.3"/>
    <row r="96" spans="1:23" s="1" customFormat="1" x14ac:dyDescent="0.3"/>
    <row r="97" s="1" customFormat="1" x14ac:dyDescent="0.3"/>
    <row r="98" s="1" customFormat="1" x14ac:dyDescent="0.3"/>
    <row r="99" s="1" customFormat="1" x14ac:dyDescent="0.3"/>
    <row r="100" s="1" customFormat="1" x14ac:dyDescent="0.3"/>
    <row r="101" s="1" customFormat="1" x14ac:dyDescent="0.3"/>
    <row r="102" s="1" customFormat="1" x14ac:dyDescent="0.3"/>
    <row r="103" s="1" customFormat="1" x14ac:dyDescent="0.3"/>
    <row r="104" s="1" customFormat="1" x14ac:dyDescent="0.3"/>
    <row r="105" s="1" customFormat="1" x14ac:dyDescent="0.3"/>
    <row r="106" s="1" customFormat="1" x14ac:dyDescent="0.3"/>
    <row r="107" s="1" customFormat="1" x14ac:dyDescent="0.3"/>
    <row r="108" s="1" customFormat="1" x14ac:dyDescent="0.3"/>
    <row r="109" s="1" customFormat="1" x14ac:dyDescent="0.3"/>
    <row r="110" s="1" customFormat="1" x14ac:dyDescent="0.3"/>
    <row r="111" s="1" customFormat="1" x14ac:dyDescent="0.3"/>
    <row r="112" s="1" customFormat="1" x14ac:dyDescent="0.3"/>
    <row r="113" s="1" customFormat="1" x14ac:dyDescent="0.3"/>
    <row r="114" s="1" customFormat="1" x14ac:dyDescent="0.3"/>
    <row r="115" s="1" customFormat="1" x14ac:dyDescent="0.3"/>
    <row r="116" s="1" customFormat="1" x14ac:dyDescent="0.3"/>
    <row r="117" s="1" customFormat="1" x14ac:dyDescent="0.3"/>
    <row r="118" s="1" customFormat="1" x14ac:dyDescent="0.3"/>
    <row r="119" s="1" customFormat="1" x14ac:dyDescent="0.3"/>
    <row r="120" s="1" customFormat="1" x14ac:dyDescent="0.3"/>
    <row r="121" s="1" customFormat="1" x14ac:dyDescent="0.3"/>
  </sheetData>
  <pageMargins left="0.7" right="0.7" top="0.75" bottom="0.75" header="0.3" footer="0.3"/>
  <pageSetup paperSize="9" orientation="portrait" r:id="rId1"/>
  <headerFooter>
    <oddHeader>&amp;R&amp;"Arial"&amp;10&amp;K000000 ECB-RESTRICTED&amp;1#_x000D_</oddHeader>
  </headerFooter>
  <drawing r:id="rId2"/>
  <legacyDrawing r:id="rId3"/>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A9315-FA30-4F4E-8BED-F3C5E14C7B1C}">
  <dimension ref="A1:FQ27"/>
  <sheetViews>
    <sheetView zoomScale="85" zoomScaleNormal="85" workbookViewId="0">
      <selection activeCell="AH35" sqref="AH35"/>
    </sheetView>
  </sheetViews>
  <sheetFormatPr baseColWidth="10" defaultColWidth="8.6640625" defaultRowHeight="14.4" x14ac:dyDescent="0.3"/>
  <cols>
    <col min="1" max="1" width="4.33203125" customWidth="1"/>
    <col min="3" max="3" width="15.6640625" customWidth="1"/>
    <col min="4" max="7" width="14.5546875" customWidth="1"/>
    <col min="8" max="15" width="18" customWidth="1"/>
    <col min="16" max="17" width="18.5546875" customWidth="1"/>
    <col min="18" max="18" width="15.33203125" customWidth="1"/>
    <col min="19" max="22" width="18" customWidth="1"/>
    <col min="23" max="31" width="14.6640625" customWidth="1"/>
    <col min="32" max="32" width="15.33203125" customWidth="1"/>
    <col min="33" max="33" width="14.6640625" customWidth="1"/>
    <col min="34" max="41" width="13.5546875" customWidth="1"/>
    <col min="42" max="42" width="15.5546875" customWidth="1"/>
    <col min="43" max="43" width="13" customWidth="1"/>
    <col min="44" max="44" width="11.33203125" customWidth="1"/>
    <col min="45" max="45" width="12.44140625" customWidth="1"/>
    <col min="46" max="50" width="11.33203125" customWidth="1"/>
    <col min="51" max="51" width="13.44140625" customWidth="1"/>
    <col min="56" max="56" width="9.5546875" customWidth="1"/>
    <col min="60" max="61" width="16.44140625" customWidth="1"/>
    <col min="62" max="63" width="15.33203125" customWidth="1"/>
    <col min="68" max="68" width="11.44140625" bestFit="1" customWidth="1"/>
    <col min="69" max="69" width="13.5546875" customWidth="1"/>
    <col min="70" max="70" width="13.6640625" customWidth="1"/>
    <col min="71" max="71" width="12.44140625" customWidth="1"/>
    <col min="72" max="77" width="12.5546875" customWidth="1"/>
    <col min="78" max="80" width="11.33203125" customWidth="1"/>
    <col min="81" max="85" width="11.5546875" hidden="1" customWidth="1"/>
    <col min="86" max="86" width="13.44140625" hidden="1" customWidth="1"/>
    <col min="87" max="88" width="11.5546875" hidden="1" customWidth="1"/>
    <col min="89" max="94" width="12.5546875" customWidth="1"/>
    <col min="95" max="96" width="11.33203125" customWidth="1"/>
    <col min="97" max="104" width="11.5546875" customWidth="1"/>
    <col min="105" max="108" width="13.44140625" customWidth="1"/>
    <col min="110" max="130" width="0.5546875" customWidth="1"/>
    <col min="131" max="132" width="15.5546875" customWidth="1"/>
    <col min="133" max="133" width="15.44140625" customWidth="1"/>
    <col min="134" max="134" width="14.5546875" customWidth="1"/>
    <col min="135" max="135" width="16.5546875" customWidth="1"/>
    <col min="136" max="138" width="18" customWidth="1"/>
    <col min="139" max="142" width="15.33203125" customWidth="1"/>
    <col min="143" max="143" width="11" customWidth="1"/>
    <col min="144" max="145" width="16" customWidth="1"/>
    <col min="146" max="146" width="9.44140625" customWidth="1"/>
    <col min="147" max="150" width="17" customWidth="1"/>
    <col min="153" max="153" width="10.6640625" customWidth="1"/>
    <col min="156" max="157" width="11.44140625" customWidth="1"/>
    <col min="158" max="161" width="9.5546875" customWidth="1"/>
    <col min="162" max="165" width="11.5546875" customWidth="1"/>
  </cols>
  <sheetData>
    <row r="1" spans="1:173" ht="15" thickBot="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ht="18" customHeight="1" thickBot="1" x14ac:dyDescent="0.35">
      <c r="A2" s="1"/>
      <c r="B2" s="2" t="s">
        <v>579</v>
      </c>
      <c r="C2" s="3"/>
      <c r="D2" s="3"/>
      <c r="E2" s="3"/>
      <c r="F2" s="3"/>
      <c r="G2" s="3"/>
      <c r="H2" s="4"/>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18" customHeight="1" x14ac:dyDescent="0.3">
      <c r="A3" s="1"/>
      <c r="B3" s="5" t="s">
        <v>0</v>
      </c>
      <c r="C3" s="6"/>
      <c r="D3" s="6"/>
      <c r="E3" s="6"/>
      <c r="F3" s="6"/>
      <c r="G3" s="6"/>
      <c r="H3" s="7"/>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18" customHeight="1" x14ac:dyDescent="0.3">
      <c r="A4" s="1"/>
      <c r="B4" s="8" t="s">
        <v>1</v>
      </c>
      <c r="C4" s="9"/>
      <c r="D4" s="9"/>
      <c r="E4" s="9"/>
      <c r="F4" s="9"/>
      <c r="G4" s="9"/>
      <c r="H4" s="10"/>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12.6" customHeight="1" x14ac:dyDescent="0.3">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row>
    <row r="6" spans="1:173" ht="12.6" customHeight="1" x14ac:dyDescent="0.3">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row>
    <row r="7" spans="1:173" ht="12.6" customHeight="1" x14ac:dyDescent="0.3">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c r="EU7" s="1"/>
      <c r="EV7" s="1"/>
      <c r="EW7" s="1"/>
      <c r="EX7" s="1"/>
      <c r="EY7" s="1"/>
      <c r="EZ7" s="1"/>
      <c r="FA7" s="1"/>
      <c r="FB7" s="1"/>
      <c r="FC7" s="1"/>
      <c r="FD7" s="1"/>
      <c r="FE7" s="1"/>
      <c r="FF7" s="1"/>
      <c r="FG7" s="1"/>
      <c r="FH7" s="1"/>
      <c r="FI7" s="1"/>
      <c r="FJ7" s="1"/>
      <c r="FK7" s="1"/>
      <c r="FL7" s="1"/>
      <c r="FM7" s="1"/>
      <c r="FN7" s="1"/>
      <c r="FO7" s="1"/>
      <c r="FP7" s="1"/>
      <c r="FQ7" s="1"/>
    </row>
    <row r="8" spans="1:173" ht="17.7" customHeight="1" x14ac:dyDescent="0.3">
      <c r="A8" s="1"/>
      <c r="B8" s="11" t="s">
        <v>2</v>
      </c>
      <c r="C8" s="12" t="s">
        <v>242</v>
      </c>
      <c r="D8" s="12" t="s">
        <v>243</v>
      </c>
      <c r="E8" s="124" t="s">
        <v>244</v>
      </c>
      <c r="F8" s="125"/>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56"/>
      <c r="CD8" s="56"/>
      <c r="CE8" s="56"/>
      <c r="CF8" s="56"/>
      <c r="CG8" s="56"/>
      <c r="CH8" s="56"/>
      <c r="CI8" s="56"/>
      <c r="CJ8" s="56"/>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row>
    <row r="9" spans="1:173" ht="10.35" customHeight="1" x14ac:dyDescent="0.3">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56"/>
      <c r="CD9" s="56"/>
      <c r="CE9" s="56"/>
      <c r="CF9" s="56"/>
      <c r="CG9" s="56"/>
      <c r="CH9" s="56"/>
      <c r="CI9" s="56"/>
      <c r="CJ9" s="56"/>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row>
    <row r="10" spans="1:173" ht="23.4" x14ac:dyDescent="0.45">
      <c r="A10" s="1"/>
      <c r="B10" s="1">
        <v>2019</v>
      </c>
      <c r="C10" s="13" t="s">
        <v>6</v>
      </c>
      <c r="D10" s="14"/>
      <c r="E10" s="14"/>
      <c r="F10" s="14"/>
      <c r="G10" s="14"/>
      <c r="H10" s="14"/>
      <c r="I10" s="14"/>
      <c r="J10" s="14"/>
      <c r="K10" s="14"/>
      <c r="L10" s="14"/>
      <c r="M10" s="14"/>
      <c r="N10" s="14"/>
      <c r="O10" s="14"/>
      <c r="P10" s="15" t="s">
        <v>580</v>
      </c>
      <c r="Q10" s="16"/>
      <c r="R10" s="16"/>
      <c r="S10" s="16"/>
      <c r="T10" s="16"/>
      <c r="U10" s="16"/>
      <c r="V10" s="16"/>
      <c r="W10" s="13" t="s">
        <v>628</v>
      </c>
      <c r="X10" s="17"/>
      <c r="Y10" s="17"/>
      <c r="Z10" s="17"/>
      <c r="AA10" s="17"/>
      <c r="AB10" s="17"/>
      <c r="AC10" s="17"/>
      <c r="AD10" s="13" t="s">
        <v>629</v>
      </c>
      <c r="AE10" s="17"/>
      <c r="AF10" s="17"/>
      <c r="AG10" s="18"/>
      <c r="AH10" s="19" t="s">
        <v>630</v>
      </c>
      <c r="AI10" s="20"/>
      <c r="AJ10" s="16"/>
      <c r="AK10" s="16"/>
      <c r="AL10" s="16"/>
      <c r="AM10" s="16"/>
      <c r="AN10" s="16"/>
      <c r="AO10" s="16"/>
      <c r="AP10" s="21"/>
      <c r="AQ10" s="19" t="s">
        <v>9</v>
      </c>
      <c r="AR10" s="16"/>
      <c r="AS10" s="16"/>
      <c r="AT10" s="16"/>
      <c r="AU10" s="16"/>
      <c r="AV10" s="16"/>
      <c r="AW10" s="16"/>
      <c r="AX10" s="16"/>
      <c r="AY10" s="21"/>
      <c r="AZ10" s="22" t="s">
        <v>10</v>
      </c>
      <c r="BA10" s="23"/>
      <c r="BB10" s="23"/>
      <c r="BC10" s="23"/>
      <c r="BD10" s="23"/>
      <c r="BE10" s="23"/>
      <c r="BF10" s="23"/>
      <c r="BG10" s="23"/>
      <c r="BH10" s="23"/>
      <c r="BI10" s="23"/>
      <c r="BJ10" s="23"/>
      <c r="BK10" s="23"/>
      <c r="BL10" s="23"/>
      <c r="BM10" s="23"/>
      <c r="BN10" s="23"/>
      <c r="BO10" s="23"/>
      <c r="BP10" s="23"/>
      <c r="BQ10" s="23"/>
      <c r="BR10" s="24"/>
      <c r="BS10" s="11"/>
      <c r="BT10" s="19"/>
      <c r="BU10" s="16"/>
      <c r="BV10" s="16"/>
      <c r="BW10" s="16"/>
      <c r="BX10" s="16"/>
      <c r="BY10" s="16"/>
      <c r="BZ10" s="16"/>
      <c r="CA10" s="16"/>
      <c r="CB10" s="16"/>
      <c r="CC10" s="58" t="s">
        <v>12</v>
      </c>
      <c r="CD10" s="59"/>
      <c r="CE10" s="59"/>
      <c r="CF10" s="59"/>
      <c r="CG10" s="59"/>
      <c r="CH10" s="59"/>
      <c r="CI10" s="59"/>
      <c r="CJ10" s="59"/>
      <c r="CK10" s="19" t="s">
        <v>581</v>
      </c>
      <c r="CL10" s="16"/>
      <c r="CM10" s="16"/>
      <c r="CN10" s="16"/>
      <c r="CO10" s="16"/>
      <c r="CP10" s="16"/>
      <c r="CQ10" s="16"/>
      <c r="CR10" s="16"/>
      <c r="CS10" s="19" t="s">
        <v>582</v>
      </c>
      <c r="CT10" s="127"/>
      <c r="CU10" s="59"/>
      <c r="CV10" s="59"/>
      <c r="CW10" s="59"/>
      <c r="CX10" s="59"/>
      <c r="CY10" s="59"/>
      <c r="CZ10" s="59"/>
      <c r="DA10" s="15" t="s">
        <v>15</v>
      </c>
      <c r="DB10" s="60"/>
      <c r="DC10" s="60"/>
      <c r="DD10" s="8" t="s">
        <v>16</v>
      </c>
      <c r="DE10" s="10"/>
      <c r="DF10" s="1"/>
      <c r="DG10" s="1"/>
      <c r="DH10" s="1"/>
      <c r="DI10" s="1"/>
      <c r="DJ10" s="1"/>
      <c r="DK10" s="1"/>
      <c r="DL10" s="1"/>
      <c r="DM10" s="1"/>
      <c r="DN10" s="1"/>
      <c r="DO10" s="1"/>
      <c r="DP10" s="1"/>
      <c r="DQ10" s="1"/>
      <c r="DR10" s="1"/>
      <c r="DS10" s="1"/>
      <c r="DT10" s="1"/>
      <c r="DU10" s="1"/>
      <c r="DV10" s="1"/>
      <c r="DW10" s="1"/>
      <c r="DX10" s="1"/>
      <c r="DY10" s="1"/>
      <c r="DZ10" s="1"/>
      <c r="EA10" s="287" t="s">
        <v>17</v>
      </c>
      <c r="EB10" s="14"/>
      <c r="EC10" s="14"/>
      <c r="ED10" s="14"/>
      <c r="EE10" s="14"/>
      <c r="EF10" s="14"/>
      <c r="EG10" s="14"/>
      <c r="EH10" s="14"/>
      <c r="EI10" s="14"/>
      <c r="EJ10" s="14"/>
      <c r="EK10" s="14"/>
      <c r="EL10" s="14"/>
      <c r="EM10" s="14"/>
      <c r="EN10" s="15" t="s">
        <v>583</v>
      </c>
      <c r="EO10" s="16"/>
      <c r="EP10" s="16"/>
      <c r="EQ10" s="16"/>
      <c r="ER10" s="16"/>
      <c r="ES10" s="16"/>
      <c r="ET10" s="16"/>
      <c r="EU10" s="16"/>
      <c r="EV10" s="13" t="s">
        <v>631</v>
      </c>
      <c r="EW10" s="14"/>
      <c r="EX10" s="14"/>
      <c r="EY10" s="61"/>
      <c r="EZ10" s="62" t="s">
        <v>19</v>
      </c>
      <c r="FA10" s="10"/>
      <c r="FB10" s="14" t="s">
        <v>632</v>
      </c>
      <c r="FC10" s="17"/>
      <c r="FD10" s="17"/>
      <c r="FE10" s="17"/>
      <c r="FF10" s="17"/>
      <c r="FG10" s="17"/>
      <c r="FH10" s="17"/>
      <c r="FI10" s="18"/>
      <c r="FJ10" s="1"/>
      <c r="FK10" s="1"/>
      <c r="FL10" s="1"/>
      <c r="FM10" s="1"/>
      <c r="FN10" s="1"/>
      <c r="FO10" s="1"/>
      <c r="FP10" s="1"/>
      <c r="FQ10" s="1"/>
    </row>
    <row r="11" spans="1:173" ht="78.75" customHeight="1" x14ac:dyDescent="0.3">
      <c r="A11" s="1"/>
      <c r="B11" s="25" t="s">
        <v>20</v>
      </c>
      <c r="C11" s="26" t="s">
        <v>21</v>
      </c>
      <c r="D11" s="27" t="s">
        <v>22</v>
      </c>
      <c r="E11" s="27" t="s">
        <v>23</v>
      </c>
      <c r="F11" s="27" t="s">
        <v>24</v>
      </c>
      <c r="G11" s="27" t="s">
        <v>25</v>
      </c>
      <c r="H11" s="27" t="s">
        <v>26</v>
      </c>
      <c r="I11" s="27" t="s">
        <v>27</v>
      </c>
      <c r="J11" s="121"/>
      <c r="K11" s="27" t="s">
        <v>29</v>
      </c>
      <c r="L11" s="27" t="s">
        <v>30</v>
      </c>
      <c r="M11" s="27" t="s">
        <v>31</v>
      </c>
      <c r="N11" s="27" t="s">
        <v>32</v>
      </c>
      <c r="O11" s="27" t="s">
        <v>33</v>
      </c>
      <c r="P11" s="26" t="s">
        <v>21</v>
      </c>
      <c r="Q11" s="27" t="s">
        <v>22</v>
      </c>
      <c r="R11" s="27" t="s">
        <v>34</v>
      </c>
      <c r="S11" s="27" t="s">
        <v>29</v>
      </c>
      <c r="T11" s="27" t="s">
        <v>30</v>
      </c>
      <c r="U11" s="27" t="s">
        <v>31</v>
      </c>
      <c r="V11" s="27" t="s">
        <v>32</v>
      </c>
      <c r="W11" s="27" t="s">
        <v>22</v>
      </c>
      <c r="X11" s="27" t="s">
        <v>23</v>
      </c>
      <c r="Y11" s="27" t="s">
        <v>35</v>
      </c>
      <c r="Z11" s="27" t="s">
        <v>36</v>
      </c>
      <c r="AA11" s="27" t="s">
        <v>26</v>
      </c>
      <c r="AB11" s="27" t="s">
        <v>27</v>
      </c>
      <c r="AC11" s="27" t="s">
        <v>28</v>
      </c>
      <c r="AD11" s="27" t="s">
        <v>29</v>
      </c>
      <c r="AE11" s="27" t="s">
        <v>30</v>
      </c>
      <c r="AF11" s="27" t="s">
        <v>31</v>
      </c>
      <c r="AG11" s="27" t="s">
        <v>32</v>
      </c>
      <c r="AH11" s="27" t="s">
        <v>37</v>
      </c>
      <c r="AI11" s="27" t="s">
        <v>38</v>
      </c>
      <c r="AJ11" s="27" t="s">
        <v>39</v>
      </c>
      <c r="AK11" s="27" t="s">
        <v>40</v>
      </c>
      <c r="AL11" s="27" t="s">
        <v>41</v>
      </c>
      <c r="AM11" s="27" t="s">
        <v>42</v>
      </c>
      <c r="AN11" s="121" t="s">
        <v>43</v>
      </c>
      <c r="AO11" s="27" t="s">
        <v>44</v>
      </c>
      <c r="AP11" s="27" t="s">
        <v>45</v>
      </c>
      <c r="AQ11" s="27" t="s">
        <v>37</v>
      </c>
      <c r="AR11" s="27" t="s">
        <v>38</v>
      </c>
      <c r="AS11" s="27" t="s">
        <v>39</v>
      </c>
      <c r="AT11" s="27" t="s">
        <v>40</v>
      </c>
      <c r="AU11" s="27" t="s">
        <v>41</v>
      </c>
      <c r="AV11" s="27" t="s">
        <v>42</v>
      </c>
      <c r="AW11" s="121"/>
      <c r="AX11" s="27" t="s">
        <v>44</v>
      </c>
      <c r="AY11" s="27" t="s">
        <v>45</v>
      </c>
      <c r="AZ11" s="27" t="s">
        <v>633</v>
      </c>
      <c r="BA11" s="27" t="s">
        <v>634</v>
      </c>
      <c r="BB11" s="27" t="s">
        <v>635</v>
      </c>
      <c r="BC11" s="27" t="s">
        <v>636</v>
      </c>
      <c r="BD11" s="27" t="s">
        <v>46</v>
      </c>
      <c r="BE11" s="27" t="s">
        <v>47</v>
      </c>
      <c r="BF11" s="27" t="s">
        <v>48</v>
      </c>
      <c r="BG11" s="27" t="s">
        <v>49</v>
      </c>
      <c r="BH11" s="27" t="s">
        <v>50</v>
      </c>
      <c r="BI11" s="27" t="s">
        <v>51</v>
      </c>
      <c r="BJ11" s="27" t="s">
        <v>52</v>
      </c>
      <c r="BK11" s="27" t="s">
        <v>53</v>
      </c>
      <c r="BL11" s="27" t="s">
        <v>54</v>
      </c>
      <c r="BM11" s="27" t="s">
        <v>55</v>
      </c>
      <c r="BN11" s="27" t="s">
        <v>56</v>
      </c>
      <c r="BO11" s="27" t="s">
        <v>57</v>
      </c>
      <c r="BP11" s="27" t="s">
        <v>637</v>
      </c>
      <c r="BQ11" s="27" t="s">
        <v>638</v>
      </c>
      <c r="BR11" s="27" t="s">
        <v>273</v>
      </c>
      <c r="BS11" s="27" t="s">
        <v>584</v>
      </c>
      <c r="BT11" s="27"/>
      <c r="BU11" s="27"/>
      <c r="BV11" s="27"/>
      <c r="BW11" s="27"/>
      <c r="BX11" s="27"/>
      <c r="BY11" s="27"/>
      <c r="BZ11" s="27"/>
      <c r="CA11" s="27"/>
      <c r="CB11" s="27"/>
      <c r="CC11" s="63" t="s">
        <v>68</v>
      </c>
      <c r="CD11" s="63" t="s">
        <v>69</v>
      </c>
      <c r="CE11" s="63" t="s">
        <v>70</v>
      </c>
      <c r="CF11" s="63" t="s">
        <v>71</v>
      </c>
      <c r="CG11" s="63" t="s">
        <v>72</v>
      </c>
      <c r="CH11" s="63" t="s">
        <v>73</v>
      </c>
      <c r="CI11" s="63" t="s">
        <v>74</v>
      </c>
      <c r="CJ11" s="63" t="s">
        <v>75</v>
      </c>
      <c r="CK11" s="27" t="s">
        <v>585</v>
      </c>
      <c r="CL11" s="27" t="s">
        <v>586</v>
      </c>
      <c r="CM11" s="27" t="s">
        <v>587</v>
      </c>
      <c r="CN11" s="27" t="s">
        <v>588</v>
      </c>
      <c r="CO11" s="27" t="s">
        <v>80</v>
      </c>
      <c r="CP11" s="27" t="s">
        <v>81</v>
      </c>
      <c r="CQ11" s="27" t="s">
        <v>82</v>
      </c>
      <c r="CR11" s="27" t="s">
        <v>589</v>
      </c>
      <c r="CS11" s="128" t="s">
        <v>590</v>
      </c>
      <c r="CT11" s="128" t="s">
        <v>591</v>
      </c>
      <c r="CU11" s="128" t="s">
        <v>592</v>
      </c>
      <c r="CV11" s="128" t="s">
        <v>593</v>
      </c>
      <c r="CW11" s="128" t="s">
        <v>88</v>
      </c>
      <c r="CX11" s="128" t="s">
        <v>89</v>
      </c>
      <c r="CY11" s="128" t="s">
        <v>90</v>
      </c>
      <c r="CZ11" s="128" t="s">
        <v>91</v>
      </c>
      <c r="DA11" s="64" t="s">
        <v>92</v>
      </c>
      <c r="DB11" s="64" t="s">
        <v>93</v>
      </c>
      <c r="DC11" s="64" t="s">
        <v>94</v>
      </c>
      <c r="DD11" s="64" t="s">
        <v>95</v>
      </c>
      <c r="DE11" s="64" t="s">
        <v>96</v>
      </c>
      <c r="DF11" s="1"/>
      <c r="DG11" s="1"/>
      <c r="DH11" s="1"/>
      <c r="DI11" s="1"/>
      <c r="DJ11" s="1"/>
      <c r="DK11" s="1"/>
      <c r="DL11" s="1"/>
      <c r="DM11" s="1"/>
      <c r="DN11" s="1"/>
      <c r="DO11" s="1"/>
      <c r="DP11" s="1"/>
      <c r="DQ11" s="1"/>
      <c r="DR11" s="1"/>
      <c r="DS11" s="1"/>
      <c r="DT11" s="1"/>
      <c r="DU11" s="1"/>
      <c r="DV11" s="1"/>
      <c r="DW11" s="1"/>
      <c r="DX11" s="1"/>
      <c r="DY11" s="1"/>
      <c r="DZ11" s="1"/>
      <c r="EA11" s="26" t="s">
        <v>97</v>
      </c>
      <c r="EB11" s="27" t="s">
        <v>98</v>
      </c>
      <c r="EC11" s="27" t="s">
        <v>99</v>
      </c>
      <c r="ED11" s="27" t="s">
        <v>100</v>
      </c>
      <c r="EE11" s="27" t="s">
        <v>101</v>
      </c>
      <c r="EF11" s="27" t="s">
        <v>102</v>
      </c>
      <c r="EG11" s="27" t="s">
        <v>103</v>
      </c>
      <c r="EH11" s="121"/>
      <c r="EI11" s="27" t="s">
        <v>104</v>
      </c>
      <c r="EJ11" s="27" t="s">
        <v>105</v>
      </c>
      <c r="EK11" s="27" t="s">
        <v>106</v>
      </c>
      <c r="EL11" s="27" t="s">
        <v>107</v>
      </c>
      <c r="EM11" s="27" t="s">
        <v>33</v>
      </c>
      <c r="EN11" s="27" t="s">
        <v>97</v>
      </c>
      <c r="EO11" s="27" t="s">
        <v>98</v>
      </c>
      <c r="EP11" s="27" t="s">
        <v>108</v>
      </c>
      <c r="EQ11" s="27" t="s">
        <v>104</v>
      </c>
      <c r="ER11" s="27" t="s">
        <v>105</v>
      </c>
      <c r="ES11" s="27" t="s">
        <v>106</v>
      </c>
      <c r="ET11" s="27" t="s">
        <v>107</v>
      </c>
      <c r="EU11" s="27" t="s">
        <v>594</v>
      </c>
      <c r="EV11" s="64" t="s">
        <v>639</v>
      </c>
      <c r="EW11" s="27" t="s">
        <v>99</v>
      </c>
      <c r="EX11" s="64" t="s">
        <v>110</v>
      </c>
      <c r="EY11" s="64" t="s">
        <v>640</v>
      </c>
      <c r="EZ11" s="64" t="s">
        <v>111</v>
      </c>
      <c r="FA11" s="64" t="s">
        <v>112</v>
      </c>
      <c r="FB11" s="27" t="s">
        <v>641</v>
      </c>
      <c r="FC11" s="27" t="s">
        <v>642</v>
      </c>
      <c r="FD11" s="27" t="s">
        <v>643</v>
      </c>
      <c r="FE11" s="27" t="s">
        <v>644</v>
      </c>
      <c r="FF11" s="27" t="s">
        <v>645</v>
      </c>
      <c r="FG11" s="27" t="s">
        <v>646</v>
      </c>
      <c r="FH11" s="27" t="s">
        <v>647</v>
      </c>
      <c r="FI11" s="27" t="s">
        <v>648</v>
      </c>
      <c r="FJ11" s="1"/>
      <c r="FK11" s="1"/>
      <c r="FL11" s="1"/>
      <c r="FM11" s="1"/>
      <c r="FN11" s="1"/>
      <c r="FO11" s="1"/>
      <c r="FP11" s="1"/>
      <c r="FQ11" s="1"/>
    </row>
    <row r="12" spans="1:173" x14ac:dyDescent="0.3">
      <c r="A12" s="1"/>
      <c r="B12" s="28">
        <v>1</v>
      </c>
      <c r="C12" s="129">
        <f>'[75]2. Distributional by deciles o'!B64</f>
        <v>2173758.7332000001</v>
      </c>
      <c r="D12" s="129">
        <f>'[75]2. Distributional by deciles o'!C64</f>
        <v>2287991.8620000011</v>
      </c>
      <c r="E12" s="129">
        <f>'[75]2. Distributional by deciles o'!D64</f>
        <v>2195595.7440000004</v>
      </c>
      <c r="F12" s="129">
        <f>'[75]2. Distributional by deciles o'!E64</f>
        <v>2287991.8620000011</v>
      </c>
      <c r="G12" s="129">
        <f>'[75]2. Distributional by deciles o'!F64</f>
        <v>2197629.0360000008</v>
      </c>
      <c r="H12" s="129">
        <f>'[75]2. Distributional by deciles o'!G64</f>
        <v>2195595.7440000004</v>
      </c>
      <c r="I12" s="129"/>
      <c r="J12" s="122"/>
      <c r="K12" s="130" t="s">
        <v>113</v>
      </c>
      <c r="L12" s="130" t="s">
        <v>113</v>
      </c>
      <c r="M12" s="130" t="s">
        <v>113</v>
      </c>
      <c r="N12" s="130" t="s">
        <v>113</v>
      </c>
      <c r="O12" s="131">
        <f t="shared" ref="O12:O21" si="0">C12/C$22*100</f>
        <v>0.10224894646144592</v>
      </c>
      <c r="P12" s="129">
        <f>'[75]2. Distributional by deciles o'!B82</f>
        <v>244242016.95479995</v>
      </c>
      <c r="Q12" s="129">
        <f>'[75]2. Distributional by deciles o'!C82</f>
        <v>246683678.88960004</v>
      </c>
      <c r="R12" s="131">
        <f t="shared" ref="R12:R22" si="1">(Q12/P12-1)*100</f>
        <v>0.999689555975114</v>
      </c>
      <c r="S12" s="130" t="s">
        <v>113</v>
      </c>
      <c r="T12" s="130" t="s">
        <v>113</v>
      </c>
      <c r="U12" s="130" t="s">
        <v>113</v>
      </c>
      <c r="V12" s="130" t="s">
        <v>113</v>
      </c>
      <c r="W12" s="132">
        <f t="shared" ref="W12:W22" si="2">IF(D12&lt;&gt;0,((D12-$C12)/ABS($C12)) / ($Q12/$P12-1),0)</f>
        <v>5.2567288659840612</v>
      </c>
      <c r="X12" s="132">
        <f t="shared" ref="X12:X22" si="3">IF(E12&lt;&gt;0,((E12-$C12)/ABS($C12)) / ($Q12/$P12-1),0)</f>
        <v>1.0048857649705396</v>
      </c>
      <c r="Y12" s="132">
        <f t="shared" ref="Y12:Y22" si="4">IF(F12&lt;&gt;0,MAX(((F12-$C12)/ABS($C12)) / ($Q12/$P12-1),0),0)</f>
        <v>5.2567288659840612</v>
      </c>
      <c r="Z12" s="132">
        <f t="shared" ref="Z12:Z22" si="5">IF(G12&lt;&gt;0,MAX(((G12-$C12)/ABS($C12)) / ($Q12/$P12-1),0),0)</f>
        <v>1.0984528839110503</v>
      </c>
      <c r="AA12" s="132">
        <f t="shared" ref="AA12:AA22" si="6">IF(H12&lt;&gt;0,MAX(((H12-$C12)/ABS($C12)) / ($Q12/$P12-1),0),0)</f>
        <v>1.0048857649705396</v>
      </c>
      <c r="AB12" s="132">
        <f t="shared" ref="AB12:AB22" si="7">IF(I12&lt;&gt;0,MAX(((I12-$C12)/ABS($C12)) / ($Q12/$P12-1),0),AA12)</f>
        <v>1.0048857649705396</v>
      </c>
      <c r="AC12" s="132">
        <f t="shared" ref="AC12:AC22" si="8">IF(J12&lt;&gt;0,MAX(((J12-$C12)/ABS($C12)) / ($Q12/$P12-1),0),AB12)</f>
        <v>1.0048857649705396</v>
      </c>
      <c r="AD12" s="130" t="s">
        <v>113</v>
      </c>
      <c r="AE12" s="130" t="s">
        <v>113</v>
      </c>
      <c r="AF12" s="130" t="s">
        <v>113</v>
      </c>
      <c r="AG12" s="130" t="s">
        <v>113</v>
      </c>
      <c r="AH12" s="133">
        <f t="shared" ref="AH12:AH22" si="9">MIN(W12,1)</f>
        <v>1</v>
      </c>
      <c r="AI12" s="134">
        <f t="shared" ref="AI12:AI22" si="10">IF(W12&gt;1,MAX(W12-SUM(AH12,AJ12:AO12),0),0)</f>
        <v>4.8857649705391637E-3</v>
      </c>
      <c r="AJ12" s="134">
        <f t="shared" ref="AJ12:AJ22" si="11">IF(W12&gt;1,MIN($W12-Y12,W12-AH12),0)</f>
        <v>0</v>
      </c>
      <c r="AK12" s="134">
        <f t="shared" ref="AK12:AK22" si="12">IF(W12&gt;1,MAX(MIN(Y12-Z12,W12-AH12-AJ12),0),0)</f>
        <v>4.1582759820730111</v>
      </c>
      <c r="AL12" s="134">
        <f t="shared" ref="AL12:AL22" si="13">IF(W12&gt;1,MAX(MIN(Z12-AA12,W12-AH12-AJ12-AK12),0),0)</f>
        <v>9.356711894051073E-2</v>
      </c>
      <c r="AM12" s="134">
        <f t="shared" ref="AM12:AM22" si="14">IF(I12&lt;&gt;0,IF(W12&gt;1,MAX(MIN(AA12-AB12,W12-AH12-AJ12-AK12-AL12),0),0),0)</f>
        <v>0</v>
      </c>
      <c r="AN12" s="135">
        <f t="shared" ref="AN12:AN22" si="15">IF(J12&lt;&gt;0,IF(W12&gt;1,MAX(MIN(AB12-AC12,W12-AH12-AJ12-AK12-AL12-AM12),0),0),0)</f>
        <v>0</v>
      </c>
      <c r="AO12" s="134">
        <f t="shared" ref="AO12:AO22" si="16">IF(W12&gt;1,MAX(0,MIN(W12-AH12-AJ12-AK12-AL12-AM12,W12-AH12-AJ12-AK12-AL12-AM12-X12+1)),0)</f>
        <v>0</v>
      </c>
      <c r="AP12" s="134">
        <f t="shared" ref="AP12:AP22" si="17">AI12+AO12</f>
        <v>4.8857649705391637E-3</v>
      </c>
      <c r="AQ12" s="136" t="s">
        <v>113</v>
      </c>
      <c r="AR12" s="137">
        <f t="shared" ref="AR12:AR22" si="18">AI12/($W12-1)*100</f>
        <v>0.11477745293062454</v>
      </c>
      <c r="AS12" s="137">
        <f t="shared" ref="AS12:AS22" si="19">AJ12/($W12-1)*100</f>
        <v>0</v>
      </c>
      <c r="AT12" s="137">
        <f t="shared" ref="AT12:AT22" si="20">AK12/($W12-1)*100</f>
        <v>97.687123445944678</v>
      </c>
      <c r="AU12" s="137">
        <f t="shared" ref="AU12:AU22" si="21">AL12/($W12-1)*100</f>
        <v>2.1980991011246869</v>
      </c>
      <c r="AV12" s="137">
        <f t="shared" ref="AV12:AV22" si="22">AM12/($W12-1)*100</f>
        <v>0</v>
      </c>
      <c r="AW12" s="138">
        <f t="shared" ref="AW12:AW22" si="23">AN12/($W12-1)*100</f>
        <v>0</v>
      </c>
      <c r="AX12" s="137">
        <f t="shared" ref="AX12:AX22" si="24">AO12/($W12-1)*100</f>
        <v>0</v>
      </c>
      <c r="AY12" s="137">
        <f t="shared" ref="AY12:AY22" si="25">AP12/($W12-1)*100</f>
        <v>0.11477745293062454</v>
      </c>
      <c r="AZ12" s="139" t="s">
        <v>113</v>
      </c>
      <c r="BA12" s="139" t="s">
        <v>113</v>
      </c>
      <c r="BB12" s="139" t="s">
        <v>113</v>
      </c>
      <c r="BC12" s="139" t="s">
        <v>113</v>
      </c>
      <c r="BD12" s="139" t="s">
        <v>113</v>
      </c>
      <c r="BE12" s="139" t="s">
        <v>113</v>
      </c>
      <c r="BF12" s="139" t="s">
        <v>113</v>
      </c>
      <c r="BG12" s="139" t="s">
        <v>113</v>
      </c>
      <c r="BH12" s="140">
        <f>'[75]2. Distributional by deciles o'!$B100</f>
        <v>88508565.663600028</v>
      </c>
      <c r="BI12" s="140">
        <f>'[75]2. Distributional by deciles o'!$B118</f>
        <v>139751616.78480005</v>
      </c>
      <c r="BJ12" s="140">
        <f>'[75]2. Distributional by deciles o'!$B136</f>
        <v>14539815.693599999</v>
      </c>
      <c r="BK12" s="140">
        <f>'[75]2. Distributional by deciles o'!$B154</f>
        <v>1442131.9392000004</v>
      </c>
      <c r="BL12" s="141">
        <f t="shared" ref="BL12:BL22" si="26">BH12/SUM($BH12:$BK12)</f>
        <v>0.3623804199307249</v>
      </c>
      <c r="BM12" s="141">
        <f t="shared" ref="BM12:BM22" si="27">BI12/SUM($BH12:$BK12)</f>
        <v>0.5721847280743031</v>
      </c>
      <c r="BN12" s="141">
        <f t="shared" ref="BN12:BN22" si="28">BJ12/SUM($BH12:$BK12)</f>
        <v>5.9530334462633984E-2</v>
      </c>
      <c r="BO12" s="141">
        <f t="shared" ref="BO12:BO22" si="29">BK12/SUM($BH12:$BK12)</f>
        <v>5.9045175323379018E-3</v>
      </c>
      <c r="BP12" s="139" t="s">
        <v>113</v>
      </c>
      <c r="BQ12" s="139" t="s">
        <v>113</v>
      </c>
      <c r="BR12" s="139" t="s">
        <v>113</v>
      </c>
      <c r="BS12" s="131">
        <f t="shared" ref="BS12:BS21" si="30">P12/P$22*100</f>
        <v>1.6098870224943971</v>
      </c>
      <c r="BT12" s="139"/>
      <c r="BU12" s="139"/>
      <c r="BV12" s="139"/>
      <c r="BW12" s="139"/>
      <c r="BX12" s="139"/>
      <c r="BY12" s="139"/>
      <c r="BZ12" s="139"/>
      <c r="CA12" s="139"/>
      <c r="CB12" s="139"/>
      <c r="CC12" s="142" t="s">
        <v>113</v>
      </c>
      <c r="CD12" s="142" t="s">
        <v>113</v>
      </c>
      <c r="CE12" s="142" t="s">
        <v>113</v>
      </c>
      <c r="CF12" s="142" t="s">
        <v>113</v>
      </c>
      <c r="CG12" s="142" t="s">
        <v>113</v>
      </c>
      <c r="CH12" s="142" t="s">
        <v>113</v>
      </c>
      <c r="CI12" s="142" t="s">
        <v>113</v>
      </c>
      <c r="CJ12" s="142"/>
      <c r="CK12" s="139" t="s">
        <v>113</v>
      </c>
      <c r="CL12" s="139" t="s">
        <v>113</v>
      </c>
      <c r="CM12" s="139" t="s">
        <v>113</v>
      </c>
      <c r="CN12" s="139" t="s">
        <v>113</v>
      </c>
      <c r="CO12" s="139" t="s">
        <v>113</v>
      </c>
      <c r="CP12" s="139" t="s">
        <v>113</v>
      </c>
      <c r="CQ12" s="139" t="s">
        <v>113</v>
      </c>
      <c r="CR12" s="139"/>
      <c r="CS12" s="143" t="s">
        <v>113</v>
      </c>
      <c r="CT12" s="143" t="s">
        <v>113</v>
      </c>
      <c r="CU12" s="143" t="s">
        <v>113</v>
      </c>
      <c r="CV12" s="143" t="s">
        <v>113</v>
      </c>
      <c r="CW12" s="143" t="s">
        <v>113</v>
      </c>
      <c r="CX12" s="143" t="s">
        <v>113</v>
      </c>
      <c r="CY12" s="143" t="s">
        <v>113</v>
      </c>
      <c r="CZ12" s="143"/>
      <c r="DA12" s="139" t="s">
        <v>113</v>
      </c>
      <c r="DB12" s="139" t="s">
        <v>113</v>
      </c>
      <c r="DC12" s="139" t="s">
        <v>113</v>
      </c>
      <c r="DD12" s="144">
        <f t="shared" ref="DD12:DD22" si="31">(1-DE12)*100</f>
        <v>78.061321424581521</v>
      </c>
      <c r="DE12" s="145">
        <f>'[75]2. Distributional by deciles o'!$I28</f>
        <v>0.21938678575418477</v>
      </c>
      <c r="DF12" s="1"/>
      <c r="DG12" s="1"/>
      <c r="DH12" s="1"/>
      <c r="DI12" s="1"/>
      <c r="DJ12" s="1"/>
      <c r="DK12" s="1"/>
      <c r="DL12" s="1"/>
      <c r="DM12" s="1"/>
      <c r="DN12" s="1"/>
      <c r="DO12" s="1"/>
      <c r="DP12" s="1"/>
      <c r="DQ12" s="1"/>
      <c r="DR12" s="1"/>
      <c r="DS12" s="1"/>
      <c r="DT12" s="1"/>
      <c r="DU12" s="1"/>
      <c r="DV12" s="1"/>
      <c r="DW12" s="1"/>
      <c r="DX12" s="1"/>
      <c r="DY12" s="1"/>
      <c r="DZ12" s="1"/>
      <c r="EA12" s="146">
        <f>'[76]2. Distributional by deciles o'!B64</f>
        <v>1664620.2852000003</v>
      </c>
      <c r="EB12" s="146">
        <f>'[76]2. Distributional by deciles o'!C64</f>
        <v>1722896.8152000001</v>
      </c>
      <c r="EC12" s="146">
        <f>'[76]2. Distributional by deciles o'!D64</f>
        <v>1681820.3784000003</v>
      </c>
      <c r="ED12" s="146">
        <f>'[76]2. Distributional by deciles o'!E64</f>
        <v>1722896.8152000001</v>
      </c>
      <c r="EE12" s="146">
        <f>'[76]2. Distributional by deciles o'!F64</f>
        <v>1681820.3784000003</v>
      </c>
      <c r="EF12" s="146">
        <f>'[76]2. Distributional by deciles o'!G64</f>
        <v>1681820.3784000003</v>
      </c>
      <c r="EG12" s="129"/>
      <c r="EH12" s="122"/>
      <c r="EI12" s="130" t="s">
        <v>113</v>
      </c>
      <c r="EJ12" s="130" t="s">
        <v>113</v>
      </c>
      <c r="EK12" s="130" t="s">
        <v>113</v>
      </c>
      <c r="EL12" s="130" t="s">
        <v>113</v>
      </c>
      <c r="EM12" s="131">
        <f t="shared" ref="EM12:EM21" si="32">EA12/EA$22*100</f>
        <v>5.9778342295953996E-2</v>
      </c>
      <c r="EN12" s="146">
        <f>'[76]2. Distributional by deciles o'!B82</f>
        <v>342765412.35479999</v>
      </c>
      <c r="EO12" s="146">
        <f>'[76]2. Distributional by deciles o'!C82</f>
        <v>346193016.60839987</v>
      </c>
      <c r="EP12" s="131">
        <f t="shared" ref="EP12:EP22" si="33">(EO12/EN12-1)*100</f>
        <v>0.99998545070583145</v>
      </c>
      <c r="EQ12" s="130" t="s">
        <v>113</v>
      </c>
      <c r="ER12" s="130" t="s">
        <v>113</v>
      </c>
      <c r="ES12" s="130" t="s">
        <v>113</v>
      </c>
      <c r="ET12" s="130" t="s">
        <v>113</v>
      </c>
      <c r="EU12" s="131">
        <f t="shared" ref="EU12:EU21" si="34">EN12/EN$22*100</f>
        <v>1.6184534903794938</v>
      </c>
      <c r="EV12" s="132">
        <f t="shared" ref="EV12:EV22" si="35">((EB12-$EA12)/ABS($EA12)) / ($EO12/$EN12-1)</f>
        <v>3.5009412304327565</v>
      </c>
      <c r="EW12" s="132">
        <f t="shared" ref="EW12:EW22" si="36">IF(EC12&lt;&gt;0,((EC12-$EA12)/ABS($EA12)) / ($EO12/$EN12-1),0)</f>
        <v>1.0332893096271571</v>
      </c>
      <c r="EX12" s="132"/>
      <c r="EY12" s="148">
        <f t="shared" ref="EY12:EY22" si="37">EV12-W12</f>
        <v>-1.7557876355513047</v>
      </c>
      <c r="EZ12" s="144">
        <f t="shared" ref="EZ12:EZ22" si="38">(1-FA12)*100</f>
        <v>88.726627547583178</v>
      </c>
      <c r="FA12" s="145">
        <f>'[76]2. Distributional by deciles o'!$I28</f>
        <v>0.11273372452416817</v>
      </c>
      <c r="FB12" s="130" t="s">
        <v>113</v>
      </c>
      <c r="FC12" s="130" t="s">
        <v>113</v>
      </c>
      <c r="FD12" s="130" t="s">
        <v>113</v>
      </c>
      <c r="FE12" s="130" t="s">
        <v>113</v>
      </c>
      <c r="FF12" s="130" t="s">
        <v>113</v>
      </c>
      <c r="FG12" s="130" t="s">
        <v>113</v>
      </c>
      <c r="FH12" s="130" t="s">
        <v>113</v>
      </c>
      <c r="FI12" s="130" t="s">
        <v>113</v>
      </c>
      <c r="FJ12" s="1"/>
      <c r="FK12" s="1"/>
      <c r="FL12" s="1"/>
      <c r="FM12" s="1"/>
      <c r="FN12" s="1"/>
      <c r="FO12" s="1"/>
      <c r="FP12" s="1"/>
      <c r="FQ12" s="1"/>
    </row>
    <row r="13" spans="1:173" x14ac:dyDescent="0.3">
      <c r="A13" s="1"/>
      <c r="B13" s="28">
        <v>2</v>
      </c>
      <c r="C13" s="129">
        <f>'[75]2. Distributional by deciles o'!B65</f>
        <v>19932931.236000001</v>
      </c>
      <c r="D13" s="129">
        <f>'[75]2. Distributional by deciles o'!C65</f>
        <v>20899997.054399982</v>
      </c>
      <c r="E13" s="129">
        <f>'[75]2. Distributional by deciles o'!D65</f>
        <v>20132467.813200004</v>
      </c>
      <c r="F13" s="129">
        <f>'[75]2. Distributional by deciles o'!E65</f>
        <v>20897333.317199983</v>
      </c>
      <c r="G13" s="129">
        <f>'[75]2. Distributional by deciles o'!F65</f>
        <v>20173357.599600006</v>
      </c>
      <c r="H13" s="129">
        <f>'[75]2. Distributional by deciles o'!G65</f>
        <v>20132467.813200004</v>
      </c>
      <c r="I13" s="129"/>
      <c r="J13" s="122"/>
      <c r="K13" s="130" t="s">
        <v>113</v>
      </c>
      <c r="L13" s="130" t="s">
        <v>113</v>
      </c>
      <c r="M13" s="130" t="s">
        <v>113</v>
      </c>
      <c r="N13" s="130" t="s">
        <v>113</v>
      </c>
      <c r="O13" s="131">
        <f t="shared" si="0"/>
        <v>0.93760231420398688</v>
      </c>
      <c r="P13" s="129">
        <f>'[75]2. Distributional by deciles o'!B83</f>
        <v>588365264.04119992</v>
      </c>
      <c r="Q13" s="129">
        <f>'[75]2. Distributional by deciles o'!C83</f>
        <v>594247453.10880017</v>
      </c>
      <c r="R13" s="131">
        <f t="shared" si="1"/>
        <v>0.99975124758355793</v>
      </c>
      <c r="S13" s="130" t="s">
        <v>113</v>
      </c>
      <c r="T13" s="130" t="s">
        <v>113</v>
      </c>
      <c r="U13" s="130" t="s">
        <v>113</v>
      </c>
      <c r="V13" s="130" t="s">
        <v>113</v>
      </c>
      <c r="W13" s="132">
        <f t="shared" si="2"/>
        <v>4.8528057753338167</v>
      </c>
      <c r="X13" s="132">
        <f t="shared" si="3"/>
        <v>1.0012888841719148</v>
      </c>
      <c r="Y13" s="132">
        <f t="shared" si="4"/>
        <v>4.8394389506335953</v>
      </c>
      <c r="Z13" s="132">
        <f t="shared" si="5"/>
        <v>1.2064767708892823</v>
      </c>
      <c r="AA13" s="132">
        <f t="shared" si="6"/>
        <v>1.0012888841719148</v>
      </c>
      <c r="AB13" s="132">
        <f t="shared" si="7"/>
        <v>1.0012888841719148</v>
      </c>
      <c r="AC13" s="132">
        <f t="shared" si="8"/>
        <v>1.0012888841719148</v>
      </c>
      <c r="AD13" s="130" t="s">
        <v>113</v>
      </c>
      <c r="AE13" s="130" t="s">
        <v>113</v>
      </c>
      <c r="AF13" s="130" t="s">
        <v>113</v>
      </c>
      <c r="AG13" s="130" t="s">
        <v>113</v>
      </c>
      <c r="AH13" s="133">
        <f t="shared" si="9"/>
        <v>1</v>
      </c>
      <c r="AI13" s="134">
        <f t="shared" si="10"/>
        <v>1.2888841719149724E-3</v>
      </c>
      <c r="AJ13" s="134">
        <f t="shared" si="11"/>
        <v>1.3366824700221436E-2</v>
      </c>
      <c r="AK13" s="134">
        <f t="shared" si="12"/>
        <v>3.6329621797443128</v>
      </c>
      <c r="AL13" s="134">
        <f t="shared" si="13"/>
        <v>0.20518788671736754</v>
      </c>
      <c r="AM13" s="134">
        <f t="shared" si="14"/>
        <v>0</v>
      </c>
      <c r="AN13" s="135">
        <f t="shared" si="15"/>
        <v>0</v>
      </c>
      <c r="AO13" s="134">
        <f t="shared" si="16"/>
        <v>2.2204460492503131E-16</v>
      </c>
      <c r="AP13" s="134">
        <f t="shared" si="17"/>
        <v>1.2888841719151944E-3</v>
      </c>
      <c r="AQ13" s="136" t="s">
        <v>113</v>
      </c>
      <c r="AR13" s="137">
        <f t="shared" si="18"/>
        <v>3.3453131226250307E-2</v>
      </c>
      <c r="AS13" s="137">
        <f t="shared" si="19"/>
        <v>0.34693741339876655</v>
      </c>
      <c r="AT13" s="137">
        <f t="shared" si="20"/>
        <v>94.293935162863065</v>
      </c>
      <c r="AU13" s="137">
        <f t="shared" si="21"/>
        <v>5.3256742925119172</v>
      </c>
      <c r="AV13" s="137">
        <f t="shared" si="22"/>
        <v>0</v>
      </c>
      <c r="AW13" s="138">
        <f t="shared" si="23"/>
        <v>0</v>
      </c>
      <c r="AX13" s="137">
        <f t="shared" si="24"/>
        <v>5.763192277861264E-15</v>
      </c>
      <c r="AY13" s="137">
        <f t="shared" si="25"/>
        <v>3.3453131226256073E-2</v>
      </c>
      <c r="AZ13" s="139" t="s">
        <v>113</v>
      </c>
      <c r="BA13" s="139" t="s">
        <v>113</v>
      </c>
      <c r="BB13" s="139" t="s">
        <v>113</v>
      </c>
      <c r="BC13" s="139" t="s">
        <v>113</v>
      </c>
      <c r="BD13" s="139" t="s">
        <v>113</v>
      </c>
      <c r="BE13" s="139" t="s">
        <v>113</v>
      </c>
      <c r="BF13" s="139" t="s">
        <v>113</v>
      </c>
      <c r="BG13" s="139" t="s">
        <v>113</v>
      </c>
      <c r="BH13" s="140">
        <f>'[75]2. Distributional by deciles o'!$B101</f>
        <v>183312445.79160005</v>
      </c>
      <c r="BI13" s="140">
        <f>'[75]2. Distributional by deciles o'!$B119</f>
        <v>381355383.73320019</v>
      </c>
      <c r="BJ13" s="140">
        <f>'[75]2. Distributional by deciles o'!$B137</f>
        <v>18597314.342400003</v>
      </c>
      <c r="BK13" s="140">
        <f>'[75]2. Distributional by deciles o'!$B155</f>
        <v>5100371.9256000007</v>
      </c>
      <c r="BL13" s="141">
        <f t="shared" si="26"/>
        <v>0.31156218519128104</v>
      </c>
      <c r="BM13" s="141">
        <f t="shared" si="27"/>
        <v>0.64816066458167287</v>
      </c>
      <c r="BN13" s="141">
        <f t="shared" si="28"/>
        <v>3.1608437005932993E-2</v>
      </c>
      <c r="BO13" s="141">
        <f t="shared" si="29"/>
        <v>8.6687132211129714E-3</v>
      </c>
      <c r="BP13" s="139" t="s">
        <v>113</v>
      </c>
      <c r="BQ13" s="139" t="s">
        <v>113</v>
      </c>
      <c r="BR13" s="139" t="s">
        <v>113</v>
      </c>
      <c r="BS13" s="131">
        <f t="shared" si="30"/>
        <v>3.8781271743334345</v>
      </c>
      <c r="BT13" s="139"/>
      <c r="BU13" s="139"/>
      <c r="BV13" s="139"/>
      <c r="BW13" s="139"/>
      <c r="BX13" s="139"/>
      <c r="BY13" s="139"/>
      <c r="BZ13" s="139"/>
      <c r="CA13" s="139"/>
      <c r="CB13" s="139"/>
      <c r="CC13" s="142" t="s">
        <v>113</v>
      </c>
      <c r="CD13" s="142" t="s">
        <v>113</v>
      </c>
      <c r="CE13" s="142" t="s">
        <v>113</v>
      </c>
      <c r="CF13" s="142" t="s">
        <v>113</v>
      </c>
      <c r="CG13" s="142" t="s">
        <v>113</v>
      </c>
      <c r="CH13" s="142" t="s">
        <v>113</v>
      </c>
      <c r="CI13" s="142" t="s">
        <v>113</v>
      </c>
      <c r="CJ13" s="142"/>
      <c r="CK13" s="139" t="s">
        <v>113</v>
      </c>
      <c r="CL13" s="139" t="s">
        <v>113</v>
      </c>
      <c r="CM13" s="139" t="s">
        <v>113</v>
      </c>
      <c r="CN13" s="139" t="s">
        <v>113</v>
      </c>
      <c r="CO13" s="139" t="s">
        <v>113</v>
      </c>
      <c r="CP13" s="139" t="s">
        <v>113</v>
      </c>
      <c r="CQ13" s="139" t="s">
        <v>113</v>
      </c>
      <c r="CR13" s="139"/>
      <c r="CS13" s="143" t="s">
        <v>113</v>
      </c>
      <c r="CT13" s="143" t="s">
        <v>113</v>
      </c>
      <c r="CU13" s="143" t="s">
        <v>113</v>
      </c>
      <c r="CV13" s="143" t="s">
        <v>113</v>
      </c>
      <c r="CW13" s="143" t="s">
        <v>113</v>
      </c>
      <c r="CX13" s="143" t="s">
        <v>113</v>
      </c>
      <c r="CY13" s="143" t="s">
        <v>113</v>
      </c>
      <c r="CZ13" s="143"/>
      <c r="DA13" s="139" t="s">
        <v>113</v>
      </c>
      <c r="DB13" s="139" t="s">
        <v>113</v>
      </c>
      <c r="DC13" s="139" t="s">
        <v>113</v>
      </c>
      <c r="DD13" s="144">
        <f t="shared" si="31"/>
        <v>4.8171153353775757</v>
      </c>
      <c r="DE13" s="145">
        <f>'[75]2. Distributional by deciles o'!$I29</f>
        <v>0.95182884664622425</v>
      </c>
      <c r="DF13" s="1"/>
      <c r="DG13" s="1"/>
      <c r="DH13" s="1"/>
      <c r="DI13" s="1"/>
      <c r="DJ13" s="1"/>
      <c r="DK13" s="1"/>
      <c r="DL13" s="1"/>
      <c r="DM13" s="1"/>
      <c r="DN13" s="1"/>
      <c r="DO13" s="1"/>
      <c r="DP13" s="1"/>
      <c r="DQ13" s="1"/>
      <c r="DR13" s="1"/>
      <c r="DS13" s="1"/>
      <c r="DT13" s="1"/>
      <c r="DU13" s="1"/>
      <c r="DV13" s="1"/>
      <c r="DW13" s="1"/>
      <c r="DX13" s="1"/>
      <c r="DY13" s="1"/>
      <c r="DZ13" s="1"/>
      <c r="EA13" s="146">
        <f>'[76]2. Distributional by deciles o'!B65</f>
        <v>6218690.8955999995</v>
      </c>
      <c r="EB13" s="146">
        <f>'[76]2. Distributional by deciles o'!C65</f>
        <v>6690796.5336000072</v>
      </c>
      <c r="EC13" s="146">
        <f>'[76]2. Distributional by deciles o'!D65</f>
        <v>6295022.0279999971</v>
      </c>
      <c r="ED13" s="146">
        <f>'[76]2. Distributional by deciles o'!E65</f>
        <v>6688407.5640000068</v>
      </c>
      <c r="EE13" s="146">
        <f>'[76]2. Distributional by deciles o'!F65</f>
        <v>6343463.5439999979</v>
      </c>
      <c r="EF13" s="146">
        <f>'[76]2. Distributional by deciles o'!G65</f>
        <v>6295022.0279999971</v>
      </c>
      <c r="EG13" s="129"/>
      <c r="EH13" s="122"/>
      <c r="EI13" s="130" t="s">
        <v>113</v>
      </c>
      <c r="EJ13" s="130" t="s">
        <v>113</v>
      </c>
      <c r="EK13" s="130" t="s">
        <v>113</v>
      </c>
      <c r="EL13" s="130" t="s">
        <v>113</v>
      </c>
      <c r="EM13" s="131">
        <f t="shared" si="32"/>
        <v>0.22332001856221845</v>
      </c>
      <c r="EN13" s="146">
        <f>'[76]2. Distributional by deciles o'!B83</f>
        <v>839355242.05079961</v>
      </c>
      <c r="EO13" s="146">
        <f>'[76]2. Distributional by deciles o'!C83</f>
        <v>847748419.98240018</v>
      </c>
      <c r="EP13" s="131">
        <f t="shared" si="33"/>
        <v>0.99995538374115789</v>
      </c>
      <c r="EQ13" s="130" t="s">
        <v>113</v>
      </c>
      <c r="ER13" s="130" t="s">
        <v>113</v>
      </c>
      <c r="ES13" s="130" t="s">
        <v>113</v>
      </c>
      <c r="ET13" s="130" t="s">
        <v>113</v>
      </c>
      <c r="EU13" s="131">
        <f t="shared" si="34"/>
        <v>3.9632278292982734</v>
      </c>
      <c r="EV13" s="132">
        <f t="shared" si="35"/>
        <v>7.592059332957434</v>
      </c>
      <c r="EW13" s="132">
        <f t="shared" si="36"/>
        <v>1.227501727341376</v>
      </c>
      <c r="EX13" s="132"/>
      <c r="EY13" s="148">
        <f t="shared" si="37"/>
        <v>2.7392535576236172</v>
      </c>
      <c r="EZ13" s="144">
        <f t="shared" si="38"/>
        <v>70.034829232529049</v>
      </c>
      <c r="FA13" s="145">
        <f>'[76]2. Distributional by deciles o'!$I29</f>
        <v>0.2996517076747095</v>
      </c>
      <c r="FB13" s="130" t="s">
        <v>113</v>
      </c>
      <c r="FC13" s="130" t="s">
        <v>113</v>
      </c>
      <c r="FD13" s="130" t="s">
        <v>113</v>
      </c>
      <c r="FE13" s="130" t="s">
        <v>113</v>
      </c>
      <c r="FF13" s="130" t="s">
        <v>113</v>
      </c>
      <c r="FG13" s="130" t="s">
        <v>113</v>
      </c>
      <c r="FH13" s="130" t="s">
        <v>113</v>
      </c>
      <c r="FI13" s="130" t="s">
        <v>113</v>
      </c>
      <c r="FJ13" s="1"/>
      <c r="FK13" s="1"/>
      <c r="FL13" s="1"/>
      <c r="FM13" s="1"/>
      <c r="FN13" s="1"/>
      <c r="FO13" s="1"/>
      <c r="FP13" s="1"/>
      <c r="FQ13" s="1"/>
    </row>
    <row r="14" spans="1:173" x14ac:dyDescent="0.3">
      <c r="A14" s="1"/>
      <c r="B14" s="28">
        <v>3</v>
      </c>
      <c r="C14" s="129">
        <f>'[75]2. Distributional by deciles o'!B66</f>
        <v>45157582.049999967</v>
      </c>
      <c r="D14" s="129">
        <f>'[75]2. Distributional by deciles o'!C66</f>
        <v>46567463.574000038</v>
      </c>
      <c r="E14" s="129">
        <f>'[75]2. Distributional by deciles o'!D66</f>
        <v>45610606.797599956</v>
      </c>
      <c r="F14" s="129">
        <f>'[75]2. Distributional by deciles o'!E66</f>
        <v>46563920.988000035</v>
      </c>
      <c r="G14" s="129">
        <f>'[75]2. Distributional by deciles o'!F66</f>
        <v>45742717.66079998</v>
      </c>
      <c r="H14" s="129">
        <f>'[75]2. Distributional by deciles o'!G66</f>
        <v>45610606.797599956</v>
      </c>
      <c r="I14" s="129"/>
      <c r="J14" s="122"/>
      <c r="K14" s="130" t="s">
        <v>113</v>
      </c>
      <c r="L14" s="130" t="s">
        <v>113</v>
      </c>
      <c r="M14" s="130" t="s">
        <v>113</v>
      </c>
      <c r="N14" s="130" t="s">
        <v>113</v>
      </c>
      <c r="O14" s="131">
        <f t="shared" si="0"/>
        <v>2.1241157626364666</v>
      </c>
      <c r="P14" s="129">
        <f>'[75]2. Distributional by deciles o'!B84</f>
        <v>738264992.25479972</v>
      </c>
      <c r="Q14" s="129">
        <f>'[75]2. Distributional by deciles o'!C84</f>
        <v>745646533.42200089</v>
      </c>
      <c r="R14" s="131">
        <f t="shared" si="1"/>
        <v>0.99984981607437184</v>
      </c>
      <c r="S14" s="130" t="s">
        <v>113</v>
      </c>
      <c r="T14" s="130" t="s">
        <v>113</v>
      </c>
      <c r="U14" s="130" t="s">
        <v>113</v>
      </c>
      <c r="V14" s="130" t="s">
        <v>113</v>
      </c>
      <c r="W14" s="132">
        <f t="shared" si="2"/>
        <v>3.1226058467560698</v>
      </c>
      <c r="X14" s="132">
        <f t="shared" si="3"/>
        <v>1.0033592904795368</v>
      </c>
      <c r="Y14" s="132">
        <f t="shared" si="4"/>
        <v>3.1147597266616236</v>
      </c>
      <c r="Z14" s="132">
        <f t="shared" si="5"/>
        <v>1.2959584534772672</v>
      </c>
      <c r="AA14" s="132">
        <f t="shared" si="6"/>
        <v>1.0033592904795368</v>
      </c>
      <c r="AB14" s="132">
        <f t="shared" si="7"/>
        <v>1.0033592904795368</v>
      </c>
      <c r="AC14" s="132">
        <f t="shared" si="8"/>
        <v>1.0033592904795368</v>
      </c>
      <c r="AD14" s="130" t="s">
        <v>113</v>
      </c>
      <c r="AE14" s="130" t="s">
        <v>113</v>
      </c>
      <c r="AF14" s="130" t="s">
        <v>113</v>
      </c>
      <c r="AG14" s="130" t="s">
        <v>113</v>
      </c>
      <c r="AH14" s="133">
        <f t="shared" si="9"/>
        <v>1</v>
      </c>
      <c r="AI14" s="134">
        <f t="shared" si="10"/>
        <v>3.3592904795365364E-3</v>
      </c>
      <c r="AJ14" s="134">
        <f t="shared" si="11"/>
        <v>7.8461200944461851E-3</v>
      </c>
      <c r="AK14" s="134">
        <f t="shared" si="12"/>
        <v>1.8188012731843564</v>
      </c>
      <c r="AL14" s="134">
        <f t="shared" si="13"/>
        <v>0.29259916299773048</v>
      </c>
      <c r="AM14" s="134">
        <f t="shared" si="14"/>
        <v>0</v>
      </c>
      <c r="AN14" s="135">
        <f t="shared" si="15"/>
        <v>0</v>
      </c>
      <c r="AO14" s="134">
        <f t="shared" si="16"/>
        <v>0</v>
      </c>
      <c r="AP14" s="134">
        <f t="shared" si="17"/>
        <v>3.3592904795365364E-3</v>
      </c>
      <c r="AQ14" s="136" t="s">
        <v>113</v>
      </c>
      <c r="AR14" s="137">
        <f t="shared" si="18"/>
        <v>0.15826256601857869</v>
      </c>
      <c r="AS14" s="137">
        <f t="shared" si="19"/>
        <v>0.36964564600805333</v>
      </c>
      <c r="AT14" s="137">
        <f t="shared" si="20"/>
        <v>85.687188507653872</v>
      </c>
      <c r="AU14" s="137">
        <f t="shared" si="21"/>
        <v>13.784903280319478</v>
      </c>
      <c r="AV14" s="137">
        <f t="shared" si="22"/>
        <v>0</v>
      </c>
      <c r="AW14" s="138">
        <f t="shared" si="23"/>
        <v>0</v>
      </c>
      <c r="AX14" s="137">
        <f t="shared" si="24"/>
        <v>0</v>
      </c>
      <c r="AY14" s="137">
        <f t="shared" si="25"/>
        <v>0.15826256601857869</v>
      </c>
      <c r="AZ14" s="139" t="s">
        <v>113</v>
      </c>
      <c r="BA14" s="139" t="s">
        <v>113</v>
      </c>
      <c r="BB14" s="139" t="s">
        <v>113</v>
      </c>
      <c r="BC14" s="139" t="s">
        <v>113</v>
      </c>
      <c r="BD14" s="139" t="s">
        <v>113</v>
      </c>
      <c r="BE14" s="139" t="s">
        <v>113</v>
      </c>
      <c r="BF14" s="139" t="s">
        <v>113</v>
      </c>
      <c r="BG14" s="139" t="s">
        <v>113</v>
      </c>
      <c r="BH14" s="140">
        <f>'[75]2. Distributional by deciles o'!$B102</f>
        <v>347502207.5316</v>
      </c>
      <c r="BI14" s="140">
        <f>'[75]2. Distributional by deciles o'!$B120</f>
        <v>359331211.34640002</v>
      </c>
      <c r="BJ14" s="140">
        <f>'[75]2. Distributional by deciles o'!$B138</f>
        <v>24668582.806800004</v>
      </c>
      <c r="BK14" s="140">
        <f>'[75]2. Distributional by deciles o'!$B156</f>
        <v>6763572.6444000006</v>
      </c>
      <c r="BL14" s="141">
        <f t="shared" si="26"/>
        <v>0.47070081501138133</v>
      </c>
      <c r="BM14" s="141">
        <f t="shared" si="27"/>
        <v>0.48672350958920729</v>
      </c>
      <c r="BN14" s="141">
        <f t="shared" si="28"/>
        <v>3.341423962401914E-2</v>
      </c>
      <c r="BO14" s="141">
        <f t="shared" si="29"/>
        <v>9.1614357753921974E-3</v>
      </c>
      <c r="BP14" s="139" t="s">
        <v>113</v>
      </c>
      <c r="BQ14" s="139" t="s">
        <v>113</v>
      </c>
      <c r="BR14" s="139" t="s">
        <v>113</v>
      </c>
      <c r="BS14" s="131">
        <f t="shared" si="30"/>
        <v>4.8661702233358151</v>
      </c>
      <c r="BT14" s="139"/>
      <c r="BU14" s="139"/>
      <c r="BV14" s="139"/>
      <c r="BW14" s="139"/>
      <c r="BX14" s="139"/>
      <c r="BY14" s="139"/>
      <c r="BZ14" s="139"/>
      <c r="CA14" s="139"/>
      <c r="CB14" s="139"/>
      <c r="CC14" s="142" t="s">
        <v>113</v>
      </c>
      <c r="CD14" s="142" t="s">
        <v>113</v>
      </c>
      <c r="CE14" s="142" t="s">
        <v>113</v>
      </c>
      <c r="CF14" s="142" t="s">
        <v>113</v>
      </c>
      <c r="CG14" s="142" t="s">
        <v>113</v>
      </c>
      <c r="CH14" s="142" t="s">
        <v>113</v>
      </c>
      <c r="CI14" s="142" t="s">
        <v>113</v>
      </c>
      <c r="CJ14" s="142"/>
      <c r="CK14" s="139" t="s">
        <v>113</v>
      </c>
      <c r="CL14" s="139" t="s">
        <v>113</v>
      </c>
      <c r="CM14" s="139" t="s">
        <v>113</v>
      </c>
      <c r="CN14" s="139" t="s">
        <v>113</v>
      </c>
      <c r="CO14" s="139" t="s">
        <v>113</v>
      </c>
      <c r="CP14" s="139" t="s">
        <v>113</v>
      </c>
      <c r="CQ14" s="139" t="s">
        <v>113</v>
      </c>
      <c r="CR14" s="139"/>
      <c r="CS14" s="143" t="s">
        <v>113</v>
      </c>
      <c r="CT14" s="143" t="s">
        <v>113</v>
      </c>
      <c r="CU14" s="143" t="s">
        <v>113</v>
      </c>
      <c r="CV14" s="143" t="s">
        <v>113</v>
      </c>
      <c r="CW14" s="143" t="s">
        <v>113</v>
      </c>
      <c r="CX14" s="143" t="s">
        <v>113</v>
      </c>
      <c r="CY14" s="143" t="s">
        <v>113</v>
      </c>
      <c r="CZ14" s="143"/>
      <c r="DA14" s="139" t="s">
        <v>113</v>
      </c>
      <c r="DB14" s="139" t="s">
        <v>113</v>
      </c>
      <c r="DC14" s="139" t="s">
        <v>113</v>
      </c>
      <c r="DD14" s="144">
        <f t="shared" si="31"/>
        <v>0.56804482836023684</v>
      </c>
      <c r="DE14" s="145">
        <f>'[75]2. Distributional by deciles o'!$I30</f>
        <v>0.99431955171639763</v>
      </c>
      <c r="DF14" s="1"/>
      <c r="DG14" s="1"/>
      <c r="DH14" s="1"/>
      <c r="DI14" s="1"/>
      <c r="DJ14" s="1"/>
      <c r="DK14" s="1"/>
      <c r="DL14" s="1"/>
      <c r="DM14" s="1"/>
      <c r="DN14" s="1"/>
      <c r="DO14" s="1"/>
      <c r="DP14" s="1"/>
      <c r="DQ14" s="1"/>
      <c r="DR14" s="1"/>
      <c r="DS14" s="1"/>
      <c r="DT14" s="1"/>
      <c r="DU14" s="1"/>
      <c r="DV14" s="1"/>
      <c r="DW14" s="1"/>
      <c r="DX14" s="1"/>
      <c r="DY14" s="1"/>
      <c r="DZ14" s="1"/>
      <c r="EA14" s="146">
        <f>'[76]2. Distributional by deciles o'!B66</f>
        <v>33440617.389600098</v>
      </c>
      <c r="EB14" s="146">
        <f>'[76]2. Distributional by deciles o'!C66</f>
        <v>35151728.478</v>
      </c>
      <c r="EC14" s="146">
        <f>'[76]2. Distributional by deciles o'!D66</f>
        <v>33842192.473199964</v>
      </c>
      <c r="ED14" s="146">
        <f>'[76]2. Distributional by deciles o'!E66</f>
        <v>35140107.423600003</v>
      </c>
      <c r="EE14" s="146">
        <f>'[76]2. Distributional by deciles o'!F66</f>
        <v>33976351.327199996</v>
      </c>
      <c r="EF14" s="146">
        <f>'[76]2. Distributional by deciles o'!G66</f>
        <v>33842192.473199964</v>
      </c>
      <c r="EG14" s="129"/>
      <c r="EH14" s="122"/>
      <c r="EI14" s="130" t="s">
        <v>113</v>
      </c>
      <c r="EJ14" s="130" t="s">
        <v>113</v>
      </c>
      <c r="EK14" s="130" t="s">
        <v>113</v>
      </c>
      <c r="EL14" s="130" t="s">
        <v>113</v>
      </c>
      <c r="EM14" s="131">
        <f t="shared" si="32"/>
        <v>1.2008892902944337</v>
      </c>
      <c r="EN14" s="146">
        <f>'[76]2. Distributional by deciles o'!B84</f>
        <v>1054740974.9855987</v>
      </c>
      <c r="EO14" s="146">
        <f>'[76]2. Distributional by deciles o'!C84</f>
        <v>1065288678.4272012</v>
      </c>
      <c r="EP14" s="131">
        <f t="shared" si="33"/>
        <v>1.000027844916751</v>
      </c>
      <c r="EQ14" s="130" t="s">
        <v>113</v>
      </c>
      <c r="ER14" s="130" t="s">
        <v>113</v>
      </c>
      <c r="ES14" s="130" t="s">
        <v>113</v>
      </c>
      <c r="ET14" s="130" t="s">
        <v>113</v>
      </c>
      <c r="EU14" s="131">
        <f t="shared" si="34"/>
        <v>4.9802259822082879</v>
      </c>
      <c r="EV14" s="132">
        <f t="shared" si="35"/>
        <v>5.11672205104946</v>
      </c>
      <c r="EW14" s="132">
        <f t="shared" si="36"/>
        <v>1.2008268190985207</v>
      </c>
      <c r="EX14" s="132"/>
      <c r="EY14" s="148">
        <f t="shared" si="37"/>
        <v>1.9941162042933902</v>
      </c>
      <c r="EZ14" s="144">
        <f t="shared" si="38"/>
        <v>9.2239622022899592</v>
      </c>
      <c r="FA14" s="145">
        <f>'[76]2. Distributional by deciles o'!$I30</f>
        <v>0.90776037797710041</v>
      </c>
      <c r="FB14" s="130" t="s">
        <v>113</v>
      </c>
      <c r="FC14" s="130" t="s">
        <v>113</v>
      </c>
      <c r="FD14" s="130" t="s">
        <v>113</v>
      </c>
      <c r="FE14" s="130" t="s">
        <v>113</v>
      </c>
      <c r="FF14" s="130" t="s">
        <v>113</v>
      </c>
      <c r="FG14" s="130" t="s">
        <v>113</v>
      </c>
      <c r="FH14" s="130" t="s">
        <v>113</v>
      </c>
      <c r="FI14" s="130" t="s">
        <v>113</v>
      </c>
      <c r="FJ14" s="1"/>
      <c r="FK14" s="1"/>
      <c r="FL14" s="1"/>
      <c r="FM14" s="1"/>
      <c r="FN14" s="1"/>
      <c r="FO14" s="1"/>
      <c r="FP14" s="1"/>
      <c r="FQ14" s="1"/>
    </row>
    <row r="15" spans="1:173" x14ac:dyDescent="0.3">
      <c r="A15" s="1"/>
      <c r="B15" s="28">
        <v>4</v>
      </c>
      <c r="C15" s="129">
        <f>'[75]2. Distributional by deciles o'!B67</f>
        <v>84644742.169200003</v>
      </c>
      <c r="D15" s="129">
        <f>'[75]2. Distributional by deciles o'!C67</f>
        <v>86600263.265999973</v>
      </c>
      <c r="E15" s="129">
        <f>'[75]2. Distributional by deciles o'!D67</f>
        <v>85495269.554399848</v>
      </c>
      <c r="F15" s="129">
        <f>'[75]2. Distributional by deciles o'!E67</f>
        <v>86586297.896399975</v>
      </c>
      <c r="G15" s="129">
        <f>'[75]2. Distributional by deciles o'!F67</f>
        <v>85698814.917599887</v>
      </c>
      <c r="H15" s="129">
        <f>'[75]2. Distributional by deciles o'!G67</f>
        <v>85495269.554399848</v>
      </c>
      <c r="I15" s="129"/>
      <c r="J15" s="122"/>
      <c r="K15" s="130" t="s">
        <v>113</v>
      </c>
      <c r="L15" s="130" t="s">
        <v>113</v>
      </c>
      <c r="M15" s="130" t="s">
        <v>113</v>
      </c>
      <c r="N15" s="130" t="s">
        <v>113</v>
      </c>
      <c r="O15" s="131">
        <f t="shared" si="0"/>
        <v>3.9815070449702583</v>
      </c>
      <c r="P15" s="129">
        <f>'[75]2. Distributional by deciles o'!B85</f>
        <v>926469501.42599988</v>
      </c>
      <c r="Q15" s="129">
        <f>'[75]2. Distributional by deciles o'!C85</f>
        <v>935733399.21000087</v>
      </c>
      <c r="R15" s="131">
        <f t="shared" si="1"/>
        <v>0.99991394964888958</v>
      </c>
      <c r="S15" s="130" t="s">
        <v>113</v>
      </c>
      <c r="T15" s="130" t="s">
        <v>113</v>
      </c>
      <c r="U15" s="130" t="s">
        <v>113</v>
      </c>
      <c r="V15" s="130" t="s">
        <v>113</v>
      </c>
      <c r="W15" s="132">
        <f t="shared" si="2"/>
        <v>2.3104676491882539</v>
      </c>
      <c r="X15" s="132">
        <f t="shared" si="3"/>
        <v>1.0049065752697066</v>
      </c>
      <c r="Y15" s="132">
        <f t="shared" si="4"/>
        <v>2.2939674259369918</v>
      </c>
      <c r="Z15" s="132">
        <f t="shared" si="5"/>
        <v>1.2453974488202608</v>
      </c>
      <c r="AA15" s="132">
        <f t="shared" si="6"/>
        <v>1.0049065752697066</v>
      </c>
      <c r="AB15" s="132">
        <f t="shared" si="7"/>
        <v>1.0049065752697066</v>
      </c>
      <c r="AC15" s="132">
        <f t="shared" si="8"/>
        <v>1.0049065752697066</v>
      </c>
      <c r="AD15" s="130" t="s">
        <v>113</v>
      </c>
      <c r="AE15" s="130" t="s">
        <v>113</v>
      </c>
      <c r="AF15" s="130" t="s">
        <v>113</v>
      </c>
      <c r="AG15" s="130" t="s">
        <v>113</v>
      </c>
      <c r="AH15" s="133">
        <f t="shared" si="9"/>
        <v>1</v>
      </c>
      <c r="AI15" s="134">
        <f t="shared" si="10"/>
        <v>4.9065752697070586E-3</v>
      </c>
      <c r="AJ15" s="134">
        <f t="shared" si="11"/>
        <v>1.6500223251262103E-2</v>
      </c>
      <c r="AK15" s="134">
        <f t="shared" si="12"/>
        <v>1.0485699771167309</v>
      </c>
      <c r="AL15" s="134">
        <f t="shared" si="13"/>
        <v>0.24049087355055421</v>
      </c>
      <c r="AM15" s="134">
        <f t="shared" si="14"/>
        <v>0</v>
      </c>
      <c r="AN15" s="135">
        <f t="shared" si="15"/>
        <v>0</v>
      </c>
      <c r="AO15" s="134">
        <f t="shared" si="16"/>
        <v>0</v>
      </c>
      <c r="AP15" s="134">
        <f t="shared" si="17"/>
        <v>4.9065752697070586E-3</v>
      </c>
      <c r="AQ15" s="136" t="s">
        <v>113</v>
      </c>
      <c r="AR15" s="137">
        <f t="shared" si="18"/>
        <v>0.37441407063702414</v>
      </c>
      <c r="AS15" s="137">
        <f t="shared" si="19"/>
        <v>1.2591095447096978</v>
      </c>
      <c r="AT15" s="137">
        <f t="shared" si="20"/>
        <v>80.01494563915783</v>
      </c>
      <c r="AU15" s="137">
        <f t="shared" si="21"/>
        <v>18.351530745495477</v>
      </c>
      <c r="AV15" s="137">
        <f t="shared" si="22"/>
        <v>0</v>
      </c>
      <c r="AW15" s="138">
        <f t="shared" si="23"/>
        <v>0</v>
      </c>
      <c r="AX15" s="137">
        <f t="shared" si="24"/>
        <v>0</v>
      </c>
      <c r="AY15" s="137">
        <f t="shared" si="25"/>
        <v>0.37441407063702414</v>
      </c>
      <c r="AZ15" s="139" t="s">
        <v>113</v>
      </c>
      <c r="BA15" s="139" t="s">
        <v>113</v>
      </c>
      <c r="BB15" s="139" t="s">
        <v>113</v>
      </c>
      <c r="BC15" s="139" t="s">
        <v>113</v>
      </c>
      <c r="BD15" s="139" t="s">
        <v>113</v>
      </c>
      <c r="BE15" s="139" t="s">
        <v>113</v>
      </c>
      <c r="BF15" s="139" t="s">
        <v>113</v>
      </c>
      <c r="BG15" s="139" t="s">
        <v>113</v>
      </c>
      <c r="BH15" s="140">
        <f>'[75]2. Distributional by deciles o'!$B103</f>
        <v>607288351.5708003</v>
      </c>
      <c r="BI15" s="140">
        <f>'[75]2. Distributional by deciles o'!$B121</f>
        <v>264607609.91999969</v>
      </c>
      <c r="BJ15" s="140">
        <f>'[75]2. Distributional by deciles o'!$B139</f>
        <v>46945560.184800006</v>
      </c>
      <c r="BK15" s="140">
        <f>'[75]2. Distributional by deciles o'!$B157</f>
        <v>7627970.6784000015</v>
      </c>
      <c r="BL15" s="141">
        <f t="shared" si="26"/>
        <v>0.6554866151369807</v>
      </c>
      <c r="BM15" s="141">
        <f t="shared" si="27"/>
        <v>0.28560855171569344</v>
      </c>
      <c r="BN15" s="141">
        <f t="shared" si="28"/>
        <v>5.0671458231743162E-2</v>
      </c>
      <c r="BO15" s="141">
        <f t="shared" si="29"/>
        <v>8.2333749155826339E-3</v>
      </c>
      <c r="BP15" s="139" t="s">
        <v>113</v>
      </c>
      <c r="BQ15" s="139" t="s">
        <v>113</v>
      </c>
      <c r="BR15" s="139" t="s">
        <v>113</v>
      </c>
      <c r="BS15" s="131">
        <f t="shared" si="30"/>
        <v>6.1066938673315754</v>
      </c>
      <c r="BT15" s="139"/>
      <c r="BU15" s="139"/>
      <c r="BV15" s="139"/>
      <c r="BW15" s="139"/>
      <c r="BX15" s="139"/>
      <c r="BY15" s="139"/>
      <c r="BZ15" s="139"/>
      <c r="CA15" s="139"/>
      <c r="CB15" s="139"/>
      <c r="CC15" s="142" t="s">
        <v>113</v>
      </c>
      <c r="CD15" s="142" t="s">
        <v>113</v>
      </c>
      <c r="CE15" s="142" t="s">
        <v>113</v>
      </c>
      <c r="CF15" s="142" t="s">
        <v>113</v>
      </c>
      <c r="CG15" s="142" t="s">
        <v>113</v>
      </c>
      <c r="CH15" s="142" t="s">
        <v>113</v>
      </c>
      <c r="CI15" s="142" t="s">
        <v>113</v>
      </c>
      <c r="CJ15" s="142"/>
      <c r="CK15" s="139" t="s">
        <v>113</v>
      </c>
      <c r="CL15" s="139" t="s">
        <v>113</v>
      </c>
      <c r="CM15" s="139" t="s">
        <v>113</v>
      </c>
      <c r="CN15" s="139" t="s">
        <v>113</v>
      </c>
      <c r="CO15" s="139" t="s">
        <v>113</v>
      </c>
      <c r="CP15" s="139" t="s">
        <v>113</v>
      </c>
      <c r="CQ15" s="139" t="s">
        <v>113</v>
      </c>
      <c r="CR15" s="139"/>
      <c r="CS15" s="143" t="s">
        <v>113</v>
      </c>
      <c r="CT15" s="143" t="s">
        <v>113</v>
      </c>
      <c r="CU15" s="143" t="s">
        <v>113</v>
      </c>
      <c r="CV15" s="143" t="s">
        <v>113</v>
      </c>
      <c r="CW15" s="143" t="s">
        <v>113</v>
      </c>
      <c r="CX15" s="143" t="s">
        <v>113</v>
      </c>
      <c r="CY15" s="143" t="s">
        <v>113</v>
      </c>
      <c r="CZ15" s="143"/>
      <c r="DA15" s="139" t="s">
        <v>113</v>
      </c>
      <c r="DB15" s="139" t="s">
        <v>113</v>
      </c>
      <c r="DC15" s="139" t="s">
        <v>113</v>
      </c>
      <c r="DD15" s="144">
        <f t="shared" si="31"/>
        <v>0</v>
      </c>
      <c r="DE15" s="145">
        <f>'[75]2. Distributional by deciles o'!$I31</f>
        <v>1</v>
      </c>
      <c r="DF15" s="1"/>
      <c r="DG15" s="1"/>
      <c r="DH15" s="1"/>
      <c r="DI15" s="1"/>
      <c r="DJ15" s="1"/>
      <c r="DK15" s="1"/>
      <c r="DL15" s="1"/>
      <c r="DM15" s="1"/>
      <c r="DN15" s="1"/>
      <c r="DO15" s="1"/>
      <c r="DP15" s="1"/>
      <c r="DQ15" s="1"/>
      <c r="DR15" s="1"/>
      <c r="DS15" s="1"/>
      <c r="DT15" s="1"/>
      <c r="DU15" s="1"/>
      <c r="DV15" s="1"/>
      <c r="DW15" s="1"/>
      <c r="DX15" s="1"/>
      <c r="DY15" s="1"/>
      <c r="DZ15" s="1"/>
      <c r="EA15" s="146">
        <f>'[76]2. Distributional by deciles o'!B67</f>
        <v>85542731.401200116</v>
      </c>
      <c r="EB15" s="146">
        <f>'[76]2. Distributional by deciles o'!C67</f>
        <v>88205119.477200001</v>
      </c>
      <c r="EC15" s="146">
        <f>'[76]2. Distributional by deciles o'!D67</f>
        <v>86480313.840000004</v>
      </c>
      <c r="ED15" s="146">
        <f>'[76]2. Distributional by deciles o'!E67</f>
        <v>88171268.429999992</v>
      </c>
      <c r="EE15" s="146">
        <f>'[76]2. Distributional by deciles o'!F67</f>
        <v>86687089.25999999</v>
      </c>
      <c r="EF15" s="146">
        <f>'[76]2. Distributional by deciles o'!G67</f>
        <v>86480313.840000004</v>
      </c>
      <c r="EG15" s="129"/>
      <c r="EH15" s="122"/>
      <c r="EI15" s="130" t="s">
        <v>113</v>
      </c>
      <c r="EJ15" s="130" t="s">
        <v>113</v>
      </c>
      <c r="EK15" s="130" t="s">
        <v>113</v>
      </c>
      <c r="EL15" s="130" t="s">
        <v>113</v>
      </c>
      <c r="EM15" s="131">
        <f t="shared" si="32"/>
        <v>3.071933415744363</v>
      </c>
      <c r="EN15" s="146">
        <f>'[76]2. Distributional by deciles o'!B85</f>
        <v>1310525785.9236</v>
      </c>
      <c r="EO15" s="146">
        <f>'[76]2. Distributional by deciles o'!C85</f>
        <v>1323630606.7655997</v>
      </c>
      <c r="EP15" s="131">
        <f t="shared" si="33"/>
        <v>0.99996665328978551</v>
      </c>
      <c r="EQ15" s="130" t="s">
        <v>113</v>
      </c>
      <c r="ER15" s="130" t="s">
        <v>113</v>
      </c>
      <c r="ES15" s="130" t="s">
        <v>113</v>
      </c>
      <c r="ET15" s="130" t="s">
        <v>113</v>
      </c>
      <c r="EU15" s="131">
        <f t="shared" si="34"/>
        <v>6.1879785882972493</v>
      </c>
      <c r="EV15" s="132">
        <f t="shared" si="35"/>
        <v>3.1124524751928417</v>
      </c>
      <c r="EW15" s="132">
        <f t="shared" si="36"/>
        <v>1.0960764167500641</v>
      </c>
      <c r="EX15" s="132"/>
      <c r="EY15" s="148">
        <f t="shared" si="37"/>
        <v>0.80198482600458787</v>
      </c>
      <c r="EZ15" s="144">
        <f t="shared" si="38"/>
        <v>0</v>
      </c>
      <c r="FA15" s="145">
        <f>'[76]2. Distributional by deciles o'!$I31</f>
        <v>1</v>
      </c>
      <c r="FB15" s="130" t="s">
        <v>113</v>
      </c>
      <c r="FC15" s="130" t="s">
        <v>113</v>
      </c>
      <c r="FD15" s="130" t="s">
        <v>113</v>
      </c>
      <c r="FE15" s="130" t="s">
        <v>113</v>
      </c>
      <c r="FF15" s="130" t="s">
        <v>113</v>
      </c>
      <c r="FG15" s="130" t="s">
        <v>113</v>
      </c>
      <c r="FH15" s="130" t="s">
        <v>113</v>
      </c>
      <c r="FI15" s="130" t="s">
        <v>113</v>
      </c>
      <c r="FJ15" s="1"/>
      <c r="FK15" s="1"/>
      <c r="FL15" s="1"/>
      <c r="FM15" s="1"/>
      <c r="FN15" s="1"/>
      <c r="FO15" s="1"/>
      <c r="FP15" s="1"/>
      <c r="FQ15" s="1"/>
    </row>
    <row r="16" spans="1:173" x14ac:dyDescent="0.3">
      <c r="A16" s="1"/>
      <c r="B16" s="28">
        <v>5</v>
      </c>
      <c r="C16" s="129">
        <f>'[75]2. Distributional by deciles o'!B68</f>
        <v>120900741.89159995</v>
      </c>
      <c r="D16" s="129">
        <f>'[75]2. Distributional by deciles o'!C68</f>
        <v>123247170.41159999</v>
      </c>
      <c r="E16" s="129">
        <f>'[75]2. Distributional by deciles o'!D68</f>
        <v>122114567.25360002</v>
      </c>
      <c r="F16" s="129">
        <f>'[75]2. Distributional by deciles o'!E68</f>
        <v>123225047.47920001</v>
      </c>
      <c r="G16" s="129">
        <f>'[75]2. Distributional by deciles o'!F68</f>
        <v>122356350.76080006</v>
      </c>
      <c r="H16" s="129">
        <f>'[75]2. Distributional by deciles o'!G68</f>
        <v>122114567.25360002</v>
      </c>
      <c r="I16" s="129"/>
      <c r="J16" s="122"/>
      <c r="K16" s="130" t="s">
        <v>113</v>
      </c>
      <c r="L16" s="130" t="s">
        <v>113</v>
      </c>
      <c r="M16" s="130" t="s">
        <v>113</v>
      </c>
      <c r="N16" s="130" t="s">
        <v>113</v>
      </c>
      <c r="O16" s="131">
        <f t="shared" si="0"/>
        <v>5.6869114755091408</v>
      </c>
      <c r="P16" s="129">
        <f>'[75]2. Distributional by deciles o'!B86</f>
        <v>1100798638.0932012</v>
      </c>
      <c r="Q16" s="129">
        <f>'[75]2. Distributional by deciles o'!C86</f>
        <v>1111806592.1915991</v>
      </c>
      <c r="R16" s="131">
        <f t="shared" si="1"/>
        <v>0.99999706735338645</v>
      </c>
      <c r="S16" s="130" t="s">
        <v>113</v>
      </c>
      <c r="T16" s="130" t="s">
        <v>113</v>
      </c>
      <c r="U16" s="130" t="s">
        <v>113</v>
      </c>
      <c r="V16" s="130" t="s">
        <v>113</v>
      </c>
      <c r="W16" s="132">
        <f t="shared" si="2"/>
        <v>1.9407948740047405</v>
      </c>
      <c r="X16" s="132">
        <f t="shared" si="3"/>
        <v>1.0039879844737953</v>
      </c>
      <c r="Y16" s="132">
        <f t="shared" si="4"/>
        <v>1.9224963946631031</v>
      </c>
      <c r="Z16" s="132">
        <f t="shared" si="5"/>
        <v>1.2039737020837791</v>
      </c>
      <c r="AA16" s="132">
        <f t="shared" si="6"/>
        <v>1.0039879844737953</v>
      </c>
      <c r="AB16" s="132">
        <f t="shared" si="7"/>
        <v>1.0039879844737953</v>
      </c>
      <c r="AC16" s="132">
        <f t="shared" si="8"/>
        <v>1.0039879844737953</v>
      </c>
      <c r="AD16" s="130" t="s">
        <v>113</v>
      </c>
      <c r="AE16" s="130" t="s">
        <v>113</v>
      </c>
      <c r="AF16" s="130" t="s">
        <v>113</v>
      </c>
      <c r="AG16" s="130" t="s">
        <v>113</v>
      </c>
      <c r="AH16" s="133">
        <f t="shared" si="9"/>
        <v>1</v>
      </c>
      <c r="AI16" s="134">
        <f t="shared" si="10"/>
        <v>3.9879844737953363E-3</v>
      </c>
      <c r="AJ16" s="134">
        <f t="shared" si="11"/>
        <v>1.8298479341637419E-2</v>
      </c>
      <c r="AK16" s="134">
        <f t="shared" si="12"/>
        <v>0.718522692579324</v>
      </c>
      <c r="AL16" s="134">
        <f t="shared" si="13"/>
        <v>0.19998571760998374</v>
      </c>
      <c r="AM16" s="134">
        <f t="shared" si="14"/>
        <v>0</v>
      </c>
      <c r="AN16" s="135">
        <f t="shared" si="15"/>
        <v>0</v>
      </c>
      <c r="AO16" s="134">
        <f t="shared" si="16"/>
        <v>0</v>
      </c>
      <c r="AP16" s="134">
        <f t="shared" si="17"/>
        <v>3.9879844737953363E-3</v>
      </c>
      <c r="AQ16" s="136" t="s">
        <v>113</v>
      </c>
      <c r="AR16" s="137">
        <f t="shared" si="18"/>
        <v>0.42389521711777967</v>
      </c>
      <c r="AS16" s="137">
        <f t="shared" si="19"/>
        <v>1.9450020240592016</v>
      </c>
      <c r="AT16" s="137">
        <f t="shared" si="20"/>
        <v>76.374001648281038</v>
      </c>
      <c r="AU16" s="137">
        <f t="shared" si="21"/>
        <v>21.257101110541981</v>
      </c>
      <c r="AV16" s="137">
        <f t="shared" si="22"/>
        <v>0</v>
      </c>
      <c r="AW16" s="138">
        <f t="shared" si="23"/>
        <v>0</v>
      </c>
      <c r="AX16" s="137">
        <f t="shared" si="24"/>
        <v>0</v>
      </c>
      <c r="AY16" s="137">
        <f t="shared" si="25"/>
        <v>0.42389521711777967</v>
      </c>
      <c r="AZ16" s="139" t="s">
        <v>113</v>
      </c>
      <c r="BA16" s="139" t="s">
        <v>113</v>
      </c>
      <c r="BB16" s="139" t="s">
        <v>113</v>
      </c>
      <c r="BC16" s="139" t="s">
        <v>113</v>
      </c>
      <c r="BD16" s="139" t="s">
        <v>113</v>
      </c>
      <c r="BE16" s="139" t="s">
        <v>113</v>
      </c>
      <c r="BF16" s="139" t="s">
        <v>113</v>
      </c>
      <c r="BG16" s="139" t="s">
        <v>113</v>
      </c>
      <c r="BH16" s="140">
        <f>'[75]2. Distributional by deciles o'!$B104</f>
        <v>838327192.602</v>
      </c>
      <c r="BI16" s="140">
        <f>'[75]2. Distributional by deciles o'!$B122</f>
        <v>221442845.7216002</v>
      </c>
      <c r="BJ16" s="140">
        <f>'[75]2. Distributional by deciles o'!$B140</f>
        <v>31489726.59359999</v>
      </c>
      <c r="BK16" s="140">
        <f>'[75]2. Distributional by deciles o'!$B158</f>
        <v>9539622.1236000024</v>
      </c>
      <c r="BL16" s="141">
        <f t="shared" si="26"/>
        <v>0.76156219059643082</v>
      </c>
      <c r="BM16" s="141">
        <f t="shared" si="27"/>
        <v>0.20116548785232258</v>
      </c>
      <c r="BN16" s="141">
        <f t="shared" si="28"/>
        <v>2.8606235581445552E-2</v>
      </c>
      <c r="BO16" s="141">
        <f t="shared" si="29"/>
        <v>8.6660859698011669E-3</v>
      </c>
      <c r="BP16" s="139" t="s">
        <v>113</v>
      </c>
      <c r="BQ16" s="139" t="s">
        <v>113</v>
      </c>
      <c r="BR16" s="139" t="s">
        <v>113</v>
      </c>
      <c r="BS16" s="131">
        <f t="shared" si="30"/>
        <v>7.2557599381997875</v>
      </c>
      <c r="BT16" s="139"/>
      <c r="BU16" s="139"/>
      <c r="BV16" s="139"/>
      <c r="BW16" s="139"/>
      <c r="BX16" s="139"/>
      <c r="BY16" s="139"/>
      <c r="BZ16" s="139"/>
      <c r="CA16" s="139"/>
      <c r="CB16" s="139"/>
      <c r="CC16" s="142" t="s">
        <v>113</v>
      </c>
      <c r="CD16" s="142" t="s">
        <v>113</v>
      </c>
      <c r="CE16" s="142" t="s">
        <v>113</v>
      </c>
      <c r="CF16" s="142" t="s">
        <v>113</v>
      </c>
      <c r="CG16" s="142" t="s">
        <v>113</v>
      </c>
      <c r="CH16" s="142" t="s">
        <v>113</v>
      </c>
      <c r="CI16" s="142" t="s">
        <v>113</v>
      </c>
      <c r="CJ16" s="142"/>
      <c r="CK16" s="139" t="s">
        <v>113</v>
      </c>
      <c r="CL16" s="139" t="s">
        <v>113</v>
      </c>
      <c r="CM16" s="139" t="s">
        <v>113</v>
      </c>
      <c r="CN16" s="139" t="s">
        <v>113</v>
      </c>
      <c r="CO16" s="139" t="s">
        <v>113</v>
      </c>
      <c r="CP16" s="139" t="s">
        <v>113</v>
      </c>
      <c r="CQ16" s="139" t="s">
        <v>113</v>
      </c>
      <c r="CR16" s="139"/>
      <c r="CS16" s="143" t="s">
        <v>113</v>
      </c>
      <c r="CT16" s="143" t="s">
        <v>113</v>
      </c>
      <c r="CU16" s="143" t="s">
        <v>113</v>
      </c>
      <c r="CV16" s="143" t="s">
        <v>113</v>
      </c>
      <c r="CW16" s="143" t="s">
        <v>113</v>
      </c>
      <c r="CX16" s="143" t="s">
        <v>113</v>
      </c>
      <c r="CY16" s="143" t="s">
        <v>113</v>
      </c>
      <c r="CZ16" s="143"/>
      <c r="DA16" s="139" t="s">
        <v>113</v>
      </c>
      <c r="DB16" s="139" t="s">
        <v>113</v>
      </c>
      <c r="DC16" s="139" t="s">
        <v>113</v>
      </c>
      <c r="DD16" s="144">
        <f t="shared" si="31"/>
        <v>0</v>
      </c>
      <c r="DE16" s="145">
        <f>'[75]2. Distributional by deciles o'!$I32</f>
        <v>1</v>
      </c>
      <c r="DF16" s="1"/>
      <c r="DG16" s="1"/>
      <c r="DH16" s="1"/>
      <c r="DI16" s="1"/>
      <c r="DJ16" s="1"/>
      <c r="DK16" s="1"/>
      <c r="DL16" s="1"/>
      <c r="DM16" s="1"/>
      <c r="DN16" s="1"/>
      <c r="DO16" s="1"/>
      <c r="DP16" s="1"/>
      <c r="DQ16" s="1"/>
      <c r="DR16" s="1"/>
      <c r="DS16" s="1"/>
      <c r="DT16" s="1"/>
      <c r="DU16" s="1"/>
      <c r="DV16" s="1"/>
      <c r="DW16" s="1"/>
      <c r="DX16" s="1"/>
      <c r="DY16" s="1"/>
      <c r="DZ16" s="1"/>
      <c r="EA16" s="146">
        <f>'[76]2. Distributional by deciles o'!B68</f>
        <v>140020169.45279992</v>
      </c>
      <c r="EB16" s="146">
        <f>'[76]2. Distributional by deciles o'!C68</f>
        <v>143353812.38639987</v>
      </c>
      <c r="EC16" s="146">
        <f>'[76]2. Distributional by deciles o'!D68</f>
        <v>141505241.60759991</v>
      </c>
      <c r="ED16" s="146">
        <f>'[76]2. Distributional by deciles o'!E68</f>
        <v>143281466.06159988</v>
      </c>
      <c r="EE16" s="146">
        <f>'[76]2. Distributional by deciles o'!F68</f>
        <v>141768259.7076</v>
      </c>
      <c r="EF16" s="146">
        <f>'[76]2. Distributional by deciles o'!G68</f>
        <v>141505241.60759991</v>
      </c>
      <c r="EG16" s="129"/>
      <c r="EH16" s="122"/>
      <c r="EI16" s="130" t="s">
        <v>113</v>
      </c>
      <c r="EJ16" s="130" t="s">
        <v>113</v>
      </c>
      <c r="EK16" s="130" t="s">
        <v>113</v>
      </c>
      <c r="EL16" s="130" t="s">
        <v>113</v>
      </c>
      <c r="EM16" s="131">
        <f t="shared" si="32"/>
        <v>5.0282780357210992</v>
      </c>
      <c r="EN16" s="146">
        <f>'[76]2. Distributional by deciles o'!B86</f>
        <v>1534226594.1408012</v>
      </c>
      <c r="EO16" s="146">
        <f>'[76]2. Distributional by deciles o'!C86</f>
        <v>1549569379.3152013</v>
      </c>
      <c r="EP16" s="131">
        <f t="shared" si="33"/>
        <v>1.0000338433054257</v>
      </c>
      <c r="EQ16" s="130" t="s">
        <v>113</v>
      </c>
      <c r="ER16" s="130" t="s">
        <v>113</v>
      </c>
      <c r="ES16" s="130" t="s">
        <v>113</v>
      </c>
      <c r="ET16" s="130" t="s">
        <v>113</v>
      </c>
      <c r="EU16" s="131">
        <f t="shared" si="34"/>
        <v>7.2442384698662865</v>
      </c>
      <c r="EV16" s="132">
        <f t="shared" si="35"/>
        <v>2.3807499512031414</v>
      </c>
      <c r="EW16" s="132">
        <f t="shared" si="36"/>
        <v>1.0605771315331651</v>
      </c>
      <c r="EX16" s="132"/>
      <c r="EY16" s="148">
        <f t="shared" si="37"/>
        <v>0.43995507719840088</v>
      </c>
      <c r="EZ16" s="144">
        <f t="shared" si="38"/>
        <v>0</v>
      </c>
      <c r="FA16" s="145">
        <f>'[76]2. Distributional by deciles o'!$I32</f>
        <v>1</v>
      </c>
      <c r="FB16" s="130" t="s">
        <v>113</v>
      </c>
      <c r="FC16" s="130" t="s">
        <v>113</v>
      </c>
      <c r="FD16" s="130" t="s">
        <v>113</v>
      </c>
      <c r="FE16" s="130" t="s">
        <v>113</v>
      </c>
      <c r="FF16" s="130" t="s">
        <v>113</v>
      </c>
      <c r="FG16" s="130" t="s">
        <v>113</v>
      </c>
      <c r="FH16" s="130" t="s">
        <v>113</v>
      </c>
      <c r="FI16" s="130" t="s">
        <v>113</v>
      </c>
      <c r="FJ16" s="1"/>
      <c r="FK16" s="1"/>
      <c r="FL16" s="1"/>
      <c r="FM16" s="1"/>
      <c r="FN16" s="1"/>
      <c r="FO16" s="1"/>
      <c r="FP16" s="1"/>
      <c r="FQ16" s="1"/>
    </row>
    <row r="17" spans="1:173" x14ac:dyDescent="0.3">
      <c r="A17" s="1"/>
      <c r="B17" s="28">
        <v>6</v>
      </c>
      <c r="C17" s="129">
        <f>'[75]2. Distributional by deciles o'!B69</f>
        <v>163732840.85760006</v>
      </c>
      <c r="D17" s="129">
        <f>'[75]2. Distributional by deciles o'!C69</f>
        <v>166461508.03560004</v>
      </c>
      <c r="E17" s="129">
        <f>'[75]2. Distributional by deciles o'!D69</f>
        <v>165377975.97240001</v>
      </c>
      <c r="F17" s="129">
        <f>'[75]2. Distributional by deciles o'!E69</f>
        <v>166418232.11760008</v>
      </c>
      <c r="G17" s="129">
        <f>'[75]2. Distributional by deciles o'!F69</f>
        <v>165637951.35719994</v>
      </c>
      <c r="H17" s="129">
        <f>'[75]2. Distributional by deciles o'!G69</f>
        <v>165377975.97240001</v>
      </c>
      <c r="I17" s="129"/>
      <c r="J17" s="122"/>
      <c r="K17" s="130" t="s">
        <v>113</v>
      </c>
      <c r="L17" s="130" t="s">
        <v>113</v>
      </c>
      <c r="M17" s="130" t="s">
        <v>113</v>
      </c>
      <c r="N17" s="130" t="s">
        <v>113</v>
      </c>
      <c r="O17" s="131">
        <f t="shared" si="0"/>
        <v>7.7016415037854449</v>
      </c>
      <c r="P17" s="129">
        <f>'[75]2. Distributional by deciles o'!B87</f>
        <v>1295724428.7780004</v>
      </c>
      <c r="Q17" s="129">
        <f>'[75]2. Distributional by deciles o'!C87</f>
        <v>1308681542.5991998</v>
      </c>
      <c r="R17" s="131">
        <f t="shared" si="1"/>
        <v>0.99998993099321698</v>
      </c>
      <c r="S17" s="130" t="s">
        <v>113</v>
      </c>
      <c r="T17" s="130" t="s">
        <v>113</v>
      </c>
      <c r="U17" s="130" t="s">
        <v>113</v>
      </c>
      <c r="V17" s="130" t="s">
        <v>113</v>
      </c>
      <c r="W17" s="132">
        <f t="shared" si="2"/>
        <v>1.6665530500494499</v>
      </c>
      <c r="X17" s="132">
        <f t="shared" si="3"/>
        <v>1.0047780709272449</v>
      </c>
      <c r="Y17" s="132">
        <f t="shared" si="4"/>
        <v>1.6401219727388872</v>
      </c>
      <c r="Z17" s="132">
        <f t="shared" si="5"/>
        <v>1.1635599018406313</v>
      </c>
      <c r="AA17" s="132">
        <f t="shared" si="6"/>
        <v>1.0047780709272449</v>
      </c>
      <c r="AB17" s="132">
        <f t="shared" si="7"/>
        <v>1.0047780709272449</v>
      </c>
      <c r="AC17" s="132">
        <f t="shared" si="8"/>
        <v>1.0047780709272449</v>
      </c>
      <c r="AD17" s="130" t="s">
        <v>113</v>
      </c>
      <c r="AE17" s="130" t="s">
        <v>113</v>
      </c>
      <c r="AF17" s="130" t="s">
        <v>113</v>
      </c>
      <c r="AG17" s="130" t="s">
        <v>113</v>
      </c>
      <c r="AH17" s="133">
        <f t="shared" si="9"/>
        <v>1</v>
      </c>
      <c r="AI17" s="134">
        <f t="shared" si="10"/>
        <v>4.7780709272449151E-3</v>
      </c>
      <c r="AJ17" s="134">
        <f t="shared" si="11"/>
        <v>2.6431077310562712E-2</v>
      </c>
      <c r="AK17" s="134">
        <f t="shared" si="12"/>
        <v>0.47656207089825586</v>
      </c>
      <c r="AL17" s="134">
        <f t="shared" si="13"/>
        <v>0.15878183091338638</v>
      </c>
      <c r="AM17" s="134">
        <f t="shared" si="14"/>
        <v>0</v>
      </c>
      <c r="AN17" s="135">
        <f t="shared" si="15"/>
        <v>0</v>
      </c>
      <c r="AO17" s="134">
        <f t="shared" si="16"/>
        <v>0</v>
      </c>
      <c r="AP17" s="134">
        <f t="shared" si="17"/>
        <v>4.7780709272449151E-3</v>
      </c>
      <c r="AQ17" s="136" t="s">
        <v>113</v>
      </c>
      <c r="AR17" s="137">
        <f t="shared" si="18"/>
        <v>0.71683280526440352</v>
      </c>
      <c r="AS17" s="137">
        <f t="shared" si="19"/>
        <v>3.9653373889147843</v>
      </c>
      <c r="AT17" s="137">
        <f t="shared" si="20"/>
        <v>71.496495419667042</v>
      </c>
      <c r="AU17" s="137">
        <f t="shared" si="21"/>
        <v>23.821334386153776</v>
      </c>
      <c r="AV17" s="137">
        <f t="shared" si="22"/>
        <v>0</v>
      </c>
      <c r="AW17" s="138">
        <f t="shared" si="23"/>
        <v>0</v>
      </c>
      <c r="AX17" s="137">
        <f t="shared" si="24"/>
        <v>0</v>
      </c>
      <c r="AY17" s="137">
        <f t="shared" si="25"/>
        <v>0.71683280526440352</v>
      </c>
      <c r="AZ17" s="139" t="s">
        <v>113</v>
      </c>
      <c r="BA17" s="139" t="s">
        <v>113</v>
      </c>
      <c r="BB17" s="139" t="s">
        <v>113</v>
      </c>
      <c r="BC17" s="139" t="s">
        <v>113</v>
      </c>
      <c r="BD17" s="139" t="s">
        <v>113</v>
      </c>
      <c r="BE17" s="139" t="s">
        <v>113</v>
      </c>
      <c r="BF17" s="139" t="s">
        <v>113</v>
      </c>
      <c r="BG17" s="139" t="s">
        <v>113</v>
      </c>
      <c r="BH17" s="140">
        <f>'[75]2. Distributional by deciles o'!$B105</f>
        <v>1071144271.4484003</v>
      </c>
      <c r="BI17" s="140">
        <f>'[75]2. Distributional by deciles o'!$B123</f>
        <v>177047206.29119995</v>
      </c>
      <c r="BJ17" s="140">
        <f>'[75]2. Distributional by deciles o'!$B141</f>
        <v>31410769.707599994</v>
      </c>
      <c r="BK17" s="140">
        <f>'[75]2. Distributional by deciles o'!$B159</f>
        <v>16122509.200800009</v>
      </c>
      <c r="BL17" s="141">
        <f t="shared" si="26"/>
        <v>0.82667577813317195</v>
      </c>
      <c r="BM17" s="141">
        <f t="shared" si="27"/>
        <v>0.13663951806340077</v>
      </c>
      <c r="BN17" s="141">
        <f t="shared" si="28"/>
        <v>2.4241853485040054E-2</v>
      </c>
      <c r="BO17" s="141">
        <f t="shared" si="29"/>
        <v>1.2442850318387405E-2</v>
      </c>
      <c r="BP17" s="139" t="s">
        <v>113</v>
      </c>
      <c r="BQ17" s="139" t="s">
        <v>113</v>
      </c>
      <c r="BR17" s="139" t="s">
        <v>113</v>
      </c>
      <c r="BS17" s="131">
        <f t="shared" si="30"/>
        <v>8.5405859672568258</v>
      </c>
      <c r="BT17" s="139"/>
      <c r="BU17" s="139"/>
      <c r="BV17" s="139"/>
      <c r="BW17" s="139"/>
      <c r="BX17" s="139"/>
      <c r="BY17" s="139"/>
      <c r="BZ17" s="139"/>
      <c r="CA17" s="139"/>
      <c r="CB17" s="139"/>
      <c r="CC17" s="142" t="s">
        <v>113</v>
      </c>
      <c r="CD17" s="142" t="s">
        <v>113</v>
      </c>
      <c r="CE17" s="142" t="s">
        <v>113</v>
      </c>
      <c r="CF17" s="142" t="s">
        <v>113</v>
      </c>
      <c r="CG17" s="142" t="s">
        <v>113</v>
      </c>
      <c r="CH17" s="142" t="s">
        <v>113</v>
      </c>
      <c r="CI17" s="142" t="s">
        <v>113</v>
      </c>
      <c r="CJ17" s="142"/>
      <c r="CK17" s="139" t="s">
        <v>113</v>
      </c>
      <c r="CL17" s="139" t="s">
        <v>113</v>
      </c>
      <c r="CM17" s="139" t="s">
        <v>113</v>
      </c>
      <c r="CN17" s="139" t="s">
        <v>113</v>
      </c>
      <c r="CO17" s="139" t="s">
        <v>113</v>
      </c>
      <c r="CP17" s="139" t="s">
        <v>113</v>
      </c>
      <c r="CQ17" s="139" t="s">
        <v>113</v>
      </c>
      <c r="CR17" s="139"/>
      <c r="CS17" s="143" t="s">
        <v>113</v>
      </c>
      <c r="CT17" s="143" t="s">
        <v>113</v>
      </c>
      <c r="CU17" s="143" t="s">
        <v>113</v>
      </c>
      <c r="CV17" s="143" t="s">
        <v>113</v>
      </c>
      <c r="CW17" s="143" t="s">
        <v>113</v>
      </c>
      <c r="CX17" s="143" t="s">
        <v>113</v>
      </c>
      <c r="CY17" s="143" t="s">
        <v>113</v>
      </c>
      <c r="CZ17" s="143"/>
      <c r="DA17" s="139" t="s">
        <v>113</v>
      </c>
      <c r="DB17" s="139" t="s">
        <v>113</v>
      </c>
      <c r="DC17" s="139" t="s">
        <v>113</v>
      </c>
      <c r="DD17" s="144">
        <f t="shared" si="31"/>
        <v>0</v>
      </c>
      <c r="DE17" s="145">
        <f>'[75]2. Distributional by deciles o'!$I33</f>
        <v>1</v>
      </c>
      <c r="DF17" s="1"/>
      <c r="DG17" s="1"/>
      <c r="DH17" s="1"/>
      <c r="DI17" s="1"/>
      <c r="DJ17" s="1"/>
      <c r="DK17" s="1"/>
      <c r="DL17" s="1"/>
      <c r="DM17" s="1"/>
      <c r="DN17" s="1"/>
      <c r="DO17" s="1"/>
      <c r="DP17" s="1"/>
      <c r="DQ17" s="1"/>
      <c r="DR17" s="1"/>
      <c r="DS17" s="1"/>
      <c r="DT17" s="1"/>
      <c r="DU17" s="1"/>
      <c r="DV17" s="1"/>
      <c r="DW17" s="1"/>
      <c r="DX17" s="1"/>
      <c r="DY17" s="1"/>
      <c r="DZ17" s="1"/>
      <c r="EA17" s="146">
        <f>'[76]2. Distributional by deciles o'!B69</f>
        <v>206273481.62639999</v>
      </c>
      <c r="EB17" s="146">
        <f>'[76]2. Distributional by deciles o'!C69</f>
        <v>210326375.98799992</v>
      </c>
      <c r="EC17" s="146">
        <f>'[76]2. Distributional by deciles o'!D69</f>
        <v>208424976.49919993</v>
      </c>
      <c r="ED17" s="146">
        <f>'[76]2. Distributional by deciles o'!E69</f>
        <v>210195770.22239983</v>
      </c>
      <c r="EE17" s="146">
        <f>'[76]2. Distributional by deciles o'!F69</f>
        <v>208701316.6991998</v>
      </c>
      <c r="EF17" s="146">
        <f>'[76]2. Distributional by deciles o'!G69</f>
        <v>208424976.49919993</v>
      </c>
      <c r="EG17" s="129"/>
      <c r="EH17" s="122"/>
      <c r="EI17" s="130" t="s">
        <v>113</v>
      </c>
      <c r="EJ17" s="130" t="s">
        <v>113</v>
      </c>
      <c r="EK17" s="130" t="s">
        <v>113</v>
      </c>
      <c r="EL17" s="130" t="s">
        <v>113</v>
      </c>
      <c r="EM17" s="131">
        <f t="shared" si="32"/>
        <v>7.407507226045615</v>
      </c>
      <c r="EN17" s="146">
        <f>'[76]2. Distributional by deciles o'!B87</f>
        <v>1824485814.2940011</v>
      </c>
      <c r="EO17" s="146">
        <f>'[76]2. Distributional by deciles o'!C87</f>
        <v>1842730543.6583986</v>
      </c>
      <c r="EP17" s="131">
        <f t="shared" si="33"/>
        <v>0.99999294165284969</v>
      </c>
      <c r="EQ17" s="130" t="s">
        <v>113</v>
      </c>
      <c r="ER17" s="130" t="s">
        <v>113</v>
      </c>
      <c r="ES17" s="130" t="s">
        <v>113</v>
      </c>
      <c r="ET17" s="130" t="s">
        <v>113</v>
      </c>
      <c r="EU17" s="131">
        <f t="shared" si="34"/>
        <v>8.6147707086486278</v>
      </c>
      <c r="EV17" s="132">
        <f t="shared" si="35"/>
        <v>1.9648298640141306</v>
      </c>
      <c r="EW17" s="132">
        <f t="shared" si="36"/>
        <v>1.0430376420375813</v>
      </c>
      <c r="EX17" s="132"/>
      <c r="EY17" s="148">
        <f t="shared" si="37"/>
        <v>0.29827681396468075</v>
      </c>
      <c r="EZ17" s="144">
        <f t="shared" si="38"/>
        <v>0</v>
      </c>
      <c r="FA17" s="145">
        <f>'[76]2. Distributional by deciles o'!$I33</f>
        <v>1</v>
      </c>
      <c r="FB17" s="130" t="s">
        <v>113</v>
      </c>
      <c r="FC17" s="130" t="s">
        <v>113</v>
      </c>
      <c r="FD17" s="130" t="s">
        <v>113</v>
      </c>
      <c r="FE17" s="130" t="s">
        <v>113</v>
      </c>
      <c r="FF17" s="130" t="s">
        <v>113</v>
      </c>
      <c r="FG17" s="130" t="s">
        <v>113</v>
      </c>
      <c r="FH17" s="130" t="s">
        <v>113</v>
      </c>
      <c r="FI17" s="130" t="s">
        <v>113</v>
      </c>
      <c r="FJ17" s="1"/>
      <c r="FK17" s="1"/>
      <c r="FL17" s="1"/>
      <c r="FM17" s="1"/>
      <c r="FN17" s="1"/>
      <c r="FO17" s="1"/>
      <c r="FP17" s="1"/>
      <c r="FQ17" s="1"/>
    </row>
    <row r="18" spans="1:173" x14ac:dyDescent="0.3">
      <c r="A18" s="1"/>
      <c r="B18" s="28">
        <v>7</v>
      </c>
      <c r="C18" s="129">
        <f>'[75]2. Distributional by deciles o'!B70</f>
        <v>222457450.46640009</v>
      </c>
      <c r="D18" s="129">
        <f>'[75]2. Distributional by deciles o'!C70</f>
        <v>225744743.79119977</v>
      </c>
      <c r="E18" s="129">
        <f>'[75]2. Distributional by deciles o'!D70</f>
        <v>224691920.40599984</v>
      </c>
      <c r="F18" s="129">
        <f>'[75]2. Distributional by deciles o'!E70</f>
        <v>225682468.96199971</v>
      </c>
      <c r="G18" s="129">
        <f>'[75]2. Distributional by deciles o'!F70</f>
        <v>224912558.22839993</v>
      </c>
      <c r="H18" s="129">
        <f>'[75]2. Distributional by deciles o'!G70</f>
        <v>224691920.40599984</v>
      </c>
      <c r="I18" s="129"/>
      <c r="J18" s="122"/>
      <c r="K18" s="130" t="s">
        <v>113</v>
      </c>
      <c r="L18" s="130" t="s">
        <v>113</v>
      </c>
      <c r="M18" s="130" t="s">
        <v>113</v>
      </c>
      <c r="N18" s="130" t="s">
        <v>113</v>
      </c>
      <c r="O18" s="131">
        <f t="shared" si="0"/>
        <v>10.463921131304279</v>
      </c>
      <c r="P18" s="129">
        <f>'[75]2. Distributional by deciles o'!B88</f>
        <v>1588943261.6819994</v>
      </c>
      <c r="Q18" s="129">
        <f>'[75]2. Distributional by deciles o'!C88</f>
        <v>1604832834.9755995</v>
      </c>
      <c r="R18" s="131">
        <f t="shared" si="1"/>
        <v>1.0000088534803941</v>
      </c>
      <c r="S18" s="130" t="s">
        <v>113</v>
      </c>
      <c r="T18" s="130" t="s">
        <v>113</v>
      </c>
      <c r="U18" s="130" t="s">
        <v>113</v>
      </c>
      <c r="V18" s="130" t="s">
        <v>113</v>
      </c>
      <c r="W18" s="132">
        <f t="shared" si="2"/>
        <v>1.477704709003155</v>
      </c>
      <c r="X18" s="132">
        <f t="shared" si="3"/>
        <v>1.0044393443574897</v>
      </c>
      <c r="Y18" s="132">
        <f t="shared" si="4"/>
        <v>1.4497109161562991</v>
      </c>
      <c r="Z18" s="132">
        <f t="shared" si="5"/>
        <v>1.103620499469252</v>
      </c>
      <c r="AA18" s="132">
        <f t="shared" si="6"/>
        <v>1.0044393443574897</v>
      </c>
      <c r="AB18" s="132">
        <f t="shared" si="7"/>
        <v>1.0044393443574897</v>
      </c>
      <c r="AC18" s="132">
        <f t="shared" si="8"/>
        <v>1.0044393443574897</v>
      </c>
      <c r="AD18" s="130" t="s">
        <v>113</v>
      </c>
      <c r="AE18" s="130" t="s">
        <v>113</v>
      </c>
      <c r="AF18" s="130" t="s">
        <v>113</v>
      </c>
      <c r="AG18" s="130" t="s">
        <v>113</v>
      </c>
      <c r="AH18" s="133">
        <f t="shared" si="9"/>
        <v>1</v>
      </c>
      <c r="AI18" s="134">
        <f t="shared" si="10"/>
        <v>4.4393443574897162E-3</v>
      </c>
      <c r="AJ18" s="134">
        <f t="shared" si="11"/>
        <v>2.7993792846855881E-2</v>
      </c>
      <c r="AK18" s="134">
        <f t="shared" si="12"/>
        <v>0.3460904166870471</v>
      </c>
      <c r="AL18" s="134">
        <f t="shared" si="13"/>
        <v>9.9181155111762287E-2</v>
      </c>
      <c r="AM18" s="134">
        <f t="shared" si="14"/>
        <v>0</v>
      </c>
      <c r="AN18" s="135">
        <f t="shared" si="15"/>
        <v>0</v>
      </c>
      <c r="AO18" s="134">
        <f t="shared" si="16"/>
        <v>0</v>
      </c>
      <c r="AP18" s="134">
        <f t="shared" si="17"/>
        <v>4.4393443574897162E-3</v>
      </c>
      <c r="AQ18" s="136" t="s">
        <v>113</v>
      </c>
      <c r="AR18" s="137">
        <f t="shared" si="18"/>
        <v>0.92930722134882626</v>
      </c>
      <c r="AS18" s="137">
        <f t="shared" si="19"/>
        <v>5.8600621512129569</v>
      </c>
      <c r="AT18" s="137">
        <f t="shared" si="20"/>
        <v>72.448608976295731</v>
      </c>
      <c r="AU18" s="137">
        <f t="shared" si="21"/>
        <v>20.762021651142497</v>
      </c>
      <c r="AV18" s="137">
        <f t="shared" si="22"/>
        <v>0</v>
      </c>
      <c r="AW18" s="138">
        <f t="shared" si="23"/>
        <v>0</v>
      </c>
      <c r="AX18" s="137">
        <f t="shared" si="24"/>
        <v>0</v>
      </c>
      <c r="AY18" s="137">
        <f t="shared" si="25"/>
        <v>0.92930722134882626</v>
      </c>
      <c r="AZ18" s="139" t="s">
        <v>113</v>
      </c>
      <c r="BA18" s="139" t="s">
        <v>113</v>
      </c>
      <c r="BB18" s="139" t="s">
        <v>113</v>
      </c>
      <c r="BC18" s="139" t="s">
        <v>113</v>
      </c>
      <c r="BD18" s="139" t="s">
        <v>113</v>
      </c>
      <c r="BE18" s="139" t="s">
        <v>113</v>
      </c>
      <c r="BF18" s="139" t="s">
        <v>113</v>
      </c>
      <c r="BG18" s="139" t="s">
        <v>113</v>
      </c>
      <c r="BH18" s="140">
        <f>'[75]2. Distributional by deciles o'!$B106</f>
        <v>1346047665.5592003</v>
      </c>
      <c r="BI18" s="140">
        <f>'[75]2. Distributional by deciles o'!$B124</f>
        <v>197617404.96960002</v>
      </c>
      <c r="BJ18" s="140">
        <f>'[75]2. Distributional by deciles o'!$B142</f>
        <v>37046012.884799995</v>
      </c>
      <c r="BK18" s="140">
        <f>'[75]2. Distributional by deciles o'!$B160</f>
        <v>8232819.3143999996</v>
      </c>
      <c r="BL18" s="141">
        <f t="shared" si="26"/>
        <v>0.84713353520424473</v>
      </c>
      <c r="BM18" s="141">
        <f t="shared" si="27"/>
        <v>0.12437028433182434</v>
      </c>
      <c r="BN18" s="141">
        <f t="shared" si="28"/>
        <v>2.33148651888824E-2</v>
      </c>
      <c r="BO18" s="141">
        <f t="shared" si="29"/>
        <v>5.1813152750486476E-3</v>
      </c>
      <c r="BP18" s="139" t="s">
        <v>113</v>
      </c>
      <c r="BQ18" s="139" t="s">
        <v>113</v>
      </c>
      <c r="BR18" s="139" t="s">
        <v>113</v>
      </c>
      <c r="BS18" s="131">
        <f t="shared" si="30"/>
        <v>10.473296807629799</v>
      </c>
      <c r="BT18" s="139"/>
      <c r="BU18" s="139"/>
      <c r="BV18" s="139"/>
      <c r="BW18" s="139"/>
      <c r="BX18" s="139"/>
      <c r="BY18" s="139"/>
      <c r="BZ18" s="139"/>
      <c r="CA18" s="139"/>
      <c r="CB18" s="139"/>
      <c r="CC18" s="142" t="s">
        <v>113</v>
      </c>
      <c r="CD18" s="142" t="s">
        <v>113</v>
      </c>
      <c r="CE18" s="142" t="s">
        <v>113</v>
      </c>
      <c r="CF18" s="142" t="s">
        <v>113</v>
      </c>
      <c r="CG18" s="142" t="s">
        <v>113</v>
      </c>
      <c r="CH18" s="142" t="s">
        <v>113</v>
      </c>
      <c r="CI18" s="142" t="s">
        <v>113</v>
      </c>
      <c r="CJ18" s="142"/>
      <c r="CK18" s="139" t="s">
        <v>113</v>
      </c>
      <c r="CL18" s="139" t="s">
        <v>113</v>
      </c>
      <c r="CM18" s="139" t="s">
        <v>113</v>
      </c>
      <c r="CN18" s="139" t="s">
        <v>113</v>
      </c>
      <c r="CO18" s="139" t="s">
        <v>113</v>
      </c>
      <c r="CP18" s="139" t="s">
        <v>113</v>
      </c>
      <c r="CQ18" s="139" t="s">
        <v>113</v>
      </c>
      <c r="CR18" s="139"/>
      <c r="CS18" s="143" t="s">
        <v>113</v>
      </c>
      <c r="CT18" s="143" t="s">
        <v>113</v>
      </c>
      <c r="CU18" s="143" t="s">
        <v>113</v>
      </c>
      <c r="CV18" s="143" t="s">
        <v>113</v>
      </c>
      <c r="CW18" s="143" t="s">
        <v>113</v>
      </c>
      <c r="CX18" s="143" t="s">
        <v>113</v>
      </c>
      <c r="CY18" s="143" t="s">
        <v>113</v>
      </c>
      <c r="CZ18" s="143"/>
      <c r="DA18" s="139" t="s">
        <v>113</v>
      </c>
      <c r="DB18" s="139" t="s">
        <v>113</v>
      </c>
      <c r="DC18" s="139" t="s">
        <v>113</v>
      </c>
      <c r="DD18" s="144">
        <f t="shared" si="31"/>
        <v>0</v>
      </c>
      <c r="DE18" s="145">
        <f>'[75]2. Distributional by deciles o'!$I34</f>
        <v>1</v>
      </c>
      <c r="DF18" s="1"/>
      <c r="DG18" s="1"/>
      <c r="DH18" s="1"/>
      <c r="DI18" s="1"/>
      <c r="DJ18" s="1"/>
      <c r="DK18" s="1"/>
      <c r="DL18" s="1"/>
      <c r="DM18" s="1"/>
      <c r="DN18" s="1"/>
      <c r="DO18" s="1"/>
      <c r="DP18" s="1"/>
      <c r="DQ18" s="1"/>
      <c r="DR18" s="1"/>
      <c r="DS18" s="1"/>
      <c r="DT18" s="1"/>
      <c r="DU18" s="1"/>
      <c r="DV18" s="1"/>
      <c r="DW18" s="1"/>
      <c r="DX18" s="1"/>
      <c r="DY18" s="1"/>
      <c r="DZ18" s="1"/>
      <c r="EA18" s="146">
        <f>'[76]2. Distributional by deciles o'!B70</f>
        <v>288038709.24359971</v>
      </c>
      <c r="EB18" s="146">
        <f>'[76]2. Distributional by deciles o'!C70</f>
        <v>292965481.21200013</v>
      </c>
      <c r="EC18" s="146">
        <f>'[76]2. Distributional by deciles o'!D70</f>
        <v>291010316.43360001</v>
      </c>
      <c r="ED18" s="146">
        <f>'[76]2. Distributional by deciles o'!E70</f>
        <v>292754736.69839996</v>
      </c>
      <c r="EE18" s="146">
        <f>'[76]2. Distributional by deciles o'!F70</f>
        <v>291244041.69359982</v>
      </c>
      <c r="EF18" s="146">
        <f>'[76]2. Distributional by deciles o'!G70</f>
        <v>291010316.43360001</v>
      </c>
      <c r="EG18" s="129"/>
      <c r="EH18" s="122"/>
      <c r="EI18" s="130" t="s">
        <v>113</v>
      </c>
      <c r="EJ18" s="130" t="s">
        <v>113</v>
      </c>
      <c r="EK18" s="130" t="s">
        <v>113</v>
      </c>
      <c r="EL18" s="130" t="s">
        <v>113</v>
      </c>
      <c r="EM18" s="131">
        <f t="shared" si="32"/>
        <v>10.34378633297738</v>
      </c>
      <c r="EN18" s="146">
        <f>'[76]2. Distributional by deciles o'!B88</f>
        <v>2221593940.0104003</v>
      </c>
      <c r="EO18" s="146">
        <f>'[76]2. Distributional by deciles o'!C88</f>
        <v>2243810239.5900021</v>
      </c>
      <c r="EP18" s="131">
        <f t="shared" si="33"/>
        <v>1.0000162126611478</v>
      </c>
      <c r="EQ18" s="130" t="s">
        <v>113</v>
      </c>
      <c r="ER18" s="130" t="s">
        <v>113</v>
      </c>
      <c r="ES18" s="130" t="s">
        <v>113</v>
      </c>
      <c r="ET18" s="130" t="s">
        <v>113</v>
      </c>
      <c r="EU18" s="131">
        <f t="shared" si="34"/>
        <v>10.489817049259269</v>
      </c>
      <c r="EV18" s="132">
        <f t="shared" si="35"/>
        <v>1.7104270834113235</v>
      </c>
      <c r="EW18" s="132">
        <f t="shared" si="36"/>
        <v>1.0316526625620419</v>
      </c>
      <c r="EX18" s="132"/>
      <c r="EY18" s="148">
        <f t="shared" si="37"/>
        <v>0.23272237440816856</v>
      </c>
      <c r="EZ18" s="144">
        <f t="shared" si="38"/>
        <v>0</v>
      </c>
      <c r="FA18" s="145">
        <f>'[76]2. Distributional by deciles o'!$I34</f>
        <v>1</v>
      </c>
      <c r="FB18" s="130" t="s">
        <v>113</v>
      </c>
      <c r="FC18" s="130" t="s">
        <v>113</v>
      </c>
      <c r="FD18" s="130" t="s">
        <v>113</v>
      </c>
      <c r="FE18" s="130" t="s">
        <v>113</v>
      </c>
      <c r="FF18" s="130" t="s">
        <v>113</v>
      </c>
      <c r="FG18" s="130" t="s">
        <v>113</v>
      </c>
      <c r="FH18" s="130" t="s">
        <v>113</v>
      </c>
      <c r="FI18" s="130" t="s">
        <v>113</v>
      </c>
      <c r="FJ18" s="1"/>
      <c r="FK18" s="1"/>
      <c r="FL18" s="1"/>
      <c r="FM18" s="1"/>
      <c r="FN18" s="1"/>
      <c r="FO18" s="1"/>
      <c r="FP18" s="1"/>
      <c r="FQ18" s="1"/>
    </row>
    <row r="19" spans="1:173" x14ac:dyDescent="0.3">
      <c r="A19" s="1"/>
      <c r="B19" s="28">
        <v>8</v>
      </c>
      <c r="C19" s="129">
        <f>'[75]2. Distributional by deciles o'!B71</f>
        <v>285059557.48320001</v>
      </c>
      <c r="D19" s="129">
        <f>'[75]2. Distributional by deciles o'!C71</f>
        <v>288914259.49199992</v>
      </c>
      <c r="E19" s="129">
        <f>'[75]2. Distributional by deciles o'!D71</f>
        <v>287924219.09039968</v>
      </c>
      <c r="F19" s="129">
        <f>'[75]2. Distributional by deciles o'!E71</f>
        <v>288793517.39520001</v>
      </c>
      <c r="G19" s="129">
        <f>'[75]2. Distributional by deciles o'!F71</f>
        <v>288144133.73759991</v>
      </c>
      <c r="H19" s="129">
        <f>'[75]2. Distributional by deciles o'!G71</f>
        <v>287924219.09039968</v>
      </c>
      <c r="I19" s="129"/>
      <c r="J19" s="122"/>
      <c r="K19" s="130" t="s">
        <v>113</v>
      </c>
      <c r="L19" s="130" t="s">
        <v>113</v>
      </c>
      <c r="M19" s="130" t="s">
        <v>113</v>
      </c>
      <c r="N19" s="130" t="s">
        <v>113</v>
      </c>
      <c r="O19" s="131">
        <f t="shared" si="0"/>
        <v>13.408589916745587</v>
      </c>
      <c r="P19" s="129">
        <f>'[75]2. Distributional by deciles o'!B89</f>
        <v>1898289166.3871999</v>
      </c>
      <c r="Q19" s="129">
        <f>'[75]2. Distributional by deciles o'!C89</f>
        <v>1917272020.5395985</v>
      </c>
      <c r="R19" s="131">
        <f t="shared" si="1"/>
        <v>0.99999802393260229</v>
      </c>
      <c r="S19" s="130" t="s">
        <v>113</v>
      </c>
      <c r="T19" s="130" t="s">
        <v>113</v>
      </c>
      <c r="U19" s="130" t="s">
        <v>113</v>
      </c>
      <c r="V19" s="130" t="s">
        <v>113</v>
      </c>
      <c r="W19" s="132">
        <f t="shared" si="2"/>
        <v>1.3522471093406883</v>
      </c>
      <c r="X19" s="132">
        <f t="shared" si="3"/>
        <v>1.0049364046122509</v>
      </c>
      <c r="Y19" s="132">
        <f t="shared" si="4"/>
        <v>1.3098902290939987</v>
      </c>
      <c r="Z19" s="132">
        <f t="shared" si="5"/>
        <v>1.0820834694954238</v>
      </c>
      <c r="AA19" s="132">
        <f t="shared" si="6"/>
        <v>1.0049364046122509</v>
      </c>
      <c r="AB19" s="132">
        <f t="shared" si="7"/>
        <v>1.0049364046122509</v>
      </c>
      <c r="AC19" s="132">
        <f t="shared" si="8"/>
        <v>1.0049364046122509</v>
      </c>
      <c r="AD19" s="130" t="s">
        <v>113</v>
      </c>
      <c r="AE19" s="130" t="s">
        <v>113</v>
      </c>
      <c r="AF19" s="130" t="s">
        <v>113</v>
      </c>
      <c r="AG19" s="130" t="s">
        <v>113</v>
      </c>
      <c r="AH19" s="133">
        <f t="shared" si="9"/>
        <v>1</v>
      </c>
      <c r="AI19" s="134">
        <f t="shared" si="10"/>
        <v>4.9364046122508665E-3</v>
      </c>
      <c r="AJ19" s="134">
        <f t="shared" si="11"/>
        <v>4.2356880246689599E-2</v>
      </c>
      <c r="AK19" s="134">
        <f t="shared" si="12"/>
        <v>0.22780675959857488</v>
      </c>
      <c r="AL19" s="134">
        <f t="shared" si="13"/>
        <v>7.7147064883172911E-2</v>
      </c>
      <c r="AM19" s="134">
        <f t="shared" si="14"/>
        <v>0</v>
      </c>
      <c r="AN19" s="135">
        <f t="shared" si="15"/>
        <v>0</v>
      </c>
      <c r="AO19" s="134">
        <f t="shared" si="16"/>
        <v>0</v>
      </c>
      <c r="AP19" s="134">
        <f t="shared" si="17"/>
        <v>4.9364046122508665E-3</v>
      </c>
      <c r="AQ19" s="136" t="s">
        <v>113</v>
      </c>
      <c r="AR19" s="137">
        <f t="shared" si="18"/>
        <v>1.4014038671574869</v>
      </c>
      <c r="AS19" s="137">
        <f t="shared" si="19"/>
        <v>12.024763049431483</v>
      </c>
      <c r="AT19" s="137">
        <f t="shared" si="20"/>
        <v>64.672428405436108</v>
      </c>
      <c r="AU19" s="137">
        <f t="shared" si="21"/>
        <v>21.901404677974913</v>
      </c>
      <c r="AV19" s="137">
        <f t="shared" si="22"/>
        <v>0</v>
      </c>
      <c r="AW19" s="138">
        <f t="shared" si="23"/>
        <v>0</v>
      </c>
      <c r="AX19" s="137">
        <f t="shared" si="24"/>
        <v>0</v>
      </c>
      <c r="AY19" s="137">
        <f t="shared" si="25"/>
        <v>1.4014038671574869</v>
      </c>
      <c r="AZ19" s="139" t="s">
        <v>113</v>
      </c>
      <c r="BA19" s="139" t="s">
        <v>113</v>
      </c>
      <c r="BB19" s="139" t="s">
        <v>113</v>
      </c>
      <c r="BC19" s="139" t="s">
        <v>113</v>
      </c>
      <c r="BD19" s="139" t="s">
        <v>113</v>
      </c>
      <c r="BE19" s="139" t="s">
        <v>113</v>
      </c>
      <c r="BF19" s="139" t="s">
        <v>113</v>
      </c>
      <c r="BG19" s="139" t="s">
        <v>113</v>
      </c>
      <c r="BH19" s="140">
        <f>'[75]2. Distributional by deciles o'!$B107</f>
        <v>1646779706.8284011</v>
      </c>
      <c r="BI19" s="140">
        <f>'[75]2. Distributional by deciles o'!$B125</f>
        <v>198819106.07879996</v>
      </c>
      <c r="BJ19" s="140">
        <f>'[75]2. Distributional by deciles o'!$B143</f>
        <v>41449512.310800001</v>
      </c>
      <c r="BK19" s="140">
        <f>'[75]2. Distributional by deciles o'!$B161</f>
        <v>11241507.450000003</v>
      </c>
      <c r="BL19" s="141">
        <f t="shared" si="26"/>
        <v>0.8675069941842819</v>
      </c>
      <c r="BM19" s="141">
        <f t="shared" si="27"/>
        <v>0.10473590631803809</v>
      </c>
      <c r="BN19" s="141">
        <f t="shared" si="28"/>
        <v>2.1835186385918581E-2</v>
      </c>
      <c r="BO19" s="141">
        <f t="shared" si="29"/>
        <v>5.9219131117614066E-3</v>
      </c>
      <c r="BP19" s="139" t="s">
        <v>113</v>
      </c>
      <c r="BQ19" s="139" t="s">
        <v>113</v>
      </c>
      <c r="BR19" s="139" t="s">
        <v>113</v>
      </c>
      <c r="BS19" s="131">
        <f t="shared" si="30"/>
        <v>12.512306981456089</v>
      </c>
      <c r="BT19" s="139"/>
      <c r="BU19" s="139"/>
      <c r="BV19" s="139"/>
      <c r="BW19" s="139"/>
      <c r="BX19" s="139"/>
      <c r="BY19" s="139"/>
      <c r="BZ19" s="139"/>
      <c r="CA19" s="139"/>
      <c r="CB19" s="139"/>
      <c r="CC19" s="142" t="s">
        <v>113</v>
      </c>
      <c r="CD19" s="142" t="s">
        <v>113</v>
      </c>
      <c r="CE19" s="142" t="s">
        <v>113</v>
      </c>
      <c r="CF19" s="142" t="s">
        <v>113</v>
      </c>
      <c r="CG19" s="142" t="s">
        <v>113</v>
      </c>
      <c r="CH19" s="142" t="s">
        <v>113</v>
      </c>
      <c r="CI19" s="142" t="s">
        <v>113</v>
      </c>
      <c r="CJ19" s="142"/>
      <c r="CK19" s="139" t="s">
        <v>113</v>
      </c>
      <c r="CL19" s="139" t="s">
        <v>113</v>
      </c>
      <c r="CM19" s="139" t="s">
        <v>113</v>
      </c>
      <c r="CN19" s="139" t="s">
        <v>113</v>
      </c>
      <c r="CO19" s="139" t="s">
        <v>113</v>
      </c>
      <c r="CP19" s="139" t="s">
        <v>113</v>
      </c>
      <c r="CQ19" s="139" t="s">
        <v>113</v>
      </c>
      <c r="CR19" s="139"/>
      <c r="CS19" s="143" t="s">
        <v>113</v>
      </c>
      <c r="CT19" s="143" t="s">
        <v>113</v>
      </c>
      <c r="CU19" s="143" t="s">
        <v>113</v>
      </c>
      <c r="CV19" s="143" t="s">
        <v>113</v>
      </c>
      <c r="CW19" s="143" t="s">
        <v>113</v>
      </c>
      <c r="CX19" s="143" t="s">
        <v>113</v>
      </c>
      <c r="CY19" s="143" t="s">
        <v>113</v>
      </c>
      <c r="CZ19" s="143"/>
      <c r="DA19" s="139" t="s">
        <v>113</v>
      </c>
      <c r="DB19" s="139" t="s">
        <v>113</v>
      </c>
      <c r="DC19" s="139" t="s">
        <v>113</v>
      </c>
      <c r="DD19" s="144">
        <f t="shared" si="31"/>
        <v>0</v>
      </c>
      <c r="DE19" s="145">
        <f>'[75]2. Distributional by deciles o'!$I35</f>
        <v>1</v>
      </c>
      <c r="DF19" s="1"/>
      <c r="DG19" s="1"/>
      <c r="DH19" s="1"/>
      <c r="DI19" s="1"/>
      <c r="DJ19" s="1"/>
      <c r="DK19" s="1"/>
      <c r="DL19" s="1"/>
      <c r="DM19" s="1"/>
      <c r="DN19" s="1"/>
      <c r="DO19" s="1"/>
      <c r="DP19" s="1"/>
      <c r="DQ19" s="1"/>
      <c r="DR19" s="1"/>
      <c r="DS19" s="1"/>
      <c r="DT19" s="1"/>
      <c r="DU19" s="1"/>
      <c r="DV19" s="1"/>
      <c r="DW19" s="1"/>
      <c r="DX19" s="1"/>
      <c r="DY19" s="1"/>
      <c r="DZ19" s="1"/>
      <c r="EA19" s="146">
        <f>'[76]2. Distributional by deciles o'!B71</f>
        <v>382734448.31159997</v>
      </c>
      <c r="EB19" s="146">
        <f>'[76]2. Distributional by deciles o'!C71</f>
        <v>388663731.90239996</v>
      </c>
      <c r="EC19" s="146">
        <f>'[76]2. Distributional by deciles o'!D71</f>
        <v>386668098.89160007</v>
      </c>
      <c r="ED19" s="146">
        <f>'[76]2. Distributional by deciles o'!E71</f>
        <v>388281535.93799984</v>
      </c>
      <c r="EE19" s="146">
        <f>'[76]2. Distributional by deciles o'!F71</f>
        <v>386903654.45159996</v>
      </c>
      <c r="EF19" s="146">
        <f>'[76]2. Distributional by deciles o'!G71</f>
        <v>386668098.89160007</v>
      </c>
      <c r="EG19" s="129"/>
      <c r="EH19" s="122"/>
      <c r="EI19" s="130" t="s">
        <v>113</v>
      </c>
      <c r="EJ19" s="130" t="s">
        <v>113</v>
      </c>
      <c r="EK19" s="130" t="s">
        <v>113</v>
      </c>
      <c r="EL19" s="130" t="s">
        <v>113</v>
      </c>
      <c r="EM19" s="131">
        <f t="shared" si="32"/>
        <v>13.744414304596225</v>
      </c>
      <c r="EN19" s="146">
        <f>'[76]2. Distributional by deciles o'!B89</f>
        <v>2657979574.6428003</v>
      </c>
      <c r="EO19" s="146">
        <f>'[76]2. Distributional by deciles o'!C89</f>
        <v>2684558679.8015981</v>
      </c>
      <c r="EP19" s="131">
        <f t="shared" si="33"/>
        <v>0.99997401832441213</v>
      </c>
      <c r="EQ19" s="130" t="s">
        <v>113</v>
      </c>
      <c r="ER19" s="130" t="s">
        <v>113</v>
      </c>
      <c r="ES19" s="130" t="s">
        <v>113</v>
      </c>
      <c r="ET19" s="130" t="s">
        <v>113</v>
      </c>
      <c r="EU19" s="131">
        <f t="shared" si="34"/>
        <v>12.550322071251427</v>
      </c>
      <c r="EV19" s="132">
        <f t="shared" si="35"/>
        <v>1.5492301969897317</v>
      </c>
      <c r="EW19" s="132">
        <f t="shared" si="36"/>
        <v>1.027802123075733</v>
      </c>
      <c r="EX19" s="132"/>
      <c r="EY19" s="148">
        <f t="shared" si="37"/>
        <v>0.19698308764904349</v>
      </c>
      <c r="EZ19" s="144">
        <f t="shared" si="38"/>
        <v>0</v>
      </c>
      <c r="FA19" s="145">
        <f>'[76]2. Distributional by deciles o'!$I35</f>
        <v>1</v>
      </c>
      <c r="FB19" s="130" t="s">
        <v>113</v>
      </c>
      <c r="FC19" s="130" t="s">
        <v>113</v>
      </c>
      <c r="FD19" s="130" t="s">
        <v>113</v>
      </c>
      <c r="FE19" s="130" t="s">
        <v>113</v>
      </c>
      <c r="FF19" s="130" t="s">
        <v>113</v>
      </c>
      <c r="FG19" s="130" t="s">
        <v>113</v>
      </c>
      <c r="FH19" s="130" t="s">
        <v>113</v>
      </c>
      <c r="FI19" s="130" t="s">
        <v>113</v>
      </c>
      <c r="FJ19" s="1"/>
      <c r="FK19" s="1"/>
      <c r="FL19" s="1"/>
      <c r="FM19" s="1"/>
      <c r="FN19" s="1"/>
      <c r="FO19" s="1"/>
      <c r="FP19" s="1"/>
      <c r="FQ19" s="1"/>
    </row>
    <row r="20" spans="1:173" x14ac:dyDescent="0.3">
      <c r="A20" s="1"/>
      <c r="B20" s="28">
        <v>9</v>
      </c>
      <c r="C20" s="129">
        <f>'[75]2. Distributional by deciles o'!B72</f>
        <v>399311968.53840023</v>
      </c>
      <c r="D20" s="129">
        <f>'[75]2. Distributional by deciles o'!C72</f>
        <v>404310526.52879977</v>
      </c>
      <c r="E20" s="129">
        <f>'[75]2. Distributional by deciles o'!D72</f>
        <v>403321662.24600023</v>
      </c>
      <c r="F20" s="129">
        <f>'[75]2. Distributional by deciles o'!E72</f>
        <v>404020686.75839978</v>
      </c>
      <c r="G20" s="129">
        <f>'[75]2. Distributional by deciles o'!F72</f>
        <v>403524533.7828002</v>
      </c>
      <c r="H20" s="129">
        <f>'[75]2. Distributional by deciles o'!G72</f>
        <v>403321662.24600023</v>
      </c>
      <c r="I20" s="129"/>
      <c r="J20" s="122"/>
      <c r="K20" s="130" t="s">
        <v>113</v>
      </c>
      <c r="L20" s="130" t="s">
        <v>113</v>
      </c>
      <c r="M20" s="130" t="s">
        <v>113</v>
      </c>
      <c r="N20" s="130" t="s">
        <v>113</v>
      </c>
      <c r="O20" s="131">
        <f t="shared" si="0"/>
        <v>18.78277817538314</v>
      </c>
      <c r="P20" s="129">
        <f>'[75]2. Distributional by deciles o'!B90</f>
        <v>2463707781.8171978</v>
      </c>
      <c r="Q20" s="129">
        <f>'[75]2. Distributional by deciles o'!C90</f>
        <v>2488344713.6640019</v>
      </c>
      <c r="R20" s="131">
        <f t="shared" si="1"/>
        <v>0.99999407513469141</v>
      </c>
      <c r="S20" s="130" t="s">
        <v>113</v>
      </c>
      <c r="T20" s="130" t="s">
        <v>113</v>
      </c>
      <c r="U20" s="130" t="s">
        <v>113</v>
      </c>
      <c r="V20" s="130" t="s">
        <v>113</v>
      </c>
      <c r="W20" s="132">
        <f t="shared" si="2"/>
        <v>1.2518000962140323</v>
      </c>
      <c r="X20" s="132">
        <f t="shared" si="3"/>
        <v>1.0041565944824171</v>
      </c>
      <c r="Y20" s="132">
        <f t="shared" si="4"/>
        <v>1.1792148720013276</v>
      </c>
      <c r="Z20" s="132">
        <f t="shared" si="5"/>
        <v>1.0549621687646491</v>
      </c>
      <c r="AA20" s="132">
        <f t="shared" si="6"/>
        <v>1.0041565944824171</v>
      </c>
      <c r="AB20" s="132">
        <f t="shared" si="7"/>
        <v>1.0041565944824171</v>
      </c>
      <c r="AC20" s="132">
        <f t="shared" si="8"/>
        <v>1.0041565944824171</v>
      </c>
      <c r="AD20" s="130" t="s">
        <v>113</v>
      </c>
      <c r="AE20" s="130" t="s">
        <v>113</v>
      </c>
      <c r="AF20" s="130" t="s">
        <v>113</v>
      </c>
      <c r="AG20" s="130" t="s">
        <v>113</v>
      </c>
      <c r="AH20" s="133">
        <f t="shared" si="9"/>
        <v>1</v>
      </c>
      <c r="AI20" s="134">
        <f t="shared" si="10"/>
        <v>4.1565944824171197E-3</v>
      </c>
      <c r="AJ20" s="134">
        <f t="shared" si="11"/>
        <v>7.2585224212704746E-2</v>
      </c>
      <c r="AK20" s="134">
        <f t="shared" si="12"/>
        <v>0.12425270323667847</v>
      </c>
      <c r="AL20" s="134">
        <f t="shared" si="13"/>
        <v>5.080557428223198E-2</v>
      </c>
      <c r="AM20" s="134">
        <f t="shared" si="14"/>
        <v>0</v>
      </c>
      <c r="AN20" s="135">
        <f t="shared" si="15"/>
        <v>0</v>
      </c>
      <c r="AO20" s="134">
        <f t="shared" si="16"/>
        <v>0</v>
      </c>
      <c r="AP20" s="134">
        <f t="shared" si="17"/>
        <v>4.1565944824171197E-3</v>
      </c>
      <c r="AQ20" s="136" t="s">
        <v>113</v>
      </c>
      <c r="AR20" s="137">
        <f t="shared" si="18"/>
        <v>1.6507517451001996</v>
      </c>
      <c r="AS20" s="137">
        <f t="shared" si="19"/>
        <v>28.826527592351141</v>
      </c>
      <c r="AT20" s="137">
        <f t="shared" si="20"/>
        <v>49.345772739920868</v>
      </c>
      <c r="AU20" s="137">
        <f t="shared" si="21"/>
        <v>20.176947922627793</v>
      </c>
      <c r="AV20" s="137">
        <f t="shared" si="22"/>
        <v>0</v>
      </c>
      <c r="AW20" s="138">
        <f t="shared" si="23"/>
        <v>0</v>
      </c>
      <c r="AX20" s="137">
        <f t="shared" si="24"/>
        <v>0</v>
      </c>
      <c r="AY20" s="137">
        <f t="shared" si="25"/>
        <v>1.6507517451001996</v>
      </c>
      <c r="AZ20" s="139" t="s">
        <v>113</v>
      </c>
      <c r="BA20" s="139" t="s">
        <v>113</v>
      </c>
      <c r="BB20" s="139" t="s">
        <v>113</v>
      </c>
      <c r="BC20" s="139" t="s">
        <v>113</v>
      </c>
      <c r="BD20" s="139" t="s">
        <v>113</v>
      </c>
      <c r="BE20" s="139" t="s">
        <v>113</v>
      </c>
      <c r="BF20" s="139" t="s">
        <v>113</v>
      </c>
      <c r="BG20" s="139" t="s">
        <v>113</v>
      </c>
      <c r="BH20" s="140">
        <f>'[75]2. Distributional by deciles o'!$B108</f>
        <v>2139321244.2767992</v>
      </c>
      <c r="BI20" s="140">
        <f>'[75]2. Distributional by deciles o'!$B126</f>
        <v>236346784.90799999</v>
      </c>
      <c r="BJ20" s="140">
        <f>'[75]2. Distributional by deciles o'!$B144</f>
        <v>48719760.955200002</v>
      </c>
      <c r="BK20" s="140">
        <f>'[75]2. Distributional by deciles o'!$B162</f>
        <v>39320364.996000014</v>
      </c>
      <c r="BL20" s="141">
        <f t="shared" si="26"/>
        <v>0.86833387299426568</v>
      </c>
      <c r="BM20" s="141">
        <f t="shared" si="27"/>
        <v>9.5931323852338921E-2</v>
      </c>
      <c r="BN20" s="141">
        <f t="shared" si="28"/>
        <v>1.9774972475386648E-2</v>
      </c>
      <c r="BO20" s="141">
        <f t="shared" si="29"/>
        <v>1.5959830678008814E-2</v>
      </c>
      <c r="BP20" s="139" t="s">
        <v>113</v>
      </c>
      <c r="BQ20" s="139" t="s">
        <v>113</v>
      </c>
      <c r="BR20" s="139" t="s">
        <v>113</v>
      </c>
      <c r="BS20" s="131">
        <f t="shared" si="30"/>
        <v>16.239184537605485</v>
      </c>
      <c r="BT20" s="139"/>
      <c r="BU20" s="139"/>
      <c r="BV20" s="139"/>
      <c r="BW20" s="139"/>
      <c r="BX20" s="139"/>
      <c r="BY20" s="139"/>
      <c r="BZ20" s="139"/>
      <c r="CA20" s="139"/>
      <c r="CB20" s="139"/>
      <c r="CC20" s="142" t="s">
        <v>113</v>
      </c>
      <c r="CD20" s="142" t="s">
        <v>113</v>
      </c>
      <c r="CE20" s="142" t="s">
        <v>113</v>
      </c>
      <c r="CF20" s="142" t="s">
        <v>113</v>
      </c>
      <c r="CG20" s="142" t="s">
        <v>113</v>
      </c>
      <c r="CH20" s="142" t="s">
        <v>113</v>
      </c>
      <c r="CI20" s="142" t="s">
        <v>113</v>
      </c>
      <c r="CJ20" s="142"/>
      <c r="CK20" s="139" t="s">
        <v>113</v>
      </c>
      <c r="CL20" s="139" t="s">
        <v>113</v>
      </c>
      <c r="CM20" s="139" t="s">
        <v>113</v>
      </c>
      <c r="CN20" s="139" t="s">
        <v>113</v>
      </c>
      <c r="CO20" s="139" t="s">
        <v>113</v>
      </c>
      <c r="CP20" s="139" t="s">
        <v>113</v>
      </c>
      <c r="CQ20" s="139" t="s">
        <v>113</v>
      </c>
      <c r="CR20" s="139"/>
      <c r="CS20" s="143" t="s">
        <v>113</v>
      </c>
      <c r="CT20" s="143" t="s">
        <v>113</v>
      </c>
      <c r="CU20" s="143" t="s">
        <v>113</v>
      </c>
      <c r="CV20" s="143" t="s">
        <v>113</v>
      </c>
      <c r="CW20" s="143" t="s">
        <v>113</v>
      </c>
      <c r="CX20" s="143" t="s">
        <v>113</v>
      </c>
      <c r="CY20" s="143" t="s">
        <v>113</v>
      </c>
      <c r="CZ20" s="143"/>
      <c r="DA20" s="139" t="s">
        <v>113</v>
      </c>
      <c r="DB20" s="139" t="s">
        <v>113</v>
      </c>
      <c r="DC20" s="139" t="s">
        <v>113</v>
      </c>
      <c r="DD20" s="144">
        <f t="shared" si="31"/>
        <v>0</v>
      </c>
      <c r="DE20" s="145">
        <f>'[75]2. Distributional by deciles o'!$I36</f>
        <v>1</v>
      </c>
      <c r="DF20" s="1"/>
      <c r="DG20" s="1"/>
      <c r="DH20" s="1"/>
      <c r="DI20" s="1"/>
      <c r="DJ20" s="1"/>
      <c r="DK20" s="1"/>
      <c r="DL20" s="1"/>
      <c r="DM20" s="1"/>
      <c r="DN20" s="1"/>
      <c r="DO20" s="1"/>
      <c r="DP20" s="1"/>
      <c r="DQ20" s="1"/>
      <c r="DR20" s="1"/>
      <c r="DS20" s="1"/>
      <c r="DT20" s="1"/>
      <c r="DU20" s="1"/>
      <c r="DV20" s="1"/>
      <c r="DW20" s="1"/>
      <c r="DX20" s="1"/>
      <c r="DY20" s="1"/>
      <c r="DZ20" s="1"/>
      <c r="EA20" s="146">
        <f>'[76]2. Distributional by deciles o'!B72</f>
        <v>548362678.45919991</v>
      </c>
      <c r="EB20" s="146">
        <f>'[76]2. Distributional by deciles o'!C72</f>
        <v>555823109.26559925</v>
      </c>
      <c r="EC20" s="146">
        <f>'[76]2. Distributional by deciles o'!D72</f>
        <v>553963428.89400077</v>
      </c>
      <c r="ED20" s="146">
        <f>'[76]2. Distributional by deciles o'!E72</f>
        <v>555273168.71160018</v>
      </c>
      <c r="EE20" s="146">
        <f>'[76]2. Distributional by deciles o'!F72</f>
        <v>554177600.32800102</v>
      </c>
      <c r="EF20" s="146">
        <f>'[76]2. Distributional by deciles o'!G72</f>
        <v>553963428.89400077</v>
      </c>
      <c r="EG20" s="129"/>
      <c r="EH20" s="122"/>
      <c r="EI20" s="130" t="s">
        <v>113</v>
      </c>
      <c r="EJ20" s="130" t="s">
        <v>113</v>
      </c>
      <c r="EK20" s="130" t="s">
        <v>113</v>
      </c>
      <c r="EL20" s="130" t="s">
        <v>113</v>
      </c>
      <c r="EM20" s="131">
        <f t="shared" si="32"/>
        <v>19.692305919077359</v>
      </c>
      <c r="EN20" s="146">
        <f>'[76]2. Distributional by deciles o'!B90</f>
        <v>3411986757.197998</v>
      </c>
      <c r="EO20" s="146">
        <f>'[76]2. Distributional by deciles o'!C90</f>
        <v>3446106644.8451977</v>
      </c>
      <c r="EP20" s="131">
        <f t="shared" si="33"/>
        <v>1.0000005883733065</v>
      </c>
      <c r="EQ20" s="130" t="s">
        <v>113</v>
      </c>
      <c r="ER20" s="130" t="s">
        <v>113</v>
      </c>
      <c r="ES20" s="130" t="s">
        <v>113</v>
      </c>
      <c r="ET20" s="130" t="s">
        <v>113</v>
      </c>
      <c r="EU20" s="131">
        <f t="shared" si="34"/>
        <v>16.110557475384024</v>
      </c>
      <c r="EV20" s="132">
        <f t="shared" si="35"/>
        <v>1.3604912788459707</v>
      </c>
      <c r="EW20" s="132">
        <f t="shared" si="36"/>
        <v>1.0213581922110084</v>
      </c>
      <c r="EX20" s="132"/>
      <c r="EY20" s="148">
        <f t="shared" si="37"/>
        <v>0.10869118263193833</v>
      </c>
      <c r="EZ20" s="144">
        <f t="shared" si="38"/>
        <v>0</v>
      </c>
      <c r="FA20" s="145">
        <f>'[76]2. Distributional by deciles o'!$I36</f>
        <v>1</v>
      </c>
      <c r="FB20" s="130" t="s">
        <v>113</v>
      </c>
      <c r="FC20" s="130" t="s">
        <v>113</v>
      </c>
      <c r="FD20" s="130" t="s">
        <v>113</v>
      </c>
      <c r="FE20" s="130" t="s">
        <v>113</v>
      </c>
      <c r="FF20" s="130" t="s">
        <v>113</v>
      </c>
      <c r="FG20" s="130" t="s">
        <v>113</v>
      </c>
      <c r="FH20" s="130" t="s">
        <v>113</v>
      </c>
      <c r="FI20" s="130" t="s">
        <v>113</v>
      </c>
      <c r="FJ20" s="1"/>
      <c r="FK20" s="1"/>
      <c r="FL20" s="1"/>
      <c r="FM20" s="1"/>
      <c r="FN20" s="1"/>
      <c r="FO20" s="1"/>
      <c r="FP20" s="1"/>
      <c r="FQ20" s="1"/>
    </row>
    <row r="21" spans="1:173" x14ac:dyDescent="0.3">
      <c r="A21" s="1"/>
      <c r="B21" s="33">
        <v>10</v>
      </c>
      <c r="C21" s="129">
        <f>'[75]2. Distributional by deciles o'!B73</f>
        <v>782575742.83320069</v>
      </c>
      <c r="D21" s="129">
        <f>'[75]2. Distributional by deciles o'!C73</f>
        <v>791523496.48080015</v>
      </c>
      <c r="E21" s="129">
        <f>'[75]2. Distributional by deciles o'!D73</f>
        <v>790447388.32679904</v>
      </c>
      <c r="F21" s="129">
        <f>'[75]2. Distributional by deciles o'!E73</f>
        <v>790973821.91639948</v>
      </c>
      <c r="G21" s="129">
        <f>'[75]2. Distributional by deciles o'!F73</f>
        <v>790669799.27879918</v>
      </c>
      <c r="H21" s="129">
        <f>'[75]2. Distributional by deciles o'!G73</f>
        <v>790447388.32679904</v>
      </c>
      <c r="I21" s="149"/>
      <c r="J21" s="122"/>
      <c r="K21" s="130" t="s">
        <v>113</v>
      </c>
      <c r="L21" s="130" t="s">
        <v>113</v>
      </c>
      <c r="M21" s="130" t="s">
        <v>113</v>
      </c>
      <c r="N21" s="130" t="s">
        <v>113</v>
      </c>
      <c r="O21" s="131">
        <f t="shared" si="0"/>
        <v>36.810683729000601</v>
      </c>
      <c r="P21" s="129">
        <f>'[75]2. Distributional by deciles o'!B91</f>
        <v>4326571171.9956007</v>
      </c>
      <c r="Q21" s="129">
        <f>'[75]2. Distributional by deciles o'!C91</f>
        <v>4369837233.6372051</v>
      </c>
      <c r="R21" s="131">
        <f t="shared" si="1"/>
        <v>1.0000080877358597</v>
      </c>
      <c r="S21" s="130" t="s">
        <v>113</v>
      </c>
      <c r="T21" s="130" t="s">
        <v>113</v>
      </c>
      <c r="U21" s="130" t="s">
        <v>113</v>
      </c>
      <c r="V21" s="130" t="s">
        <v>113</v>
      </c>
      <c r="W21" s="132">
        <f t="shared" si="2"/>
        <v>1.1433629732405111</v>
      </c>
      <c r="X21" s="132">
        <f t="shared" si="3"/>
        <v>1.0058555868120564</v>
      </c>
      <c r="Y21" s="132">
        <f t="shared" si="4"/>
        <v>1.0731243894551332</v>
      </c>
      <c r="Z21" s="132">
        <f t="shared" si="5"/>
        <v>1.0342757308365131</v>
      </c>
      <c r="AA21" s="132">
        <f t="shared" si="6"/>
        <v>1.0058555868120564</v>
      </c>
      <c r="AB21" s="132">
        <f t="shared" si="7"/>
        <v>1.0058555868120564</v>
      </c>
      <c r="AC21" s="132">
        <f t="shared" si="8"/>
        <v>1.0058555868120564</v>
      </c>
      <c r="AD21" s="130" t="s">
        <v>113</v>
      </c>
      <c r="AE21" s="130" t="s">
        <v>113</v>
      </c>
      <c r="AF21" s="130" t="s">
        <v>113</v>
      </c>
      <c r="AG21" s="130" t="s">
        <v>113</v>
      </c>
      <c r="AH21" s="133">
        <f t="shared" si="9"/>
        <v>1</v>
      </c>
      <c r="AI21" s="134">
        <f t="shared" si="10"/>
        <v>5.8555868120564458E-3</v>
      </c>
      <c r="AJ21" s="134">
        <f t="shared" si="11"/>
        <v>7.0238583785377839E-2</v>
      </c>
      <c r="AK21" s="134">
        <f t="shared" si="12"/>
        <v>3.884865861862008E-2</v>
      </c>
      <c r="AL21" s="134">
        <f t="shared" si="13"/>
        <v>2.8420144024456695E-2</v>
      </c>
      <c r="AM21" s="134">
        <f t="shared" si="14"/>
        <v>0</v>
      </c>
      <c r="AN21" s="135">
        <f t="shared" si="15"/>
        <v>0</v>
      </c>
      <c r="AO21" s="134">
        <f t="shared" si="16"/>
        <v>0</v>
      </c>
      <c r="AP21" s="134">
        <f t="shared" si="17"/>
        <v>5.8555868120564458E-3</v>
      </c>
      <c r="AQ21" s="136" t="s">
        <v>113</v>
      </c>
      <c r="AR21" s="137">
        <f t="shared" si="18"/>
        <v>4.0844485013804057</v>
      </c>
      <c r="AS21" s="137">
        <f t="shared" si="19"/>
        <v>48.993531731197407</v>
      </c>
      <c r="AT21" s="137">
        <f t="shared" si="20"/>
        <v>27.09811169544184</v>
      </c>
      <c r="AU21" s="137">
        <f t="shared" si="21"/>
        <v>19.823908071980345</v>
      </c>
      <c r="AV21" s="137">
        <f t="shared" si="22"/>
        <v>0</v>
      </c>
      <c r="AW21" s="138">
        <f t="shared" si="23"/>
        <v>0</v>
      </c>
      <c r="AX21" s="137">
        <f t="shared" si="24"/>
        <v>0</v>
      </c>
      <c r="AY21" s="137">
        <f t="shared" si="25"/>
        <v>4.0844485013804057</v>
      </c>
      <c r="AZ21" s="139" t="s">
        <v>113</v>
      </c>
      <c r="BA21" s="139" t="s">
        <v>113</v>
      </c>
      <c r="BB21" s="139" t="s">
        <v>113</v>
      </c>
      <c r="BC21" s="139" t="s">
        <v>113</v>
      </c>
      <c r="BD21" s="139" t="s">
        <v>113</v>
      </c>
      <c r="BE21" s="139" t="s">
        <v>113</v>
      </c>
      <c r="BF21" s="139" t="s">
        <v>113</v>
      </c>
      <c r="BG21" s="139" t="s">
        <v>113</v>
      </c>
      <c r="BH21" s="140">
        <f>'[75]2. Distributional by deciles o'!$B109</f>
        <v>3707864453.4083967</v>
      </c>
      <c r="BI21" s="140">
        <f>'[75]2. Distributional by deciles o'!$B127</f>
        <v>237468301.00320011</v>
      </c>
      <c r="BJ21" s="140">
        <f>'[75]2. Distributional by deciles o'!$B145</f>
        <v>225715162.11239997</v>
      </c>
      <c r="BK21" s="140">
        <f>'[75]2. Distributional by deciles o'!$B163</f>
        <v>155524010.76600003</v>
      </c>
      <c r="BL21" s="141">
        <f t="shared" si="26"/>
        <v>0.85699822300905659</v>
      </c>
      <c r="BM21" s="141">
        <f t="shared" si="27"/>
        <v>5.4886017150289554E-2</v>
      </c>
      <c r="BN21" s="141">
        <f t="shared" si="28"/>
        <v>5.2169515705654639E-2</v>
      </c>
      <c r="BO21" s="141">
        <f t="shared" si="29"/>
        <v>3.5946244134999153E-2</v>
      </c>
      <c r="BP21" s="139" t="s">
        <v>113</v>
      </c>
      <c r="BQ21" s="139" t="s">
        <v>113</v>
      </c>
      <c r="BR21" s="139" t="s">
        <v>113</v>
      </c>
      <c r="BS21" s="131">
        <f t="shared" si="30"/>
        <v>28.517987480356854</v>
      </c>
      <c r="BT21" s="139"/>
      <c r="BU21" s="139"/>
      <c r="BV21" s="139"/>
      <c r="BW21" s="139"/>
      <c r="BX21" s="139"/>
      <c r="BY21" s="139"/>
      <c r="BZ21" s="139"/>
      <c r="CA21" s="139"/>
      <c r="CB21" s="139"/>
      <c r="CC21" s="142" t="s">
        <v>113</v>
      </c>
      <c r="CD21" s="142" t="s">
        <v>113</v>
      </c>
      <c r="CE21" s="142" t="s">
        <v>113</v>
      </c>
      <c r="CF21" s="142" t="s">
        <v>113</v>
      </c>
      <c r="CG21" s="142" t="s">
        <v>113</v>
      </c>
      <c r="CH21" s="142" t="s">
        <v>113</v>
      </c>
      <c r="CI21" s="142" t="s">
        <v>113</v>
      </c>
      <c r="CJ21" s="142"/>
      <c r="CK21" s="139" t="s">
        <v>113</v>
      </c>
      <c r="CL21" s="139" t="s">
        <v>113</v>
      </c>
      <c r="CM21" s="139" t="s">
        <v>113</v>
      </c>
      <c r="CN21" s="139" t="s">
        <v>113</v>
      </c>
      <c r="CO21" s="139" t="s">
        <v>113</v>
      </c>
      <c r="CP21" s="139" t="s">
        <v>113</v>
      </c>
      <c r="CQ21" s="139" t="s">
        <v>113</v>
      </c>
      <c r="CR21" s="139"/>
      <c r="CS21" s="143" t="s">
        <v>113</v>
      </c>
      <c r="CT21" s="143" t="s">
        <v>113</v>
      </c>
      <c r="CU21" s="143" t="s">
        <v>113</v>
      </c>
      <c r="CV21" s="143" t="s">
        <v>113</v>
      </c>
      <c r="CW21" s="143" t="s">
        <v>113</v>
      </c>
      <c r="CX21" s="143" t="s">
        <v>113</v>
      </c>
      <c r="CY21" s="143" t="s">
        <v>113</v>
      </c>
      <c r="CZ21" s="143"/>
      <c r="DA21" s="139" t="s">
        <v>113</v>
      </c>
      <c r="DB21" s="139" t="s">
        <v>113</v>
      </c>
      <c r="DC21" s="139" t="s">
        <v>113</v>
      </c>
      <c r="DD21" s="144">
        <f t="shared" si="31"/>
        <v>0</v>
      </c>
      <c r="DE21" s="145">
        <f>'[75]2. Distributional by deciles o'!$I37</f>
        <v>1</v>
      </c>
      <c r="DF21" s="1"/>
      <c r="DG21" s="1"/>
      <c r="DH21" s="1"/>
      <c r="DI21" s="1"/>
      <c r="DJ21" s="1"/>
      <c r="DK21" s="1"/>
      <c r="DL21" s="1"/>
      <c r="DM21" s="1"/>
      <c r="DN21" s="1"/>
      <c r="DO21" s="1"/>
      <c r="DP21" s="1"/>
      <c r="DQ21" s="1"/>
      <c r="DR21" s="1"/>
      <c r="DS21" s="1"/>
      <c r="DT21" s="1"/>
      <c r="DU21" s="1"/>
      <c r="DV21" s="1"/>
      <c r="DW21" s="1"/>
      <c r="DX21" s="1"/>
      <c r="DY21" s="1"/>
      <c r="DZ21" s="1"/>
      <c r="EA21" s="146">
        <f>'[76]2. Distributional by deciles o'!B73</f>
        <v>1092358330.2347987</v>
      </c>
      <c r="EB21" s="146">
        <f>'[76]2. Distributional by deciles o'!C73</f>
        <v>1104970172.0304008</v>
      </c>
      <c r="EC21" s="146">
        <f>'[76]2. Distributional by deciles o'!D73</f>
        <v>1103441610.4715991</v>
      </c>
      <c r="ED21" s="146">
        <f>'[76]2. Distributional by deciles o'!E73</f>
        <v>1104298692.9528005</v>
      </c>
      <c r="EE21" s="146">
        <f>'[76]2. Distributional by deciles o'!F73</f>
        <v>1103692932.7199998</v>
      </c>
      <c r="EF21" s="146">
        <f>'[76]2. Distributional by deciles o'!G73</f>
        <v>1103441610.4715991</v>
      </c>
      <c r="EG21" s="129"/>
      <c r="EH21" s="122"/>
      <c r="EI21" s="130" t="s">
        <v>113</v>
      </c>
      <c r="EJ21" s="130" t="s">
        <v>113</v>
      </c>
      <c r="EK21" s="130" t="s">
        <v>113</v>
      </c>
      <c r="EL21" s="130" t="s">
        <v>113</v>
      </c>
      <c r="EM21" s="131">
        <f t="shared" si="32"/>
        <v>39.22778711468542</v>
      </c>
      <c r="EN21" s="146">
        <f>'[76]2. Distributional by deciles o'!B91</f>
        <v>5980916514.2484007</v>
      </c>
      <c r="EO21" s="146">
        <f>'[76]2. Distributional by deciles o'!C91</f>
        <v>6040725359.2668028</v>
      </c>
      <c r="EP21" s="131">
        <f t="shared" si="33"/>
        <v>0.99999464757480894</v>
      </c>
      <c r="EQ21" s="130" t="s">
        <v>113</v>
      </c>
      <c r="ER21" s="130" t="s">
        <v>113</v>
      </c>
      <c r="ES21" s="130" t="s">
        <v>113</v>
      </c>
      <c r="ET21" s="130" t="s">
        <v>113</v>
      </c>
      <c r="EU21" s="131">
        <f t="shared" si="34"/>
        <v>28.240408335406908</v>
      </c>
      <c r="EV21" s="132">
        <f t="shared" si="35"/>
        <v>1.1545578910166081</v>
      </c>
      <c r="EW21" s="132">
        <f t="shared" si="36"/>
        <v>1.0146248948514875</v>
      </c>
      <c r="EX21" s="132"/>
      <c r="EY21" s="148">
        <f t="shared" si="37"/>
        <v>1.1194917776097046E-2</v>
      </c>
      <c r="EZ21" s="144">
        <f t="shared" si="38"/>
        <v>0</v>
      </c>
      <c r="FA21" s="145">
        <f>'[76]2. Distributional by deciles o'!$I37</f>
        <v>1</v>
      </c>
      <c r="FB21" s="130" t="s">
        <v>113</v>
      </c>
      <c r="FC21" s="130" t="s">
        <v>113</v>
      </c>
      <c r="FD21" s="130" t="s">
        <v>113</v>
      </c>
      <c r="FE21" s="130" t="s">
        <v>113</v>
      </c>
      <c r="FF21" s="130" t="s">
        <v>113</v>
      </c>
      <c r="FG21" s="130" t="s">
        <v>113</v>
      </c>
      <c r="FH21" s="130" t="s">
        <v>113</v>
      </c>
      <c r="FI21" s="130" t="s">
        <v>113</v>
      </c>
      <c r="FJ21" s="1"/>
      <c r="FK21" s="1"/>
      <c r="FL21" s="1"/>
      <c r="FM21" s="1"/>
      <c r="FN21" s="1"/>
      <c r="FO21" s="1"/>
      <c r="FP21" s="1"/>
      <c r="FQ21" s="1"/>
    </row>
    <row r="22" spans="1:173" ht="13.35" customHeight="1" x14ac:dyDescent="0.3">
      <c r="A22" s="1"/>
      <c r="B22" s="34" t="s">
        <v>114</v>
      </c>
      <c r="C22" s="288">
        <f>'[75]2. Distributional by deciles o'!B74</f>
        <v>2125947316.2587936</v>
      </c>
      <c r="D22" s="288">
        <f>'[75]2. Distributional by deciles o'!C74</f>
        <v>2156557420.4963989</v>
      </c>
      <c r="E22" s="288">
        <f>'[75]2. Distributional by deciles o'!D74</f>
        <v>2147311673.2044001</v>
      </c>
      <c r="F22" s="288">
        <f>'[75]2. Distributional by deciles o'!E74</f>
        <v>2155449318.6924047</v>
      </c>
      <c r="G22" s="288">
        <f>'[75]2. Distributional by deciles o'!F74</f>
        <v>2149057846.3595991</v>
      </c>
      <c r="H22" s="288">
        <f>'[75]2. Distributional by deciles o'!G74</f>
        <v>2147311673.2044001</v>
      </c>
      <c r="I22" s="150"/>
      <c r="J22" s="122"/>
      <c r="K22" s="151">
        <f>'[77]1. Fiscal'!D$11</f>
        <v>2150451649.7231951</v>
      </c>
      <c r="L22" s="151">
        <f>'[77]1. Fiscal'!E$11</f>
        <v>2130457864.1255994</v>
      </c>
      <c r="M22" s="151">
        <f>'[77]1. Fiscal'!F$11</f>
        <v>2126991372.7667964</v>
      </c>
      <c r="N22" s="151">
        <f>'[77]1. Fiscal'!G$11</f>
        <v>2126494793.9663987</v>
      </c>
      <c r="O22" s="152" t="s">
        <v>113</v>
      </c>
      <c r="P22" s="288">
        <f>'[75]2. Distributional by deciles o'!B92</f>
        <v>15171376223.429989</v>
      </c>
      <c r="Q22" s="288">
        <f>'[75]2. Distributional by deciles o'!C92</f>
        <v>15323086002.237585</v>
      </c>
      <c r="R22" s="153">
        <f t="shared" si="1"/>
        <v>0.99997374380118575</v>
      </c>
      <c r="S22" s="151">
        <f>'[77]1. Fiscal'!D$116</f>
        <v>15291138835.090834</v>
      </c>
      <c r="T22" s="151">
        <f>'[77]1. Fiscal'!E$116</f>
        <v>15195508593.260387</v>
      </c>
      <c r="U22" s="151">
        <f>'[77]1. Fiscal'!F$116</f>
        <v>15176582059.328413</v>
      </c>
      <c r="V22" s="151">
        <f>'[77]1. Fiscal'!G$116</f>
        <v>15173985222.81485</v>
      </c>
      <c r="W22" s="154">
        <f t="shared" si="2"/>
        <v>1.439871427179074</v>
      </c>
      <c r="X22" s="154">
        <f t="shared" si="3"/>
        <v>1.0049598945253411</v>
      </c>
      <c r="Y22" s="154">
        <f t="shared" si="4"/>
        <v>1.387747327450702</v>
      </c>
      <c r="Z22" s="154">
        <f t="shared" si="5"/>
        <v>1.0870982895324839</v>
      </c>
      <c r="AA22" s="154">
        <f t="shared" si="6"/>
        <v>1.0049598945253411</v>
      </c>
      <c r="AB22" s="154">
        <f t="shared" si="7"/>
        <v>1.0049598945253411</v>
      </c>
      <c r="AC22" s="154">
        <f t="shared" si="8"/>
        <v>1.0049598945253411</v>
      </c>
      <c r="AD22" s="155">
        <f>(K22/$C22-1) / (S22/$P22-1)</f>
        <v>1.4601387143957609</v>
      </c>
      <c r="AE22" s="155">
        <f>(L22/$C22-1) / (T22/$P22-1)</f>
        <v>1.3338340627050325</v>
      </c>
      <c r="AF22" s="155">
        <f>(M22/$C22-1) / (U22/$P22-1)</f>
        <v>1.4312187304648096</v>
      </c>
      <c r="AG22" s="155">
        <f>(N22/$C22-1) / (V22/$P22-1)</f>
        <v>1.4974934921459935</v>
      </c>
      <c r="AH22" s="156">
        <f t="shared" si="9"/>
        <v>1</v>
      </c>
      <c r="AI22" s="155">
        <f t="shared" si="10"/>
        <v>4.9598945253410687E-3</v>
      </c>
      <c r="AJ22" s="155">
        <f t="shared" si="11"/>
        <v>5.2124099728372064E-2</v>
      </c>
      <c r="AK22" s="155">
        <f t="shared" si="12"/>
        <v>0.30064903791821807</v>
      </c>
      <c r="AL22" s="155">
        <f t="shared" si="13"/>
        <v>8.2138395007142817E-2</v>
      </c>
      <c r="AM22" s="155">
        <f t="shared" si="14"/>
        <v>0</v>
      </c>
      <c r="AN22" s="157">
        <f t="shared" si="15"/>
        <v>0</v>
      </c>
      <c r="AO22" s="155">
        <f t="shared" si="16"/>
        <v>0</v>
      </c>
      <c r="AP22" s="155">
        <f t="shared" si="17"/>
        <v>4.9598945253410687E-3</v>
      </c>
      <c r="AQ22" s="136" t="s">
        <v>113</v>
      </c>
      <c r="AR22" s="137">
        <f t="shared" si="18"/>
        <v>1.1275782464774347</v>
      </c>
      <c r="AS22" s="137">
        <f t="shared" si="19"/>
        <v>11.8498489576028</v>
      </c>
      <c r="AT22" s="137">
        <f t="shared" si="20"/>
        <v>68.349299213704612</v>
      </c>
      <c r="AU22" s="137">
        <f t="shared" si="21"/>
        <v>18.67327358221516</v>
      </c>
      <c r="AV22" s="137">
        <f t="shared" si="22"/>
        <v>0</v>
      </c>
      <c r="AW22" s="138">
        <f t="shared" si="23"/>
        <v>0</v>
      </c>
      <c r="AX22" s="137">
        <f t="shared" si="24"/>
        <v>0</v>
      </c>
      <c r="AY22" s="137">
        <f t="shared" si="25"/>
        <v>1.1275782464774347</v>
      </c>
      <c r="AZ22" s="39">
        <v>1.31</v>
      </c>
      <c r="BA22" s="39">
        <v>1.29</v>
      </c>
      <c r="BB22" s="39">
        <v>1.24</v>
      </c>
      <c r="BC22" s="39">
        <v>1.6</v>
      </c>
      <c r="BD22" s="159">
        <f>W22-AZ22</f>
        <v>0.12987142717907396</v>
      </c>
      <c r="BE22" s="159">
        <f>AD22-BA22</f>
        <v>0.17013871439576089</v>
      </c>
      <c r="BF22" s="159">
        <f>AF22-BB22</f>
        <v>0.19121873046480964</v>
      </c>
      <c r="BG22" s="159">
        <f>AG22-BC22</f>
        <v>-0.10250650785400661</v>
      </c>
      <c r="BH22" s="140">
        <f>'[75]2. Distributional by deciles o'!$B110</f>
        <v>11976096104.68082</v>
      </c>
      <c r="BI22" s="140">
        <f>'[75]2. Distributional by deciles o'!$B128</f>
        <v>2413787470.7568116</v>
      </c>
      <c r="BJ22" s="140">
        <f>'[75]2. Distributional by deciles o'!$B146</f>
        <v>520582217.59199989</v>
      </c>
      <c r="BK22" s="140">
        <f>'[75]2. Distributional by deciles o'!$B164</f>
        <v>260914881.03840002</v>
      </c>
      <c r="BL22" s="141">
        <f t="shared" si="26"/>
        <v>0.7893873578132008</v>
      </c>
      <c r="BM22" s="141">
        <f t="shared" si="27"/>
        <v>0.15910137136579952</v>
      </c>
      <c r="BN22" s="141">
        <f t="shared" si="28"/>
        <v>3.4313437173309799E-2</v>
      </c>
      <c r="BO22" s="141">
        <f t="shared" si="29"/>
        <v>1.7197833647689936E-2</v>
      </c>
      <c r="BP22" s="159">
        <f>(AD22*BL22+AF22*BN22+AG22*BO22)/(BL22+BN22+BO22)</f>
        <v>1.4597225848100328</v>
      </c>
      <c r="BQ22" s="159">
        <f>W22-BP22</f>
        <v>-1.9851157630958793E-2</v>
      </c>
      <c r="BR22" s="159">
        <f>BP22-AZ22</f>
        <v>0.14972258481003275</v>
      </c>
      <c r="BS22" s="152" t="s">
        <v>113</v>
      </c>
      <c r="BT22" s="161"/>
      <c r="BU22" s="161"/>
      <c r="BV22" s="161"/>
      <c r="BW22" s="161"/>
      <c r="BX22" s="162"/>
      <c r="BY22" s="162"/>
      <c r="BZ22" s="163"/>
      <c r="CA22" s="164"/>
      <c r="CB22" s="165"/>
      <c r="CC22" s="166"/>
      <c r="CD22" s="166"/>
      <c r="CE22" s="166"/>
      <c r="CF22" s="166"/>
      <c r="CG22" s="167"/>
      <c r="CH22" s="167"/>
      <c r="CI22" s="168"/>
      <c r="CJ22" s="169"/>
      <c r="CK22" s="161">
        <f>'[75]3. Inequality and Poverty'!$B$7</f>
        <v>0.39846898497754502</v>
      </c>
      <c r="CL22" s="161">
        <f>'[75]3. Inequality and Poverty'!$B$8</f>
        <v>0.37430057468238798</v>
      </c>
      <c r="CM22" s="161">
        <f>'[75]3. Inequality and Poverty'!$C$7</f>
        <v>0.39846920842870798</v>
      </c>
      <c r="CN22" s="161">
        <f>'[75]3. Inequality and Poverty'!$C$8</f>
        <v>0.37446397595347303</v>
      </c>
      <c r="CO22" s="162">
        <f>(CK22-CL22)/CK22</f>
        <v>6.0653178054796426E-2</v>
      </c>
      <c r="CP22" s="162">
        <f>(CM22-CN22)/CM22</f>
        <v>6.0243632299457436E-2</v>
      </c>
      <c r="CQ22" s="163">
        <f>(CP22-CO22)*100</f>
        <v>-4.0954575533899001E-2</v>
      </c>
      <c r="CR22" s="165">
        <f>CN22-CL22</f>
        <v>1.6340127108505076E-4</v>
      </c>
      <c r="CS22" s="170">
        <f>(SUM(P20:P21))/(SUM(P12:P13))</f>
        <v>8.1554402763449065</v>
      </c>
      <c r="CT22" s="170">
        <f>(SUM(P20:P21)-SUM(C20:C21))/(SUM(P12:P13)-SUM(C12:C13))</f>
        <v>6.9196633593272132</v>
      </c>
      <c r="CU22" s="170">
        <f>(SUM(Q20:Q21))/(SUM(Q12:Q13))</f>
        <v>8.1554620662019364</v>
      </c>
      <c r="CV22" s="170">
        <f>(SUM(Q20:Q21)-SUM(D20:D21))/(SUM(Q12:Q13)-SUM(D12:D13))</f>
        <v>6.924360017194064</v>
      </c>
      <c r="CW22" s="162">
        <f>(CS22-CT22)/CS22</f>
        <v>0.15152792187101174</v>
      </c>
      <c r="CX22" s="162">
        <f>(CU22-CV22)/CU22</f>
        <v>0.15095429774725277</v>
      </c>
      <c r="CY22" s="163">
        <f>(CX22-CW22)*100</f>
        <v>-5.7362412375897009E-2</v>
      </c>
      <c r="CZ22" s="165">
        <f>CV22-CT22</f>
        <v>4.6966578668508063E-3</v>
      </c>
      <c r="DA22" s="171">
        <f>'[75]3. Inequality and Poverty'!$B$34</f>
        <v>0.14990669054889</v>
      </c>
      <c r="DB22" s="171">
        <f>'[75]3. Inequality and Poverty'!$C$34</f>
        <v>0.14813119261297999</v>
      </c>
      <c r="DC22" s="172">
        <f>DB22-DA22</f>
        <v>-1.7754979359100032E-3</v>
      </c>
      <c r="DD22" s="144">
        <f t="shared" si="31"/>
        <v>10.0282920051462</v>
      </c>
      <c r="DE22" s="145">
        <f>'[75]2. Distributional by deciles o'!$I38</f>
        <v>0.899717079948538</v>
      </c>
      <c r="DF22" s="1"/>
      <c r="DG22" s="1"/>
      <c r="DH22" s="1"/>
      <c r="DI22" s="1"/>
      <c r="DJ22" s="1"/>
      <c r="DK22" s="1"/>
      <c r="DL22" s="1"/>
      <c r="DM22" s="1"/>
      <c r="DN22" s="1"/>
      <c r="DO22" s="1"/>
      <c r="DP22" s="1"/>
      <c r="DQ22" s="1"/>
      <c r="DR22" s="1"/>
      <c r="DS22" s="1"/>
      <c r="DT22" s="1"/>
      <c r="DU22" s="1"/>
      <c r="DV22" s="1"/>
      <c r="DW22" s="1"/>
      <c r="DX22" s="1"/>
      <c r="DY22" s="1"/>
      <c r="DZ22" s="1"/>
      <c r="EA22" s="146">
        <f>'[76]2. Distributional by deciles o'!B74</f>
        <v>2784654477.2999964</v>
      </c>
      <c r="EB22" s="146">
        <f>'[76]2. Distributional by deciles o'!C74</f>
        <v>2827873224.0887914</v>
      </c>
      <c r="EC22" s="146">
        <f>'[76]2. Distributional by deciles o'!D74</f>
        <v>2813313021.5172</v>
      </c>
      <c r="ED22" s="146">
        <f>'[76]2. Distributional by deciles o'!E74</f>
        <v>2825808050.8175893</v>
      </c>
      <c r="EE22" s="146">
        <f>'[76]2. Distributional by deciles o'!F74</f>
        <v>2815176530.1096001</v>
      </c>
      <c r="EF22" s="146">
        <f>'[76]2. Distributional by deciles o'!G74</f>
        <v>2813313021.5172</v>
      </c>
      <c r="EG22" s="150"/>
      <c r="EH22" s="123"/>
      <c r="EI22" s="151">
        <f>'[78]1. Fiscal'!D$11</f>
        <v>2821124595.8592005</v>
      </c>
      <c r="EJ22" s="151">
        <f>'[78]1. Fiscal'!E$11</f>
        <v>2789459587.2035947</v>
      </c>
      <c r="EK22" s="151">
        <f>'[78]1. Fiscal'!F$11</f>
        <v>2786013950.2919979</v>
      </c>
      <c r="EL22" s="151">
        <f>'[78]1. Fiscal'!G$11</f>
        <v>2785237057.2839999</v>
      </c>
      <c r="EM22" s="152" t="s">
        <v>113</v>
      </c>
      <c r="EN22" s="289">
        <f>'[76]2. Distributional by deciles o'!B92</f>
        <v>21178576609.849232</v>
      </c>
      <c r="EO22" s="289">
        <f>'[76]2. Distributional by deciles o'!C92</f>
        <v>21390361568.260868</v>
      </c>
      <c r="EP22" s="153">
        <f t="shared" si="33"/>
        <v>0.99999618630246534</v>
      </c>
      <c r="EQ22" s="151">
        <f>'[78]1. Fiscal'!D$120</f>
        <v>21346548579.009621</v>
      </c>
      <c r="ER22" s="151">
        <f>'[78]1. Fiscal'!E$120</f>
        <v>21212474629.693138</v>
      </c>
      <c r="ES22" s="151">
        <f>'[78]1. Fiscal'!F$120</f>
        <v>21185745538.732796</v>
      </c>
      <c r="ET22" s="151">
        <f>'[78]1. Fiscal'!G$120</f>
        <v>21181321624.271973</v>
      </c>
      <c r="EU22" s="152" t="s">
        <v>113</v>
      </c>
      <c r="EV22" s="154">
        <f t="shared" si="35"/>
        <v>1.5520385730066144</v>
      </c>
      <c r="EW22" s="154">
        <f t="shared" si="36"/>
        <v>1.0291637165853094</v>
      </c>
      <c r="EX22" s="174">
        <f>EW22-X22</f>
        <v>2.4203822059968294E-2</v>
      </c>
      <c r="EY22" s="175">
        <f t="shared" si="37"/>
        <v>0.11216714582754039</v>
      </c>
      <c r="EZ22" s="144">
        <f t="shared" si="38"/>
        <v>21.04348841819046</v>
      </c>
      <c r="FA22" s="145">
        <f>'[76]2. Distributional by deciles o'!$I38</f>
        <v>0.78956511581809541</v>
      </c>
      <c r="FB22" s="155">
        <f>(EI22/$EA22-1) / (EQ22/$EN22-1)</f>
        <v>1.6512993681137094</v>
      </c>
      <c r="FC22" s="155">
        <f>(EJ22/$EA22-1) / (ER22/$EN22-1)</f>
        <v>1.0780885880994784</v>
      </c>
      <c r="FD22" s="155">
        <f>(EK22/$EA22-1) / (ES22/$EN22-1)</f>
        <v>1.4422540428816439</v>
      </c>
      <c r="FE22" s="155">
        <f>(EL22/$EA22-1) / (ET22/$EN22-1)</f>
        <v>1.6141220924710828</v>
      </c>
      <c r="FF22" s="75">
        <f>FB22-AD22</f>
        <v>0.19116065371794844</v>
      </c>
      <c r="FG22" s="75">
        <f>FC22-AE22</f>
        <v>-0.25574547460555408</v>
      </c>
      <c r="FH22" s="75">
        <f>FD22-AF22</f>
        <v>1.1035312416834309E-2</v>
      </c>
      <c r="FI22" s="75">
        <f>FE22-AG22</f>
        <v>0.11662860032508937</v>
      </c>
      <c r="FJ22" s="1"/>
      <c r="FK22" s="1"/>
      <c r="FL22" s="1"/>
      <c r="FM22" s="1"/>
      <c r="FN22" s="1"/>
      <c r="FO22" s="1"/>
      <c r="FP22" s="1"/>
      <c r="FQ22" s="1"/>
    </row>
    <row r="23" spans="1:173" x14ac:dyDescent="0.3">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c r="ET23" s="1"/>
      <c r="EU23" s="1"/>
      <c r="EV23" s="1"/>
      <c r="EW23" s="1"/>
      <c r="EX23" s="1"/>
      <c r="EY23" s="1"/>
      <c r="EZ23" s="1"/>
      <c r="FA23" s="1"/>
      <c r="FB23" s="1"/>
      <c r="FC23" s="1"/>
      <c r="FD23" s="1"/>
      <c r="FE23" s="1"/>
      <c r="FF23" s="1"/>
      <c r="FG23" s="1"/>
      <c r="FH23" s="1"/>
      <c r="FI23" s="1"/>
      <c r="FJ23" s="1"/>
      <c r="FK23" s="1"/>
      <c r="FL23" s="1"/>
      <c r="FM23" s="1"/>
      <c r="FN23" s="1"/>
      <c r="FO23" s="1"/>
      <c r="FP23" s="1"/>
      <c r="FQ23" s="1"/>
    </row>
    <row r="24" spans="1:173" x14ac:dyDescent="0.3">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c r="EJ24" s="1"/>
      <c r="EK24" s="1"/>
      <c r="EL24" s="1"/>
      <c r="EM24" s="1"/>
      <c r="EN24" s="1"/>
      <c r="EO24" s="1"/>
      <c r="EP24" s="1"/>
      <c r="EQ24" s="1"/>
      <c r="ER24" s="1"/>
      <c r="ES24" s="1"/>
      <c r="ET24" s="1"/>
      <c r="EU24" s="1"/>
      <c r="EV24" s="1"/>
      <c r="EW24" s="1"/>
      <c r="EX24" s="1"/>
      <c r="EY24" s="1"/>
      <c r="EZ24" s="1"/>
      <c r="FA24" s="1"/>
      <c r="FB24" s="1"/>
      <c r="FC24" s="1"/>
      <c r="FD24" s="1"/>
      <c r="FE24" s="1"/>
      <c r="FF24" s="1"/>
      <c r="FG24" s="1"/>
      <c r="FH24" s="1"/>
      <c r="FI24" s="1"/>
      <c r="FJ24" s="1"/>
      <c r="FK24" s="1"/>
      <c r="FL24" s="1"/>
      <c r="FM24" s="1"/>
      <c r="FN24" s="1"/>
      <c r="FO24" s="1"/>
      <c r="FP24" s="1"/>
      <c r="FQ24" s="1"/>
    </row>
    <row r="25" spans="1:173" x14ac:dyDescent="0.3">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Q25" s="1"/>
    </row>
    <row r="26" spans="1:173" x14ac:dyDescent="0.3">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c r="ER26" s="1"/>
      <c r="ES26" s="1"/>
      <c r="ET26" s="1"/>
      <c r="EU26" s="1"/>
      <c r="EV26" s="1"/>
      <c r="EW26" s="1"/>
      <c r="EX26" s="1"/>
      <c r="EY26" s="1"/>
      <c r="EZ26" s="1"/>
      <c r="FA26" s="1"/>
      <c r="FB26" s="1"/>
      <c r="FC26" s="1"/>
      <c r="FD26" s="1"/>
      <c r="FE26" s="1"/>
      <c r="FF26" s="1"/>
      <c r="FG26" s="1"/>
      <c r="FH26" s="1"/>
      <c r="FI26" s="1"/>
      <c r="FJ26" s="1"/>
      <c r="FK26" s="1"/>
      <c r="FL26" s="1"/>
      <c r="FM26" s="1"/>
      <c r="FN26" s="1"/>
      <c r="FO26" s="1"/>
      <c r="FP26" s="1"/>
      <c r="FQ26" s="1"/>
    </row>
    <row r="27" spans="1:173" x14ac:dyDescent="0.3">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c r="CW27" s="1"/>
      <c r="CX27" s="1"/>
      <c r="CY27" s="1"/>
      <c r="CZ27" s="1"/>
      <c r="DA27" s="1"/>
      <c r="DB27" s="1"/>
      <c r="DC27" s="1"/>
      <c r="DD27" s="1"/>
      <c r="DE27" s="1"/>
      <c r="DF27" s="1"/>
      <c r="DG27" s="1"/>
      <c r="DH27" s="1"/>
      <c r="DI27" s="1"/>
      <c r="DJ27" s="1"/>
      <c r="DK27" s="1"/>
      <c r="DL27" s="1"/>
      <c r="DM27" s="1"/>
      <c r="DN27" s="1"/>
      <c r="DO27" s="1"/>
      <c r="DP27" s="1"/>
      <c r="DQ27" s="1"/>
      <c r="DR27" s="1"/>
      <c r="DS27" s="1"/>
      <c r="DT27" s="1"/>
      <c r="DU27" s="1"/>
      <c r="DV27" s="1"/>
      <c r="DW27" s="1"/>
      <c r="DX27" s="1"/>
      <c r="DY27" s="1"/>
      <c r="DZ27" s="1"/>
      <c r="EA27" s="1"/>
      <c r="EB27" s="1"/>
      <c r="EC27" s="1"/>
      <c r="ED27" s="1"/>
      <c r="EE27" s="1"/>
      <c r="EF27" s="1"/>
      <c r="EG27" s="1"/>
      <c r="EH27" s="1"/>
      <c r="EI27" s="1"/>
      <c r="EJ27" s="1"/>
      <c r="EK27" s="1"/>
      <c r="EL27" s="1"/>
      <c r="EM27" s="1"/>
      <c r="EN27" s="1"/>
      <c r="EO27" s="1"/>
      <c r="EP27" s="1"/>
      <c r="EQ27" s="1"/>
      <c r="ER27" s="1"/>
      <c r="ES27" s="1"/>
      <c r="ET27" s="1"/>
      <c r="EU27" s="1"/>
      <c r="EV27" s="1"/>
      <c r="EW27" s="1"/>
      <c r="EX27" s="1"/>
      <c r="EY27" s="1"/>
      <c r="EZ27" s="1"/>
      <c r="FA27" s="1"/>
      <c r="FB27" s="1"/>
      <c r="FC27" s="1"/>
      <c r="FD27" s="1"/>
      <c r="FE27" s="1"/>
      <c r="FF27" s="1"/>
      <c r="FG27" s="1"/>
      <c r="FH27" s="1"/>
      <c r="FI27" s="1"/>
      <c r="FJ27" s="1"/>
      <c r="FK27" s="1"/>
      <c r="FL27" s="1"/>
      <c r="FM27" s="1"/>
      <c r="FN27" s="1"/>
      <c r="FO27" s="1"/>
      <c r="FP27" s="1"/>
      <c r="FQ27" s="1"/>
    </row>
  </sheetData>
  <pageMargins left="0.7" right="0.7" top="0.75" bottom="0.75" header="0.3" footer="0.3"/>
  <pageSetup paperSize="9" orientation="portrait" r:id="rId1"/>
  <headerFooter>
    <oddHeader>&amp;R&amp;"Arial"&amp;10&amp;K000000 ECB-RESTRICTED&amp;1#_x000D_</oddHeader>
  </headerFooter>
  <legacyDrawing r:id="rId2"/>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5F8C0-BB66-4A0F-A886-6B257CA91E3C}">
  <dimension ref="A1:BN121"/>
  <sheetViews>
    <sheetView zoomScale="55" zoomScaleNormal="55" workbookViewId="0">
      <selection activeCell="O4" sqref="O4"/>
    </sheetView>
  </sheetViews>
  <sheetFormatPr baseColWidth="10" defaultColWidth="8.6640625" defaultRowHeight="14.4" x14ac:dyDescent="0.3"/>
  <cols>
    <col min="1" max="1" width="4.33203125" customWidth="1"/>
    <col min="3" max="3" width="17.44140625" customWidth="1"/>
    <col min="4" max="4" width="15.5546875" customWidth="1"/>
    <col min="5" max="5" width="16.33203125" customWidth="1"/>
    <col min="6" max="6" width="15.5546875" customWidth="1"/>
    <col min="7" max="7" width="16" customWidth="1"/>
    <col min="8" max="8" width="19" customWidth="1"/>
    <col min="9" max="12" width="17" customWidth="1"/>
    <col min="13" max="13" width="17.44140625" customWidth="1"/>
    <col min="14" max="17" width="16.44140625" customWidth="1"/>
    <col min="18" max="18" width="16.33203125" customWidth="1"/>
    <col min="19" max="19" width="17" customWidth="1"/>
    <col min="20" max="26" width="16.44140625" customWidth="1"/>
    <col min="27" max="33" width="16.33203125" customWidth="1"/>
    <col min="34" max="34" width="14.6640625" customWidth="1"/>
    <col min="35" max="36" width="12.5546875" customWidth="1"/>
    <col min="37" max="37" width="17.44140625" customWidth="1"/>
    <col min="38" max="38" width="12.33203125" customWidth="1"/>
    <col min="39" max="39" width="9.5546875" customWidth="1"/>
    <col min="40" max="42" width="19" customWidth="1"/>
    <col min="43" max="50" width="9.5546875" customWidth="1"/>
    <col min="51" max="59" width="0.5546875" customWidth="1"/>
  </cols>
  <sheetData>
    <row r="1" spans="1:66" ht="15" thickBot="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row>
    <row r="2" spans="1:66" ht="18" customHeight="1" thickBot="1" x14ac:dyDescent="0.35">
      <c r="A2" s="1"/>
      <c r="B2" s="2" t="s">
        <v>654</v>
      </c>
      <c r="C2" s="3"/>
      <c r="D2" s="3"/>
      <c r="E2" s="3"/>
      <c r="F2" s="3"/>
      <c r="G2" s="3"/>
      <c r="H2" s="3"/>
      <c r="I2" s="3"/>
      <c r="J2" s="3"/>
      <c r="K2" s="3"/>
      <c r="L2" s="3"/>
      <c r="M2" s="4"/>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row>
    <row r="3" spans="1:66" ht="18" customHeight="1" x14ac:dyDescent="0.3">
      <c r="A3" s="1"/>
      <c r="B3" s="5" t="s">
        <v>115</v>
      </c>
      <c r="C3" s="6"/>
      <c r="D3" s="6"/>
      <c r="E3" s="6"/>
      <c r="F3" s="6"/>
      <c r="G3" s="6"/>
      <c r="H3" s="6"/>
      <c r="I3" s="6"/>
      <c r="J3" s="6"/>
      <c r="K3" s="6"/>
      <c r="L3" s="6"/>
      <c r="M3" s="7"/>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row>
    <row r="4" spans="1:66" ht="18" customHeight="1" x14ac:dyDescent="0.3">
      <c r="A4" s="1"/>
      <c r="B4" s="99" t="s">
        <v>1</v>
      </c>
      <c r="C4" s="296"/>
      <c r="D4" s="296"/>
      <c r="E4" s="296"/>
      <c r="F4" s="296"/>
      <c r="G4" s="296"/>
      <c r="H4" s="296"/>
      <c r="I4" s="296"/>
      <c r="J4" s="296"/>
      <c r="K4" s="296"/>
      <c r="L4" s="296"/>
      <c r="M4" s="100"/>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row>
    <row r="5" spans="1:66" ht="14.25" customHeight="1" x14ac:dyDescent="0.3">
      <c r="A5" s="1"/>
      <c r="B5" s="293" t="s">
        <v>116</v>
      </c>
      <c r="C5" s="294"/>
      <c r="D5" s="294"/>
      <c r="E5" s="294"/>
      <c r="F5" s="294"/>
      <c r="G5" s="294"/>
      <c r="H5" s="294"/>
      <c r="I5" s="294"/>
      <c r="J5" s="294"/>
      <c r="K5" s="294"/>
      <c r="L5" s="294"/>
      <c r="M5" s="295"/>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row>
    <row r="6" spans="1:66" ht="12.6" customHeight="1" x14ac:dyDescent="0.3">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row>
    <row r="7" spans="1:66" ht="12.6" customHeight="1" x14ac:dyDescent="0.3">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row>
    <row r="8" spans="1:66" ht="17.7" customHeight="1" x14ac:dyDescent="0.3">
      <c r="A8" s="1"/>
      <c r="B8" s="11" t="s">
        <v>2</v>
      </c>
      <c r="C8" s="12" t="s">
        <v>242</v>
      </c>
      <c r="D8" s="12" t="s">
        <v>243</v>
      </c>
      <c r="E8" s="124" t="s">
        <v>230</v>
      </c>
      <c r="F8" s="125"/>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row>
    <row r="9" spans="1:66" ht="10.35" customHeight="1" x14ac:dyDescent="0.3">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row>
    <row r="10" spans="1:66" x14ac:dyDescent="0.3">
      <c r="A10" s="1"/>
      <c r="B10" s="1"/>
      <c r="C10" s="13" t="s">
        <v>6</v>
      </c>
      <c r="D10" s="14"/>
      <c r="E10" s="14"/>
      <c r="F10" s="14"/>
      <c r="G10" s="14"/>
      <c r="H10" s="14"/>
      <c r="I10" s="14"/>
      <c r="J10" s="14"/>
      <c r="K10" s="14"/>
      <c r="L10" s="14"/>
      <c r="M10" s="14"/>
      <c r="N10" s="14"/>
      <c r="O10" s="14"/>
      <c r="P10" s="15" t="s">
        <v>596</v>
      </c>
      <c r="Q10" s="16"/>
      <c r="R10" s="16"/>
      <c r="S10" s="16"/>
      <c r="T10" s="16"/>
      <c r="U10" s="16"/>
      <c r="V10" s="16"/>
      <c r="W10" s="16"/>
      <c r="X10" s="13"/>
      <c r="Y10" s="17"/>
      <c r="Z10" s="17"/>
      <c r="AA10" s="17"/>
      <c r="AB10" s="17"/>
      <c r="AC10" s="17"/>
      <c r="AD10" s="17"/>
      <c r="AE10" s="19"/>
      <c r="AF10" s="16"/>
      <c r="AG10" s="16"/>
      <c r="AH10" s="16"/>
      <c r="AI10" s="16"/>
      <c r="AJ10" s="16"/>
      <c r="AK10" s="1"/>
      <c r="AL10" s="1"/>
      <c r="AM10" s="99" t="s">
        <v>562</v>
      </c>
      <c r="AN10" s="9"/>
      <c r="AO10" s="9"/>
      <c r="AP10" s="9"/>
      <c r="AQ10" s="9"/>
      <c r="AR10" s="9"/>
      <c r="AS10" s="10"/>
      <c r="AT10" s="1"/>
      <c r="AU10" s="1"/>
      <c r="AV10" s="1"/>
      <c r="AW10" s="1"/>
      <c r="AX10" s="1"/>
      <c r="AY10" s="1"/>
      <c r="AZ10" s="1"/>
      <c r="BA10" s="1"/>
      <c r="BB10" s="1"/>
      <c r="BC10" s="1"/>
      <c r="BD10" s="1"/>
      <c r="BE10" s="1"/>
      <c r="BF10" s="1"/>
      <c r="BG10" s="1"/>
      <c r="BH10" s="1"/>
      <c r="BI10" s="1"/>
      <c r="BJ10" s="1"/>
      <c r="BK10" s="1"/>
      <c r="BL10" s="1"/>
      <c r="BM10" s="1"/>
      <c r="BN10" s="1"/>
    </row>
    <row r="11" spans="1:66" ht="78.75" customHeight="1" x14ac:dyDescent="0.3">
      <c r="A11" s="1"/>
      <c r="B11" s="25" t="s">
        <v>20</v>
      </c>
      <c r="C11" s="26" t="s">
        <v>119</v>
      </c>
      <c r="D11" s="27" t="s">
        <v>120</v>
      </c>
      <c r="E11" s="26" t="s">
        <v>121</v>
      </c>
      <c r="F11" s="27" t="s">
        <v>122</v>
      </c>
      <c r="G11" s="27" t="s">
        <v>123</v>
      </c>
      <c r="H11" s="27" t="s">
        <v>124</v>
      </c>
      <c r="I11" s="27" t="s">
        <v>125</v>
      </c>
      <c r="J11" s="27" t="s">
        <v>126</v>
      </c>
      <c r="K11" s="27" t="s">
        <v>127</v>
      </c>
      <c r="L11" s="27"/>
      <c r="M11" s="27"/>
      <c r="N11" s="27"/>
      <c r="O11" s="27"/>
      <c r="P11" s="26" t="s">
        <v>119</v>
      </c>
      <c r="Q11" s="27" t="s">
        <v>120</v>
      </c>
      <c r="R11" s="27" t="s">
        <v>121</v>
      </c>
      <c r="S11" s="27" t="s">
        <v>122</v>
      </c>
      <c r="T11" s="27" t="s">
        <v>123</v>
      </c>
      <c r="U11" s="27" t="s">
        <v>130</v>
      </c>
      <c r="V11" s="27"/>
      <c r="W11" s="27"/>
      <c r="X11" s="27"/>
      <c r="Y11" s="27"/>
      <c r="Z11" s="27"/>
      <c r="AA11" s="27"/>
      <c r="AB11" s="27"/>
      <c r="AC11" s="27"/>
      <c r="AD11" s="27"/>
      <c r="AE11" s="27"/>
      <c r="AF11" s="27"/>
      <c r="AG11" s="27"/>
      <c r="AH11" s="27"/>
      <c r="AI11" s="27"/>
      <c r="AJ11" s="27"/>
      <c r="AK11" s="27" t="s">
        <v>150</v>
      </c>
      <c r="AL11" s="1"/>
      <c r="AM11" s="522" t="s">
        <v>563</v>
      </c>
      <c r="AN11" s="523" t="s">
        <v>568</v>
      </c>
      <c r="AO11" s="523" t="s">
        <v>569</v>
      </c>
      <c r="AP11" s="523" t="s">
        <v>570</v>
      </c>
      <c r="AQ11" s="523" t="s">
        <v>564</v>
      </c>
      <c r="AR11" s="523" t="s">
        <v>565</v>
      </c>
      <c r="AS11" s="523" t="s">
        <v>566</v>
      </c>
      <c r="AT11" s="1"/>
      <c r="AU11" s="1"/>
      <c r="AV11" s="1"/>
      <c r="AW11" s="1"/>
      <c r="AX11" s="1"/>
      <c r="AY11" s="1"/>
      <c r="AZ11" s="1"/>
      <c r="BA11" s="1"/>
      <c r="BB11" s="1"/>
      <c r="BC11" s="1"/>
      <c r="BD11" s="1"/>
      <c r="BE11" s="1"/>
      <c r="BF11" s="1"/>
      <c r="BG11" s="1"/>
      <c r="BH11" s="1"/>
      <c r="BI11" s="1"/>
      <c r="BJ11" s="1"/>
      <c r="BK11" s="1"/>
      <c r="BL11" s="1"/>
      <c r="BM11" s="1"/>
      <c r="BN11" s="1"/>
    </row>
    <row r="12" spans="1:66" x14ac:dyDescent="0.3">
      <c r="A12" s="1"/>
      <c r="B12" s="28">
        <v>1</v>
      </c>
      <c r="C12" s="129">
        <v>2173758.7332000001</v>
      </c>
      <c r="D12" s="129">
        <v>1766707.918800001</v>
      </c>
      <c r="E12" s="129">
        <v>1701434.9183999996</v>
      </c>
      <c r="F12" s="129">
        <v>1068156.2988000002</v>
      </c>
      <c r="G12" s="129">
        <v>1080376.3128</v>
      </c>
      <c r="H12" s="129">
        <v>12172273.989600003</v>
      </c>
      <c r="I12" s="129">
        <v>3536203.8911999995</v>
      </c>
      <c r="J12" s="129">
        <v>5975121.3227999974</v>
      </c>
      <c r="K12" s="129">
        <v>4530507.579599998</v>
      </c>
      <c r="L12" s="139"/>
      <c r="M12" s="139"/>
      <c r="N12" s="139"/>
      <c r="O12" s="139"/>
      <c r="P12" s="129">
        <v>244242016.95479995</v>
      </c>
      <c r="Q12" s="129">
        <v>259068760.32600003</v>
      </c>
      <c r="R12" s="129">
        <v>277929213.62880027</v>
      </c>
      <c r="S12" s="129">
        <v>310190564.82719982</v>
      </c>
      <c r="T12" s="129">
        <v>347747937.99599993</v>
      </c>
      <c r="U12" s="209">
        <f t="shared" ref="U12:U22" si="0">T12/P12-1</f>
        <v>0.42378425437075817</v>
      </c>
      <c r="V12" s="139"/>
      <c r="W12" s="209"/>
      <c r="X12" s="132"/>
      <c r="Y12" s="132"/>
      <c r="Z12" s="132"/>
      <c r="AA12" s="132"/>
      <c r="AB12" s="132"/>
      <c r="AC12" s="132"/>
      <c r="AD12" s="132"/>
      <c r="AE12" s="139"/>
      <c r="AF12" s="139"/>
      <c r="AG12" s="139"/>
      <c r="AH12" s="139"/>
      <c r="AI12" s="139"/>
      <c r="AJ12" s="139"/>
      <c r="AK12" s="408">
        <v>1080376.3128</v>
      </c>
      <c r="AL12" s="1"/>
      <c r="AM12" s="32" cm="1">
        <f t="array" aca="1" ref="AM12" ca="1">INDIRECT("'1"&amp;$C$8&amp;"'!W12")</f>
        <v>5.2567288659840612</v>
      </c>
      <c r="AN12" s="524">
        <f t="shared" ref="AN12:AN21" ca="1" si="1">C12+C12*U12*AM12</f>
        <v>7016282.1969694179</v>
      </c>
      <c r="AO12" s="524">
        <f t="shared" ref="AO12:AO21" ca="1" si="2">C12+C12*U$22*AM12</f>
        <v>6698294.8386689797</v>
      </c>
      <c r="AP12" s="524">
        <f t="shared" ref="AP12:AP21" ca="1" si="3">C12+C12*AR12*AM12</f>
        <v>7016282.1969694179</v>
      </c>
      <c r="AQ12" s="525">
        <f t="shared" ref="AQ12:AQ21" si="4">U12</f>
        <v>0.42378425437075817</v>
      </c>
      <c r="AR12" s="344">
        <f>AQ12</f>
        <v>0.42378425437075817</v>
      </c>
      <c r="AS12" s="41">
        <f>P12/P$22</f>
        <v>1.6098870224943971E-2</v>
      </c>
      <c r="AT12" s="1"/>
      <c r="AU12" s="1"/>
      <c r="AV12" s="1"/>
      <c r="AW12" s="1"/>
      <c r="AX12" s="1"/>
      <c r="AY12" s="1"/>
      <c r="AZ12" s="1"/>
      <c r="BA12" s="1"/>
      <c r="BB12" s="1"/>
      <c r="BC12" s="1"/>
      <c r="BD12" s="1"/>
      <c r="BE12" s="1"/>
      <c r="BF12" s="1"/>
      <c r="BG12" s="1"/>
      <c r="BH12" s="1"/>
      <c r="BI12" s="1"/>
      <c r="BJ12" s="1"/>
      <c r="BK12" s="1"/>
      <c r="BL12" s="1"/>
      <c r="BM12" s="1"/>
      <c r="BN12" s="1"/>
    </row>
    <row r="13" spans="1:66" x14ac:dyDescent="0.3">
      <c r="A13" s="1"/>
      <c r="B13" s="28">
        <v>2</v>
      </c>
      <c r="C13" s="129">
        <v>19932931.236000001</v>
      </c>
      <c r="D13" s="129">
        <v>16470818.290799987</v>
      </c>
      <c r="E13" s="129">
        <v>11147530.354800008</v>
      </c>
      <c r="F13" s="129">
        <v>6186874.3908000002</v>
      </c>
      <c r="G13" s="129">
        <v>6502059.6707999967</v>
      </c>
      <c r="H13" s="129">
        <v>67545887.729999959</v>
      </c>
      <c r="I13" s="129">
        <v>32159225.097600058</v>
      </c>
      <c r="J13" s="129">
        <v>44406783.446400002</v>
      </c>
      <c r="K13" s="129">
        <v>38009607.211200006</v>
      </c>
      <c r="L13" s="139"/>
      <c r="M13" s="139"/>
      <c r="N13" s="139"/>
      <c r="O13" s="139"/>
      <c r="P13" s="129">
        <v>588365264.04119992</v>
      </c>
      <c r="Q13" s="129">
        <v>626908396.57920015</v>
      </c>
      <c r="R13" s="129">
        <v>670490481.08280039</v>
      </c>
      <c r="S13" s="129">
        <v>751002043.09439993</v>
      </c>
      <c r="T13" s="129">
        <v>844533282.18120003</v>
      </c>
      <c r="U13" s="209">
        <f t="shared" si="0"/>
        <v>0.43538943203496472</v>
      </c>
      <c r="V13" s="139"/>
      <c r="W13" s="209"/>
      <c r="X13" s="132"/>
      <c r="Y13" s="132"/>
      <c r="Z13" s="132"/>
      <c r="AA13" s="132"/>
      <c r="AB13" s="132"/>
      <c r="AC13" s="132"/>
      <c r="AD13" s="132"/>
      <c r="AE13" s="139"/>
      <c r="AF13" s="139"/>
      <c r="AG13" s="139"/>
      <c r="AH13" s="139"/>
      <c r="AI13" s="139"/>
      <c r="AJ13" s="139"/>
      <c r="AK13" s="408">
        <v>6502059.6707999967</v>
      </c>
      <c r="AL13" s="1"/>
      <c r="AM13" s="32" cm="1">
        <f t="array" aca="1" ref="AM13" ca="1">INDIRECT("'1"&amp;$C$8&amp;"'!W13")</f>
        <v>4.8528057753338167</v>
      </c>
      <c r="AN13" s="524">
        <f t="shared" ca="1" si="1"/>
        <v>62048431.309772611</v>
      </c>
      <c r="AO13" s="524">
        <f t="shared" ca="1" si="2"/>
        <v>58234028.8018924</v>
      </c>
      <c r="AP13" s="524">
        <f t="shared" ca="1" si="3"/>
        <v>62048431.309772611</v>
      </c>
      <c r="AQ13" s="525">
        <f t="shared" si="4"/>
        <v>0.43538943203496472</v>
      </c>
      <c r="AR13" s="344">
        <f t="shared" ref="AR13:AR18" si="5">AQ13</f>
        <v>0.43538943203496472</v>
      </c>
      <c r="AS13" s="41">
        <f t="shared" ref="AS13:AS21" si="6">P13/P$22</f>
        <v>3.8781271743334345E-2</v>
      </c>
      <c r="AT13" s="1"/>
      <c r="AU13" s="1"/>
      <c r="AV13" s="1"/>
      <c r="AW13" s="1"/>
      <c r="AX13" s="1"/>
      <c r="AY13" s="1"/>
      <c r="AZ13" s="1"/>
      <c r="BA13" s="1"/>
      <c r="BB13" s="1"/>
      <c r="BC13" s="1"/>
      <c r="BD13" s="1"/>
      <c r="BE13" s="1"/>
      <c r="BF13" s="1"/>
      <c r="BG13" s="1"/>
      <c r="BH13" s="1"/>
      <c r="BI13" s="1"/>
      <c r="BJ13" s="1"/>
      <c r="BK13" s="1"/>
      <c r="BL13" s="1"/>
      <c r="BM13" s="1"/>
      <c r="BN13" s="1"/>
    </row>
    <row r="14" spans="1:66" x14ac:dyDescent="0.3">
      <c r="A14" s="1"/>
      <c r="B14" s="28">
        <v>3</v>
      </c>
      <c r="C14" s="129">
        <v>45157582.049999967</v>
      </c>
      <c r="D14" s="129">
        <v>40142053.122000009</v>
      </c>
      <c r="E14" s="129">
        <v>38043317.936400026</v>
      </c>
      <c r="F14" s="129">
        <v>29955703.610400002</v>
      </c>
      <c r="G14" s="129">
        <v>32751133.941600069</v>
      </c>
      <c r="H14" s="129">
        <v>108017518.80239993</v>
      </c>
      <c r="I14" s="129">
        <v>66993661.090799943</v>
      </c>
      <c r="J14" s="129">
        <v>81955590.089999974</v>
      </c>
      <c r="K14" s="129">
        <v>74168576.360400081</v>
      </c>
      <c r="L14" s="139"/>
      <c r="M14" s="139"/>
      <c r="N14" s="139"/>
      <c r="O14" s="139"/>
      <c r="P14" s="129">
        <v>738264992.25479972</v>
      </c>
      <c r="Q14" s="129">
        <v>783350289.42119932</v>
      </c>
      <c r="R14" s="129">
        <v>846010142.04960012</v>
      </c>
      <c r="S14" s="129">
        <v>941314742.04719949</v>
      </c>
      <c r="T14" s="129">
        <v>1051075933.5635989</v>
      </c>
      <c r="U14" s="209">
        <f t="shared" si="0"/>
        <v>0.42371092302970492</v>
      </c>
      <c r="V14" s="139"/>
      <c r="W14" s="209"/>
      <c r="X14" s="132"/>
      <c r="Y14" s="132"/>
      <c r="Z14" s="132"/>
      <c r="AA14" s="132"/>
      <c r="AB14" s="132"/>
      <c r="AC14" s="132"/>
      <c r="AD14" s="132"/>
      <c r="AE14" s="139"/>
      <c r="AF14" s="139"/>
      <c r="AG14" s="139"/>
      <c r="AH14" s="139"/>
      <c r="AI14" s="139"/>
      <c r="AJ14" s="139"/>
      <c r="AK14" s="408">
        <v>32751133.941600069</v>
      </c>
      <c r="AL14" s="1"/>
      <c r="AM14" s="32" cm="1">
        <f t="array" aca="1" ref="AM14" ca="1">INDIRECT("'1"&amp;$C$8&amp;"'!W14")</f>
        <v>3.1226058467560698</v>
      </c>
      <c r="AN14" s="524">
        <f t="shared" ca="1" si="1"/>
        <v>104904775.30768839</v>
      </c>
      <c r="AO14" s="524">
        <f t="shared" ca="1" si="2"/>
        <v>100991099.56325041</v>
      </c>
      <c r="AP14" s="524">
        <f t="shared" ca="1" si="3"/>
        <v>104904775.30768839</v>
      </c>
      <c r="AQ14" s="525">
        <f t="shared" si="4"/>
        <v>0.42371092302970492</v>
      </c>
      <c r="AR14" s="344">
        <f t="shared" si="5"/>
        <v>0.42371092302970492</v>
      </c>
      <c r="AS14" s="41">
        <f t="shared" si="6"/>
        <v>4.8661702233358146E-2</v>
      </c>
      <c r="AT14" s="1"/>
      <c r="AU14" s="1"/>
      <c r="AV14" s="1"/>
      <c r="AW14" s="1"/>
      <c r="AX14" s="1"/>
      <c r="AY14" s="1"/>
      <c r="AZ14" s="1"/>
      <c r="BA14" s="1"/>
      <c r="BB14" s="1"/>
      <c r="BC14" s="1"/>
      <c r="BD14" s="1"/>
      <c r="BE14" s="1"/>
      <c r="BF14" s="1"/>
      <c r="BG14" s="1"/>
      <c r="BH14" s="1"/>
      <c r="BI14" s="1"/>
      <c r="BJ14" s="1"/>
      <c r="BK14" s="1"/>
      <c r="BL14" s="1"/>
      <c r="BM14" s="1"/>
      <c r="BN14" s="1"/>
    </row>
    <row r="15" spans="1:66" x14ac:dyDescent="0.3">
      <c r="A15" s="1"/>
      <c r="B15" s="28">
        <v>4</v>
      </c>
      <c r="C15" s="129">
        <v>84644742.169200003</v>
      </c>
      <c r="D15" s="129">
        <v>78922027.935600057</v>
      </c>
      <c r="E15" s="129">
        <v>80332946.63519989</v>
      </c>
      <c r="F15" s="129">
        <v>77027612.78279984</v>
      </c>
      <c r="G15" s="129">
        <v>86403579.676800132</v>
      </c>
      <c r="H15" s="129">
        <v>163605848.58839995</v>
      </c>
      <c r="I15" s="129">
        <v>119799295.98120001</v>
      </c>
      <c r="J15" s="129">
        <v>136601764.23479998</v>
      </c>
      <c r="K15" s="129">
        <v>128093935.45079988</v>
      </c>
      <c r="L15" s="139"/>
      <c r="M15" s="139"/>
      <c r="N15" s="139"/>
      <c r="O15" s="139"/>
      <c r="P15" s="129">
        <v>926469501.42599988</v>
      </c>
      <c r="Q15" s="129">
        <v>976610929.27080011</v>
      </c>
      <c r="R15" s="129">
        <v>1066980871.9523985</v>
      </c>
      <c r="S15" s="129">
        <v>1177642545.0000005</v>
      </c>
      <c r="T15" s="129">
        <v>1301386376.2271996</v>
      </c>
      <c r="U15" s="209">
        <f t="shared" si="0"/>
        <v>0.40467265703203026</v>
      </c>
      <c r="V15" s="139"/>
      <c r="W15" s="209"/>
      <c r="X15" s="132"/>
      <c r="Y15" s="132"/>
      <c r="Z15" s="132"/>
      <c r="AA15" s="132"/>
      <c r="AB15" s="132"/>
      <c r="AC15" s="132"/>
      <c r="AD15" s="132"/>
      <c r="AE15" s="139"/>
      <c r="AF15" s="139"/>
      <c r="AG15" s="139"/>
      <c r="AH15" s="139"/>
      <c r="AI15" s="139"/>
      <c r="AJ15" s="139"/>
      <c r="AK15" s="408">
        <v>86403579.676800132</v>
      </c>
      <c r="AL15" s="1"/>
      <c r="AM15" s="32" cm="1">
        <f t="array" aca="1" ref="AM15" ca="1">INDIRECT("'1"&amp;$C$8&amp;"'!W15")</f>
        <v>2.3104676491882539</v>
      </c>
      <c r="AN15" s="524">
        <f t="shared" ca="1" si="1"/>
        <v>163786144.12704924</v>
      </c>
      <c r="AO15" s="524">
        <f t="shared" ca="1" si="2"/>
        <v>162081474.69508952</v>
      </c>
      <c r="AP15" s="524">
        <f t="shared" ca="1" si="3"/>
        <v>163786144.12704924</v>
      </c>
      <c r="AQ15" s="525">
        <f t="shared" si="4"/>
        <v>0.40467265703203026</v>
      </c>
      <c r="AR15" s="344">
        <f t="shared" si="5"/>
        <v>0.40467265703203026</v>
      </c>
      <c r="AS15" s="41">
        <f t="shared" si="6"/>
        <v>6.1066938673315752E-2</v>
      </c>
      <c r="AT15" s="1"/>
      <c r="AU15" s="1"/>
      <c r="AV15" s="1"/>
      <c r="AW15" s="1"/>
      <c r="AX15" s="1"/>
      <c r="AY15" s="1"/>
      <c r="AZ15" s="1"/>
      <c r="BA15" s="1"/>
      <c r="BB15" s="1"/>
      <c r="BC15" s="1"/>
      <c r="BD15" s="1"/>
      <c r="BE15" s="1"/>
      <c r="BF15" s="1"/>
      <c r="BG15" s="1"/>
      <c r="BH15" s="1"/>
      <c r="BI15" s="1"/>
      <c r="BJ15" s="1"/>
      <c r="BK15" s="1"/>
      <c r="BL15" s="1"/>
      <c r="BM15" s="1"/>
      <c r="BN15" s="1"/>
    </row>
    <row r="16" spans="1:66" x14ac:dyDescent="0.3">
      <c r="A16" s="1"/>
      <c r="B16" s="28">
        <v>5</v>
      </c>
      <c r="C16" s="129">
        <v>120900741.89159995</v>
      </c>
      <c r="D16" s="129">
        <v>116847391.4052</v>
      </c>
      <c r="E16" s="129">
        <v>121800282.86639994</v>
      </c>
      <c r="F16" s="129">
        <v>124186048.58759992</v>
      </c>
      <c r="G16" s="129">
        <v>140300371.2803998</v>
      </c>
      <c r="H16" s="129">
        <v>213540835.42320004</v>
      </c>
      <c r="I16" s="129">
        <v>169929698.05800003</v>
      </c>
      <c r="J16" s="129">
        <v>186865235.23799986</v>
      </c>
      <c r="K16" s="129">
        <v>178280472.63000011</v>
      </c>
      <c r="L16" s="139"/>
      <c r="M16" s="139"/>
      <c r="N16" s="139"/>
      <c r="O16" s="139"/>
      <c r="P16" s="129">
        <v>1100798638.0932012</v>
      </c>
      <c r="Q16" s="129">
        <v>1158198978.5676012</v>
      </c>
      <c r="R16" s="129">
        <v>1271843003.0064008</v>
      </c>
      <c r="S16" s="129">
        <v>1399123188.5904007</v>
      </c>
      <c r="T16" s="129">
        <v>1541678700.6516013</v>
      </c>
      <c r="U16" s="209">
        <f t="shared" si="0"/>
        <v>0.40050927326917019</v>
      </c>
      <c r="V16" s="139"/>
      <c r="W16" s="209"/>
      <c r="X16" s="132"/>
      <c r="Y16" s="132"/>
      <c r="Z16" s="132"/>
      <c r="AA16" s="132"/>
      <c r="AB16" s="132"/>
      <c r="AC16" s="132"/>
      <c r="AD16" s="132"/>
      <c r="AE16" s="139"/>
      <c r="AF16" s="139"/>
      <c r="AG16" s="139"/>
      <c r="AH16" s="139"/>
      <c r="AI16" s="139"/>
      <c r="AJ16" s="139"/>
      <c r="AK16" s="408">
        <v>140300371.2803998</v>
      </c>
      <c r="AL16" s="1"/>
      <c r="AM16" s="32" cm="1">
        <f t="array" aca="1" ref="AM16" ca="1">INDIRECT("'1"&amp;$C$8&amp;"'!W16")</f>
        <v>1.9407948740047405</v>
      </c>
      <c r="AN16" s="524">
        <f t="shared" ca="1" si="1"/>
        <v>214877655.62500483</v>
      </c>
      <c r="AO16" s="524">
        <f t="shared" ca="1" si="2"/>
        <v>213809304.97517627</v>
      </c>
      <c r="AP16" s="524">
        <f t="shared" ca="1" si="3"/>
        <v>214877655.62500483</v>
      </c>
      <c r="AQ16" s="525">
        <f t="shared" si="4"/>
        <v>0.40050927326917019</v>
      </c>
      <c r="AR16" s="344">
        <f t="shared" si="5"/>
        <v>0.40050927326917019</v>
      </c>
      <c r="AS16" s="41">
        <f t="shared" si="6"/>
        <v>7.2557599381997878E-2</v>
      </c>
      <c r="AT16" s="1"/>
      <c r="AU16" s="1"/>
      <c r="AV16" s="1"/>
      <c r="AW16" s="1"/>
      <c r="AX16" s="1"/>
      <c r="AY16" s="1"/>
      <c r="AZ16" s="1"/>
      <c r="BA16" s="1"/>
      <c r="BB16" s="1"/>
      <c r="BC16" s="1"/>
      <c r="BD16" s="1"/>
      <c r="BE16" s="1"/>
      <c r="BF16" s="1"/>
      <c r="BG16" s="1"/>
      <c r="BH16" s="1"/>
      <c r="BI16" s="1"/>
      <c r="BJ16" s="1"/>
      <c r="BK16" s="1"/>
      <c r="BL16" s="1"/>
      <c r="BM16" s="1"/>
      <c r="BN16" s="1"/>
    </row>
    <row r="17" spans="1:66" x14ac:dyDescent="0.3">
      <c r="A17" s="1"/>
      <c r="B17" s="28">
        <v>6</v>
      </c>
      <c r="C17" s="129">
        <v>163732840.85760006</v>
      </c>
      <c r="D17" s="129">
        <v>162698203.48920006</v>
      </c>
      <c r="E17" s="129">
        <v>172365656.09399998</v>
      </c>
      <c r="F17" s="129">
        <v>182295033.84480014</v>
      </c>
      <c r="G17" s="129">
        <v>205608759.04920003</v>
      </c>
      <c r="H17" s="129">
        <v>270650337.64079994</v>
      </c>
      <c r="I17" s="129">
        <v>229352557.36560017</v>
      </c>
      <c r="J17" s="129">
        <v>245672524.05960014</v>
      </c>
      <c r="K17" s="129">
        <v>237430831.46400023</v>
      </c>
      <c r="L17" s="139"/>
      <c r="M17" s="139"/>
      <c r="N17" s="139"/>
      <c r="O17" s="139"/>
      <c r="P17" s="129">
        <v>1295724428.7780004</v>
      </c>
      <c r="Q17" s="129">
        <v>1361494149.1788018</v>
      </c>
      <c r="R17" s="129">
        <v>1500990548.9496</v>
      </c>
      <c r="S17" s="129">
        <v>1648985610.9468012</v>
      </c>
      <c r="T17" s="129">
        <v>1813169481.3816009</v>
      </c>
      <c r="U17" s="209">
        <f t="shared" si="0"/>
        <v>0.39934807209863576</v>
      </c>
      <c r="V17" s="139"/>
      <c r="W17" s="209"/>
      <c r="X17" s="132"/>
      <c r="Y17" s="132"/>
      <c r="Z17" s="132"/>
      <c r="AA17" s="132"/>
      <c r="AB17" s="132"/>
      <c r="AC17" s="132"/>
      <c r="AD17" s="132"/>
      <c r="AE17" s="139"/>
      <c r="AF17" s="139"/>
      <c r="AG17" s="139"/>
      <c r="AH17" s="139"/>
      <c r="AI17" s="139"/>
      <c r="AJ17" s="139"/>
      <c r="AK17" s="408">
        <v>205608759.04920003</v>
      </c>
      <c r="AL17" s="1"/>
      <c r="AM17" s="32" cm="1">
        <f t="array" aca="1" ref="AM17" ca="1">INDIRECT("'1"&amp;$C$8&amp;"'!W17")</f>
        <v>1.6665530500494499</v>
      </c>
      <c r="AN17" s="524">
        <f t="shared" ca="1" si="1"/>
        <v>272702735.76952249</v>
      </c>
      <c r="AO17" s="524">
        <f t="shared" ca="1" si="2"/>
        <v>271777195.79277319</v>
      </c>
      <c r="AP17" s="524">
        <f t="shared" ca="1" si="3"/>
        <v>272702735.76952249</v>
      </c>
      <c r="AQ17" s="525">
        <f t="shared" si="4"/>
        <v>0.39934807209863576</v>
      </c>
      <c r="AR17" s="344">
        <f t="shared" si="5"/>
        <v>0.39934807209863576</v>
      </c>
      <c r="AS17" s="41">
        <f t="shared" si="6"/>
        <v>8.5405859672568266E-2</v>
      </c>
      <c r="AT17" s="1"/>
      <c r="AU17" s="1"/>
      <c r="AV17" s="1"/>
      <c r="AW17" s="1"/>
      <c r="AX17" s="1"/>
      <c r="AY17" s="1"/>
      <c r="AZ17" s="1"/>
      <c r="BA17" s="1"/>
      <c r="BB17" s="1"/>
      <c r="BC17" s="1"/>
      <c r="BD17" s="1"/>
      <c r="BE17" s="1"/>
      <c r="BF17" s="1"/>
      <c r="BG17" s="1"/>
      <c r="BH17" s="1"/>
      <c r="BI17" s="1"/>
      <c r="BJ17" s="1"/>
      <c r="BK17" s="1"/>
      <c r="BL17" s="1"/>
      <c r="BM17" s="1"/>
      <c r="BN17" s="1"/>
    </row>
    <row r="18" spans="1:66" x14ac:dyDescent="0.3">
      <c r="A18" s="1"/>
      <c r="B18" s="28">
        <v>7</v>
      </c>
      <c r="C18" s="129">
        <v>222457450.46640009</v>
      </c>
      <c r="D18" s="129">
        <v>225491106.37799969</v>
      </c>
      <c r="E18" s="129">
        <v>238771404.38640028</v>
      </c>
      <c r="F18" s="129">
        <v>256689004.64040011</v>
      </c>
      <c r="G18" s="129">
        <v>288470871.02879965</v>
      </c>
      <c r="H18" s="129">
        <v>350148694.68840027</v>
      </c>
      <c r="I18" s="129">
        <v>312012924.14160049</v>
      </c>
      <c r="J18" s="129">
        <v>327203323.53479958</v>
      </c>
      <c r="K18" s="129">
        <v>319620135.45479971</v>
      </c>
      <c r="L18" s="139"/>
      <c r="M18" s="139"/>
      <c r="N18" s="139"/>
      <c r="O18" s="139"/>
      <c r="P18" s="129">
        <v>1588943261.6819994</v>
      </c>
      <c r="Q18" s="129">
        <v>1669802307.1583998</v>
      </c>
      <c r="R18" s="129">
        <v>1843434098.8272004</v>
      </c>
      <c r="S18" s="129">
        <v>2024951818.5528002</v>
      </c>
      <c r="T18" s="129">
        <v>2225000040.4307995</v>
      </c>
      <c r="U18" s="209">
        <f t="shared" si="0"/>
        <v>0.40030175657467648</v>
      </c>
      <c r="V18" s="139"/>
      <c r="W18" s="209"/>
      <c r="X18" s="132"/>
      <c r="Y18" s="132"/>
      <c r="Z18" s="132"/>
      <c r="AA18" s="132"/>
      <c r="AB18" s="132"/>
      <c r="AC18" s="132"/>
      <c r="AD18" s="132"/>
      <c r="AE18" s="139"/>
      <c r="AF18" s="139"/>
      <c r="AG18" s="139"/>
      <c r="AH18" s="139"/>
      <c r="AI18" s="139"/>
      <c r="AJ18" s="139"/>
      <c r="AK18" s="408">
        <v>288470871.02879965</v>
      </c>
      <c r="AL18" s="1"/>
      <c r="AM18" s="32" cm="1">
        <f t="array" aca="1" ref="AM18" ca="1">INDIRECT("'1"&amp;$C$8&amp;"'!W18")</f>
        <v>1.477704709003155</v>
      </c>
      <c r="AN18" s="524">
        <f t="shared" ca="1" si="1"/>
        <v>354047214.66835499</v>
      </c>
      <c r="AO18" s="524">
        <f t="shared" ca="1" si="2"/>
        <v>352618713.41484129</v>
      </c>
      <c r="AP18" s="524">
        <f t="shared" ca="1" si="3"/>
        <v>354047214.66835499</v>
      </c>
      <c r="AQ18" s="525">
        <f t="shared" si="4"/>
        <v>0.40030175657467648</v>
      </c>
      <c r="AR18" s="344">
        <f t="shared" si="5"/>
        <v>0.40030175657467648</v>
      </c>
      <c r="AS18" s="41">
        <f t="shared" si="6"/>
        <v>0.10473296807629799</v>
      </c>
      <c r="AT18" s="1"/>
      <c r="AU18" s="1"/>
      <c r="AV18" s="1"/>
      <c r="AW18" s="1"/>
      <c r="AX18" s="1"/>
      <c r="AY18" s="1"/>
      <c r="AZ18" s="1"/>
      <c r="BA18" s="1"/>
      <c r="BB18" s="1"/>
      <c r="BC18" s="1"/>
      <c r="BD18" s="1"/>
      <c r="BE18" s="1"/>
      <c r="BF18" s="1"/>
      <c r="BG18" s="1"/>
      <c r="BH18" s="1"/>
      <c r="BI18" s="1"/>
      <c r="BJ18" s="1"/>
      <c r="BK18" s="1"/>
      <c r="BL18" s="1"/>
      <c r="BM18" s="1"/>
      <c r="BN18" s="1"/>
    </row>
    <row r="19" spans="1:66" x14ac:dyDescent="0.3">
      <c r="A19" s="1"/>
      <c r="B19" s="28">
        <v>8</v>
      </c>
      <c r="C19" s="129">
        <v>285059557.48320001</v>
      </c>
      <c r="D19" s="129">
        <v>292149241.76160008</v>
      </c>
      <c r="E19" s="129">
        <v>313489115.9544</v>
      </c>
      <c r="F19" s="129">
        <v>340950241.86960018</v>
      </c>
      <c r="G19" s="129">
        <v>381590366.76360017</v>
      </c>
      <c r="H19" s="129">
        <v>436901408.3039999</v>
      </c>
      <c r="I19" s="129">
        <v>398330688.55920029</v>
      </c>
      <c r="J19" s="129">
        <v>412993212.45840013</v>
      </c>
      <c r="K19" s="129">
        <v>405455183.98319954</v>
      </c>
      <c r="L19" s="139"/>
      <c r="M19" s="139"/>
      <c r="N19" s="139"/>
      <c r="O19" s="139"/>
      <c r="P19" s="129">
        <v>1898289166.3871999</v>
      </c>
      <c r="Q19" s="129">
        <v>1993250168.7096</v>
      </c>
      <c r="R19" s="129">
        <v>2203424070.4871969</v>
      </c>
      <c r="S19" s="129">
        <v>2419879033.8923998</v>
      </c>
      <c r="T19" s="129">
        <v>2651339248.6128006</v>
      </c>
      <c r="U19" s="209">
        <f t="shared" si="0"/>
        <v>0.39669935200588857</v>
      </c>
      <c r="V19" s="139"/>
      <c r="W19" s="209"/>
      <c r="X19" s="132"/>
      <c r="Y19" s="132"/>
      <c r="Z19" s="132"/>
      <c r="AA19" s="132"/>
      <c r="AB19" s="132"/>
      <c r="AC19" s="132"/>
      <c r="AD19" s="132"/>
      <c r="AE19" s="139"/>
      <c r="AF19" s="139"/>
      <c r="AG19" s="139"/>
      <c r="AH19" s="139"/>
      <c r="AI19" s="139"/>
      <c r="AJ19" s="139"/>
      <c r="AK19" s="408">
        <v>381590366.76360017</v>
      </c>
      <c r="AL19" s="1"/>
      <c r="AM19" s="32" cm="1">
        <f t="array" aca="1" ref="AM19" ca="1">INDIRECT("'1"&amp;$C$8&amp;"'!W19")</f>
        <v>1.3522471093406883</v>
      </c>
      <c r="AN19" s="524">
        <f t="shared" ca="1" si="1"/>
        <v>437975638.56235456</v>
      </c>
      <c r="AO19" s="524">
        <f t="shared" ca="1" si="2"/>
        <v>437689172.71135187</v>
      </c>
      <c r="AP19" s="524">
        <f t="shared" ca="1" si="3"/>
        <v>418858619.74946493</v>
      </c>
      <c r="AQ19" s="525">
        <f t="shared" si="4"/>
        <v>0.39669935200588857</v>
      </c>
      <c r="AR19" s="526">
        <f>U19-AP31*AS21/SUM(AS19:AS20)</f>
        <v>0.34710542491961882</v>
      </c>
      <c r="AS19" s="41">
        <f t="shared" si="6"/>
        <v>0.12512306981456089</v>
      </c>
      <c r="AT19" s="1"/>
      <c r="AU19" s="1"/>
      <c r="AV19" s="1"/>
      <c r="AW19" s="1"/>
      <c r="AX19" s="1"/>
      <c r="AY19" s="1"/>
      <c r="AZ19" s="1"/>
      <c r="BA19" s="1"/>
      <c r="BB19" s="1"/>
      <c r="BC19" s="1"/>
      <c r="BD19" s="1"/>
      <c r="BE19" s="1"/>
      <c r="BF19" s="1"/>
      <c r="BG19" s="1"/>
      <c r="BH19" s="1"/>
      <c r="BI19" s="1"/>
      <c r="BJ19" s="1"/>
      <c r="BK19" s="1"/>
      <c r="BL19" s="1"/>
      <c r="BM19" s="1"/>
      <c r="BN19" s="1"/>
    </row>
    <row r="20" spans="1:66" x14ac:dyDescent="0.3">
      <c r="A20" s="1"/>
      <c r="B20" s="28">
        <v>9</v>
      </c>
      <c r="C20" s="129">
        <v>399311968.53840023</v>
      </c>
      <c r="D20" s="129">
        <v>414444413.49119979</v>
      </c>
      <c r="E20" s="129">
        <v>452395296.97679991</v>
      </c>
      <c r="F20" s="129">
        <v>496215870.73200041</v>
      </c>
      <c r="G20" s="129">
        <v>550161550.22039974</v>
      </c>
      <c r="H20" s="129">
        <v>596119662.05399966</v>
      </c>
      <c r="I20" s="129">
        <v>554078747.41560006</v>
      </c>
      <c r="J20" s="129">
        <v>569437173.30600059</v>
      </c>
      <c r="K20" s="129">
        <v>561524870.92559946</v>
      </c>
      <c r="L20" s="139"/>
      <c r="M20" s="139"/>
      <c r="N20" s="139"/>
      <c r="O20" s="139"/>
      <c r="P20" s="129">
        <v>2463707781.8171978</v>
      </c>
      <c r="Q20" s="129">
        <v>2583586104.3071985</v>
      </c>
      <c r="R20" s="129">
        <v>2854869992.4504013</v>
      </c>
      <c r="S20" s="129">
        <v>3131859839.643599</v>
      </c>
      <c r="T20" s="129">
        <v>3423320614.0799975</v>
      </c>
      <c r="U20" s="209">
        <f t="shared" si="0"/>
        <v>0.38949945255074137</v>
      </c>
      <c r="V20" s="139"/>
      <c r="W20" s="209"/>
      <c r="X20" s="132"/>
      <c r="Y20" s="132"/>
      <c r="Z20" s="132"/>
      <c r="AA20" s="132"/>
      <c r="AB20" s="132"/>
      <c r="AC20" s="132"/>
      <c r="AD20" s="132"/>
      <c r="AE20" s="139"/>
      <c r="AF20" s="139"/>
      <c r="AG20" s="139"/>
      <c r="AH20" s="139"/>
      <c r="AI20" s="139"/>
      <c r="AJ20" s="139"/>
      <c r="AK20" s="408">
        <v>550161550.22039974</v>
      </c>
      <c r="AL20" s="1"/>
      <c r="AM20" s="32" cm="1">
        <f t="array" aca="1" ref="AM20" ca="1">INDIRECT("'1"&amp;$C$8&amp;"'!W20")</f>
        <v>1.2518000962140323</v>
      </c>
      <c r="AN20" s="524">
        <f t="shared" ca="1" si="1"/>
        <v>594006682.15873015</v>
      </c>
      <c r="AO20" s="524">
        <f t="shared" ca="1" si="2"/>
        <v>597234140.91251957</v>
      </c>
      <c r="AP20" s="524">
        <f t="shared" ca="1" si="3"/>
        <v>569216723.23032594</v>
      </c>
      <c r="AQ20" s="525">
        <f t="shared" si="4"/>
        <v>0.38949945255074137</v>
      </c>
      <c r="AR20" s="526">
        <f>U20-AP31*AS21/SUM(AS19:AS20)</f>
        <v>0.33990552546447161</v>
      </c>
      <c r="AS20" s="41">
        <f t="shared" si="6"/>
        <v>0.16239184537605486</v>
      </c>
      <c r="AT20" s="1"/>
      <c r="AU20" s="1"/>
      <c r="AV20" s="1"/>
      <c r="AW20" s="1"/>
      <c r="AX20" s="1"/>
      <c r="AY20" s="1"/>
      <c r="AZ20" s="1"/>
      <c r="BA20" s="1"/>
      <c r="BB20" s="1"/>
      <c r="BC20" s="1"/>
      <c r="BD20" s="1"/>
      <c r="BE20" s="1"/>
      <c r="BF20" s="1"/>
      <c r="BG20" s="1"/>
      <c r="BH20" s="1"/>
      <c r="BI20" s="1"/>
      <c r="BJ20" s="1"/>
      <c r="BK20" s="1"/>
      <c r="BL20" s="1"/>
      <c r="BM20" s="1"/>
      <c r="BN20" s="1"/>
    </row>
    <row r="21" spans="1:66" x14ac:dyDescent="0.3">
      <c r="A21" s="1"/>
      <c r="B21" s="33">
        <v>10</v>
      </c>
      <c r="C21" s="129">
        <v>782575742.83320069</v>
      </c>
      <c r="D21" s="129">
        <v>818107327.00559986</v>
      </c>
      <c r="E21" s="129">
        <v>904827296.8619988</v>
      </c>
      <c r="F21" s="129">
        <v>991218118.34879971</v>
      </c>
      <c r="G21" s="129">
        <v>1091785409.3555987</v>
      </c>
      <c r="H21" s="129">
        <v>1123416858.3371999</v>
      </c>
      <c r="I21" s="129">
        <v>1079458027.4388006</v>
      </c>
      <c r="J21" s="129">
        <v>1095797465.4516001</v>
      </c>
      <c r="K21" s="129">
        <v>1087618528.188</v>
      </c>
      <c r="L21" s="139"/>
      <c r="M21" s="139"/>
      <c r="N21" s="139"/>
      <c r="O21" s="139"/>
      <c r="P21" s="129">
        <v>4326571171.9956007</v>
      </c>
      <c r="Q21" s="129">
        <v>4528852381.4532013</v>
      </c>
      <c r="R21" s="129">
        <v>5004508764.7068024</v>
      </c>
      <c r="S21" s="129">
        <v>5471349048.7644024</v>
      </c>
      <c r="T21" s="129">
        <v>5979324994.7243996</v>
      </c>
      <c r="U21" s="209">
        <f t="shared" si="0"/>
        <v>0.38200084016333835</v>
      </c>
      <c r="V21" s="139"/>
      <c r="W21" s="209"/>
      <c r="X21" s="132"/>
      <c r="Y21" s="132"/>
      <c r="Z21" s="132"/>
      <c r="AA21" s="132"/>
      <c r="AB21" s="132"/>
      <c r="AC21" s="132"/>
      <c r="AD21" s="132"/>
      <c r="AE21" s="139"/>
      <c r="AF21" s="139"/>
      <c r="AG21" s="139"/>
      <c r="AH21" s="139"/>
      <c r="AI21" s="139"/>
      <c r="AJ21" s="139"/>
      <c r="AK21" s="408">
        <v>1091785409.3555987</v>
      </c>
      <c r="AL21" s="1"/>
      <c r="AM21" s="32" cm="1">
        <f t="array" aca="1" ref="AM21" ca="1">INDIRECT("'1"&amp;$C$8&amp;"'!W21")</f>
        <v>1.1433629732405111</v>
      </c>
      <c r="AN21" s="524">
        <f t="shared" ca="1" si="1"/>
        <v>1124377919.5232363</v>
      </c>
      <c r="AO21" s="524">
        <f t="shared" ca="1" si="2"/>
        <v>1136864725.3084397</v>
      </c>
      <c r="AP21" s="524">
        <f t="shared" ca="1" si="3"/>
        <v>1169116325.9288197</v>
      </c>
      <c r="AQ21" s="525">
        <f t="shared" si="4"/>
        <v>0.38200084016333835</v>
      </c>
      <c r="AR21" s="527">
        <f>U21+AP31</f>
        <v>0.43200084016333834</v>
      </c>
      <c r="AS21" s="41">
        <f t="shared" si="6"/>
        <v>0.28517987480356854</v>
      </c>
      <c r="AT21" s="1"/>
      <c r="AU21" s="1"/>
      <c r="AV21" s="1"/>
      <c r="AW21" s="1"/>
      <c r="AX21" s="1"/>
      <c r="AY21" s="1"/>
      <c r="AZ21" s="1"/>
      <c r="BA21" s="1"/>
      <c r="BB21" s="1"/>
      <c r="BC21" s="1"/>
      <c r="BD21" s="1"/>
      <c r="BE21" s="1"/>
      <c r="BF21" s="1"/>
      <c r="BG21" s="1"/>
      <c r="BH21" s="1"/>
      <c r="BI21" s="1"/>
      <c r="BJ21" s="1"/>
      <c r="BK21" s="1"/>
      <c r="BL21" s="1"/>
      <c r="BM21" s="1"/>
      <c r="BN21" s="1"/>
    </row>
    <row r="22" spans="1:66" ht="13.35" customHeight="1" x14ac:dyDescent="0.3">
      <c r="A22" s="1"/>
      <c r="B22" s="34" t="s">
        <v>114</v>
      </c>
      <c r="C22" s="150">
        <v>2125947316.2587936</v>
      </c>
      <c r="D22" s="150">
        <v>2167039290.7980051</v>
      </c>
      <c r="E22" s="150">
        <v>2334874282.9848027</v>
      </c>
      <c r="F22" s="150">
        <v>2505792665.1059976</v>
      </c>
      <c r="G22" s="150">
        <v>2784654477.2999964</v>
      </c>
      <c r="H22" s="150">
        <v>3342119325.5579967</v>
      </c>
      <c r="I22" s="150">
        <v>2965651029.0395908</v>
      </c>
      <c r="J22" s="150">
        <v>3106908193.1423988</v>
      </c>
      <c r="K22" s="150">
        <v>3034732649.2476006</v>
      </c>
      <c r="L22" s="139"/>
      <c r="M22" s="139"/>
      <c r="N22" s="139"/>
      <c r="O22" s="139"/>
      <c r="P22" s="150">
        <v>15171376223.429989</v>
      </c>
      <c r="Q22" s="150">
        <v>15941122464.972038</v>
      </c>
      <c r="R22" s="150">
        <v>17540481187.14122</v>
      </c>
      <c r="S22" s="150">
        <v>19276298435.359165</v>
      </c>
      <c r="T22" s="150">
        <v>21178576609.849232</v>
      </c>
      <c r="U22" s="210">
        <f t="shared" si="0"/>
        <v>0.39595619395042059</v>
      </c>
      <c r="V22" s="139"/>
      <c r="W22" s="210"/>
      <c r="X22" s="154"/>
      <c r="Y22" s="154"/>
      <c r="Z22" s="154"/>
      <c r="AA22" s="154"/>
      <c r="AB22" s="154"/>
      <c r="AC22" s="154"/>
      <c r="AD22" s="154"/>
      <c r="AE22" s="161"/>
      <c r="AF22" s="161"/>
      <c r="AG22" s="161"/>
      <c r="AH22" s="161"/>
      <c r="AI22" s="162"/>
      <c r="AJ22" s="162"/>
      <c r="AK22" s="409">
        <v>2784654477.2999964</v>
      </c>
      <c r="AL22" s="1"/>
      <c r="AM22" s="534" cm="1">
        <f t="array" aca="1" ref="AM22" ca="1">INDIRECT("'1"&amp;$C$8&amp;"'!W22")</f>
        <v>1.439871427179074</v>
      </c>
      <c r="AN22" s="528">
        <f ca="1">SUM(AN12:AN21)</f>
        <v>3335743479.248683</v>
      </c>
      <c r="AO22" s="528">
        <f ca="1">SUM(AO12:AO21)</f>
        <v>3337998151.0140033</v>
      </c>
      <c r="AP22" s="528">
        <f ca="1">SUM(AP12:AP21)</f>
        <v>3336574907.9129725</v>
      </c>
      <c r="AQ22" s="529">
        <f>SUMPRODUCT(AQ12:AQ21,AS12:AS21)</f>
        <v>0.39595619395041765</v>
      </c>
      <c r="AR22" s="529">
        <f>SUMPRODUCT(AR12:AR21,AS12:AS21)</f>
        <v>0.39595619395041765</v>
      </c>
      <c r="AS22" s="530"/>
      <c r="AT22" s="1"/>
      <c r="AU22" s="1"/>
      <c r="AV22" s="1"/>
      <c r="AW22" s="1"/>
      <c r="AX22" s="1"/>
      <c r="AY22" s="1"/>
      <c r="AZ22" s="1"/>
      <c r="BA22" s="1"/>
      <c r="BB22" s="1"/>
      <c r="BC22" s="1"/>
      <c r="BD22" s="1"/>
      <c r="BE22" s="1"/>
      <c r="BF22" s="1"/>
      <c r="BG22" s="1"/>
      <c r="BH22" s="1"/>
      <c r="BI22" s="1"/>
      <c r="BJ22" s="1"/>
      <c r="BK22" s="1"/>
      <c r="BL22" s="1"/>
      <c r="BM22" s="1"/>
      <c r="BN22" s="1"/>
    </row>
    <row r="23" spans="1:66" ht="12.6" customHeight="1" x14ac:dyDescent="0.3">
      <c r="A23" s="1"/>
      <c r="B23" s="1"/>
      <c r="C23" s="1"/>
      <c r="D23" s="1"/>
      <c r="E23" s="1"/>
      <c r="G23" s="1"/>
      <c r="H23" s="32"/>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531"/>
      <c r="AO23" s="531"/>
      <c r="AP23" s="1"/>
      <c r="AQ23" s="1"/>
      <c r="AR23" s="525">
        <f>U22</f>
        <v>0.39595619395042059</v>
      </c>
      <c r="AS23" s="1"/>
      <c r="AT23" s="1"/>
      <c r="AU23" s="1"/>
      <c r="AV23" s="1"/>
      <c r="AW23" s="1"/>
      <c r="AX23" s="1"/>
      <c r="AY23" s="1"/>
      <c r="AZ23" s="1"/>
      <c r="BA23" s="1"/>
      <c r="BB23" s="1"/>
      <c r="BC23" s="1"/>
      <c r="BD23" s="1"/>
      <c r="BE23" s="1"/>
      <c r="BF23" s="1"/>
      <c r="BG23" s="1"/>
      <c r="BH23" s="1"/>
      <c r="BI23" s="1"/>
      <c r="BJ23" s="1"/>
      <c r="BK23" s="1"/>
      <c r="BL23" s="1"/>
      <c r="BM23" s="1"/>
      <c r="BN23" s="1"/>
    </row>
    <row r="24" spans="1:66" ht="14.1" customHeight="1" x14ac:dyDescent="0.3">
      <c r="A24" s="1"/>
      <c r="B24" s="1"/>
      <c r="C24" s="1"/>
      <c r="D24" s="1"/>
      <c r="E24" s="1"/>
      <c r="F24" s="1"/>
      <c r="G24" s="11" t="s">
        <v>151</v>
      </c>
      <c r="H24" s="212">
        <f>U22</f>
        <v>0.39595619395042059</v>
      </c>
      <c r="I24" s="1"/>
      <c r="J24" s="1"/>
      <c r="K24" s="11" t="s">
        <v>151</v>
      </c>
      <c r="L24" s="212">
        <v>0.1</v>
      </c>
      <c r="M24" s="1"/>
      <c r="O24" s="1"/>
      <c r="P24" s="1"/>
      <c r="Q24" s="1"/>
      <c r="R24" s="1"/>
      <c r="S24" s="1"/>
      <c r="T24" s="1"/>
      <c r="U24" s="1"/>
      <c r="V24" s="1"/>
      <c r="W24" s="1"/>
      <c r="X24" s="1"/>
      <c r="Y24" s="55"/>
      <c r="Z24" s="55"/>
      <c r="AA24" s="55"/>
      <c r="AB24" s="55"/>
      <c r="AC24" s="55"/>
      <c r="AD24" s="55"/>
      <c r="AE24" s="55"/>
      <c r="AF24" s="55"/>
      <c r="AG24" s="55"/>
      <c r="AH24" s="1"/>
      <c r="AI24" s="1"/>
      <c r="AJ24" s="1"/>
      <c r="AK24" s="1"/>
      <c r="AL24" s="1"/>
      <c r="AM24" s="1"/>
      <c r="AN24" s="531">
        <f ca="1">AN22/G22-1</f>
        <v>0.19790211189254014</v>
      </c>
      <c r="AO24" s="531"/>
      <c r="AP24" s="1"/>
      <c r="AQ24" s="1"/>
      <c r="AR24" s="532" t="str">
        <f>IF(AR23-AR22&lt;0.0000000001,"ok","wrong")</f>
        <v>ok</v>
      </c>
      <c r="AS24" s="1"/>
      <c r="AT24" s="1"/>
      <c r="AU24" s="1"/>
      <c r="AV24" s="1"/>
      <c r="AW24" s="1"/>
      <c r="AX24" s="1"/>
      <c r="AY24" s="1"/>
      <c r="AZ24" s="1"/>
      <c r="BA24" s="1"/>
      <c r="BB24" s="1"/>
      <c r="BC24" s="1"/>
      <c r="BD24" s="1"/>
      <c r="BE24" s="1"/>
      <c r="BF24" s="1"/>
      <c r="BG24" s="1"/>
      <c r="BH24" s="1"/>
      <c r="BI24" s="1"/>
      <c r="BJ24" s="1"/>
      <c r="BK24" s="1"/>
      <c r="BL24" s="1"/>
      <c r="BM24" s="1"/>
      <c r="BN24" s="1"/>
    </row>
    <row r="25" spans="1:66" ht="14.1" customHeight="1" x14ac:dyDescent="0.3">
      <c r="A25" s="1"/>
      <c r="B25" s="1"/>
      <c r="C25" s="1"/>
      <c r="D25" s="1"/>
      <c r="E25" s="1"/>
      <c r="F25" s="1"/>
      <c r="G25" s="11" t="s">
        <v>152</v>
      </c>
      <c r="H25" s="213">
        <v>0.24460000000000001</v>
      </c>
      <c r="I25" s="1"/>
      <c r="J25" s="1"/>
      <c r="K25" s="11" t="s">
        <v>152</v>
      </c>
      <c r="L25" s="139"/>
      <c r="M25" s="1"/>
      <c r="N25" s="1"/>
      <c r="O25" s="1"/>
      <c r="P25" s="1"/>
      <c r="Q25" s="1"/>
      <c r="R25" s="1"/>
      <c r="S25" s="1"/>
      <c r="T25" s="1"/>
      <c r="U25" s="1"/>
      <c r="V25" s="1"/>
      <c r="W25" s="1"/>
      <c r="X25" s="1"/>
      <c r="Y25" s="55"/>
      <c r="Z25" s="55"/>
      <c r="AA25" s="55"/>
      <c r="AB25" s="55"/>
      <c r="AC25" s="55"/>
      <c r="AD25" s="55"/>
      <c r="AE25" s="55"/>
      <c r="AF25" s="55"/>
      <c r="AG25" s="55"/>
      <c r="AH25" s="1"/>
      <c r="AI25" s="1"/>
      <c r="AJ25" s="1"/>
      <c r="AK25" s="1"/>
      <c r="AL25" s="1"/>
      <c r="AM25" s="1"/>
      <c r="AN25" s="1"/>
      <c r="AO25" s="531"/>
      <c r="AP25" s="1"/>
      <c r="AQ25" s="1"/>
      <c r="AR25" s="532" t="str">
        <f>IF(AQ22-AR22&lt;0.0000000001,"ok","wrong")</f>
        <v>ok</v>
      </c>
      <c r="AS25" s="1"/>
      <c r="AT25" s="1"/>
      <c r="AU25" s="1"/>
      <c r="AV25" s="1"/>
      <c r="AW25" s="1"/>
      <c r="AX25" s="1"/>
      <c r="AY25" s="1"/>
      <c r="AZ25" s="1"/>
      <c r="BA25" s="1"/>
      <c r="BB25" s="1"/>
      <c r="BC25" s="1"/>
      <c r="BD25" s="1"/>
      <c r="BE25" s="1"/>
      <c r="BF25" s="1"/>
      <c r="BG25" s="1"/>
      <c r="BH25" s="1"/>
      <c r="BI25" s="1"/>
      <c r="BJ25" s="1"/>
      <c r="BK25" s="1"/>
      <c r="BL25" s="1"/>
      <c r="BM25" s="1"/>
      <c r="BN25" s="1"/>
    </row>
    <row r="26" spans="1:66" ht="14.1" customHeight="1" x14ac:dyDescent="0.3">
      <c r="A26" s="1"/>
      <c r="B26" s="1"/>
      <c r="C26" s="1"/>
      <c r="D26" s="1"/>
      <c r="E26" s="1"/>
      <c r="F26" s="1"/>
      <c r="G26" s="11" t="s">
        <v>153</v>
      </c>
      <c r="H26" s="213">
        <v>0.3211</v>
      </c>
      <c r="I26" s="1"/>
      <c r="J26" s="1"/>
      <c r="K26" s="11" t="s">
        <v>153</v>
      </c>
      <c r="L26" s="139"/>
      <c r="M26" s="1"/>
      <c r="N26" s="1"/>
      <c r="O26" s="1"/>
      <c r="P26" s="1"/>
      <c r="Q26" s="1"/>
      <c r="R26" s="1"/>
      <c r="S26" s="1"/>
      <c r="T26" s="1"/>
      <c r="U26" s="1"/>
      <c r="V26" s="1"/>
      <c r="W26" s="1"/>
      <c r="X26" s="1"/>
      <c r="Y26" s="55"/>
      <c r="Z26" s="55"/>
      <c r="AA26" s="55"/>
      <c r="AB26" s="55"/>
      <c r="AC26" s="55"/>
      <c r="AD26" s="55"/>
      <c r="AE26" s="55"/>
      <c r="AF26" s="55"/>
      <c r="AG26" s="55"/>
      <c r="AH26" s="1"/>
      <c r="AI26" s="1"/>
      <c r="AJ26" s="1"/>
      <c r="AK26" s="1"/>
      <c r="AL26" s="1"/>
      <c r="AM26" s="8" t="s">
        <v>571</v>
      </c>
      <c r="AN26" s="533"/>
      <c r="AO26" s="535">
        <f ca="1">AO22/$AN22-1</f>
        <v>6.7591281504308931E-4</v>
      </c>
      <c r="AP26" s="536">
        <f ca="1">AP22/$AN22-1</f>
        <v>2.4924838179596343E-4</v>
      </c>
      <c r="AQ26" s="1"/>
      <c r="AR26" s="1"/>
      <c r="AS26" s="1"/>
      <c r="AT26" s="1"/>
      <c r="AU26" s="1"/>
      <c r="AV26" s="1"/>
      <c r="AW26" s="1"/>
      <c r="AX26" s="1"/>
      <c r="AY26" s="1"/>
      <c r="AZ26" s="1"/>
      <c r="BA26" s="1"/>
      <c r="BB26" s="1"/>
      <c r="BC26" s="1"/>
      <c r="BD26" s="1"/>
      <c r="BE26" s="1"/>
      <c r="BF26" s="1"/>
      <c r="BG26" s="1"/>
      <c r="BH26" s="1"/>
      <c r="BI26" s="1"/>
      <c r="BJ26" s="1"/>
      <c r="BK26" s="1"/>
      <c r="BL26" s="1"/>
      <c r="BM26" s="1"/>
      <c r="BN26" s="1"/>
    </row>
    <row r="27" spans="1:66" ht="9" customHeight="1" x14ac:dyDescent="0.3">
      <c r="A27" s="1"/>
      <c r="B27" s="1"/>
      <c r="C27" s="1"/>
      <c r="D27" s="1"/>
      <c r="E27" s="1"/>
      <c r="F27" s="1"/>
      <c r="G27" s="1"/>
      <c r="H27" s="1"/>
      <c r="I27" s="1"/>
      <c r="J27" s="1"/>
      <c r="K27" s="1"/>
      <c r="L27" s="1"/>
      <c r="M27" s="1"/>
      <c r="N27" s="1"/>
      <c r="O27" s="1"/>
      <c r="P27" s="1"/>
      <c r="Q27" s="1"/>
      <c r="R27" s="1"/>
      <c r="S27" s="1"/>
      <c r="T27" s="55"/>
      <c r="U27" s="55"/>
      <c r="V27" s="55"/>
      <c r="W27" s="55"/>
      <c r="X27" s="55"/>
      <c r="Y27" s="55"/>
      <c r="Z27" s="55"/>
      <c r="AA27" s="55"/>
      <c r="AB27" s="55"/>
      <c r="AC27" s="55"/>
      <c r="AD27" s="55"/>
      <c r="AE27" s="55"/>
      <c r="AF27" s="55"/>
      <c r="AG27" s="55"/>
      <c r="AH27" s="1"/>
      <c r="AI27" s="1"/>
      <c r="AJ27" s="1"/>
      <c r="AK27" s="1"/>
      <c r="AL27" s="1"/>
      <c r="AM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row>
    <row r="28" spans="1:66" ht="12" customHeight="1" thickBot="1" x14ac:dyDescent="0.35">
      <c r="A28" s="214"/>
      <c r="B28" s="214"/>
      <c r="C28" s="214"/>
      <c r="D28" s="214"/>
      <c r="E28" s="214"/>
      <c r="F28" s="214"/>
      <c r="G28" s="214"/>
      <c r="H28" s="214"/>
      <c r="I28" s="214"/>
      <c r="J28" s="214"/>
      <c r="K28" s="214"/>
      <c r="L28" s="214"/>
      <c r="M28" s="214"/>
      <c r="N28" s="214"/>
      <c r="O28" s="214"/>
      <c r="P28" s="214"/>
      <c r="Q28" s="214"/>
      <c r="R28" s="214"/>
      <c r="S28" s="214"/>
      <c r="T28" s="215"/>
      <c r="U28" s="215"/>
      <c r="V28" s="215"/>
      <c r="W28" s="215"/>
      <c r="X28" s="215"/>
      <c r="Y28" s="215"/>
      <c r="Z28" s="215"/>
      <c r="AA28" s="214"/>
      <c r="AB28" s="214"/>
      <c r="AC28" s="214"/>
      <c r="AD28" s="214"/>
      <c r="AE28" s="214"/>
      <c r="AF28" s="214"/>
      <c r="AG28" s="214"/>
      <c r="AH28" s="214"/>
      <c r="AI28" s="214"/>
      <c r="AJ28" s="1"/>
      <c r="AK28" s="1"/>
      <c r="AL28" s="1"/>
      <c r="AM28" s="8" t="s">
        <v>572</v>
      </c>
      <c r="AN28" s="8"/>
      <c r="AO28" s="535">
        <f ca="1">(AO22-$AN22)/($W$37*1000000)</f>
        <v>8.1256265226356938E-3</v>
      </c>
      <c r="AP28" s="536">
        <f ca="1">(AP22-$AN22)/($W$37*1000000)</f>
        <v>2.9963912752818699E-3</v>
      </c>
      <c r="AQ28" s="1"/>
      <c r="AR28" s="1"/>
      <c r="AS28" s="1"/>
      <c r="AT28" s="1"/>
      <c r="AU28" s="1"/>
      <c r="AV28" s="1"/>
      <c r="AW28" s="1"/>
      <c r="AX28" s="1"/>
      <c r="AY28" s="1"/>
      <c r="AZ28" s="1"/>
      <c r="BA28" s="1"/>
      <c r="BB28" s="1"/>
      <c r="BC28" s="1"/>
      <c r="BD28" s="1"/>
      <c r="BE28" s="1"/>
      <c r="BF28" s="1"/>
      <c r="BG28" s="1"/>
      <c r="BH28" s="1"/>
      <c r="BI28" s="1"/>
      <c r="BJ28" s="1"/>
      <c r="BK28" s="1"/>
      <c r="BL28" s="1"/>
      <c r="BM28" s="1"/>
      <c r="BN28" s="1"/>
    </row>
    <row r="29" spans="1:66" ht="12" customHeight="1" thickBot="1" x14ac:dyDescent="0.35">
      <c r="A29" s="214"/>
      <c r="B29" s="216" t="s">
        <v>154</v>
      </c>
      <c r="C29" s="217"/>
      <c r="D29" s="217"/>
      <c r="E29" s="217"/>
      <c r="F29" s="217"/>
      <c r="G29" s="217"/>
      <c r="H29" s="217"/>
      <c r="I29" s="217"/>
      <c r="J29" s="217"/>
      <c r="K29" s="217"/>
      <c r="L29" s="217"/>
      <c r="M29" s="217"/>
      <c r="N29" s="217"/>
      <c r="O29" s="217"/>
      <c r="P29" s="217"/>
      <c r="Q29" s="217"/>
      <c r="R29" s="217"/>
      <c r="S29" s="217"/>
      <c r="T29" s="218"/>
      <c r="U29" s="218"/>
      <c r="V29" s="219"/>
      <c r="W29" s="215"/>
      <c r="X29" s="215"/>
      <c r="Y29" s="215"/>
      <c r="Z29" s="215"/>
      <c r="AA29" s="214"/>
      <c r="AB29" s="214"/>
      <c r="AC29" s="214"/>
      <c r="AD29" s="214"/>
      <c r="AE29" s="214"/>
      <c r="AF29" s="214"/>
      <c r="AG29" s="214"/>
      <c r="AH29" s="214"/>
      <c r="AI29" s="214"/>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row>
    <row r="30" spans="1:66" ht="21.6" customHeight="1" thickBot="1" x14ac:dyDescent="0.35">
      <c r="A30" s="214"/>
      <c r="B30" s="220"/>
      <c r="C30" s="214"/>
      <c r="D30" s="214"/>
      <c r="E30" s="214"/>
      <c r="F30" s="214"/>
      <c r="G30" s="214"/>
      <c r="H30" s="214"/>
      <c r="I30" s="214"/>
      <c r="J30" s="214"/>
      <c r="K30" s="214"/>
      <c r="L30" s="214"/>
      <c r="M30" s="214"/>
      <c r="N30" s="214"/>
      <c r="O30" s="214"/>
      <c r="P30" s="214"/>
      <c r="Q30" s="214"/>
      <c r="R30" s="214"/>
      <c r="S30" s="214"/>
      <c r="T30" s="214"/>
      <c r="U30" s="214"/>
      <c r="V30" s="214"/>
      <c r="W30" s="214"/>
      <c r="X30" s="214"/>
      <c r="Y30" s="214"/>
      <c r="Z30" s="214"/>
      <c r="AA30" s="214"/>
      <c r="AB30" s="214"/>
      <c r="AC30" s="216" t="s">
        <v>158</v>
      </c>
      <c r="AD30" s="221"/>
      <c r="AE30" s="214"/>
      <c r="AF30" s="214"/>
      <c r="AG30" s="214"/>
      <c r="AH30" s="214"/>
      <c r="AI30" s="214"/>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row>
    <row r="31" spans="1:66" ht="21" customHeight="1" thickBot="1" x14ac:dyDescent="0.35">
      <c r="A31" s="214"/>
      <c r="B31" s="216" t="s">
        <v>159</v>
      </c>
      <c r="C31" s="221"/>
      <c r="D31" s="223"/>
      <c r="E31" s="222" t="s">
        <v>160</v>
      </c>
      <c r="F31" s="222" t="s">
        <v>160</v>
      </c>
      <c r="G31" s="223"/>
      <c r="H31" s="224" t="s">
        <v>161</v>
      </c>
      <c r="I31" s="222"/>
      <c r="J31" s="222"/>
      <c r="K31" s="222"/>
      <c r="L31" s="222"/>
      <c r="M31" s="223"/>
      <c r="N31" s="216" t="s">
        <v>162</v>
      </c>
      <c r="O31" s="221"/>
      <c r="P31" s="222" t="s">
        <v>163</v>
      </c>
      <c r="Q31" s="222"/>
      <c r="R31" s="222"/>
      <c r="S31" s="223"/>
      <c r="T31" s="224" t="s">
        <v>164</v>
      </c>
      <c r="U31" s="222"/>
      <c r="V31" s="222"/>
      <c r="W31" s="223"/>
      <c r="X31" s="225" t="s">
        <v>165</v>
      </c>
      <c r="Y31" s="222"/>
      <c r="Z31" s="222"/>
      <c r="AA31" s="223"/>
      <c r="AB31" s="214"/>
      <c r="AC31" s="347" t="s">
        <v>163</v>
      </c>
      <c r="AD31" s="348"/>
      <c r="AE31" s="223"/>
      <c r="AF31" s="224" t="s">
        <v>164</v>
      </c>
      <c r="AG31" s="222"/>
      <c r="AH31" s="223"/>
      <c r="AI31" s="214"/>
      <c r="AJ31" s="1"/>
      <c r="AK31" s="1"/>
      <c r="AL31" s="1"/>
      <c r="AM31" s="1"/>
      <c r="AN31" s="1"/>
      <c r="AO31" s="8" t="s">
        <v>567</v>
      </c>
      <c r="AP31" s="10">
        <v>0.05</v>
      </c>
      <c r="AQ31" s="1"/>
      <c r="AR31" s="1"/>
      <c r="AS31" s="1"/>
      <c r="AT31" s="1"/>
      <c r="AU31" s="1"/>
      <c r="AV31" s="1"/>
      <c r="AW31" s="1"/>
      <c r="AX31" s="1"/>
      <c r="AY31" s="1"/>
      <c r="AZ31" s="1"/>
      <c r="BA31" s="1"/>
      <c r="BB31" s="1"/>
      <c r="BC31" s="1"/>
      <c r="BD31" s="1"/>
      <c r="BE31" s="1"/>
      <c r="BF31" s="1"/>
      <c r="BG31" s="1"/>
      <c r="BH31" s="1"/>
      <c r="BI31" s="1"/>
      <c r="BJ31" s="1"/>
      <c r="BK31" s="1"/>
      <c r="BL31" s="1"/>
      <c r="BM31" s="1"/>
      <c r="BN31" s="1"/>
    </row>
    <row r="32" spans="1:66" ht="51" customHeight="1" x14ac:dyDescent="0.3">
      <c r="A32" s="214"/>
      <c r="B32" s="226"/>
      <c r="C32" s="227" t="s">
        <v>166</v>
      </c>
      <c r="D32" s="228" t="s">
        <v>167</v>
      </c>
      <c r="E32" s="228" t="s">
        <v>168</v>
      </c>
      <c r="F32" s="410" t="s">
        <v>169</v>
      </c>
      <c r="G32" s="228" t="s">
        <v>170</v>
      </c>
      <c r="H32" s="228" t="s">
        <v>171</v>
      </c>
      <c r="I32" s="229" t="s">
        <v>172</v>
      </c>
      <c r="J32" s="229" t="s">
        <v>173</v>
      </c>
      <c r="K32" s="230" t="s">
        <v>174</v>
      </c>
      <c r="L32" s="229" t="s">
        <v>175</v>
      </c>
      <c r="M32" s="411" t="s">
        <v>176</v>
      </c>
      <c r="N32" s="227"/>
      <c r="O32" s="227" t="s">
        <v>177</v>
      </c>
      <c r="P32" s="231" t="s">
        <v>178</v>
      </c>
      <c r="Q32" s="231" t="s">
        <v>179</v>
      </c>
      <c r="R32" s="231" t="s">
        <v>180</v>
      </c>
      <c r="S32" s="231" t="s">
        <v>181</v>
      </c>
      <c r="T32" s="231" t="s">
        <v>182</v>
      </c>
      <c r="U32" s="231" t="s">
        <v>183</v>
      </c>
      <c r="V32" s="231" t="s">
        <v>184</v>
      </c>
      <c r="W32" s="231" t="s">
        <v>185</v>
      </c>
      <c r="X32" s="231" t="s">
        <v>186</v>
      </c>
      <c r="Y32" s="231" t="s">
        <v>187</v>
      </c>
      <c r="Z32" s="231" t="s">
        <v>188</v>
      </c>
      <c r="AA32" s="231" t="s">
        <v>189</v>
      </c>
      <c r="AB32" s="214"/>
      <c r="AC32" s="231" t="s">
        <v>178</v>
      </c>
      <c r="AD32" s="231" t="s">
        <v>179</v>
      </c>
      <c r="AE32" s="231" t="s">
        <v>180</v>
      </c>
      <c r="AF32" s="231" t="s">
        <v>182</v>
      </c>
      <c r="AG32" s="231" t="s">
        <v>183</v>
      </c>
      <c r="AH32" s="231" t="s">
        <v>184</v>
      </c>
      <c r="AI32" s="214"/>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row>
    <row r="33" spans="1:66" ht="15.6" customHeight="1" x14ac:dyDescent="0.3">
      <c r="A33" s="214"/>
      <c r="B33" s="232">
        <v>2019</v>
      </c>
      <c r="C33" s="233">
        <f>C22</f>
        <v>2125947316.2587936</v>
      </c>
      <c r="D33" s="146">
        <v>29567.001</v>
      </c>
      <c r="E33" s="259">
        <f>(F33/1000000/D33)*100</f>
        <v>6.6883178310847295</v>
      </c>
      <c r="F33" s="350">
        <v>1977535000.0000002</v>
      </c>
      <c r="G33" s="234">
        <f>F33/C33</f>
        <v>0.93019003099288144</v>
      </c>
      <c r="H33" s="235">
        <f>C33*G33</f>
        <v>1977535000.0000002</v>
      </c>
      <c r="I33" s="235" t="s">
        <v>113</v>
      </c>
      <c r="J33" s="235" t="s">
        <v>113</v>
      </c>
      <c r="K33" s="235" t="s">
        <v>113</v>
      </c>
      <c r="L33" s="235" t="s">
        <v>113</v>
      </c>
      <c r="M33" s="214"/>
      <c r="N33" s="232">
        <v>2019</v>
      </c>
      <c r="O33" s="236">
        <f>G33</f>
        <v>0.93019003099288144</v>
      </c>
      <c r="P33" s="237"/>
      <c r="Q33" s="237"/>
      <c r="R33" s="237"/>
      <c r="S33" s="237"/>
      <c r="T33" s="237"/>
      <c r="U33" s="237"/>
      <c r="V33" s="238"/>
      <c r="W33" s="238"/>
      <c r="X33" s="238"/>
      <c r="Y33" s="238"/>
      <c r="Z33" s="238"/>
      <c r="AA33" s="238"/>
      <c r="AB33" s="214"/>
      <c r="AC33" s="237"/>
      <c r="AD33" s="237"/>
      <c r="AE33" s="237"/>
      <c r="AF33" s="237"/>
      <c r="AG33" s="237"/>
      <c r="AH33" s="238"/>
      <c r="AI33" s="214"/>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row>
    <row r="34" spans="1:66" s="51" customFormat="1" ht="15.6" customHeight="1" x14ac:dyDescent="0.3">
      <c r="A34" s="239"/>
      <c r="B34" s="240">
        <v>2020</v>
      </c>
      <c r="C34" s="241">
        <f>D22</f>
        <v>2167039290.7980051</v>
      </c>
      <c r="D34" s="146">
        <v>29224.341</v>
      </c>
      <c r="E34" s="259">
        <f t="shared" ref="E34:E36" si="7">(F34/1000000/D34)*100</f>
        <v>6.1725018880665274</v>
      </c>
      <c r="F34" s="350">
        <v>1803873000.0000002</v>
      </c>
      <c r="G34" s="234">
        <f>F34/C34</f>
        <v>0.832413610431461</v>
      </c>
      <c r="H34" s="242">
        <f>C34*G34</f>
        <v>1803873000.0000002</v>
      </c>
      <c r="I34" s="243"/>
      <c r="J34" s="243"/>
      <c r="K34" s="243"/>
      <c r="L34" s="243"/>
      <c r="M34" s="214"/>
      <c r="N34" s="240">
        <v>2020</v>
      </c>
      <c r="O34" s="244"/>
      <c r="P34" s="245"/>
      <c r="Q34" s="245"/>
      <c r="R34" s="245"/>
      <c r="S34" s="245"/>
      <c r="T34" s="245"/>
      <c r="U34" s="245"/>
      <c r="V34" s="245"/>
      <c r="W34" s="245"/>
      <c r="X34" s="245"/>
      <c r="Y34" s="245"/>
      <c r="Z34" s="245"/>
      <c r="AA34" s="245"/>
      <c r="AB34" s="239"/>
      <c r="AC34" s="245"/>
      <c r="AD34" s="245"/>
      <c r="AE34" s="245"/>
      <c r="AF34" s="245"/>
      <c r="AG34" s="245"/>
      <c r="AH34" s="245"/>
      <c r="AI34" s="239"/>
      <c r="AJ34" s="47"/>
      <c r="AK34" s="47"/>
      <c r="AL34" s="47"/>
      <c r="AM34" s="47"/>
      <c r="AN34" s="47"/>
      <c r="AO34" s="47"/>
      <c r="AP34" s="47"/>
      <c r="AQ34" s="47"/>
      <c r="AR34" s="47"/>
      <c r="AS34" s="47"/>
      <c r="AT34" s="47"/>
      <c r="AU34" s="47"/>
      <c r="AV34" s="47"/>
      <c r="AW34" s="47"/>
      <c r="AX34" s="47"/>
      <c r="AY34" s="47"/>
      <c r="AZ34" s="47"/>
      <c r="BA34" s="47"/>
      <c r="BB34" s="47"/>
      <c r="BC34" s="47"/>
      <c r="BD34" s="47"/>
      <c r="BE34" s="47"/>
      <c r="BF34" s="47"/>
      <c r="BG34" s="47"/>
      <c r="BH34" s="47"/>
      <c r="BI34" s="47"/>
      <c r="BJ34" s="47"/>
      <c r="BK34" s="47"/>
      <c r="BL34" s="47"/>
      <c r="BM34" s="47"/>
      <c r="BN34" s="47"/>
    </row>
    <row r="35" spans="1:66" ht="15.6" customHeight="1" x14ac:dyDescent="0.3">
      <c r="A35" s="214"/>
      <c r="B35" s="232">
        <v>2021</v>
      </c>
      <c r="C35" s="241">
        <f>E22</f>
        <v>2334874282.9848027</v>
      </c>
      <c r="D35" s="146">
        <v>32285.298999999999</v>
      </c>
      <c r="E35" s="259">
        <f t="shared" si="7"/>
        <v>6.2194468138579113</v>
      </c>
      <c r="F35" s="350">
        <v>2007967000</v>
      </c>
      <c r="G35" s="234">
        <f>F35/C35</f>
        <v>0.8599893427380173</v>
      </c>
      <c r="H35" s="242">
        <f>C35*G35</f>
        <v>2007967000</v>
      </c>
      <c r="I35" s="243"/>
      <c r="J35" s="243"/>
      <c r="K35" s="243"/>
      <c r="L35" s="243"/>
      <c r="M35" s="214"/>
      <c r="N35" s="232">
        <v>2021</v>
      </c>
      <c r="O35" s="244"/>
      <c r="P35" s="246"/>
      <c r="Q35" s="246"/>
      <c r="R35" s="246"/>
      <c r="S35" s="246"/>
      <c r="T35" s="246"/>
      <c r="U35" s="246"/>
      <c r="V35" s="247"/>
      <c r="W35" s="247"/>
      <c r="X35" s="247"/>
      <c r="Y35" s="247"/>
      <c r="Z35" s="247"/>
      <c r="AA35" s="247"/>
      <c r="AB35" s="214"/>
      <c r="AC35" s="246"/>
      <c r="AD35" s="246"/>
      <c r="AE35" s="246"/>
      <c r="AF35" s="246"/>
      <c r="AG35" s="246"/>
      <c r="AH35" s="247"/>
      <c r="AI35" s="214"/>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row>
    <row r="36" spans="1:66" ht="15.6" customHeight="1" x14ac:dyDescent="0.3">
      <c r="A36" s="214"/>
      <c r="B36" s="240">
        <v>2022</v>
      </c>
      <c r="C36" s="248">
        <f>F22</f>
        <v>2505792665.1059976</v>
      </c>
      <c r="D36" s="146">
        <v>36103.654999999999</v>
      </c>
      <c r="E36" s="259">
        <f t="shared" si="7"/>
        <v>6.2721876773972047</v>
      </c>
      <c r="F36" s="350">
        <v>2264488999.9999995</v>
      </c>
      <c r="G36" s="234">
        <f>F36/C36</f>
        <v>0.90370166356289872</v>
      </c>
      <c r="H36" s="242">
        <f>C36*G36</f>
        <v>2264488999.9999995</v>
      </c>
      <c r="I36" s="249"/>
      <c r="J36" s="249"/>
      <c r="K36" s="249"/>
      <c r="L36" s="249"/>
      <c r="M36" s="214"/>
      <c r="N36" s="240">
        <v>2022</v>
      </c>
      <c r="O36" s="250"/>
      <c r="P36" s="225"/>
      <c r="Q36" s="225"/>
      <c r="R36" s="225"/>
      <c r="S36" s="225"/>
      <c r="T36" s="225"/>
      <c r="U36" s="225"/>
      <c r="V36" s="225"/>
      <c r="W36" s="225"/>
      <c r="X36" s="225"/>
      <c r="Y36" s="225"/>
      <c r="Z36" s="225"/>
      <c r="AA36" s="225"/>
      <c r="AB36" s="214"/>
      <c r="AC36" s="225"/>
      <c r="AD36" s="225"/>
      <c r="AE36" s="225"/>
      <c r="AF36" s="225"/>
      <c r="AG36" s="225"/>
      <c r="AH36" s="225"/>
      <c r="AI36" s="214"/>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row>
    <row r="37" spans="1:66" ht="15.6" customHeight="1" x14ac:dyDescent="0.3">
      <c r="A37" s="214"/>
      <c r="B37" s="232">
        <v>2023</v>
      </c>
      <c r="C37" s="251">
        <f>G22</f>
        <v>2784654477.2999964</v>
      </c>
      <c r="D37" s="146">
        <v>39072.483</v>
      </c>
      <c r="E37" s="259">
        <f>(F37/1000000/D37)*100</f>
        <v>6.455074790102282</v>
      </c>
      <c r="F37" s="146">
        <v>2522158000</v>
      </c>
      <c r="G37" s="234">
        <f>F37/C37</f>
        <v>0.90573463263043208</v>
      </c>
      <c r="H37" s="242">
        <f>C37*G37</f>
        <v>2522158000</v>
      </c>
      <c r="I37" s="235">
        <f>H22*$G37</f>
        <v>3027073219.5413394</v>
      </c>
      <c r="J37" s="235">
        <f>I22*$G37</f>
        <v>2686092845.2972364</v>
      </c>
      <c r="K37" s="235">
        <f>J22*$G37</f>
        <v>2814034350.9323101</v>
      </c>
      <c r="L37" s="235">
        <f>K22*$G37</f>
        <v>2748662461.1978536</v>
      </c>
      <c r="M37" s="412">
        <f>AK22*$G37</f>
        <v>2522158000</v>
      </c>
      <c r="N37" s="232">
        <v>2023</v>
      </c>
      <c r="O37" s="252">
        <f>G37</f>
        <v>0.90573463263043208</v>
      </c>
      <c r="P37" s="253">
        <f>($H37-J37)/1000000</f>
        <v>-163.93484529723645</v>
      </c>
      <c r="Q37" s="253">
        <f>($H37-K37)/1000000</f>
        <v>-291.87635093231012</v>
      </c>
      <c r="R37" s="253">
        <f>($H37-L37)/1000000</f>
        <v>-226.50446119785357</v>
      </c>
      <c r="S37" s="253">
        <f>AVERAGE(P37:R37)</f>
        <v>-227.43855247580004</v>
      </c>
      <c r="T37" s="253">
        <f t="shared" ref="T37:V37" si="8">($I37-J37)/1000000</f>
        <v>340.98037424410296</v>
      </c>
      <c r="U37" s="253">
        <f t="shared" si="8"/>
        <v>213.03886860902929</v>
      </c>
      <c r="V37" s="253">
        <f t="shared" si="8"/>
        <v>278.41075834348584</v>
      </c>
      <c r="W37" s="253">
        <f>AVERAGE(T37:V37)</f>
        <v>277.4766670655394</v>
      </c>
      <c r="X37" s="254">
        <f>(T37-P37)/T37</f>
        <v>1.4807750172151488</v>
      </c>
      <c r="Y37" s="254">
        <f>(U37-Q37)/U37</f>
        <v>2.3700614955290811</v>
      </c>
      <c r="Z37" s="254">
        <f>(V37-R37)/V37</f>
        <v>1.8135621717548949</v>
      </c>
      <c r="AA37" s="254">
        <f>AVERAGE(X37:Z37)</f>
        <v>1.8881328948330414</v>
      </c>
      <c r="AB37" s="214"/>
      <c r="AC37" s="351">
        <f>P37/$D37</f>
        <v>-4.1956597766575638E-3</v>
      </c>
      <c r="AD37" s="351">
        <f>Q37/$D37</f>
        <v>-7.4701254827421668E-3</v>
      </c>
      <c r="AE37" s="351">
        <f>R37/$D37</f>
        <v>-5.7970326891652515E-3</v>
      </c>
      <c r="AF37" s="351">
        <f>T37/$D37</f>
        <v>8.7268673005527434E-3</v>
      </c>
      <c r="AG37" s="351">
        <f>U37/$D37</f>
        <v>5.4524015944681396E-3</v>
      </c>
      <c r="AH37" s="351">
        <f>V37/$D37</f>
        <v>7.1254943880450557E-3</v>
      </c>
      <c r="AI37" s="214"/>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row>
    <row r="38" spans="1:66" ht="15.6" customHeight="1" x14ac:dyDescent="0.3">
      <c r="A38" s="214"/>
      <c r="B38" s="240">
        <v>2024</v>
      </c>
      <c r="C38" s="255"/>
      <c r="D38" s="352">
        <v>39957.650075068326</v>
      </c>
      <c r="E38" s="256"/>
      <c r="F38" s="256"/>
      <c r="G38" s="257"/>
      <c r="H38" s="256"/>
      <c r="I38" s="249"/>
      <c r="J38" s="249"/>
      <c r="K38" s="249"/>
      <c r="L38" s="249"/>
      <c r="M38" s="214"/>
      <c r="N38" s="240">
        <v>2024</v>
      </c>
      <c r="O38" s="250"/>
      <c r="P38" s="225"/>
      <c r="Q38" s="225"/>
      <c r="R38" s="225"/>
      <c r="S38" s="225"/>
      <c r="T38" s="258"/>
      <c r="U38" s="258"/>
      <c r="V38" s="258"/>
      <c r="W38" s="258"/>
      <c r="X38" s="225"/>
      <c r="Y38" s="225"/>
      <c r="Z38" s="225"/>
      <c r="AA38" s="225"/>
      <c r="AB38" s="214"/>
      <c r="AC38" s="353"/>
      <c r="AD38" s="353"/>
      <c r="AE38" s="353"/>
      <c r="AF38" s="354"/>
      <c r="AG38" s="354"/>
      <c r="AH38" s="354"/>
      <c r="AI38" s="214"/>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row>
    <row r="39" spans="1:66" ht="15.6" customHeight="1" x14ac:dyDescent="0.3">
      <c r="A39" s="214"/>
      <c r="B39" s="232">
        <v>2025</v>
      </c>
      <c r="C39" s="255"/>
      <c r="D39" s="352">
        <v>41722.881895688879</v>
      </c>
      <c r="E39" s="256"/>
      <c r="F39" s="256"/>
      <c r="G39" s="257"/>
      <c r="H39" s="256"/>
      <c r="I39" s="249"/>
      <c r="J39" s="249"/>
      <c r="K39" s="249"/>
      <c r="L39" s="249"/>
      <c r="M39" s="214"/>
      <c r="N39" s="232">
        <v>2025</v>
      </c>
      <c r="O39" s="250"/>
      <c r="P39" s="225"/>
      <c r="Q39" s="225"/>
      <c r="R39" s="225"/>
      <c r="S39" s="225"/>
      <c r="T39" s="258"/>
      <c r="U39" s="258"/>
      <c r="V39" s="258"/>
      <c r="W39" s="258"/>
      <c r="X39" s="225"/>
      <c r="Y39" s="225"/>
      <c r="Z39" s="225"/>
      <c r="AA39" s="225"/>
      <c r="AB39" s="214"/>
      <c r="AC39" s="353"/>
      <c r="AD39" s="353"/>
      <c r="AE39" s="353"/>
      <c r="AF39" s="354"/>
      <c r="AG39" s="354"/>
      <c r="AH39" s="354"/>
      <c r="AI39" s="214"/>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row>
    <row r="40" spans="1:66" ht="15.6" customHeight="1" x14ac:dyDescent="0.3">
      <c r="A40" s="214"/>
      <c r="B40" s="240">
        <v>2026</v>
      </c>
      <c r="C40" s="251"/>
      <c r="D40" s="352">
        <v>43828.067714810015</v>
      </c>
      <c r="E40" s="256"/>
      <c r="F40" s="256"/>
      <c r="G40" s="259"/>
      <c r="H40" s="256"/>
      <c r="I40" s="235"/>
      <c r="J40" s="235"/>
      <c r="K40" s="235"/>
      <c r="L40" s="235"/>
      <c r="M40" s="214"/>
      <c r="N40" s="240">
        <v>2026</v>
      </c>
      <c r="O40" s="252"/>
      <c r="P40" s="225"/>
      <c r="Q40" s="225"/>
      <c r="R40" s="225"/>
      <c r="S40" s="225"/>
      <c r="T40" s="253"/>
      <c r="U40" s="253"/>
      <c r="V40" s="253"/>
      <c r="W40" s="253"/>
      <c r="X40" s="225"/>
      <c r="Y40" s="225"/>
      <c r="Z40" s="225"/>
      <c r="AA40" s="225"/>
      <c r="AB40" s="214"/>
      <c r="AC40" s="353"/>
      <c r="AD40" s="353"/>
      <c r="AE40" s="353"/>
      <c r="AF40" s="351"/>
      <c r="AG40" s="351"/>
      <c r="AH40" s="351"/>
      <c r="AI40" s="214"/>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row>
    <row r="41" spans="1:66" ht="12.6" customHeight="1" x14ac:dyDescent="0.3">
      <c r="A41" s="214"/>
      <c r="B41" s="214"/>
      <c r="C41" s="214"/>
      <c r="D41" s="214"/>
      <c r="E41" s="214"/>
      <c r="F41" s="214"/>
      <c r="G41" s="214"/>
      <c r="H41" s="214"/>
      <c r="I41" s="260"/>
      <c r="J41" s="214"/>
      <c r="K41" s="214"/>
      <c r="L41" s="214"/>
      <c r="M41" s="214"/>
      <c r="N41" s="214"/>
      <c r="O41" s="214"/>
      <c r="P41" s="214"/>
      <c r="Q41" s="214"/>
      <c r="R41" s="214"/>
      <c r="S41" s="214"/>
      <c r="T41" s="260"/>
      <c r="U41" s="214"/>
      <c r="V41" s="214"/>
      <c r="W41" s="214"/>
      <c r="X41" s="413" t="s">
        <v>190</v>
      </c>
      <c r="Y41" s="414"/>
      <c r="Z41" s="414"/>
      <c r="AA41" s="415"/>
      <c r="AB41" s="214"/>
      <c r="AC41" s="214"/>
      <c r="AD41" s="214"/>
      <c r="AE41" s="214"/>
      <c r="AF41" s="260"/>
      <c r="AG41" s="214"/>
      <c r="AH41" s="214"/>
      <c r="AI41" s="214"/>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row>
    <row r="42" spans="1:66" ht="12.6" customHeight="1" x14ac:dyDescent="0.3">
      <c r="A42" s="214"/>
      <c r="B42" s="214"/>
      <c r="C42" s="214"/>
      <c r="D42" s="214"/>
      <c r="E42" s="214"/>
      <c r="F42" s="214"/>
      <c r="G42" s="214"/>
      <c r="H42" s="214"/>
      <c r="I42" s="214"/>
      <c r="J42" s="214"/>
      <c r="K42" s="214"/>
      <c r="L42" s="214"/>
      <c r="M42" s="214"/>
      <c r="N42" s="214"/>
      <c r="O42" s="214"/>
      <c r="P42" s="214"/>
      <c r="Q42" s="214"/>
      <c r="R42" s="214"/>
      <c r="S42" s="214"/>
      <c r="T42" s="214"/>
      <c r="U42" s="214"/>
      <c r="V42" s="214"/>
      <c r="W42" s="416">
        <v>2023</v>
      </c>
      <c r="X42" s="417">
        <f>(($M37-$H37)/1000000)/T37</f>
        <v>0</v>
      </c>
      <c r="Y42" s="417">
        <f t="shared" ref="Y42:Z42" si="9">(($M37-$H37)/1000000)/U37</f>
        <v>0</v>
      </c>
      <c r="Z42" s="417">
        <f t="shared" si="9"/>
        <v>0</v>
      </c>
      <c r="AA42" s="417">
        <f>AVERAGE(X42:Z42)</f>
        <v>0</v>
      </c>
      <c r="AB42" s="214"/>
      <c r="AC42" s="214"/>
      <c r="AD42" s="214"/>
      <c r="AE42" s="214"/>
      <c r="AF42" s="214"/>
      <c r="AG42" s="214"/>
      <c r="AH42" s="214"/>
      <c r="AI42" s="214"/>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row>
    <row r="43" spans="1:66" ht="12.6" customHeight="1" thickBot="1" x14ac:dyDescent="0.35">
      <c r="A43" s="214"/>
      <c r="B43" s="214"/>
      <c r="C43" s="214"/>
      <c r="D43" s="214"/>
      <c r="E43" s="214"/>
      <c r="F43" s="214"/>
      <c r="G43" s="214"/>
      <c r="H43" s="214"/>
      <c r="I43" s="214"/>
      <c r="J43" s="214"/>
      <c r="K43" s="214"/>
      <c r="L43" s="214"/>
      <c r="M43" s="214"/>
      <c r="N43" s="214"/>
      <c r="O43" s="214"/>
      <c r="P43" s="214"/>
      <c r="Q43" s="214"/>
      <c r="R43" s="214"/>
      <c r="S43" s="214"/>
      <c r="T43" s="214"/>
      <c r="U43" s="214"/>
      <c r="V43" s="214"/>
      <c r="W43" s="214"/>
      <c r="X43" s="214"/>
      <c r="Y43" s="214"/>
      <c r="Z43" s="214"/>
      <c r="AA43" s="214"/>
      <c r="AB43" s="214"/>
      <c r="AC43" s="214"/>
      <c r="AD43" s="214"/>
      <c r="AE43" s="214"/>
      <c r="AF43" s="214"/>
      <c r="AG43" s="214"/>
      <c r="AH43" s="214"/>
      <c r="AI43" s="214"/>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row>
    <row r="44" spans="1:66" ht="18" customHeight="1" thickBot="1" x14ac:dyDescent="0.35">
      <c r="A44" s="214"/>
      <c r="B44" s="216" t="s">
        <v>191</v>
      </c>
      <c r="C44" s="221"/>
      <c r="D44" s="222" t="s">
        <v>160</v>
      </c>
      <c r="E44" s="223"/>
      <c r="F44" s="224" t="s">
        <v>161</v>
      </c>
      <c r="G44" s="222"/>
      <c r="H44" s="222"/>
      <c r="I44" s="222"/>
      <c r="J44" s="223"/>
      <c r="K44" s="214"/>
      <c r="L44" s="214"/>
      <c r="M44" s="214"/>
      <c r="N44" s="214"/>
      <c r="O44" s="214"/>
      <c r="P44" s="214"/>
      <c r="Q44" s="214"/>
      <c r="R44" s="214"/>
      <c r="S44" s="214"/>
      <c r="T44" s="214"/>
      <c r="U44" s="216" t="s">
        <v>192</v>
      </c>
      <c r="V44" s="221"/>
      <c r="W44" s="222" t="s">
        <v>160</v>
      </c>
      <c r="X44" s="223"/>
      <c r="Y44" s="224" t="s">
        <v>161</v>
      </c>
      <c r="Z44" s="222"/>
      <c r="AA44" s="222"/>
      <c r="AB44" s="222"/>
      <c r="AC44" s="223"/>
      <c r="AD44" s="214"/>
      <c r="AE44" s="214"/>
      <c r="AF44" s="214"/>
      <c r="AG44" s="214"/>
      <c r="AH44" s="214"/>
      <c r="AI44" s="214"/>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row>
    <row r="45" spans="1:66" ht="42" customHeight="1" x14ac:dyDescent="0.3">
      <c r="A45" s="214"/>
      <c r="B45" s="227"/>
      <c r="C45" s="231" t="s">
        <v>193</v>
      </c>
      <c r="D45" s="228" t="s">
        <v>194</v>
      </c>
      <c r="E45" s="228" t="s">
        <v>170</v>
      </c>
      <c r="F45" s="229" t="s">
        <v>195</v>
      </c>
      <c r="G45" s="229" t="s">
        <v>196</v>
      </c>
      <c r="H45" s="261" t="s">
        <v>197</v>
      </c>
      <c r="I45" s="261" t="s">
        <v>198</v>
      </c>
      <c r="J45" s="261" t="s">
        <v>199</v>
      </c>
      <c r="K45" s="411" t="s">
        <v>176</v>
      </c>
      <c r="L45" s="214"/>
      <c r="M45" s="214"/>
      <c r="N45" s="214"/>
      <c r="O45" s="214"/>
      <c r="P45" s="214"/>
      <c r="Q45" s="214"/>
      <c r="R45" s="214"/>
      <c r="S45" s="214"/>
      <c r="T45" s="214"/>
      <c r="U45" s="227"/>
      <c r="V45" s="231" t="s">
        <v>193</v>
      </c>
      <c r="W45" s="228" t="s">
        <v>194</v>
      </c>
      <c r="X45" s="228" t="s">
        <v>170</v>
      </c>
      <c r="Y45" s="229" t="s">
        <v>195</v>
      </c>
      <c r="Z45" s="229" t="s">
        <v>196</v>
      </c>
      <c r="AA45" s="261" t="s">
        <v>197</v>
      </c>
      <c r="AB45" s="261" t="s">
        <v>198</v>
      </c>
      <c r="AC45" s="261" t="s">
        <v>199</v>
      </c>
      <c r="AD45" s="214"/>
      <c r="AE45" s="214"/>
      <c r="AF45" s="214"/>
      <c r="AG45" s="214"/>
      <c r="AH45" s="214"/>
      <c r="AI45" s="214"/>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row>
    <row r="46" spans="1:66" ht="15" customHeight="1" x14ac:dyDescent="0.3">
      <c r="A46" s="214"/>
      <c r="B46" s="232">
        <v>2019</v>
      </c>
      <c r="C46" s="262">
        <f>C33/1000000</f>
        <v>2125.9473162587938</v>
      </c>
      <c r="D46" s="263">
        <f>F33/1000000</f>
        <v>1977.5350000000003</v>
      </c>
      <c r="E46" s="264"/>
      <c r="F46" s="262">
        <f>H33/1000000</f>
        <v>1977.5350000000003</v>
      </c>
      <c r="G46" s="264"/>
      <c r="H46" s="264"/>
      <c r="I46" s="264"/>
      <c r="J46" s="264"/>
      <c r="K46" s="214"/>
      <c r="L46" s="214"/>
      <c r="M46" s="214"/>
      <c r="N46" s="214"/>
      <c r="O46" s="214"/>
      <c r="P46" s="214"/>
      <c r="Q46" s="214"/>
      <c r="R46" s="214"/>
      <c r="S46" s="214"/>
      <c r="T46" s="214"/>
      <c r="U46" s="232">
        <v>2019</v>
      </c>
      <c r="V46" s="355">
        <f>C33/1000000/D33</f>
        <v>7.1902703837254028E-2</v>
      </c>
      <c r="W46" s="355">
        <f>F33/(D33*1000000)</f>
        <v>6.6883178310847294E-2</v>
      </c>
      <c r="X46" s="264"/>
      <c r="Y46" s="355">
        <f>H33/($D33*1000000)</f>
        <v>6.6883178310847294E-2</v>
      </c>
      <c r="Z46" s="355"/>
      <c r="AA46" s="355"/>
      <c r="AB46" s="355"/>
      <c r="AC46" s="355"/>
      <c r="AD46" s="214"/>
      <c r="AE46" s="214"/>
      <c r="AF46" s="214"/>
      <c r="AG46" s="214"/>
      <c r="AH46" s="214"/>
      <c r="AI46" s="214"/>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row>
    <row r="47" spans="1:66" ht="15" customHeight="1" x14ac:dyDescent="0.3">
      <c r="A47" s="214"/>
      <c r="B47" s="240">
        <v>2020</v>
      </c>
      <c r="C47" s="262">
        <f t="shared" ref="C47:C49" si="10">C34/1000000</f>
        <v>2167.0392907980049</v>
      </c>
      <c r="D47" s="263">
        <f>F34/1000000</f>
        <v>1803.8730000000003</v>
      </c>
      <c r="E47" s="264"/>
      <c r="F47" s="264"/>
      <c r="G47" s="264"/>
      <c r="H47" s="264"/>
      <c r="I47" s="264"/>
      <c r="J47" s="264"/>
      <c r="K47" s="214"/>
      <c r="L47" s="214"/>
      <c r="M47" s="214"/>
      <c r="N47" s="214"/>
      <c r="O47" s="214"/>
      <c r="P47" s="214"/>
      <c r="Q47" s="214"/>
      <c r="R47" s="214"/>
      <c r="S47" s="214"/>
      <c r="T47" s="214"/>
      <c r="U47" s="240">
        <v>2020</v>
      </c>
      <c r="V47" s="355">
        <f t="shared" ref="V47:V50" si="11">C34/1000000/D34</f>
        <v>7.415186165525528E-2</v>
      </c>
      <c r="W47" s="355">
        <f t="shared" ref="W47:W50" si="12">F34/(D34*1000000)</f>
        <v>6.1725018880665269E-2</v>
      </c>
      <c r="X47" s="264"/>
      <c r="Y47" s="355"/>
      <c r="Z47" s="355"/>
      <c r="AA47" s="355"/>
      <c r="AB47" s="355"/>
      <c r="AC47" s="355"/>
      <c r="AD47" s="214"/>
      <c r="AE47" s="214"/>
      <c r="AF47" s="214"/>
      <c r="AG47" s="214"/>
      <c r="AH47" s="214"/>
      <c r="AI47" s="214"/>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row>
    <row r="48" spans="1:66" ht="15" customHeight="1" x14ac:dyDescent="0.3">
      <c r="A48" s="214"/>
      <c r="B48" s="232">
        <v>2021</v>
      </c>
      <c r="C48" s="262">
        <f t="shared" si="10"/>
        <v>2334.8742829848029</v>
      </c>
      <c r="D48" s="263">
        <f>F35/1000000</f>
        <v>2007.9670000000001</v>
      </c>
      <c r="E48" s="264"/>
      <c r="F48" s="264"/>
      <c r="G48" s="264"/>
      <c r="H48" s="264"/>
      <c r="I48" s="264"/>
      <c r="J48" s="264"/>
      <c r="K48" s="214"/>
      <c r="L48" s="214"/>
      <c r="M48" s="214"/>
      <c r="N48" s="214"/>
      <c r="O48" s="214"/>
      <c r="P48" s="214"/>
      <c r="Q48" s="214"/>
      <c r="R48" s="214"/>
      <c r="S48" s="214"/>
      <c r="T48" s="214"/>
      <c r="U48" s="232">
        <v>2021</v>
      </c>
      <c r="V48" s="355">
        <f t="shared" si="11"/>
        <v>7.2320045200287689E-2</v>
      </c>
      <c r="W48" s="355">
        <f t="shared" si="12"/>
        <v>6.2194468138579109E-2</v>
      </c>
      <c r="X48" s="264"/>
      <c r="Y48" s="355"/>
      <c r="Z48" s="355"/>
      <c r="AA48" s="355"/>
      <c r="AB48" s="355"/>
      <c r="AC48" s="355"/>
      <c r="AD48" s="214"/>
      <c r="AE48" s="214"/>
      <c r="AF48" s="214"/>
      <c r="AG48" s="214"/>
      <c r="AH48" s="214"/>
      <c r="AI48" s="214"/>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row>
    <row r="49" spans="1:66" ht="15" customHeight="1" x14ac:dyDescent="0.3">
      <c r="A49" s="214"/>
      <c r="B49" s="240">
        <v>2022</v>
      </c>
      <c r="C49" s="262">
        <f t="shared" si="10"/>
        <v>2505.7926651059975</v>
      </c>
      <c r="D49" s="263">
        <f>F36/1000000</f>
        <v>2264.4889999999996</v>
      </c>
      <c r="E49" s="264"/>
      <c r="F49" s="264"/>
      <c r="G49" s="264"/>
      <c r="H49" s="264"/>
      <c r="I49" s="264"/>
      <c r="J49" s="264"/>
      <c r="K49" s="214"/>
      <c r="L49" s="214"/>
      <c r="M49" s="214"/>
      <c r="N49" s="214"/>
      <c r="O49" s="214"/>
      <c r="P49" s="214"/>
      <c r="Q49" s="214"/>
      <c r="R49" s="214"/>
      <c r="S49" s="214"/>
      <c r="T49" s="214"/>
      <c r="U49" s="240">
        <v>2022</v>
      </c>
      <c r="V49" s="355">
        <f t="shared" si="11"/>
        <v>6.9405512131832561E-2</v>
      </c>
      <c r="W49" s="355">
        <f t="shared" si="12"/>
        <v>6.2721876773972035E-2</v>
      </c>
      <c r="X49" s="264"/>
      <c r="Y49" s="355"/>
      <c r="Z49" s="355"/>
      <c r="AA49" s="355"/>
      <c r="AB49" s="355"/>
      <c r="AC49" s="355"/>
      <c r="AD49" s="214"/>
      <c r="AE49" s="214"/>
      <c r="AF49" s="214"/>
      <c r="AG49" s="214"/>
      <c r="AH49" s="214"/>
      <c r="AI49" s="214"/>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row>
    <row r="50" spans="1:66" ht="15" customHeight="1" x14ac:dyDescent="0.3">
      <c r="A50" s="214"/>
      <c r="B50" s="232">
        <v>2023</v>
      </c>
      <c r="C50" s="262">
        <f>C37/1000000</f>
        <v>2784.6544772999964</v>
      </c>
      <c r="D50" s="263">
        <f>F37/1000000</f>
        <v>2522.1579999999999</v>
      </c>
      <c r="E50" s="264"/>
      <c r="F50" s="262">
        <f t="shared" ref="F50:K50" si="13">H37/1000000</f>
        <v>2522.1579999999999</v>
      </c>
      <c r="G50" s="262">
        <f t="shared" si="13"/>
        <v>3027.0732195413393</v>
      </c>
      <c r="H50" s="262">
        <f t="shared" si="13"/>
        <v>2686.0928452972366</v>
      </c>
      <c r="I50" s="262">
        <f t="shared" si="13"/>
        <v>2814.0343509323102</v>
      </c>
      <c r="J50" s="262">
        <f t="shared" si="13"/>
        <v>2748.6624611978536</v>
      </c>
      <c r="K50" s="418">
        <f t="shared" si="13"/>
        <v>2522.1579999999999</v>
      </c>
      <c r="L50" s="214"/>
      <c r="M50" s="214"/>
      <c r="N50" s="214"/>
      <c r="O50" s="214"/>
      <c r="P50" s="214"/>
      <c r="Q50" s="214"/>
      <c r="R50" s="214"/>
      <c r="S50" s="214"/>
      <c r="T50" s="214"/>
      <c r="U50" s="232">
        <v>2023</v>
      </c>
      <c r="V50" s="355">
        <f t="shared" si="11"/>
        <v>7.1268940786281654E-2</v>
      </c>
      <c r="W50" s="355">
        <f t="shared" si="12"/>
        <v>6.4550747901022831E-2</v>
      </c>
      <c r="X50" s="264"/>
      <c r="Y50" s="355">
        <f>H37/($D37*1000000)</f>
        <v>6.4550747901022831E-2</v>
      </c>
      <c r="Z50" s="355">
        <f t="shared" ref="Z50:AC50" si="14">I37/($D37*1000000)</f>
        <v>7.7473274978233128E-2</v>
      </c>
      <c r="AA50" s="355">
        <f t="shared" si="14"/>
        <v>6.8746407677680393E-2</v>
      </c>
      <c r="AB50" s="355">
        <f t="shared" si="14"/>
        <v>7.2020873383764991E-2</v>
      </c>
      <c r="AC50" s="355">
        <f t="shared" si="14"/>
        <v>7.0347780590188078E-2</v>
      </c>
      <c r="AD50" s="214"/>
      <c r="AE50" s="214"/>
      <c r="AF50" s="214"/>
      <c r="AG50" s="214"/>
      <c r="AH50" s="214"/>
      <c r="AI50" s="214"/>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row>
    <row r="51" spans="1:66" ht="15" customHeight="1" x14ac:dyDescent="0.3">
      <c r="A51" s="214"/>
      <c r="B51" s="240">
        <v>2024</v>
      </c>
      <c r="C51" s="264"/>
      <c r="D51" s="264"/>
      <c r="E51" s="264"/>
      <c r="F51" s="264"/>
      <c r="G51" s="264"/>
      <c r="H51" s="264"/>
      <c r="I51" s="264"/>
      <c r="J51" s="264"/>
      <c r="K51" s="214"/>
      <c r="L51" s="214"/>
      <c r="M51" s="214"/>
      <c r="N51" s="214"/>
      <c r="O51" s="214"/>
      <c r="P51" s="214"/>
      <c r="Q51" s="214"/>
      <c r="R51" s="214"/>
      <c r="S51" s="214"/>
      <c r="T51" s="214"/>
      <c r="U51" s="240">
        <v>2024</v>
      </c>
      <c r="V51" s="264"/>
      <c r="W51" s="264"/>
      <c r="X51" s="264"/>
      <c r="Y51" s="355"/>
      <c r="Z51" s="355"/>
      <c r="AA51" s="355"/>
      <c r="AB51" s="355"/>
      <c r="AC51" s="355"/>
      <c r="AD51" s="214"/>
      <c r="AE51" s="214"/>
      <c r="AF51" s="214"/>
      <c r="AG51" s="214"/>
      <c r="AH51" s="214"/>
      <c r="AI51" s="214"/>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row>
    <row r="52" spans="1:66" ht="15" customHeight="1" x14ac:dyDescent="0.3">
      <c r="A52" s="214"/>
      <c r="B52" s="232">
        <v>2025</v>
      </c>
      <c r="C52" s="264"/>
      <c r="D52" s="264"/>
      <c r="E52" s="264"/>
      <c r="F52" s="264"/>
      <c r="G52" s="264"/>
      <c r="H52" s="264"/>
      <c r="I52" s="264"/>
      <c r="J52" s="264"/>
      <c r="K52" s="214"/>
      <c r="L52" s="214"/>
      <c r="M52" s="214"/>
      <c r="N52" s="214"/>
      <c r="O52" s="214"/>
      <c r="P52" s="214"/>
      <c r="Q52" s="214"/>
      <c r="R52" s="214"/>
      <c r="S52" s="214"/>
      <c r="T52" s="214"/>
      <c r="U52" s="232">
        <v>2025</v>
      </c>
      <c r="V52" s="264"/>
      <c r="W52" s="264"/>
      <c r="X52" s="264"/>
      <c r="Y52" s="355"/>
      <c r="Z52" s="355"/>
      <c r="AA52" s="355"/>
      <c r="AB52" s="355"/>
      <c r="AC52" s="355"/>
      <c r="AD52" s="214"/>
      <c r="AE52" s="214"/>
      <c r="AF52" s="214"/>
      <c r="AG52" s="214"/>
      <c r="AH52" s="214"/>
      <c r="AI52" s="214"/>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row>
    <row r="53" spans="1:66" ht="15" customHeight="1" x14ac:dyDescent="0.3">
      <c r="A53" s="214"/>
      <c r="B53" s="240">
        <v>2026</v>
      </c>
      <c r="C53" s="262"/>
      <c r="D53" s="264"/>
      <c r="E53" s="264"/>
      <c r="F53" s="264"/>
      <c r="G53" s="262"/>
      <c r="H53" s="262"/>
      <c r="I53" s="262"/>
      <c r="J53" s="262"/>
      <c r="K53" s="214"/>
      <c r="L53" s="214"/>
      <c r="M53" s="214"/>
      <c r="N53" s="214"/>
      <c r="O53" s="214"/>
      <c r="P53" s="214"/>
      <c r="Q53" s="214"/>
      <c r="R53" s="214"/>
      <c r="S53" s="214"/>
      <c r="T53" s="214"/>
      <c r="U53" s="240">
        <v>2026</v>
      </c>
      <c r="V53" s="262"/>
      <c r="W53" s="264"/>
      <c r="X53" s="264"/>
      <c r="Y53" s="355"/>
      <c r="Z53" s="355"/>
      <c r="AA53" s="355"/>
      <c r="AB53" s="355"/>
      <c r="AC53" s="355"/>
      <c r="AD53" s="214"/>
      <c r="AE53" s="214"/>
      <c r="AF53" s="214"/>
      <c r="AG53" s="214"/>
      <c r="AH53" s="214"/>
      <c r="AI53" s="214"/>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row>
    <row r="54" spans="1:66" ht="12.6" customHeight="1" x14ac:dyDescent="0.3">
      <c r="A54" s="214"/>
      <c r="B54" s="214"/>
      <c r="C54" s="214"/>
      <c r="D54" s="214"/>
      <c r="E54" s="214"/>
      <c r="F54" s="214"/>
      <c r="G54" s="214"/>
      <c r="H54" s="214"/>
      <c r="I54" s="214"/>
      <c r="J54" s="214"/>
      <c r="K54" s="214"/>
      <c r="L54" s="214"/>
      <c r="M54" s="214"/>
      <c r="N54" s="214"/>
      <c r="O54" s="214"/>
      <c r="P54" s="214"/>
      <c r="Q54" s="214"/>
      <c r="R54" s="214"/>
      <c r="S54" s="214"/>
      <c r="T54" s="214"/>
      <c r="U54" s="214"/>
      <c r="V54" s="214"/>
      <c r="W54" s="214"/>
      <c r="X54" s="214"/>
      <c r="Y54" s="214"/>
      <c r="Z54" s="214"/>
      <c r="AA54" s="214"/>
      <c r="AB54" s="214"/>
      <c r="AC54" s="214"/>
      <c r="AD54" s="214"/>
      <c r="AE54" s="214"/>
      <c r="AF54" s="214"/>
      <c r="AG54" s="214"/>
      <c r="AH54" s="214"/>
      <c r="AI54" s="214"/>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row>
    <row r="55" spans="1:66" ht="12.6" customHeight="1" x14ac:dyDescent="0.3">
      <c r="A55" s="214"/>
      <c r="B55" s="214"/>
      <c r="C55" s="214"/>
      <c r="D55" s="214"/>
      <c r="E55" s="214"/>
      <c r="F55" s="214"/>
      <c r="G55" s="214"/>
      <c r="H55" s="214"/>
      <c r="I55" s="214"/>
      <c r="J55" s="214"/>
      <c r="K55" s="214"/>
      <c r="L55" s="214"/>
      <c r="M55" s="214"/>
      <c r="N55" s="214"/>
      <c r="O55" s="214"/>
      <c r="P55" s="214"/>
      <c r="Q55" s="214"/>
      <c r="R55" s="214"/>
      <c r="S55" s="214"/>
      <c r="T55" s="214"/>
      <c r="U55" s="214"/>
      <c r="V55" s="214"/>
      <c r="W55" s="214"/>
      <c r="X55" s="214"/>
      <c r="Y55" s="214"/>
      <c r="Z55" s="214"/>
      <c r="AA55" s="214"/>
      <c r="AB55" s="214"/>
      <c r="AC55" s="214"/>
      <c r="AD55" s="214"/>
      <c r="AE55" s="214"/>
      <c r="AF55" s="214"/>
      <c r="AG55" s="214"/>
      <c r="AH55" s="214"/>
      <c r="AI55" s="214"/>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row>
    <row r="56" spans="1:66" ht="12.6" customHeight="1" x14ac:dyDescent="0.3">
      <c r="A56" s="214"/>
      <c r="B56" s="214"/>
      <c r="C56" s="214"/>
      <c r="D56" s="214"/>
      <c r="E56" s="214"/>
      <c r="F56" s="214"/>
      <c r="G56" s="214"/>
      <c r="H56" s="214"/>
      <c r="I56" s="214"/>
      <c r="J56" s="214"/>
      <c r="K56" s="214"/>
      <c r="L56" s="214"/>
      <c r="M56" s="214"/>
      <c r="N56" s="214"/>
      <c r="O56" s="214"/>
      <c r="P56" s="214"/>
      <c r="Q56" s="214"/>
      <c r="R56" s="214"/>
      <c r="S56" s="214"/>
      <c r="T56" s="214"/>
      <c r="U56" s="214"/>
      <c r="V56" s="214"/>
      <c r="W56" s="214"/>
      <c r="X56" s="214"/>
      <c r="Y56" s="214"/>
      <c r="Z56" s="214"/>
      <c r="AA56" s="214"/>
      <c r="AB56" s="214"/>
      <c r="AC56" s="214"/>
      <c r="AD56" s="214"/>
      <c r="AE56" s="214"/>
      <c r="AF56" s="214"/>
      <c r="AG56" s="214"/>
      <c r="AH56" s="214"/>
      <c r="AI56" s="214"/>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row>
    <row r="57" spans="1:66" ht="12.6" customHeight="1" x14ac:dyDescent="0.3">
      <c r="A57" s="214"/>
      <c r="B57" s="214"/>
      <c r="C57" s="214"/>
      <c r="D57" s="214"/>
      <c r="E57" s="214"/>
      <c r="F57" s="214"/>
      <c r="G57" s="214"/>
      <c r="H57" s="214"/>
      <c r="I57" s="214"/>
      <c r="J57" s="214"/>
      <c r="K57" s="214"/>
      <c r="L57" s="214"/>
      <c r="M57" s="214"/>
      <c r="N57" s="214"/>
      <c r="O57" s="214"/>
      <c r="P57" s="214"/>
      <c r="Q57" s="214"/>
      <c r="R57" s="214"/>
      <c r="S57" s="214"/>
      <c r="T57" s="214"/>
      <c r="U57" s="214"/>
      <c r="V57" s="214"/>
      <c r="W57" s="214"/>
      <c r="X57" s="214"/>
      <c r="Y57" s="214"/>
      <c r="Z57" s="214"/>
      <c r="AA57" s="214"/>
      <c r="AB57" s="214"/>
      <c r="AC57" s="214"/>
      <c r="AD57" s="214"/>
      <c r="AE57" s="214"/>
      <c r="AF57" s="214"/>
      <c r="AG57" s="214"/>
      <c r="AH57" s="214"/>
      <c r="AI57" s="214"/>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row>
    <row r="58" spans="1:66" ht="12.6" customHeight="1" x14ac:dyDescent="0.3">
      <c r="A58" s="214"/>
      <c r="B58" s="214"/>
      <c r="C58" s="214"/>
      <c r="D58" s="214"/>
      <c r="E58" s="214"/>
      <c r="F58" s="214"/>
      <c r="G58" s="214"/>
      <c r="H58" s="214"/>
      <c r="I58" s="214"/>
      <c r="J58" s="214"/>
      <c r="K58" s="214"/>
      <c r="L58" s="214"/>
      <c r="M58" s="214"/>
      <c r="N58" s="214"/>
      <c r="O58" s="214"/>
      <c r="P58" s="214"/>
      <c r="Q58" s="214"/>
      <c r="R58" s="214"/>
      <c r="S58" s="214"/>
      <c r="T58" s="214"/>
      <c r="U58" s="214"/>
      <c r="V58" s="214"/>
      <c r="W58" s="214"/>
      <c r="X58" s="214"/>
      <c r="Y58" s="214"/>
      <c r="Z58" s="214"/>
      <c r="AA58" s="214"/>
      <c r="AB58" s="214"/>
      <c r="AC58" s="214"/>
      <c r="AD58" s="214"/>
      <c r="AE58" s="214"/>
      <c r="AF58" s="214"/>
      <c r="AG58" s="214"/>
      <c r="AH58" s="214"/>
      <c r="AI58" s="214"/>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row>
    <row r="59" spans="1:66" ht="12.6"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row>
    <row r="60" spans="1:66" ht="12" customHeight="1" thickBot="1" x14ac:dyDescent="0.35">
      <c r="A60" s="98"/>
      <c r="B60" s="98"/>
      <c r="C60" s="98"/>
      <c r="D60" s="98"/>
      <c r="E60" s="98"/>
      <c r="F60" s="98"/>
      <c r="G60" s="98"/>
      <c r="H60" s="98"/>
      <c r="I60" s="98"/>
      <c r="J60" s="98"/>
      <c r="K60" s="98"/>
      <c r="L60" s="98"/>
      <c r="M60" s="98"/>
      <c r="N60" s="98"/>
      <c r="O60" s="98"/>
      <c r="P60" s="98"/>
      <c r="Q60" s="98"/>
      <c r="R60" s="98"/>
      <c r="S60" s="98"/>
      <c r="T60" s="265"/>
      <c r="U60" s="265"/>
      <c r="V60" s="265"/>
      <c r="W60" s="265"/>
      <c r="X60" s="55"/>
      <c r="Y60" s="55"/>
      <c r="Z60" s="55"/>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row>
    <row r="61" spans="1:66" ht="12" customHeight="1" thickBot="1" x14ac:dyDescent="0.35">
      <c r="A61" s="98"/>
      <c r="B61" s="266" t="s">
        <v>200</v>
      </c>
      <c r="C61" s="267"/>
      <c r="D61" s="267"/>
      <c r="E61" s="267"/>
      <c r="F61" s="267"/>
      <c r="G61" s="267"/>
      <c r="H61" s="267"/>
      <c r="I61" s="267"/>
      <c r="J61" s="267"/>
      <c r="K61" s="267"/>
      <c r="L61" s="267"/>
      <c r="M61" s="267"/>
      <c r="N61" s="267"/>
      <c r="O61" s="267"/>
      <c r="P61" s="267"/>
      <c r="Q61" s="267"/>
      <c r="R61" s="267"/>
      <c r="S61" s="267"/>
      <c r="T61" s="268"/>
      <c r="U61" s="268"/>
      <c r="V61" s="269"/>
      <c r="W61" s="265"/>
      <c r="X61" s="55"/>
      <c r="Y61" s="55"/>
      <c r="Z61" s="55"/>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row>
    <row r="62" spans="1:66" ht="21.6" customHeight="1" x14ac:dyDescent="0.3">
      <c r="A62" s="98"/>
      <c r="B62" s="270"/>
      <c r="C62" s="98"/>
      <c r="D62" s="98"/>
      <c r="E62" s="98"/>
      <c r="F62" s="98"/>
      <c r="G62" s="98"/>
      <c r="H62" s="98"/>
      <c r="I62" s="98"/>
      <c r="J62" s="98"/>
      <c r="K62" s="98"/>
      <c r="L62" s="98"/>
      <c r="M62" s="98"/>
      <c r="N62" s="98"/>
      <c r="O62" s="98"/>
      <c r="P62" s="98"/>
      <c r="Q62" s="98"/>
      <c r="R62" s="98"/>
      <c r="S62" s="98"/>
      <c r="T62" s="98"/>
      <c r="U62" s="98"/>
      <c r="V62" s="98"/>
      <c r="W62" s="98"/>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row>
    <row r="63" spans="1:66" ht="21" customHeight="1" x14ac:dyDescent="0.3">
      <c r="A63" s="98"/>
      <c r="B63" s="98"/>
      <c r="C63" s="98"/>
      <c r="D63" s="98"/>
      <c r="E63" s="98"/>
      <c r="F63" s="98"/>
      <c r="G63" s="98"/>
      <c r="H63" s="98"/>
      <c r="I63" s="98"/>
      <c r="J63" s="98"/>
      <c r="K63" s="98"/>
      <c r="L63" s="98"/>
      <c r="M63" s="98"/>
      <c r="N63" s="98"/>
      <c r="O63" s="98"/>
      <c r="P63" s="98"/>
      <c r="Q63" s="98"/>
      <c r="R63" s="98"/>
      <c r="S63" s="98"/>
      <c r="T63" s="98"/>
      <c r="U63" s="98"/>
      <c r="V63" s="98"/>
      <c r="W63" s="98"/>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row>
    <row r="64" spans="1:66" ht="42.6" customHeight="1" x14ac:dyDescent="0.3">
      <c r="A64" s="98"/>
      <c r="B64" s="356" t="s">
        <v>201</v>
      </c>
      <c r="C64" s="271" t="s">
        <v>202</v>
      </c>
      <c r="D64" s="272" t="s">
        <v>172</v>
      </c>
      <c r="E64" s="272" t="s">
        <v>173</v>
      </c>
      <c r="F64" s="273" t="s">
        <v>174</v>
      </c>
      <c r="G64" s="272" t="s">
        <v>175</v>
      </c>
      <c r="H64" s="274"/>
      <c r="I64" s="274"/>
      <c r="J64" s="274"/>
      <c r="K64" s="274"/>
      <c r="L64" s="274"/>
      <c r="M64" s="274"/>
      <c r="N64" s="274"/>
      <c r="O64" s="274"/>
      <c r="P64" s="274"/>
      <c r="Q64" s="274"/>
      <c r="R64" s="274"/>
      <c r="S64" s="274"/>
      <c r="T64" s="274"/>
      <c r="U64" s="274"/>
      <c r="V64" s="274"/>
      <c r="W64" s="98"/>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row>
    <row r="65" spans="1:66" ht="15.6" customHeight="1" x14ac:dyDescent="0.3">
      <c r="A65" s="98"/>
      <c r="B65" s="275">
        <v>2019</v>
      </c>
      <c r="C65" s="357">
        <f>C22/P22*100</f>
        <v>14.012883768418954</v>
      </c>
      <c r="D65" s="276"/>
      <c r="E65" s="276"/>
      <c r="F65" s="276"/>
      <c r="G65" s="276"/>
      <c r="H65" s="277"/>
      <c r="I65" s="277"/>
      <c r="J65" s="277"/>
      <c r="K65" s="277"/>
      <c r="L65" s="277"/>
      <c r="M65" s="277"/>
      <c r="N65" s="277"/>
      <c r="O65" s="277"/>
      <c r="P65" s="277"/>
      <c r="Q65" s="277"/>
      <c r="R65" s="277"/>
      <c r="S65" s="277"/>
      <c r="T65" s="277"/>
      <c r="U65" s="277"/>
      <c r="V65" s="277"/>
      <c r="W65" s="278"/>
      <c r="X65" s="44"/>
      <c r="Y65" s="44"/>
      <c r="Z65" s="44"/>
      <c r="AA65" s="46"/>
      <c r="AB65" s="46"/>
      <c r="AC65" s="46"/>
      <c r="AD65" s="46"/>
      <c r="AE65" s="46"/>
      <c r="AF65" s="46"/>
      <c r="AG65" s="44"/>
      <c r="AH65" s="44"/>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row>
    <row r="66" spans="1:66" s="51" customFormat="1" ht="15.6" customHeight="1" x14ac:dyDescent="0.3">
      <c r="A66" s="279"/>
      <c r="B66" s="280">
        <v>2020</v>
      </c>
      <c r="C66" s="357">
        <f>D22/Q22*100</f>
        <v>13.594019464813179</v>
      </c>
      <c r="D66" s="276"/>
      <c r="E66" s="276"/>
      <c r="F66" s="276"/>
      <c r="G66" s="276"/>
      <c r="H66" s="281"/>
      <c r="I66" s="281"/>
      <c r="J66" s="281"/>
      <c r="K66" s="281"/>
      <c r="L66" s="281"/>
      <c r="M66" s="281"/>
      <c r="N66" s="281"/>
      <c r="O66" s="281"/>
      <c r="P66" s="281"/>
      <c r="Q66" s="281"/>
      <c r="R66" s="281"/>
      <c r="S66" s="281"/>
      <c r="T66" s="281"/>
      <c r="U66" s="281"/>
      <c r="V66" s="281"/>
      <c r="W66" s="282"/>
      <c r="X66" s="48"/>
      <c r="Y66" s="48"/>
      <c r="Z66" s="48"/>
      <c r="AA66" s="48"/>
      <c r="AB66" s="48"/>
      <c r="AC66" s="48"/>
      <c r="AD66" s="48"/>
      <c r="AE66" s="48"/>
      <c r="AF66" s="48"/>
      <c r="AG66" s="48"/>
      <c r="AH66" s="48"/>
      <c r="AI66" s="47"/>
      <c r="AJ66" s="47"/>
      <c r="AK66" s="47"/>
      <c r="AL66" s="47"/>
      <c r="AM66" s="47"/>
      <c r="AN66" s="47"/>
      <c r="AO66" s="47"/>
      <c r="AP66" s="47"/>
      <c r="AQ66" s="47"/>
      <c r="AR66" s="47"/>
      <c r="AS66" s="47"/>
      <c r="AT66" s="47"/>
      <c r="AU66" s="47"/>
      <c r="AV66" s="47"/>
      <c r="AW66" s="47"/>
      <c r="AX66" s="47"/>
      <c r="AY66" s="47"/>
      <c r="AZ66" s="47"/>
      <c r="BA66" s="47"/>
      <c r="BB66" s="47"/>
      <c r="BC66" s="47"/>
      <c r="BD66" s="47"/>
      <c r="BE66" s="47"/>
      <c r="BF66" s="47"/>
      <c r="BG66" s="47"/>
      <c r="BH66" s="47"/>
      <c r="BI66" s="47"/>
      <c r="BJ66" s="47"/>
      <c r="BK66" s="47"/>
      <c r="BL66" s="47"/>
      <c r="BM66" s="47"/>
      <c r="BN66" s="47"/>
    </row>
    <row r="67" spans="1:66" ht="15.6" customHeight="1" x14ac:dyDescent="0.3">
      <c r="A67" s="98"/>
      <c r="B67" s="275">
        <v>2021</v>
      </c>
      <c r="C67" s="357">
        <f>E22/R22*100</f>
        <v>13.311346810123315</v>
      </c>
      <c r="D67" s="276"/>
      <c r="E67" s="276"/>
      <c r="F67" s="276"/>
      <c r="G67" s="276"/>
      <c r="H67" s="281"/>
      <c r="I67" s="281"/>
      <c r="J67" s="281"/>
      <c r="K67" s="281"/>
      <c r="L67" s="281"/>
      <c r="M67" s="281"/>
      <c r="N67" s="281"/>
      <c r="O67" s="281"/>
      <c r="P67" s="281"/>
      <c r="Q67" s="281"/>
      <c r="R67" s="281"/>
      <c r="S67" s="281"/>
      <c r="T67" s="281"/>
      <c r="U67" s="281"/>
      <c r="V67" s="281"/>
      <c r="W67" s="283"/>
      <c r="X67" s="52"/>
      <c r="Y67" s="52"/>
      <c r="Z67" s="52"/>
      <c r="AA67" s="43"/>
      <c r="AB67" s="43"/>
      <c r="AC67" s="43"/>
      <c r="AD67" s="43"/>
      <c r="AE67" s="43"/>
      <c r="AF67" s="43"/>
      <c r="AG67" s="43"/>
      <c r="AH67" s="43"/>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row>
    <row r="68" spans="1:66" ht="15.6" customHeight="1" x14ac:dyDescent="0.3">
      <c r="A68" s="98"/>
      <c r="B68" s="280">
        <v>2022</v>
      </c>
      <c r="C68" s="357">
        <f>F22/S22*100</f>
        <v>12.999345665397758</v>
      </c>
      <c r="D68" s="276"/>
      <c r="E68" s="276"/>
      <c r="F68" s="276"/>
      <c r="G68" s="276"/>
      <c r="H68" s="284"/>
      <c r="I68" s="284"/>
      <c r="J68" s="284"/>
      <c r="K68" s="284"/>
      <c r="L68" s="284"/>
      <c r="M68" s="284"/>
      <c r="N68" s="284"/>
      <c r="O68" s="284"/>
      <c r="P68" s="284"/>
      <c r="Q68" s="284"/>
      <c r="R68" s="284"/>
      <c r="S68" s="284"/>
      <c r="T68" s="284"/>
      <c r="U68" s="284"/>
      <c r="V68" s="284"/>
      <c r="W68" s="98"/>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row>
    <row r="69" spans="1:66" ht="15.6" customHeight="1" x14ac:dyDescent="0.3">
      <c r="A69" s="98"/>
      <c r="B69" s="275">
        <v>2023</v>
      </c>
      <c r="C69" s="357">
        <f>G22/$T22*100</f>
        <v>13.148449627181154</v>
      </c>
      <c r="D69" s="357">
        <f>H22/$T22*100</f>
        <v>15.780660745650502</v>
      </c>
      <c r="E69" s="357">
        <f>I22/$T22*100</f>
        <v>14.003070573026122</v>
      </c>
      <c r="F69" s="357">
        <f>J22/$T22*100</f>
        <v>14.670051960420755</v>
      </c>
      <c r="G69" s="357">
        <f>K22/$T22*100</f>
        <v>14.329256895556799</v>
      </c>
      <c r="H69" s="277"/>
      <c r="I69" s="277"/>
      <c r="J69" s="277"/>
      <c r="K69" s="277"/>
      <c r="L69" s="277"/>
      <c r="M69" s="277"/>
      <c r="N69" s="277"/>
      <c r="O69" s="277"/>
      <c r="P69" s="277"/>
      <c r="Q69" s="277"/>
      <c r="R69" s="277"/>
      <c r="S69" s="277"/>
      <c r="T69" s="277"/>
      <c r="U69" s="277"/>
      <c r="V69" s="277"/>
      <c r="W69" s="98"/>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row>
    <row r="70" spans="1:66" ht="15.6" customHeight="1" x14ac:dyDescent="0.3">
      <c r="A70" s="98"/>
      <c r="B70" s="280">
        <v>2024</v>
      </c>
      <c r="C70" s="276"/>
      <c r="D70" s="358"/>
      <c r="E70" s="357"/>
      <c r="F70" s="357"/>
      <c r="G70" s="357"/>
      <c r="H70" s="284"/>
      <c r="I70" s="284"/>
      <c r="J70" s="284"/>
      <c r="K70" s="284"/>
      <c r="L70" s="284"/>
      <c r="M70" s="284"/>
      <c r="N70" s="284"/>
      <c r="O70" s="284"/>
      <c r="P70" s="284"/>
      <c r="Q70" s="284"/>
      <c r="R70" s="284"/>
      <c r="S70" s="284"/>
      <c r="T70" s="284"/>
      <c r="U70" s="284"/>
      <c r="V70" s="284"/>
      <c r="W70" s="98"/>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row>
    <row r="71" spans="1:66" ht="15.6" customHeight="1" x14ac:dyDescent="0.3">
      <c r="A71" s="98"/>
      <c r="B71" s="275">
        <v>2025</v>
      </c>
      <c r="C71" s="276"/>
      <c r="D71" s="358"/>
      <c r="E71" s="357"/>
      <c r="F71" s="357"/>
      <c r="G71" s="357"/>
      <c r="H71" s="284"/>
      <c r="I71" s="284"/>
      <c r="J71" s="284"/>
      <c r="K71" s="284"/>
      <c r="L71" s="284"/>
      <c r="M71" s="284"/>
      <c r="N71" s="284"/>
      <c r="O71" s="284"/>
      <c r="P71" s="284"/>
      <c r="Q71" s="284"/>
      <c r="R71" s="284"/>
      <c r="S71" s="284"/>
      <c r="T71" s="284"/>
      <c r="U71" s="284"/>
      <c r="V71" s="284"/>
      <c r="W71" s="98"/>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row>
    <row r="72" spans="1:66" ht="15.6" customHeight="1" x14ac:dyDescent="0.3">
      <c r="A72" s="98"/>
      <c r="B72" s="280">
        <v>2026</v>
      </c>
      <c r="C72" s="276"/>
      <c r="D72" s="357"/>
      <c r="E72" s="357"/>
      <c r="F72" s="357"/>
      <c r="G72" s="357"/>
      <c r="H72" s="277"/>
      <c r="I72" s="277"/>
      <c r="J72" s="277"/>
      <c r="K72" s="277"/>
      <c r="L72" s="277"/>
      <c r="M72" s="277"/>
      <c r="N72" s="277"/>
      <c r="O72" s="277"/>
      <c r="P72" s="277"/>
      <c r="Q72" s="277"/>
      <c r="R72" s="277"/>
      <c r="S72" s="277"/>
      <c r="T72" s="277"/>
      <c r="U72" s="277"/>
      <c r="V72" s="277"/>
      <c r="W72" s="98"/>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row>
    <row r="73" spans="1:66" ht="12.6" customHeight="1" x14ac:dyDescent="0.3">
      <c r="A73" s="98"/>
      <c r="B73" s="98"/>
      <c r="C73" s="98"/>
      <c r="D73" s="98"/>
      <c r="E73" s="98"/>
      <c r="F73" s="98"/>
      <c r="G73" s="98"/>
      <c r="H73" s="98"/>
      <c r="I73" s="98"/>
      <c r="J73" s="98"/>
      <c r="K73" s="98"/>
      <c r="L73" s="98"/>
      <c r="M73" s="98"/>
      <c r="N73" s="98"/>
      <c r="O73" s="98"/>
      <c r="P73" s="98"/>
      <c r="Q73" s="98"/>
      <c r="R73" s="98"/>
      <c r="S73" s="98"/>
      <c r="T73" s="98"/>
      <c r="U73" s="98"/>
      <c r="V73" s="98"/>
      <c r="W73" s="98"/>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row>
    <row r="74" spans="1:66" ht="12.6" customHeight="1" x14ac:dyDescent="0.3">
      <c r="A74" s="98"/>
      <c r="B74" s="98"/>
      <c r="C74" s="285"/>
      <c r="D74" s="98"/>
      <c r="E74" s="98"/>
      <c r="F74" s="98"/>
      <c r="G74" s="98"/>
      <c r="H74" s="98"/>
      <c r="I74" s="98"/>
      <c r="J74" s="98"/>
      <c r="K74" s="98"/>
      <c r="L74" s="98"/>
      <c r="M74" s="98"/>
      <c r="N74" s="98"/>
      <c r="O74" s="98"/>
      <c r="P74" s="98"/>
      <c r="Q74" s="98"/>
      <c r="R74" s="98"/>
      <c r="S74" s="98"/>
      <c r="T74" s="98"/>
      <c r="U74" s="98"/>
      <c r="V74" s="98"/>
      <c r="W74" s="98"/>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row>
    <row r="75" spans="1:66" ht="12.6" customHeight="1" x14ac:dyDescent="0.3">
      <c r="A75" s="98"/>
      <c r="B75" s="98"/>
      <c r="C75" s="98"/>
      <c r="D75" s="98"/>
      <c r="E75" s="98"/>
      <c r="F75" s="98"/>
      <c r="G75" s="98"/>
      <c r="H75" s="98"/>
      <c r="I75" s="98"/>
      <c r="J75" s="98"/>
      <c r="K75" s="98"/>
      <c r="L75" s="98"/>
      <c r="M75" s="98"/>
      <c r="N75" s="98"/>
      <c r="O75" s="98"/>
      <c r="P75" s="98"/>
      <c r="Q75" s="98"/>
      <c r="R75" s="98"/>
      <c r="S75" s="98"/>
      <c r="T75" s="98"/>
      <c r="U75" s="98"/>
      <c r="V75" s="98"/>
      <c r="W75" s="98"/>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row>
    <row r="76" spans="1:66" ht="18" customHeight="1" x14ac:dyDescent="0.3">
      <c r="A76" s="98"/>
      <c r="B76" s="98"/>
      <c r="C76" s="98"/>
      <c r="D76" s="98"/>
      <c r="E76" s="98"/>
      <c r="F76" s="98"/>
      <c r="G76" s="98"/>
      <c r="H76" s="98"/>
      <c r="I76" s="98"/>
      <c r="J76" s="98"/>
      <c r="K76" s="98"/>
      <c r="L76" s="98"/>
      <c r="M76" s="98"/>
      <c r="N76" s="98"/>
      <c r="O76" s="98"/>
      <c r="P76" s="98"/>
      <c r="Q76" s="98"/>
      <c r="R76" s="98"/>
      <c r="S76" s="98"/>
      <c r="T76" s="98"/>
      <c r="U76" s="98"/>
      <c r="V76" s="98"/>
      <c r="W76" s="98"/>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row>
    <row r="77" spans="1:66" ht="42" customHeight="1" x14ac:dyDescent="0.3">
      <c r="A77" s="98"/>
      <c r="B77" s="356" t="s">
        <v>203</v>
      </c>
      <c r="C77" s="271" t="s">
        <v>202</v>
      </c>
      <c r="D77" s="272" t="s">
        <v>172</v>
      </c>
      <c r="E77" s="272" t="s">
        <v>173</v>
      </c>
      <c r="F77" s="273" t="s">
        <v>174</v>
      </c>
      <c r="G77" s="272" t="s">
        <v>175</v>
      </c>
      <c r="H77" s="98"/>
      <c r="I77" s="98"/>
      <c r="J77" s="98"/>
      <c r="K77" s="98"/>
      <c r="L77" s="98"/>
      <c r="M77" s="98"/>
      <c r="N77" s="98"/>
      <c r="O77" s="98"/>
      <c r="P77" s="98"/>
      <c r="Q77" s="98"/>
      <c r="R77" s="98"/>
      <c r="S77" s="98"/>
      <c r="T77" s="98"/>
      <c r="U77" s="98"/>
      <c r="V77" s="98"/>
      <c r="W77" s="98"/>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row>
    <row r="78" spans="1:66" ht="15.6" customHeight="1" x14ac:dyDescent="0.3">
      <c r="A78" s="98"/>
      <c r="B78" s="275">
        <v>2019</v>
      </c>
      <c r="C78" s="357">
        <f>C65</f>
        <v>14.012883768418954</v>
      </c>
      <c r="D78" s="276"/>
      <c r="E78" s="276"/>
      <c r="F78" s="276"/>
      <c r="G78" s="276"/>
      <c r="H78" s="98"/>
      <c r="I78" s="98"/>
      <c r="J78" s="98"/>
      <c r="K78" s="98"/>
      <c r="L78" s="98"/>
      <c r="M78" s="98"/>
      <c r="N78" s="98"/>
      <c r="O78" s="98"/>
      <c r="P78" s="98"/>
      <c r="Q78" s="98"/>
      <c r="R78" s="98"/>
      <c r="S78" s="98"/>
      <c r="T78" s="98"/>
      <c r="U78" s="98"/>
      <c r="V78" s="98"/>
      <c r="W78" s="98"/>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row>
    <row r="79" spans="1:66" s="1" customFormat="1" ht="15" customHeight="1" x14ac:dyDescent="0.3">
      <c r="A79" s="98"/>
      <c r="B79" s="280">
        <v>2020</v>
      </c>
      <c r="C79" s="357">
        <f>C66</f>
        <v>13.594019464813179</v>
      </c>
      <c r="D79" s="276"/>
      <c r="E79" s="276"/>
      <c r="F79" s="276"/>
      <c r="G79" s="276"/>
      <c r="H79" s="98"/>
      <c r="I79" s="98"/>
      <c r="J79" s="98"/>
      <c r="K79" s="98"/>
      <c r="L79" s="98"/>
      <c r="M79" s="98"/>
      <c r="N79" s="98"/>
      <c r="O79" s="98"/>
      <c r="P79" s="98"/>
      <c r="Q79" s="98"/>
      <c r="R79" s="98"/>
      <c r="S79" s="98"/>
      <c r="T79" s="98"/>
      <c r="U79" s="98"/>
      <c r="V79" s="98"/>
      <c r="W79" s="98"/>
    </row>
    <row r="80" spans="1:66" s="1" customFormat="1" ht="15" customHeight="1" x14ac:dyDescent="0.3">
      <c r="A80" s="98"/>
      <c r="B80" s="275">
        <v>2021</v>
      </c>
      <c r="C80" s="357">
        <f>C67</f>
        <v>13.311346810123315</v>
      </c>
      <c r="D80" s="276"/>
      <c r="E80" s="276"/>
      <c r="F80" s="276"/>
      <c r="G80" s="276"/>
      <c r="H80" s="98"/>
      <c r="I80" s="98"/>
      <c r="J80" s="98"/>
      <c r="K80" s="98"/>
      <c r="L80" s="98"/>
      <c r="M80" s="98"/>
      <c r="N80" s="98"/>
      <c r="O80" s="98"/>
      <c r="P80" s="98"/>
      <c r="Q80" s="98"/>
      <c r="R80" s="98"/>
      <c r="S80" s="98"/>
      <c r="T80" s="98"/>
      <c r="U80" s="98"/>
      <c r="V80" s="98"/>
      <c r="W80" s="98"/>
    </row>
    <row r="81" spans="1:23" s="1" customFormat="1" ht="15" customHeight="1" x14ac:dyDescent="0.3">
      <c r="A81" s="98"/>
      <c r="B81" s="280">
        <v>2022</v>
      </c>
      <c r="C81" s="357">
        <f>C68</f>
        <v>12.999345665397758</v>
      </c>
      <c r="D81" s="276"/>
      <c r="E81" s="276"/>
      <c r="F81" s="276"/>
      <c r="G81" s="276"/>
      <c r="H81" s="98"/>
      <c r="I81" s="98"/>
      <c r="J81" s="98"/>
      <c r="K81" s="98"/>
      <c r="L81" s="98"/>
      <c r="M81" s="98"/>
      <c r="N81" s="98"/>
      <c r="O81" s="98"/>
      <c r="P81" s="98"/>
      <c r="Q81" s="98"/>
      <c r="R81" s="98"/>
      <c r="S81" s="98"/>
      <c r="T81" s="98"/>
      <c r="U81" s="98"/>
      <c r="V81" s="98"/>
      <c r="W81" s="98"/>
    </row>
    <row r="82" spans="1:23" s="1" customFormat="1" ht="15" customHeight="1" x14ac:dyDescent="0.3">
      <c r="A82" s="98"/>
      <c r="B82" s="275">
        <v>2023</v>
      </c>
      <c r="C82" s="357">
        <f>C69</f>
        <v>13.148449627181154</v>
      </c>
      <c r="D82" s="357">
        <f>D69</f>
        <v>15.780660745650502</v>
      </c>
      <c r="E82" s="357">
        <f>E69</f>
        <v>14.003070573026122</v>
      </c>
      <c r="F82" s="357">
        <f>F69</f>
        <v>14.670051960420755</v>
      </c>
      <c r="G82" s="357">
        <f>G69</f>
        <v>14.329256895556799</v>
      </c>
      <c r="H82" s="98"/>
      <c r="I82" s="98"/>
      <c r="J82" s="98"/>
      <c r="K82" s="98"/>
      <c r="L82" s="98"/>
      <c r="M82" s="98"/>
      <c r="N82" s="98"/>
      <c r="O82" s="98"/>
      <c r="P82" s="98"/>
      <c r="Q82" s="98"/>
      <c r="R82" s="98"/>
      <c r="S82" s="98"/>
      <c r="T82" s="98"/>
      <c r="U82" s="98"/>
      <c r="V82" s="98"/>
      <c r="W82" s="98"/>
    </row>
    <row r="83" spans="1:23" s="1" customFormat="1" ht="15" customHeight="1" x14ac:dyDescent="0.3">
      <c r="A83" s="98"/>
      <c r="B83" s="280">
        <v>2024</v>
      </c>
      <c r="C83" s="357"/>
      <c r="D83" s="358"/>
      <c r="E83" s="358"/>
      <c r="F83" s="358"/>
      <c r="G83" s="358"/>
      <c r="H83" s="98"/>
      <c r="I83" s="98"/>
      <c r="J83" s="98"/>
      <c r="K83" s="98"/>
      <c r="L83" s="98"/>
      <c r="M83" s="98"/>
      <c r="N83" s="98"/>
      <c r="O83" s="98"/>
      <c r="P83" s="98"/>
      <c r="Q83" s="98"/>
      <c r="R83" s="98"/>
      <c r="S83" s="98"/>
      <c r="T83" s="98"/>
      <c r="U83" s="98"/>
      <c r="V83" s="98"/>
      <c r="W83" s="98"/>
    </row>
    <row r="84" spans="1:23" s="1" customFormat="1" ht="15" customHeight="1" x14ac:dyDescent="0.3">
      <c r="A84" s="98"/>
      <c r="B84" s="275">
        <v>2025</v>
      </c>
      <c r="C84" s="357"/>
      <c r="D84" s="358"/>
      <c r="E84" s="358"/>
      <c r="F84" s="358"/>
      <c r="G84" s="358"/>
      <c r="H84" s="98"/>
      <c r="I84" s="98"/>
      <c r="J84" s="98"/>
      <c r="K84" s="98"/>
      <c r="L84" s="98"/>
      <c r="M84" s="98"/>
      <c r="N84" s="98"/>
      <c r="O84" s="98"/>
      <c r="P84" s="98"/>
      <c r="Q84" s="98"/>
      <c r="R84" s="98"/>
      <c r="S84" s="98"/>
      <c r="T84" s="98"/>
      <c r="U84" s="98"/>
      <c r="V84" s="98"/>
      <c r="W84" s="98"/>
    </row>
    <row r="85" spans="1:23" s="1" customFormat="1" ht="15" customHeight="1" x14ac:dyDescent="0.3">
      <c r="A85" s="98"/>
      <c r="B85" s="280">
        <v>2026</v>
      </c>
      <c r="C85" s="357"/>
      <c r="D85" s="357"/>
      <c r="E85" s="357"/>
      <c r="F85" s="357"/>
      <c r="G85" s="357"/>
      <c r="H85" s="98"/>
      <c r="I85" s="98"/>
      <c r="J85" s="98"/>
      <c r="K85" s="98"/>
      <c r="L85" s="98"/>
      <c r="M85" s="98"/>
      <c r="N85" s="98"/>
      <c r="O85" s="98"/>
      <c r="P85" s="98"/>
      <c r="Q85" s="98"/>
      <c r="R85" s="98"/>
      <c r="S85" s="98"/>
      <c r="T85" s="98"/>
      <c r="U85" s="98"/>
      <c r="V85" s="98"/>
      <c r="W85" s="98"/>
    </row>
    <row r="86" spans="1:23" s="1" customFormat="1" ht="12.6" customHeight="1" x14ac:dyDescent="0.3">
      <c r="A86" s="98"/>
      <c r="B86" s="98"/>
      <c r="C86" s="98"/>
      <c r="D86" s="285"/>
      <c r="E86" s="98"/>
      <c r="F86" s="98"/>
      <c r="G86" s="98"/>
      <c r="H86" s="98"/>
      <c r="I86" s="98"/>
      <c r="J86" s="98"/>
      <c r="K86" s="98"/>
      <c r="L86" s="98"/>
      <c r="M86" s="98"/>
      <c r="N86" s="98"/>
      <c r="O86" s="98"/>
      <c r="P86" s="98"/>
      <c r="Q86" s="98"/>
      <c r="R86" s="98"/>
      <c r="S86" s="98"/>
      <c r="T86" s="98"/>
      <c r="U86" s="98"/>
      <c r="V86" s="98"/>
      <c r="W86" s="98"/>
    </row>
    <row r="87" spans="1:23" s="1" customFormat="1" ht="12.6" customHeight="1" x14ac:dyDescent="0.3">
      <c r="A87" s="98"/>
      <c r="B87" s="98"/>
      <c r="C87" s="98"/>
      <c r="D87" s="98"/>
      <c r="E87" s="98"/>
      <c r="F87" s="98"/>
      <c r="G87" s="98"/>
      <c r="H87" s="98"/>
      <c r="I87" s="98"/>
      <c r="J87" s="98"/>
      <c r="K87" s="98"/>
      <c r="L87" s="98"/>
      <c r="M87" s="98"/>
      <c r="N87" s="98"/>
      <c r="O87" s="98"/>
      <c r="P87" s="98"/>
      <c r="Q87" s="98"/>
      <c r="R87" s="98"/>
      <c r="S87" s="98"/>
      <c r="T87" s="98"/>
      <c r="U87" s="98"/>
      <c r="V87" s="98"/>
      <c r="W87" s="98"/>
    </row>
    <row r="88" spans="1:23" s="1" customFormat="1" ht="12.6" customHeight="1" x14ac:dyDescent="0.3">
      <c r="A88" s="98"/>
      <c r="B88" s="98"/>
      <c r="C88" s="98"/>
      <c r="D88" s="98"/>
      <c r="E88" s="98"/>
      <c r="F88" s="98"/>
      <c r="G88" s="98"/>
      <c r="H88" s="98"/>
      <c r="I88" s="98"/>
      <c r="J88" s="98"/>
      <c r="K88" s="98"/>
      <c r="L88" s="98"/>
      <c r="M88" s="98"/>
      <c r="N88" s="98"/>
      <c r="O88" s="98"/>
      <c r="P88" s="98"/>
      <c r="Q88" s="98"/>
      <c r="R88" s="98"/>
      <c r="S88" s="98"/>
      <c r="T88" s="98"/>
      <c r="U88" s="98"/>
      <c r="V88" s="98"/>
      <c r="W88" s="98"/>
    </row>
    <row r="89" spans="1:23" s="1" customFormat="1" ht="12.6" customHeight="1" x14ac:dyDescent="0.3"/>
    <row r="90" spans="1:23" s="1" customFormat="1" ht="12.6" customHeight="1" x14ac:dyDescent="0.3"/>
    <row r="91" spans="1:23" s="1" customFormat="1" x14ac:dyDescent="0.3"/>
    <row r="92" spans="1:23" s="1" customFormat="1" x14ac:dyDescent="0.3"/>
    <row r="93" spans="1:23" s="1" customFormat="1" x14ac:dyDescent="0.3"/>
    <row r="94" spans="1:23" s="1" customFormat="1" x14ac:dyDescent="0.3"/>
    <row r="95" spans="1:23" s="1" customFormat="1" x14ac:dyDescent="0.3"/>
    <row r="96" spans="1:23" s="1" customFormat="1" x14ac:dyDescent="0.3"/>
    <row r="97" s="1" customFormat="1" x14ac:dyDescent="0.3"/>
    <row r="98" s="1" customFormat="1" x14ac:dyDescent="0.3"/>
    <row r="99" s="1" customFormat="1" x14ac:dyDescent="0.3"/>
    <row r="100" s="1" customFormat="1" x14ac:dyDescent="0.3"/>
    <row r="101" s="1" customFormat="1" x14ac:dyDescent="0.3"/>
    <row r="102" s="1" customFormat="1" x14ac:dyDescent="0.3"/>
    <row r="103" s="1" customFormat="1" x14ac:dyDescent="0.3"/>
    <row r="104" s="1" customFormat="1" x14ac:dyDescent="0.3"/>
    <row r="105" s="1" customFormat="1" x14ac:dyDescent="0.3"/>
    <row r="106" s="1" customFormat="1" x14ac:dyDescent="0.3"/>
    <row r="107" s="1" customFormat="1" x14ac:dyDescent="0.3"/>
    <row r="108" s="1" customFormat="1" x14ac:dyDescent="0.3"/>
    <row r="109" s="1" customFormat="1" x14ac:dyDescent="0.3"/>
    <row r="110" s="1" customFormat="1" x14ac:dyDescent="0.3"/>
    <row r="111" s="1" customFormat="1" x14ac:dyDescent="0.3"/>
    <row r="112" s="1" customFormat="1" x14ac:dyDescent="0.3"/>
    <row r="113" s="1" customFormat="1" x14ac:dyDescent="0.3"/>
    <row r="114" s="1" customFormat="1" x14ac:dyDescent="0.3"/>
    <row r="115" s="1" customFormat="1" x14ac:dyDescent="0.3"/>
    <row r="116" s="1" customFormat="1" x14ac:dyDescent="0.3"/>
    <row r="117" s="1" customFormat="1" x14ac:dyDescent="0.3"/>
    <row r="118" s="1" customFormat="1" x14ac:dyDescent="0.3"/>
    <row r="119" s="1" customFormat="1" x14ac:dyDescent="0.3"/>
    <row r="120" s="1" customFormat="1" x14ac:dyDescent="0.3"/>
    <row r="121" s="1" customFormat="1" x14ac:dyDescent="0.3"/>
  </sheetData>
  <pageMargins left="0.7" right="0.7" top="0.75" bottom="0.75" header="0.3" footer="0.3"/>
  <pageSetup paperSize="9" orientation="portrait" r:id="rId1"/>
  <drawing r:id="rId2"/>
  <legacyDrawing r:id="rId3"/>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FC9503-2B3D-4F65-8588-C4C876EE0681}">
  <dimension ref="A1:FQ27"/>
  <sheetViews>
    <sheetView zoomScale="85" zoomScaleNormal="85" workbookViewId="0">
      <selection activeCell="AH35" sqref="AH35"/>
    </sheetView>
  </sheetViews>
  <sheetFormatPr baseColWidth="10" defaultColWidth="8.6640625" defaultRowHeight="14.4" x14ac:dyDescent="0.3"/>
  <cols>
    <col min="1" max="1" width="4.33203125" customWidth="1"/>
    <col min="3" max="3" width="15.6640625" customWidth="1"/>
    <col min="4" max="7" width="14.5546875" customWidth="1"/>
    <col min="8" max="15" width="18" customWidth="1"/>
    <col min="16" max="17" width="18.6640625" customWidth="1"/>
    <col min="18" max="18" width="15.33203125" customWidth="1"/>
    <col min="19" max="22" width="18" customWidth="1"/>
    <col min="23" max="31" width="14.6640625" customWidth="1"/>
    <col min="32" max="32" width="15.33203125" customWidth="1"/>
    <col min="33" max="33" width="14.6640625" customWidth="1"/>
    <col min="34" max="41" width="13.5546875" customWidth="1"/>
    <col min="42" max="42" width="15.5546875" customWidth="1"/>
    <col min="43" max="43" width="13" customWidth="1"/>
    <col min="44" max="44" width="11.33203125" customWidth="1"/>
    <col min="45" max="45" width="12.33203125" customWidth="1"/>
    <col min="46" max="50" width="11.33203125" customWidth="1"/>
    <col min="51" max="51" width="13.44140625" customWidth="1"/>
    <col min="56" max="56" width="9.6640625" customWidth="1"/>
    <col min="60" max="60" width="16.44140625" customWidth="1"/>
    <col min="61" max="61" width="16.33203125" customWidth="1"/>
    <col min="62" max="63" width="15.33203125" customWidth="1"/>
    <col min="68" max="68" width="11.44140625" bestFit="1" customWidth="1"/>
    <col min="69" max="69" width="13.5546875" customWidth="1"/>
    <col min="70" max="70" width="13.6640625" customWidth="1"/>
    <col min="71" max="71" width="12.44140625" customWidth="1"/>
    <col min="72" max="77" width="12.6640625" customWidth="1"/>
    <col min="78" max="80" width="11.33203125" customWidth="1"/>
    <col min="81" max="85" width="11.6640625" hidden="1" customWidth="1"/>
    <col min="86" max="86" width="13.33203125" hidden="1" customWidth="1"/>
    <col min="87" max="88" width="11.6640625" hidden="1" customWidth="1"/>
    <col min="89" max="94" width="12.6640625" customWidth="1"/>
    <col min="95" max="96" width="11.33203125" customWidth="1"/>
    <col min="97" max="104" width="11.6640625" customWidth="1"/>
    <col min="105" max="108" width="13.44140625" customWidth="1"/>
    <col min="110" max="130" width="0.5546875" customWidth="1"/>
    <col min="131" max="132" width="15.5546875" customWidth="1"/>
    <col min="133" max="133" width="15.33203125" customWidth="1"/>
    <col min="134" max="134" width="14.5546875" customWidth="1"/>
    <col min="135" max="135" width="16.5546875" customWidth="1"/>
    <col min="136" max="138" width="18" customWidth="1"/>
    <col min="139" max="142" width="15.33203125" customWidth="1"/>
    <col min="143" max="143" width="11" customWidth="1"/>
    <col min="144" max="145" width="16" customWidth="1"/>
    <col min="146" max="146" width="9.33203125" customWidth="1"/>
    <col min="147" max="150" width="17" customWidth="1"/>
    <col min="153" max="153" width="10.6640625" customWidth="1"/>
    <col min="156" max="157" width="11.33203125" customWidth="1"/>
    <col min="158" max="161" width="9.6640625" customWidth="1"/>
    <col min="162" max="165" width="11.5546875" customWidth="1"/>
  </cols>
  <sheetData>
    <row r="1" spans="1:173" ht="15" thickBot="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ht="18" customHeight="1" thickBot="1" x14ac:dyDescent="0.35">
      <c r="A2" s="1"/>
      <c r="B2" s="2" t="s">
        <v>579</v>
      </c>
      <c r="C2" s="3"/>
      <c r="D2" s="3"/>
      <c r="E2" s="3"/>
      <c r="F2" s="3"/>
      <c r="G2" s="3"/>
      <c r="H2" s="4"/>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18" customHeight="1" x14ac:dyDescent="0.3">
      <c r="A3" s="1"/>
      <c r="B3" s="5" t="s">
        <v>0</v>
      </c>
      <c r="C3" s="6"/>
      <c r="D3" s="6"/>
      <c r="E3" s="6"/>
      <c r="F3" s="6"/>
      <c r="G3" s="6"/>
      <c r="H3" s="7"/>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18" customHeight="1" x14ac:dyDescent="0.3">
      <c r="A4" s="1"/>
      <c r="B4" s="8" t="s">
        <v>1</v>
      </c>
      <c r="C4" s="9"/>
      <c r="D4" s="9"/>
      <c r="E4" s="9"/>
      <c r="F4" s="9"/>
      <c r="G4" s="9"/>
      <c r="H4" s="10"/>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12.6" customHeight="1" x14ac:dyDescent="0.3">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row>
    <row r="6" spans="1:173" ht="12.6" customHeight="1" x14ac:dyDescent="0.3">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row>
    <row r="7" spans="1:173" ht="12.6" customHeight="1" x14ac:dyDescent="0.3">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c r="EU7" s="1"/>
      <c r="EV7" s="1"/>
      <c r="EW7" s="1"/>
      <c r="EX7" s="1"/>
      <c r="EY7" s="1"/>
      <c r="EZ7" s="1"/>
      <c r="FA7" s="1"/>
      <c r="FB7" s="1"/>
      <c r="FC7" s="1"/>
      <c r="FD7" s="1"/>
      <c r="FE7" s="1"/>
      <c r="FF7" s="1"/>
      <c r="FG7" s="1"/>
      <c r="FH7" s="1"/>
      <c r="FI7" s="1"/>
      <c r="FJ7" s="1"/>
      <c r="FK7" s="1"/>
      <c r="FL7" s="1"/>
      <c r="FM7" s="1"/>
      <c r="FN7" s="1"/>
      <c r="FO7" s="1"/>
      <c r="FP7" s="1"/>
      <c r="FQ7" s="1"/>
    </row>
    <row r="8" spans="1:173" ht="17.7" customHeight="1" x14ac:dyDescent="0.3">
      <c r="A8" s="1"/>
      <c r="B8" s="11" t="s">
        <v>2</v>
      </c>
      <c r="C8" s="12" t="s">
        <v>245</v>
      </c>
      <c r="D8" s="12" t="s">
        <v>246</v>
      </c>
      <c r="E8" s="124" t="s">
        <v>517</v>
      </c>
      <c r="F8" s="125"/>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56"/>
      <c r="CD8" s="56"/>
      <c r="CE8" s="56"/>
      <c r="CF8" s="56"/>
      <c r="CG8" s="56"/>
      <c r="CH8" s="56"/>
      <c r="CI8" s="56"/>
      <c r="CJ8" s="56"/>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row>
    <row r="9" spans="1:173" ht="10.35" customHeight="1" x14ac:dyDescent="0.3">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56"/>
      <c r="CD9" s="56"/>
      <c r="CE9" s="56"/>
      <c r="CF9" s="56"/>
      <c r="CG9" s="56"/>
      <c r="CH9" s="56"/>
      <c r="CI9" s="56"/>
      <c r="CJ9" s="56"/>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row>
    <row r="10" spans="1:173" x14ac:dyDescent="0.3">
      <c r="A10" s="1"/>
      <c r="B10" s="1"/>
      <c r="C10" s="13" t="s">
        <v>6</v>
      </c>
      <c r="D10" s="14"/>
      <c r="E10" s="14"/>
      <c r="F10" s="14"/>
      <c r="G10" s="14"/>
      <c r="H10" s="14"/>
      <c r="I10" s="14"/>
      <c r="J10" s="14"/>
      <c r="K10" s="14"/>
      <c r="L10" s="14"/>
      <c r="M10" s="14"/>
      <c r="N10" s="14"/>
      <c r="O10" s="14"/>
      <c r="P10" s="15" t="s">
        <v>580</v>
      </c>
      <c r="Q10" s="16"/>
      <c r="R10" s="16"/>
      <c r="S10" s="16"/>
      <c r="T10" s="16"/>
      <c r="U10" s="16"/>
      <c r="V10" s="16"/>
      <c r="W10" s="13" t="s">
        <v>628</v>
      </c>
      <c r="X10" s="17"/>
      <c r="Y10" s="17"/>
      <c r="Z10" s="17"/>
      <c r="AA10" s="17"/>
      <c r="AB10" s="17"/>
      <c r="AC10" s="17"/>
      <c r="AD10" s="13" t="s">
        <v>629</v>
      </c>
      <c r="AE10" s="17"/>
      <c r="AF10" s="17"/>
      <c r="AG10" s="18"/>
      <c r="AH10" s="19" t="s">
        <v>630</v>
      </c>
      <c r="AI10" s="20"/>
      <c r="AJ10" s="16"/>
      <c r="AK10" s="16"/>
      <c r="AL10" s="16"/>
      <c r="AM10" s="16"/>
      <c r="AN10" s="16"/>
      <c r="AO10" s="16"/>
      <c r="AP10" s="21"/>
      <c r="AQ10" s="19" t="s">
        <v>9</v>
      </c>
      <c r="AR10" s="16"/>
      <c r="AS10" s="16"/>
      <c r="AT10" s="16"/>
      <c r="AU10" s="16"/>
      <c r="AV10" s="16"/>
      <c r="AW10" s="16"/>
      <c r="AX10" s="16"/>
      <c r="AY10" s="21"/>
      <c r="AZ10" s="22" t="s">
        <v>10</v>
      </c>
      <c r="BA10" s="23"/>
      <c r="BB10" s="23"/>
      <c r="BC10" s="23"/>
      <c r="BD10" s="23"/>
      <c r="BE10" s="23"/>
      <c r="BF10" s="23"/>
      <c r="BG10" s="23"/>
      <c r="BH10" s="23"/>
      <c r="BI10" s="23"/>
      <c r="BJ10" s="23"/>
      <c r="BK10" s="23"/>
      <c r="BL10" s="23"/>
      <c r="BM10" s="23"/>
      <c r="BN10" s="23"/>
      <c r="BO10" s="23"/>
      <c r="BP10" s="23"/>
      <c r="BQ10" s="23"/>
      <c r="BR10" s="24"/>
      <c r="BS10" s="11"/>
      <c r="BT10" s="19"/>
      <c r="BU10" s="16"/>
      <c r="BV10" s="16"/>
      <c r="BW10" s="16"/>
      <c r="BX10" s="16"/>
      <c r="BY10" s="16"/>
      <c r="BZ10" s="16"/>
      <c r="CA10" s="16"/>
      <c r="CB10" s="16"/>
      <c r="CC10" s="58" t="s">
        <v>12</v>
      </c>
      <c r="CD10" s="59"/>
      <c r="CE10" s="59"/>
      <c r="CF10" s="59"/>
      <c r="CG10" s="59"/>
      <c r="CH10" s="59"/>
      <c r="CI10" s="59"/>
      <c r="CJ10" s="59"/>
      <c r="CK10" s="19" t="s">
        <v>581</v>
      </c>
      <c r="CL10" s="16"/>
      <c r="CM10" s="16"/>
      <c r="CN10" s="16"/>
      <c r="CO10" s="16"/>
      <c r="CP10" s="16"/>
      <c r="CQ10" s="16"/>
      <c r="CR10" s="16"/>
      <c r="CS10" s="19" t="s">
        <v>582</v>
      </c>
      <c r="CT10" s="127"/>
      <c r="CU10" s="59"/>
      <c r="CV10" s="59"/>
      <c r="CW10" s="59"/>
      <c r="CX10" s="59"/>
      <c r="CY10" s="59"/>
      <c r="CZ10" s="59"/>
      <c r="DA10" s="15" t="s">
        <v>15</v>
      </c>
      <c r="DB10" s="60"/>
      <c r="DC10" s="60"/>
      <c r="DD10" s="8" t="s">
        <v>16</v>
      </c>
      <c r="DE10" s="10"/>
      <c r="DF10" s="1"/>
      <c r="DG10" s="1"/>
      <c r="DH10" s="1"/>
      <c r="DI10" s="1"/>
      <c r="DJ10" s="1"/>
      <c r="DK10" s="1"/>
      <c r="DL10" s="1"/>
      <c r="DM10" s="1"/>
      <c r="DN10" s="1"/>
      <c r="DO10" s="1"/>
      <c r="DP10" s="1"/>
      <c r="DQ10" s="1"/>
      <c r="DR10" s="1"/>
      <c r="DS10" s="1"/>
      <c r="DT10" s="1"/>
      <c r="DU10" s="1"/>
      <c r="DV10" s="1"/>
      <c r="DW10" s="1"/>
      <c r="DX10" s="1"/>
      <c r="DY10" s="1"/>
      <c r="DZ10" s="1"/>
      <c r="EA10" s="13" t="s">
        <v>17</v>
      </c>
      <c r="EB10" s="14"/>
      <c r="EC10" s="14"/>
      <c r="ED10" s="14"/>
      <c r="EE10" s="14"/>
      <c r="EF10" s="14"/>
      <c r="EG10" s="14"/>
      <c r="EH10" s="14"/>
      <c r="EI10" s="14"/>
      <c r="EJ10" s="14"/>
      <c r="EK10" s="14"/>
      <c r="EL10" s="14"/>
      <c r="EM10" s="14"/>
      <c r="EN10" s="15" t="s">
        <v>583</v>
      </c>
      <c r="EO10" s="16"/>
      <c r="EP10" s="16"/>
      <c r="EQ10" s="16"/>
      <c r="ER10" s="16"/>
      <c r="ES10" s="16"/>
      <c r="ET10" s="16"/>
      <c r="EU10" s="16"/>
      <c r="EV10" s="13" t="s">
        <v>631</v>
      </c>
      <c r="EW10" s="14"/>
      <c r="EX10" s="14"/>
      <c r="EY10" s="61"/>
      <c r="EZ10" s="62" t="s">
        <v>19</v>
      </c>
      <c r="FA10" s="10"/>
      <c r="FB10" s="14" t="s">
        <v>632</v>
      </c>
      <c r="FC10" s="17"/>
      <c r="FD10" s="17"/>
      <c r="FE10" s="17"/>
      <c r="FF10" s="17"/>
      <c r="FG10" s="17"/>
      <c r="FH10" s="17"/>
      <c r="FI10" s="18"/>
      <c r="FJ10" s="1"/>
      <c r="FK10" s="1"/>
      <c r="FL10" s="1"/>
      <c r="FM10" s="1"/>
      <c r="FN10" s="1"/>
      <c r="FO10" s="1"/>
      <c r="FP10" s="1"/>
      <c r="FQ10" s="1"/>
    </row>
    <row r="11" spans="1:173" ht="78.75" customHeight="1" x14ac:dyDescent="0.3">
      <c r="A11" s="1"/>
      <c r="B11" s="25" t="s">
        <v>20</v>
      </c>
      <c r="C11" s="26" t="s">
        <v>21</v>
      </c>
      <c r="D11" s="27" t="s">
        <v>22</v>
      </c>
      <c r="E11" s="27" t="s">
        <v>23</v>
      </c>
      <c r="F11" s="27" t="s">
        <v>24</v>
      </c>
      <c r="G11" s="27" t="s">
        <v>36</v>
      </c>
      <c r="H11" s="27" t="s">
        <v>26</v>
      </c>
      <c r="I11" s="27" t="s">
        <v>27</v>
      </c>
      <c r="J11" s="121"/>
      <c r="K11" s="27" t="s">
        <v>29</v>
      </c>
      <c r="L11" s="27" t="s">
        <v>30</v>
      </c>
      <c r="M11" s="27" t="s">
        <v>31</v>
      </c>
      <c r="N11" s="27" t="s">
        <v>32</v>
      </c>
      <c r="O11" s="27" t="s">
        <v>33</v>
      </c>
      <c r="P11" s="26" t="s">
        <v>21</v>
      </c>
      <c r="Q11" s="27" t="s">
        <v>22</v>
      </c>
      <c r="R11" s="27" t="s">
        <v>34</v>
      </c>
      <c r="S11" s="27" t="s">
        <v>29</v>
      </c>
      <c r="T11" s="27" t="s">
        <v>30</v>
      </c>
      <c r="U11" s="27" t="s">
        <v>31</v>
      </c>
      <c r="V11" s="27" t="s">
        <v>32</v>
      </c>
      <c r="W11" s="27" t="s">
        <v>22</v>
      </c>
      <c r="X11" s="27" t="s">
        <v>23</v>
      </c>
      <c r="Y11" s="27" t="s">
        <v>35</v>
      </c>
      <c r="Z11" s="27" t="s">
        <v>36</v>
      </c>
      <c r="AA11" s="27" t="s">
        <v>26</v>
      </c>
      <c r="AB11" s="27" t="s">
        <v>27</v>
      </c>
      <c r="AC11" s="27" t="s">
        <v>28</v>
      </c>
      <c r="AD11" s="27" t="s">
        <v>29</v>
      </c>
      <c r="AE11" s="27" t="s">
        <v>30</v>
      </c>
      <c r="AF11" s="27" t="s">
        <v>31</v>
      </c>
      <c r="AG11" s="27" t="s">
        <v>32</v>
      </c>
      <c r="AH11" s="27" t="s">
        <v>37</v>
      </c>
      <c r="AI11" s="27" t="s">
        <v>38</v>
      </c>
      <c r="AJ11" s="27" t="s">
        <v>39</v>
      </c>
      <c r="AK11" s="27" t="s">
        <v>40</v>
      </c>
      <c r="AL11" s="27" t="s">
        <v>41</v>
      </c>
      <c r="AM11" s="27" t="s">
        <v>42</v>
      </c>
      <c r="AN11" s="121" t="s">
        <v>43</v>
      </c>
      <c r="AO11" s="27" t="s">
        <v>44</v>
      </c>
      <c r="AP11" s="27" t="s">
        <v>45</v>
      </c>
      <c r="AQ11" s="27" t="s">
        <v>37</v>
      </c>
      <c r="AR11" s="27" t="s">
        <v>38</v>
      </c>
      <c r="AS11" s="27" t="s">
        <v>39</v>
      </c>
      <c r="AT11" s="27" t="s">
        <v>40</v>
      </c>
      <c r="AU11" s="27" t="s">
        <v>41</v>
      </c>
      <c r="AV11" s="27" t="s">
        <v>42</v>
      </c>
      <c r="AW11" s="121"/>
      <c r="AX11" s="27" t="s">
        <v>44</v>
      </c>
      <c r="AY11" s="27" t="s">
        <v>45</v>
      </c>
      <c r="AZ11" s="27" t="s">
        <v>633</v>
      </c>
      <c r="BA11" s="27" t="s">
        <v>634</v>
      </c>
      <c r="BB11" s="27" t="s">
        <v>635</v>
      </c>
      <c r="BC11" s="27" t="s">
        <v>636</v>
      </c>
      <c r="BD11" s="27" t="s">
        <v>46</v>
      </c>
      <c r="BE11" s="27" t="s">
        <v>47</v>
      </c>
      <c r="BF11" s="27" t="s">
        <v>48</v>
      </c>
      <c r="BG11" s="27" t="s">
        <v>49</v>
      </c>
      <c r="BH11" s="27" t="s">
        <v>50</v>
      </c>
      <c r="BI11" s="27" t="s">
        <v>51</v>
      </c>
      <c r="BJ11" s="27" t="s">
        <v>52</v>
      </c>
      <c r="BK11" s="27" t="s">
        <v>53</v>
      </c>
      <c r="BL11" s="27" t="s">
        <v>54</v>
      </c>
      <c r="BM11" s="27" t="s">
        <v>55</v>
      </c>
      <c r="BN11" s="27" t="s">
        <v>56</v>
      </c>
      <c r="BO11" s="27" t="s">
        <v>57</v>
      </c>
      <c r="BP11" s="27" t="s">
        <v>637</v>
      </c>
      <c r="BQ11" s="27" t="s">
        <v>638</v>
      </c>
      <c r="BR11" s="27" t="s">
        <v>273</v>
      </c>
      <c r="BS11" s="27" t="s">
        <v>584</v>
      </c>
      <c r="BT11" s="27"/>
      <c r="BU11" s="27"/>
      <c r="BV11" s="27"/>
      <c r="BW11" s="27"/>
      <c r="BX11" s="27"/>
      <c r="BY11" s="27"/>
      <c r="BZ11" s="27"/>
      <c r="CA11" s="27"/>
      <c r="CB11" s="27"/>
      <c r="CC11" s="63" t="s">
        <v>68</v>
      </c>
      <c r="CD11" s="63" t="s">
        <v>69</v>
      </c>
      <c r="CE11" s="63" t="s">
        <v>70</v>
      </c>
      <c r="CF11" s="63" t="s">
        <v>71</v>
      </c>
      <c r="CG11" s="63" t="s">
        <v>72</v>
      </c>
      <c r="CH11" s="63" t="s">
        <v>73</v>
      </c>
      <c r="CI11" s="63" t="s">
        <v>74</v>
      </c>
      <c r="CJ11" s="63" t="s">
        <v>75</v>
      </c>
      <c r="CK11" s="27" t="s">
        <v>585</v>
      </c>
      <c r="CL11" s="27" t="s">
        <v>586</v>
      </c>
      <c r="CM11" s="27" t="s">
        <v>587</v>
      </c>
      <c r="CN11" s="27" t="s">
        <v>588</v>
      </c>
      <c r="CO11" s="27" t="s">
        <v>80</v>
      </c>
      <c r="CP11" s="27" t="s">
        <v>81</v>
      </c>
      <c r="CQ11" s="27" t="s">
        <v>82</v>
      </c>
      <c r="CR11" s="27" t="s">
        <v>589</v>
      </c>
      <c r="CS11" s="128" t="s">
        <v>590</v>
      </c>
      <c r="CT11" s="128" t="s">
        <v>591</v>
      </c>
      <c r="CU11" s="128" t="s">
        <v>592</v>
      </c>
      <c r="CV11" s="128" t="s">
        <v>593</v>
      </c>
      <c r="CW11" s="128" t="s">
        <v>88</v>
      </c>
      <c r="CX11" s="128" t="s">
        <v>89</v>
      </c>
      <c r="CY11" s="128" t="s">
        <v>90</v>
      </c>
      <c r="CZ11" s="128" t="s">
        <v>91</v>
      </c>
      <c r="DA11" s="64" t="s">
        <v>92</v>
      </c>
      <c r="DB11" s="64" t="s">
        <v>93</v>
      </c>
      <c r="DC11" s="64" t="s">
        <v>94</v>
      </c>
      <c r="DD11" s="64" t="s">
        <v>95</v>
      </c>
      <c r="DE11" s="64" t="s">
        <v>96</v>
      </c>
      <c r="DF11" s="1"/>
      <c r="DG11" s="1"/>
      <c r="DH11" s="1"/>
      <c r="DI11" s="1"/>
      <c r="DJ11" s="1"/>
      <c r="DK11" s="1"/>
      <c r="DL11" s="1"/>
      <c r="DM11" s="1"/>
      <c r="DN11" s="1"/>
      <c r="DO11" s="1"/>
      <c r="DP11" s="1"/>
      <c r="DQ11" s="1"/>
      <c r="DR11" s="1"/>
      <c r="DS11" s="1"/>
      <c r="DT11" s="1"/>
      <c r="DU11" s="1"/>
      <c r="DV11" s="1"/>
      <c r="DW11" s="1"/>
      <c r="DX11" s="1"/>
      <c r="DY11" s="1"/>
      <c r="DZ11" s="1"/>
      <c r="EA11" s="26" t="s">
        <v>97</v>
      </c>
      <c r="EB11" s="27" t="s">
        <v>98</v>
      </c>
      <c r="EC11" s="27" t="s">
        <v>99</v>
      </c>
      <c r="ED11" s="27" t="s">
        <v>100</v>
      </c>
      <c r="EE11" s="27" t="s">
        <v>101</v>
      </c>
      <c r="EF11" s="27" t="s">
        <v>102</v>
      </c>
      <c r="EG11" s="27" t="s">
        <v>103</v>
      </c>
      <c r="EH11" s="121"/>
      <c r="EI11" s="27" t="s">
        <v>104</v>
      </c>
      <c r="EJ11" s="27" t="s">
        <v>105</v>
      </c>
      <c r="EK11" s="27" t="s">
        <v>106</v>
      </c>
      <c r="EL11" s="27" t="s">
        <v>107</v>
      </c>
      <c r="EM11" s="27" t="s">
        <v>33</v>
      </c>
      <c r="EN11" s="27" t="s">
        <v>97</v>
      </c>
      <c r="EO11" s="27" t="s">
        <v>98</v>
      </c>
      <c r="EP11" s="27" t="s">
        <v>108</v>
      </c>
      <c r="EQ11" s="27" t="s">
        <v>104</v>
      </c>
      <c r="ER11" s="27" t="s">
        <v>105</v>
      </c>
      <c r="ES11" s="27" t="s">
        <v>106</v>
      </c>
      <c r="ET11" s="27" t="s">
        <v>107</v>
      </c>
      <c r="EU11" s="27" t="s">
        <v>594</v>
      </c>
      <c r="EV11" s="64" t="s">
        <v>639</v>
      </c>
      <c r="EW11" s="27" t="s">
        <v>99</v>
      </c>
      <c r="EX11" s="64" t="s">
        <v>110</v>
      </c>
      <c r="EY11" s="64" t="s">
        <v>640</v>
      </c>
      <c r="EZ11" s="64" t="s">
        <v>111</v>
      </c>
      <c r="FA11" s="64" t="s">
        <v>112</v>
      </c>
      <c r="FB11" s="27" t="s">
        <v>641</v>
      </c>
      <c r="FC11" s="27" t="s">
        <v>642</v>
      </c>
      <c r="FD11" s="27" t="s">
        <v>643</v>
      </c>
      <c r="FE11" s="27" t="s">
        <v>644</v>
      </c>
      <c r="FF11" s="27" t="s">
        <v>645</v>
      </c>
      <c r="FG11" s="27" t="s">
        <v>646</v>
      </c>
      <c r="FH11" s="27" t="s">
        <v>647</v>
      </c>
      <c r="FI11" s="27" t="s">
        <v>648</v>
      </c>
      <c r="FJ11" s="1"/>
      <c r="FK11" s="1"/>
      <c r="FL11" s="1"/>
      <c r="FM11" s="1"/>
      <c r="FN11" s="1"/>
      <c r="FO11" s="1"/>
      <c r="FP11" s="1"/>
      <c r="FQ11" s="1"/>
    </row>
    <row r="12" spans="1:173" x14ac:dyDescent="0.3">
      <c r="A12" s="1"/>
      <c r="B12" s="28">
        <v>1</v>
      </c>
      <c r="C12" s="129">
        <f>'[79]2. Distributional by deciles o'!B28</f>
        <v>1294306.0032000004</v>
      </c>
      <c r="D12" s="129">
        <f>'[79]2. Distributional by deciles o'!C28</f>
        <v>1341102.9227999989</v>
      </c>
      <c r="E12" s="129">
        <f>'[79]2. Distributional by deciles o'!D28</f>
        <v>1308295.3523999986</v>
      </c>
      <c r="F12" s="129">
        <f>'[79]2. Distributional by deciles o'!E28</f>
        <v>1311217.7003999986</v>
      </c>
      <c r="G12" s="129">
        <f>'[79]2. Distributional by deciles o'!F28</f>
        <v>1308295.3523999986</v>
      </c>
      <c r="H12" s="129">
        <f>'[79]2. Distributional by deciles o'!G28</f>
        <v>1308295.3523999986</v>
      </c>
      <c r="I12" s="129">
        <f>'[79]2. Distributional by deciles o'!H28</f>
        <v>1308295.3523999986</v>
      </c>
      <c r="J12" s="122"/>
      <c r="K12" s="130" t="s">
        <v>113</v>
      </c>
      <c r="L12" s="130" t="s">
        <v>113</v>
      </c>
      <c r="M12" s="130" t="s">
        <v>113</v>
      </c>
      <c r="N12" s="130" t="s">
        <v>113</v>
      </c>
      <c r="O12" s="131">
        <f>C12/C$22*100</f>
        <v>0.13840468256610225</v>
      </c>
      <c r="P12" s="129">
        <f>'[80]2. Distributional by deciles o'!B64</f>
        <v>147193254.41759998</v>
      </c>
      <c r="Q12" s="129">
        <f>'[80]2. Distributional by deciles o'!C64</f>
        <v>148665236.50440013</v>
      </c>
      <c r="R12" s="131">
        <f t="shared" ref="R12:R21" si="0">(Q12/P12-1)*100</f>
        <v>1.0000336582164371</v>
      </c>
      <c r="S12" s="130" t="s">
        <v>113</v>
      </c>
      <c r="T12" s="130" t="s">
        <v>113</v>
      </c>
      <c r="U12" s="130" t="s">
        <v>113</v>
      </c>
      <c r="V12" s="130" t="s">
        <v>113</v>
      </c>
      <c r="W12" s="132">
        <f>IF(D12&lt;&gt;0,((D12-$C12)/ABS($C12)) / ($Q12/$P12-1),0)</f>
        <v>3.6154776719313695</v>
      </c>
      <c r="X12" s="132">
        <f>IF(E12&lt;&gt;0,((E12-$C12)/ABS($C12)) / ($Q12/$P12-1),0)</f>
        <v>1.0808014738954321</v>
      </c>
      <c r="Y12" s="132">
        <f t="shared" ref="Y12:AA22" si="1">IF(F12&lt;&gt;0,MAX(((F12-$C12)/ABS($C12)) / ($Q12/$P12-1),0),0)</f>
        <v>1.3065788121032575</v>
      </c>
      <c r="Z12" s="132">
        <f t="shared" si="1"/>
        <v>1.0808014738954321</v>
      </c>
      <c r="AA12" s="132">
        <f t="shared" si="1"/>
        <v>1.0808014738954321</v>
      </c>
      <c r="AB12" s="132">
        <f>IF(I12&lt;&gt;0,MAX(((I12-$C12)/ABS($C12)) / ($Q12/$P12-1),0),AA12)</f>
        <v>1.0808014738954321</v>
      </c>
      <c r="AC12" s="132">
        <f>IF(J12&lt;&gt;0,MAX(((J12-$C12)/ABS($C12)) / ($Q12/$P12-1),0),AB12)</f>
        <v>1.0808014738954321</v>
      </c>
      <c r="AD12" s="130" t="s">
        <v>113</v>
      </c>
      <c r="AE12" s="130" t="s">
        <v>113</v>
      </c>
      <c r="AF12" s="130" t="s">
        <v>113</v>
      </c>
      <c r="AG12" s="130" t="s">
        <v>113</v>
      </c>
      <c r="AH12" s="133">
        <f t="shared" ref="AH12:AH22" si="2">MIN(W12,1)</f>
        <v>1</v>
      </c>
      <c r="AI12" s="134">
        <f>IF(W12&gt;1,MAX(W12-SUM(AH12,AJ12:AO12),0),0)</f>
        <v>8.0801473895432352E-2</v>
      </c>
      <c r="AJ12" s="134">
        <f t="shared" ref="AJ12:AJ22" si="3">IF(W12&gt;1,MIN($W12-Y12,W12-AH12),0)</f>
        <v>2.3088988598281119</v>
      </c>
      <c r="AK12" s="134">
        <f t="shared" ref="AK12:AK20" si="4">IF(W12&gt;1,MAX(MIN(Y12-Z12,W12-AH12-AJ12),0),0)</f>
        <v>0.22577733820782542</v>
      </c>
      <c r="AL12" s="134">
        <f>IF(W12&gt;1,MAX(MIN(Z12-AA12,W12-AH12-AJ12-AK12),0),0)</f>
        <v>0</v>
      </c>
      <c r="AM12" s="134">
        <f>IF(I12&lt;&gt;0,IF(W12&gt;1,MAX(MIN(AA12-AB12,W12-AH12-AJ12-AK12-AL12),0),0),0)</f>
        <v>0</v>
      </c>
      <c r="AN12" s="135">
        <f t="shared" ref="AN12:AN13" si="5">IF(J12&lt;&gt;0,IF(W12&gt;1,MAX(MIN(AB12-AC12,W12-AH12-AJ12-AK12-AL12-AM12),0),0),0)</f>
        <v>0</v>
      </c>
      <c r="AO12" s="134">
        <f>IF(W12&gt;1,MAX(0,MIN(W12-AH12-AJ12-AK12-AL12-AM12,W12-AH12-AJ12-AK12-AL12-AM12-X12+1)),0)</f>
        <v>0</v>
      </c>
      <c r="AP12" s="134">
        <f t="shared" ref="AP12:AP22" si="6">AI12+AO12</f>
        <v>8.0801473895432352E-2</v>
      </c>
      <c r="AQ12" s="136" t="s">
        <v>113</v>
      </c>
      <c r="AR12" s="137">
        <f t="shared" ref="AR12:AY22" si="7">AI12/($W12-1)*100</f>
        <v>3.0893581987937764</v>
      </c>
      <c r="AS12" s="137">
        <f t="shared" si="7"/>
        <v>88.278286012785273</v>
      </c>
      <c r="AT12" s="137">
        <f t="shared" si="7"/>
        <v>8.6323557884209627</v>
      </c>
      <c r="AU12" s="137">
        <f t="shared" si="7"/>
        <v>0</v>
      </c>
      <c r="AV12" s="137">
        <f t="shared" si="7"/>
        <v>0</v>
      </c>
      <c r="AW12" s="138">
        <f t="shared" si="7"/>
        <v>0</v>
      </c>
      <c r="AX12" s="137">
        <f t="shared" si="7"/>
        <v>0</v>
      </c>
      <c r="AY12" s="137">
        <f t="shared" si="7"/>
        <v>3.0893581987937764</v>
      </c>
      <c r="AZ12" s="139" t="s">
        <v>113</v>
      </c>
      <c r="BA12" s="139" t="s">
        <v>113</v>
      </c>
      <c r="BB12" s="139" t="s">
        <v>113</v>
      </c>
      <c r="BC12" s="139" t="s">
        <v>113</v>
      </c>
      <c r="BD12" s="139" t="s">
        <v>113</v>
      </c>
      <c r="BE12" s="139" t="s">
        <v>113</v>
      </c>
      <c r="BF12" s="139" t="s">
        <v>113</v>
      </c>
      <c r="BG12" s="139" t="s">
        <v>113</v>
      </c>
      <c r="BH12" s="140">
        <f>'[80]2. Distributional by deciles o'!B82</f>
        <v>52362624.624000013</v>
      </c>
      <c r="BI12" s="140">
        <f>'[80]2. Distributional by deciles o'!B100</f>
        <v>73510627.266000003</v>
      </c>
      <c r="BJ12" s="140">
        <f>'[80]2. Distributional by deciles o'!B118</f>
        <v>16554390.267600004</v>
      </c>
      <c r="BK12" s="140">
        <f>'[80]2. Distributional by deciles o'!B136</f>
        <v>4765693.3835999984</v>
      </c>
      <c r="BL12" s="141">
        <f>BH12/SUM($BH12:$BK12)</f>
        <v>0.35574045816322641</v>
      </c>
      <c r="BM12" s="141">
        <f t="shared" ref="BM12:BO12" si="8">BI12/SUM($BH12:$BK12)</f>
        <v>0.49941545923744679</v>
      </c>
      <c r="BN12" s="141">
        <f t="shared" si="8"/>
        <v>0.11246698233131867</v>
      </c>
      <c r="BO12" s="141">
        <f t="shared" si="8"/>
        <v>3.2377100268008135E-2</v>
      </c>
      <c r="BP12" s="139" t="s">
        <v>113</v>
      </c>
      <c r="BQ12" s="139" t="s">
        <v>113</v>
      </c>
      <c r="BR12" s="139" t="s">
        <v>113</v>
      </c>
      <c r="BS12" s="131">
        <f>P12/P$22*100</f>
        <v>1.9475500981156135</v>
      </c>
      <c r="BT12" s="139"/>
      <c r="BU12" s="139"/>
      <c r="BV12" s="139"/>
      <c r="BW12" s="139"/>
      <c r="BX12" s="139"/>
      <c r="BY12" s="139"/>
      <c r="BZ12" s="139"/>
      <c r="CA12" s="139"/>
      <c r="CB12" s="139"/>
      <c r="CC12" s="142" t="s">
        <v>113</v>
      </c>
      <c r="CD12" s="142" t="s">
        <v>113</v>
      </c>
      <c r="CE12" s="142" t="s">
        <v>113</v>
      </c>
      <c r="CF12" s="142" t="s">
        <v>113</v>
      </c>
      <c r="CG12" s="142" t="s">
        <v>113</v>
      </c>
      <c r="CH12" s="142" t="s">
        <v>113</v>
      </c>
      <c r="CI12" s="142" t="s">
        <v>113</v>
      </c>
      <c r="CJ12" s="142"/>
      <c r="CK12" s="139" t="s">
        <v>113</v>
      </c>
      <c r="CL12" s="139" t="s">
        <v>113</v>
      </c>
      <c r="CM12" s="139" t="s">
        <v>113</v>
      </c>
      <c r="CN12" s="139" t="s">
        <v>113</v>
      </c>
      <c r="CO12" s="139" t="s">
        <v>113</v>
      </c>
      <c r="CP12" s="139" t="s">
        <v>113</v>
      </c>
      <c r="CQ12" s="139" t="s">
        <v>113</v>
      </c>
      <c r="CR12" s="139"/>
      <c r="CS12" s="143" t="s">
        <v>113</v>
      </c>
      <c r="CT12" s="143" t="s">
        <v>113</v>
      </c>
      <c r="CU12" s="143" t="s">
        <v>113</v>
      </c>
      <c r="CV12" s="143" t="s">
        <v>113</v>
      </c>
      <c r="CW12" s="143" t="s">
        <v>113</v>
      </c>
      <c r="CX12" s="143" t="s">
        <v>113</v>
      </c>
      <c r="CY12" s="143" t="s">
        <v>113</v>
      </c>
      <c r="CZ12" s="143"/>
      <c r="DA12" s="139" t="s">
        <v>113</v>
      </c>
      <c r="DB12" s="139" t="s">
        <v>113</v>
      </c>
      <c r="DC12" s="139" t="s">
        <v>113</v>
      </c>
      <c r="DD12" s="144">
        <f>(1-DE12)*100</f>
        <v>17.047520674143644</v>
      </c>
      <c r="DE12" s="145">
        <f>'[80]2. Distributional by deciles o'!I10</f>
        <v>0.82952479325856354</v>
      </c>
      <c r="DF12" s="1"/>
      <c r="DG12" s="1"/>
      <c r="DH12" s="1"/>
      <c r="DI12" s="1"/>
      <c r="DJ12" s="1"/>
      <c r="DK12" s="1"/>
      <c r="DL12" s="1"/>
      <c r="DM12" s="1"/>
      <c r="DN12" s="1"/>
      <c r="DO12" s="1"/>
      <c r="DP12" s="1"/>
      <c r="DQ12" s="1"/>
      <c r="DR12" s="1"/>
      <c r="DS12" s="1"/>
      <c r="DT12" s="1"/>
      <c r="DU12" s="1"/>
      <c r="DV12" s="1"/>
      <c r="DW12" s="1"/>
      <c r="DX12" s="1"/>
      <c r="DY12" s="1"/>
      <c r="DZ12" s="1"/>
      <c r="EA12" s="146">
        <f>'[81]2. Distributional by deciles o'!B28</f>
        <v>1777929.7943999986</v>
      </c>
      <c r="EB12" s="146">
        <f>'[81]2. Distributional by deciles o'!C28</f>
        <v>1839645.9359999979</v>
      </c>
      <c r="EC12" s="146">
        <f>'[81]2. Distributional by deciles o'!D28</f>
        <v>1796993.2175999982</v>
      </c>
      <c r="ED12" s="146">
        <f>'[81]2. Distributional by deciles o'!E28</f>
        <v>1799563.6295999985</v>
      </c>
      <c r="EE12" s="146">
        <f>'[81]2. Distributional by deciles o'!F28</f>
        <v>1796993.2175999982</v>
      </c>
      <c r="EF12" s="146">
        <f>'[81]2. Distributional by deciles o'!G28</f>
        <v>1796993.2175999982</v>
      </c>
      <c r="EG12" s="146">
        <f>'[81]2. Distributional by deciles o'!H28</f>
        <v>1796993.2175999982</v>
      </c>
      <c r="EH12" s="122"/>
      <c r="EI12" s="130" t="s">
        <v>113</v>
      </c>
      <c r="EJ12" s="130" t="s">
        <v>113</v>
      </c>
      <c r="EK12" s="130" t="s">
        <v>113</v>
      </c>
      <c r="EL12" s="130" t="s">
        <v>113</v>
      </c>
      <c r="EM12" s="131">
        <f t="shared" ref="EM12:EM21" si="9">EA12/EA$22*100</f>
        <v>0.16552420027705481</v>
      </c>
      <c r="EN12" s="146">
        <f>'[82]2. Distributional by deciles o'!B64</f>
        <v>164867614.88760006</v>
      </c>
      <c r="EO12" s="146">
        <f>'[82]2. Distributional by deciles o'!C64</f>
        <v>166516402.72680014</v>
      </c>
      <c r="EP12" s="131">
        <f t="shared" ref="EP12:EP21" si="10">(EO12/EN12-1)*100</f>
        <v>1.0000677454599982</v>
      </c>
      <c r="EQ12" s="130" t="s">
        <v>113</v>
      </c>
      <c r="ER12" s="130" t="s">
        <v>113</v>
      </c>
      <c r="ES12" s="130" t="s">
        <v>113</v>
      </c>
      <c r="ET12" s="130" t="s">
        <v>113</v>
      </c>
      <c r="EU12" s="131">
        <f>EN12/EN$22*100</f>
        <v>1.9720523135144212</v>
      </c>
      <c r="EV12" s="132">
        <f>((EB12-$EA12)/ABS($EA12)) / ($EO12/$EN12-1)</f>
        <v>3.4710009972945599</v>
      </c>
      <c r="EW12" s="132">
        <f>IF(EC12&lt;&gt;0,((EC12-$EA12)/ABS($EA12)) / ($EO12/$EN12-1),0)</f>
        <v>1.0721532361486394</v>
      </c>
      <c r="EX12" s="132"/>
      <c r="EY12" s="148">
        <f t="shared" ref="EY12:EY22" si="11">EV12-W12</f>
        <v>-0.14447667463680958</v>
      </c>
      <c r="EZ12" s="144">
        <f>(1-FA12)*100</f>
        <v>16.148398628001893</v>
      </c>
      <c r="FA12" s="145">
        <f>'[82]2. Distributional by deciles o'!I10</f>
        <v>0.83851601371998108</v>
      </c>
      <c r="FB12" s="130" t="s">
        <v>113</v>
      </c>
      <c r="FC12" s="130" t="s">
        <v>113</v>
      </c>
      <c r="FD12" s="130" t="s">
        <v>113</v>
      </c>
      <c r="FE12" s="130" t="s">
        <v>113</v>
      </c>
      <c r="FF12" s="130" t="s">
        <v>113</v>
      </c>
      <c r="FG12" s="130" t="s">
        <v>113</v>
      </c>
      <c r="FH12" s="130" t="s">
        <v>113</v>
      </c>
      <c r="FI12" s="130" t="s">
        <v>113</v>
      </c>
      <c r="FJ12" s="1"/>
      <c r="FK12" s="1"/>
      <c r="FL12" s="1"/>
      <c r="FM12" s="1"/>
      <c r="FN12" s="1"/>
      <c r="FO12" s="1"/>
      <c r="FP12" s="1"/>
      <c r="FQ12" s="1"/>
    </row>
    <row r="13" spans="1:173" x14ac:dyDescent="0.3">
      <c r="A13" s="1"/>
      <c r="B13" s="28">
        <v>2</v>
      </c>
      <c r="C13" s="129">
        <f>'[79]2. Distributional by deciles o'!B29</f>
        <v>4752172.4592000004</v>
      </c>
      <c r="D13" s="129">
        <f>'[79]2. Distributional by deciles o'!C29</f>
        <v>4941187.95</v>
      </c>
      <c r="E13" s="129">
        <f>'[79]2. Distributional by deciles o'!D29</f>
        <v>4802692.5263999989</v>
      </c>
      <c r="F13" s="129">
        <f>'[79]2. Distributional by deciles o'!E29</f>
        <v>4803179.5835999958</v>
      </c>
      <c r="G13" s="129">
        <f>'[79]2. Distributional by deciles o'!F29</f>
        <v>4799037.6839999994</v>
      </c>
      <c r="H13" s="129">
        <f>'[79]2. Distributional by deciles o'!G29</f>
        <v>4802786.1695999987</v>
      </c>
      <c r="I13" s="129">
        <f>'[79]2. Distributional by deciles o'!H29</f>
        <v>4802786.1695999987</v>
      </c>
      <c r="J13" s="122"/>
      <c r="K13" s="130" t="s">
        <v>113</v>
      </c>
      <c r="L13" s="130" t="s">
        <v>113</v>
      </c>
      <c r="M13" s="130" t="s">
        <v>113</v>
      </c>
      <c r="N13" s="130" t="s">
        <v>113</v>
      </c>
      <c r="O13" s="131">
        <f t="shared" ref="O13:O21" si="12">C13/C$22*100</f>
        <v>0.50816647615696486</v>
      </c>
      <c r="P13" s="129">
        <f>'[80]2. Distributional by deciles o'!B65</f>
        <v>319972960.1436004</v>
      </c>
      <c r="Q13" s="129">
        <f>'[80]2. Distributional by deciles o'!C65</f>
        <v>323172537.97439992</v>
      </c>
      <c r="R13" s="131">
        <f t="shared" si="0"/>
        <v>0.99995256766809426</v>
      </c>
      <c r="S13" s="130" t="s">
        <v>113</v>
      </c>
      <c r="T13" s="130" t="s">
        <v>113</v>
      </c>
      <c r="U13" s="130" t="s">
        <v>113</v>
      </c>
      <c r="V13" s="130" t="s">
        <v>113</v>
      </c>
      <c r="W13" s="132">
        <f t="shared" ref="W13:X22" si="13">IF(D13&lt;&gt;0,((D13-$C13)/ABS($C13)) / ($Q13/$P13-1),0)</f>
        <v>3.9776430315533631</v>
      </c>
      <c r="X13" s="132">
        <f t="shared" si="13"/>
        <v>1.0631445729721218</v>
      </c>
      <c r="Y13" s="132">
        <f t="shared" si="1"/>
        <v>1.0733942073768781</v>
      </c>
      <c r="Z13" s="132">
        <f t="shared" si="1"/>
        <v>0.98623204933581143</v>
      </c>
      <c r="AA13" s="132">
        <f t="shared" si="1"/>
        <v>1.0651152009897256</v>
      </c>
      <c r="AB13" s="132">
        <f t="shared" ref="AB13:AC22" si="14">IF(I13&lt;&gt;0,MAX(((I13-$C13)/ABS($C13)) / ($Q13/$P13-1),0),AA13)</f>
        <v>1.0651152009897256</v>
      </c>
      <c r="AC13" s="132">
        <f t="shared" si="14"/>
        <v>1.0651152009897256</v>
      </c>
      <c r="AD13" s="130" t="s">
        <v>113</v>
      </c>
      <c r="AE13" s="130" t="s">
        <v>113</v>
      </c>
      <c r="AF13" s="130" t="s">
        <v>113</v>
      </c>
      <c r="AG13" s="130" t="s">
        <v>113</v>
      </c>
      <c r="AH13" s="133">
        <f t="shared" si="2"/>
        <v>1</v>
      </c>
      <c r="AI13" s="134">
        <f t="shared" ref="AI13:AI22" si="15">IF(W13&gt;1,MAX(W13-SUM(AH13,AJ13:AO13),0),0)</f>
        <v>0</v>
      </c>
      <c r="AJ13" s="134">
        <f t="shared" si="3"/>
        <v>2.9042488241764852</v>
      </c>
      <c r="AK13" s="134">
        <f t="shared" si="4"/>
        <v>7.3394207376877851E-2</v>
      </c>
      <c r="AL13" s="134">
        <f t="shared" ref="AL13:AL22" si="16">IF(W13&gt;1,MAX(MIN(Z13-AA13,W13-AH13-AJ13-AK13),0),0)</f>
        <v>0</v>
      </c>
      <c r="AM13" s="134">
        <f t="shared" ref="AM13:AM22" si="17">IF(I13&lt;&gt;0,IF(W13&gt;1,MAX(MIN(AA13-AB13,W13-AH13-AJ13-AK13-AL13),0),0),0)</f>
        <v>0</v>
      </c>
      <c r="AN13" s="135">
        <f t="shared" si="5"/>
        <v>0</v>
      </c>
      <c r="AO13" s="134">
        <f t="shared" ref="AO13:AO22" si="18">IF(W13&gt;1,MAX(0,MIN(W13-AH13-AJ13-AK13-AL13-AM13,W13-AH13-AJ13-AK13-AL13-AM13-X13+1)),0)</f>
        <v>0</v>
      </c>
      <c r="AP13" s="134">
        <f t="shared" si="6"/>
        <v>0</v>
      </c>
      <c r="AQ13" s="136" t="s">
        <v>113</v>
      </c>
      <c r="AR13" s="137">
        <f t="shared" si="7"/>
        <v>0</v>
      </c>
      <c r="AS13" s="137">
        <f t="shared" si="7"/>
        <v>97.535157619663025</v>
      </c>
      <c r="AT13" s="137">
        <f t="shared" si="7"/>
        <v>2.4648423803369708</v>
      </c>
      <c r="AU13" s="137">
        <f t="shared" si="7"/>
        <v>0</v>
      </c>
      <c r="AV13" s="137">
        <f t="shared" si="7"/>
        <v>0</v>
      </c>
      <c r="AW13" s="138">
        <f t="shared" si="7"/>
        <v>0</v>
      </c>
      <c r="AX13" s="137">
        <f t="shared" si="7"/>
        <v>0</v>
      </c>
      <c r="AY13" s="137">
        <f t="shared" si="7"/>
        <v>0</v>
      </c>
      <c r="AZ13" s="139" t="s">
        <v>113</v>
      </c>
      <c r="BA13" s="139" t="s">
        <v>113</v>
      </c>
      <c r="BB13" s="139" t="s">
        <v>113</v>
      </c>
      <c r="BC13" s="139" t="s">
        <v>113</v>
      </c>
      <c r="BD13" s="139" t="s">
        <v>113</v>
      </c>
      <c r="BE13" s="139" t="s">
        <v>113</v>
      </c>
      <c r="BF13" s="139" t="s">
        <v>113</v>
      </c>
      <c r="BG13" s="139" t="s">
        <v>113</v>
      </c>
      <c r="BH13" s="140">
        <f>'[80]2. Distributional by deciles o'!B83</f>
        <v>93053686.469999999</v>
      </c>
      <c r="BI13" s="140">
        <f>'[80]2. Distributional by deciles o'!B101</f>
        <v>179291755.2624</v>
      </c>
      <c r="BJ13" s="140">
        <f>'[80]2. Distributional by deciles o'!B119</f>
        <v>33965138.038800009</v>
      </c>
      <c r="BK13" s="140">
        <f>'[80]2. Distributional by deciles o'!B137</f>
        <v>13662503.371200003</v>
      </c>
      <c r="BL13" s="141">
        <f t="shared" ref="BL13:BL22" si="19">BH13/SUM($BH13:$BK13)</f>
        <v>0.29081723236259727</v>
      </c>
      <c r="BM13" s="141">
        <f t="shared" ref="BM13:BM22" si="20">BI13/SUM($BH13:$BK13)</f>
        <v>0.56033386777914829</v>
      </c>
      <c r="BN13" s="141">
        <f t="shared" ref="BN13:BO22" si="21">BJ13/SUM($BH13:$BK13)</f>
        <v>0.1061499851963618</v>
      </c>
      <c r="BO13" s="141">
        <f t="shared" si="21"/>
        <v>4.2698914661892594E-2</v>
      </c>
      <c r="BP13" s="139" t="s">
        <v>113</v>
      </c>
      <c r="BQ13" s="139" t="s">
        <v>113</v>
      </c>
      <c r="BR13" s="139" t="s">
        <v>113</v>
      </c>
      <c r="BS13" s="131">
        <f t="shared" ref="BS13:BS21" si="22">P13/P$22*100</f>
        <v>4.2336408172214464</v>
      </c>
      <c r="BT13" s="139"/>
      <c r="BU13" s="139"/>
      <c r="BV13" s="139"/>
      <c r="BW13" s="139"/>
      <c r="BX13" s="139"/>
      <c r="BY13" s="139"/>
      <c r="BZ13" s="139"/>
      <c r="CA13" s="139"/>
      <c r="CB13" s="139"/>
      <c r="CC13" s="142" t="s">
        <v>113</v>
      </c>
      <c r="CD13" s="142" t="s">
        <v>113</v>
      </c>
      <c r="CE13" s="142" t="s">
        <v>113</v>
      </c>
      <c r="CF13" s="142" t="s">
        <v>113</v>
      </c>
      <c r="CG13" s="142" t="s">
        <v>113</v>
      </c>
      <c r="CH13" s="142" t="s">
        <v>113</v>
      </c>
      <c r="CI13" s="142" t="s">
        <v>113</v>
      </c>
      <c r="CJ13" s="142"/>
      <c r="CK13" s="139" t="s">
        <v>113</v>
      </c>
      <c r="CL13" s="139" t="s">
        <v>113</v>
      </c>
      <c r="CM13" s="139" t="s">
        <v>113</v>
      </c>
      <c r="CN13" s="139" t="s">
        <v>113</v>
      </c>
      <c r="CO13" s="139" t="s">
        <v>113</v>
      </c>
      <c r="CP13" s="139" t="s">
        <v>113</v>
      </c>
      <c r="CQ13" s="139" t="s">
        <v>113</v>
      </c>
      <c r="CR13" s="139"/>
      <c r="CS13" s="143" t="s">
        <v>113</v>
      </c>
      <c r="CT13" s="143" t="s">
        <v>113</v>
      </c>
      <c r="CU13" s="143" t="s">
        <v>113</v>
      </c>
      <c r="CV13" s="143" t="s">
        <v>113</v>
      </c>
      <c r="CW13" s="143" t="s">
        <v>113</v>
      </c>
      <c r="CX13" s="143" t="s">
        <v>113</v>
      </c>
      <c r="CY13" s="143" t="s">
        <v>113</v>
      </c>
      <c r="CZ13" s="143"/>
      <c r="DA13" s="139" t="s">
        <v>113</v>
      </c>
      <c r="DB13" s="139" t="s">
        <v>113</v>
      </c>
      <c r="DC13" s="139" t="s">
        <v>113</v>
      </c>
      <c r="DD13" s="144">
        <f t="shared" ref="DD13:DD22" si="23">(1-DE13)*100</f>
        <v>2.3691960882763596</v>
      </c>
      <c r="DE13" s="145">
        <f>'[80]2. Distributional by deciles o'!I11</f>
        <v>0.9763080391172364</v>
      </c>
      <c r="DF13" s="1"/>
      <c r="DG13" s="1"/>
      <c r="DH13" s="1"/>
      <c r="DI13" s="1"/>
      <c r="DJ13" s="1"/>
      <c r="DK13" s="1"/>
      <c r="DL13" s="1"/>
      <c r="DM13" s="1"/>
      <c r="DN13" s="1"/>
      <c r="DO13" s="1"/>
      <c r="DP13" s="1"/>
      <c r="DQ13" s="1"/>
      <c r="DR13" s="1"/>
      <c r="DS13" s="1"/>
      <c r="DT13" s="1"/>
      <c r="DU13" s="1"/>
      <c r="DV13" s="1"/>
      <c r="DW13" s="1"/>
      <c r="DX13" s="1"/>
      <c r="DY13" s="1"/>
      <c r="DZ13" s="1"/>
      <c r="EA13" s="146">
        <f>'[81]2. Distributional by deciles o'!B29</f>
        <v>6381554.5116000045</v>
      </c>
      <c r="EB13" s="146">
        <f>'[81]2. Distributional by deciles o'!C29</f>
        <v>6596269.498800002</v>
      </c>
      <c r="EC13" s="146">
        <f>'[81]2. Distributional by deciles o'!D29</f>
        <v>6449215.3008000031</v>
      </c>
      <c r="ED13" s="146">
        <f>'[81]2. Distributional by deciles o'!E29</f>
        <v>6456538.8096000031</v>
      </c>
      <c r="EE13" s="146">
        <f>'[81]2. Distributional by deciles o'!F29</f>
        <v>6449355.7656000033</v>
      </c>
      <c r="EF13" s="146">
        <f>'[81]2. Distributional by deciles o'!G29</f>
        <v>6449156.4156000037</v>
      </c>
      <c r="EG13" s="146">
        <f>'[81]2. Distributional by deciles o'!H29</f>
        <v>6449156.4156000037</v>
      </c>
      <c r="EH13" s="122"/>
      <c r="EI13" s="130" t="s">
        <v>113</v>
      </c>
      <c r="EJ13" s="130" t="s">
        <v>113</v>
      </c>
      <c r="EK13" s="130" t="s">
        <v>113</v>
      </c>
      <c r="EL13" s="130" t="s">
        <v>113</v>
      </c>
      <c r="EM13" s="131">
        <f t="shared" si="9"/>
        <v>0.59411890749797236</v>
      </c>
      <c r="EN13" s="146">
        <f>'[82]2. Distributional by deciles o'!B65</f>
        <v>359922492.37920016</v>
      </c>
      <c r="EO13" s="146">
        <f>'[82]2. Distributional by deciles o'!C65</f>
        <v>363521646.59640044</v>
      </c>
      <c r="EP13" s="131">
        <f t="shared" si="10"/>
        <v>0.99998035505053373</v>
      </c>
      <c r="EQ13" s="130" t="s">
        <v>113</v>
      </c>
      <c r="ER13" s="130" t="s">
        <v>113</v>
      </c>
      <c r="ES13" s="130" t="s">
        <v>113</v>
      </c>
      <c r="ET13" s="130" t="s">
        <v>113</v>
      </c>
      <c r="EU13" s="131">
        <f t="shared" ref="EU13:EU21" si="24">EN13/EN$22*100</f>
        <v>4.3051874333608877</v>
      </c>
      <c r="EV13" s="132">
        <f t="shared" ref="EV13:EV22" si="25">((EB13-$EA13)/ABS($EA13)) / ($EO13/$EN13-1)</f>
        <v>3.3646849675519093</v>
      </c>
      <c r="EW13" s="132">
        <f t="shared" ref="EW13:EW22" si="26">IF(EC13&lt;&gt;0,((EC13-$EA13)/ABS($EA13)) / ($EO13/$EN13-1),0)</f>
        <v>1.0602764310154149</v>
      </c>
      <c r="EX13" s="132"/>
      <c r="EY13" s="148">
        <f t="shared" si="11"/>
        <v>-0.61295806400145381</v>
      </c>
      <c r="EZ13" s="144">
        <f t="shared" ref="EZ13:EZ22" si="27">(1-FA13)*100</f>
        <v>2.4545929481808781</v>
      </c>
      <c r="FA13" s="145">
        <f>'[82]2. Distributional by deciles o'!I11</f>
        <v>0.97545407051819122</v>
      </c>
      <c r="FB13" s="130" t="s">
        <v>113</v>
      </c>
      <c r="FC13" s="130" t="s">
        <v>113</v>
      </c>
      <c r="FD13" s="130" t="s">
        <v>113</v>
      </c>
      <c r="FE13" s="130" t="s">
        <v>113</v>
      </c>
      <c r="FF13" s="130" t="s">
        <v>113</v>
      </c>
      <c r="FG13" s="130" t="s">
        <v>113</v>
      </c>
      <c r="FH13" s="130" t="s">
        <v>113</v>
      </c>
      <c r="FI13" s="130" t="s">
        <v>113</v>
      </c>
      <c r="FJ13" s="1"/>
      <c r="FK13" s="1"/>
      <c r="FL13" s="1"/>
      <c r="FM13" s="1"/>
      <c r="FN13" s="1"/>
      <c r="FO13" s="1"/>
      <c r="FP13" s="1"/>
      <c r="FQ13" s="1"/>
    </row>
    <row r="14" spans="1:173" x14ac:dyDescent="0.3">
      <c r="A14" s="1"/>
      <c r="B14" s="28">
        <v>3</v>
      </c>
      <c r="C14" s="129">
        <f>'[79]2. Distributional by deciles o'!B30</f>
        <v>11555035.685999999</v>
      </c>
      <c r="D14" s="129">
        <f>'[79]2. Distributional by deciles o'!C30</f>
        <v>12004002.886800015</v>
      </c>
      <c r="E14" s="129">
        <f>'[79]2. Distributional by deciles o'!D30</f>
        <v>11679400.963200008</v>
      </c>
      <c r="F14" s="129">
        <f>'[79]2. Distributional by deciles o'!E30</f>
        <v>11692506.465600006</v>
      </c>
      <c r="G14" s="129">
        <f>'[79]2. Distributional by deciles o'!F30</f>
        <v>11682063.182400012</v>
      </c>
      <c r="H14" s="129">
        <f>'[79]2. Distributional by deciles o'!G30</f>
        <v>11679797.827200007</v>
      </c>
      <c r="I14" s="129">
        <f>'[79]2. Distributional by deciles o'!H30</f>
        <v>11679797.827200007</v>
      </c>
      <c r="J14" s="122"/>
      <c r="K14" s="130" t="s">
        <v>113</v>
      </c>
      <c r="L14" s="130" t="s">
        <v>113</v>
      </c>
      <c r="M14" s="130" t="s">
        <v>113</v>
      </c>
      <c r="N14" s="130" t="s">
        <v>113</v>
      </c>
      <c r="O14" s="131">
        <f t="shared" si="12"/>
        <v>1.2356205118471422</v>
      </c>
      <c r="P14" s="129">
        <f>'[80]2. Distributional by deciles o'!B66</f>
        <v>425687193.74999976</v>
      </c>
      <c r="Q14" s="129">
        <f>'[80]2. Distributional by deciles o'!C66</f>
        <v>429944081.67599988</v>
      </c>
      <c r="R14" s="131">
        <f t="shared" si="0"/>
        <v>1.0000037559269703</v>
      </c>
      <c r="S14" s="130" t="s">
        <v>113</v>
      </c>
      <c r="T14" s="130" t="s">
        <v>113</v>
      </c>
      <c r="U14" s="130" t="s">
        <v>113</v>
      </c>
      <c r="V14" s="130" t="s">
        <v>113</v>
      </c>
      <c r="W14" s="132">
        <f t="shared" si="13"/>
        <v>3.8854532925614009</v>
      </c>
      <c r="X14" s="132">
        <f t="shared" si="13"/>
        <v>1.0762823540696185</v>
      </c>
      <c r="Y14" s="132">
        <f t="shared" si="1"/>
        <v>1.1897000321539124</v>
      </c>
      <c r="Z14" s="132">
        <f t="shared" si="1"/>
        <v>1.0993217394361741</v>
      </c>
      <c r="AA14" s="132">
        <f t="shared" si="1"/>
        <v>1.0797168956858978</v>
      </c>
      <c r="AB14" s="132">
        <f t="shared" si="14"/>
        <v>1.0797168956858978</v>
      </c>
      <c r="AC14" s="132">
        <f t="shared" si="14"/>
        <v>1.0797168956858978</v>
      </c>
      <c r="AD14" s="130" t="s">
        <v>113</v>
      </c>
      <c r="AE14" s="130" t="s">
        <v>113</v>
      </c>
      <c r="AF14" s="130" t="s">
        <v>113</v>
      </c>
      <c r="AG14" s="130" t="s">
        <v>113</v>
      </c>
      <c r="AH14" s="133">
        <f t="shared" si="2"/>
        <v>1</v>
      </c>
      <c r="AI14" s="134">
        <f t="shared" si="15"/>
        <v>7.6282354069618918E-2</v>
      </c>
      <c r="AJ14" s="134">
        <f t="shared" si="3"/>
        <v>2.6957532604074883</v>
      </c>
      <c r="AK14" s="134">
        <f t="shared" si="4"/>
        <v>9.037829271773834E-2</v>
      </c>
      <c r="AL14" s="134">
        <f t="shared" si="16"/>
        <v>1.9604843750276268E-2</v>
      </c>
      <c r="AM14" s="134">
        <f t="shared" si="17"/>
        <v>0</v>
      </c>
      <c r="AN14" s="135">
        <f>IF(J14&lt;&gt;0,IF(W14&gt;1,MAX(MIN(AB14-AC14,W14-AH14-AJ14-AK14-AL14-AM14),0),0),0)</f>
        <v>0</v>
      </c>
      <c r="AO14" s="134">
        <f t="shared" si="18"/>
        <v>3.4345416162795406E-3</v>
      </c>
      <c r="AP14" s="134">
        <f t="shared" si="6"/>
        <v>7.9716895685898459E-2</v>
      </c>
      <c r="AQ14" s="136" t="s">
        <v>113</v>
      </c>
      <c r="AR14" s="137">
        <f t="shared" si="7"/>
        <v>2.6436870167426449</v>
      </c>
      <c r="AS14" s="137">
        <f t="shared" si="7"/>
        <v>93.425641903719153</v>
      </c>
      <c r="AT14" s="137">
        <f t="shared" si="7"/>
        <v>3.132204321266626</v>
      </c>
      <c r="AU14" s="137">
        <f t="shared" si="7"/>
        <v>0.67943722398199546</v>
      </c>
      <c r="AV14" s="137">
        <f t="shared" si="7"/>
        <v>0</v>
      </c>
      <c r="AW14" s="138">
        <f t="shared" si="7"/>
        <v>0</v>
      </c>
      <c r="AX14" s="137">
        <f t="shared" si="7"/>
        <v>0.11902953428959222</v>
      </c>
      <c r="AY14" s="137">
        <f t="shared" si="7"/>
        <v>2.7627165510322369</v>
      </c>
      <c r="AZ14" s="139" t="s">
        <v>113</v>
      </c>
      <c r="BA14" s="139" t="s">
        <v>113</v>
      </c>
      <c r="BB14" s="139" t="s">
        <v>113</v>
      </c>
      <c r="BC14" s="139" t="s">
        <v>113</v>
      </c>
      <c r="BD14" s="139" t="s">
        <v>113</v>
      </c>
      <c r="BE14" s="139" t="s">
        <v>113</v>
      </c>
      <c r="BF14" s="139" t="s">
        <v>113</v>
      </c>
      <c r="BG14" s="139" t="s">
        <v>113</v>
      </c>
      <c r="BH14" s="140">
        <f>'[80]2. Distributional by deciles o'!B84</f>
        <v>211238702.88959992</v>
      </c>
      <c r="BI14" s="140">
        <f>'[80]2. Distributional by deciles o'!B102</f>
        <v>163215854.79480007</v>
      </c>
      <c r="BJ14" s="140">
        <f>'[80]2. Distributional by deciles o'!B120</f>
        <v>38693351.291999981</v>
      </c>
      <c r="BK14" s="140">
        <f>'[80]2. Distributional by deciles o'!B138</f>
        <v>12539354.467200007</v>
      </c>
      <c r="BL14" s="141">
        <f t="shared" si="19"/>
        <v>0.49622979363014769</v>
      </c>
      <c r="BM14" s="141">
        <f t="shared" si="20"/>
        <v>0.38341728496752364</v>
      </c>
      <c r="BN14" s="141">
        <f t="shared" si="21"/>
        <v>9.0896192145825228E-2</v>
      </c>
      <c r="BO14" s="141">
        <f t="shared" si="21"/>
        <v>2.945672925650351E-2</v>
      </c>
      <c r="BP14" s="139" t="s">
        <v>113</v>
      </c>
      <c r="BQ14" s="139" t="s">
        <v>113</v>
      </c>
      <c r="BR14" s="139" t="s">
        <v>113</v>
      </c>
      <c r="BS14" s="131">
        <f t="shared" si="22"/>
        <v>5.63237180422884</v>
      </c>
      <c r="BT14" s="139"/>
      <c r="BU14" s="139"/>
      <c r="BV14" s="139"/>
      <c r="BW14" s="139"/>
      <c r="BX14" s="139"/>
      <c r="BY14" s="139"/>
      <c r="BZ14" s="139"/>
      <c r="CA14" s="139"/>
      <c r="CB14" s="139"/>
      <c r="CC14" s="142" t="s">
        <v>113</v>
      </c>
      <c r="CD14" s="142" t="s">
        <v>113</v>
      </c>
      <c r="CE14" s="142" t="s">
        <v>113</v>
      </c>
      <c r="CF14" s="142" t="s">
        <v>113</v>
      </c>
      <c r="CG14" s="142" t="s">
        <v>113</v>
      </c>
      <c r="CH14" s="142" t="s">
        <v>113</v>
      </c>
      <c r="CI14" s="142" t="s">
        <v>113</v>
      </c>
      <c r="CJ14" s="142"/>
      <c r="CK14" s="139" t="s">
        <v>113</v>
      </c>
      <c r="CL14" s="139" t="s">
        <v>113</v>
      </c>
      <c r="CM14" s="139" t="s">
        <v>113</v>
      </c>
      <c r="CN14" s="139" t="s">
        <v>113</v>
      </c>
      <c r="CO14" s="139" t="s">
        <v>113</v>
      </c>
      <c r="CP14" s="139" t="s">
        <v>113</v>
      </c>
      <c r="CQ14" s="139" t="s">
        <v>113</v>
      </c>
      <c r="CR14" s="139"/>
      <c r="CS14" s="143" t="s">
        <v>113</v>
      </c>
      <c r="CT14" s="143" t="s">
        <v>113</v>
      </c>
      <c r="CU14" s="143" t="s">
        <v>113</v>
      </c>
      <c r="CV14" s="143" t="s">
        <v>113</v>
      </c>
      <c r="CW14" s="143" t="s">
        <v>113</v>
      </c>
      <c r="CX14" s="143" t="s">
        <v>113</v>
      </c>
      <c r="CY14" s="143" t="s">
        <v>113</v>
      </c>
      <c r="CZ14" s="143"/>
      <c r="DA14" s="139" t="s">
        <v>113</v>
      </c>
      <c r="DB14" s="139" t="s">
        <v>113</v>
      </c>
      <c r="DC14" s="139" t="s">
        <v>113</v>
      </c>
      <c r="DD14" s="144">
        <f t="shared" si="23"/>
        <v>1.3671990050002414</v>
      </c>
      <c r="DE14" s="145">
        <f>'[80]2. Distributional by deciles o'!I12</f>
        <v>0.98632800994999759</v>
      </c>
      <c r="DF14" s="1"/>
      <c r="DG14" s="1"/>
      <c r="DH14" s="1"/>
      <c r="DI14" s="1"/>
      <c r="DJ14" s="1"/>
      <c r="DK14" s="1"/>
      <c r="DL14" s="1"/>
      <c r="DM14" s="1"/>
      <c r="DN14" s="1"/>
      <c r="DO14" s="1"/>
      <c r="DP14" s="1"/>
      <c r="DQ14" s="1"/>
      <c r="DR14" s="1"/>
      <c r="DS14" s="1"/>
      <c r="DT14" s="1"/>
      <c r="DU14" s="1"/>
      <c r="DV14" s="1"/>
      <c r="DW14" s="1"/>
      <c r="DX14" s="1"/>
      <c r="DY14" s="1"/>
      <c r="DZ14" s="1"/>
      <c r="EA14" s="146">
        <f>'[81]2. Distributional by deciles o'!B30</f>
        <v>14867661.807599995</v>
      </c>
      <c r="EB14" s="146">
        <f>'[81]2. Distributional by deciles o'!C30</f>
        <v>15376522.776000001</v>
      </c>
      <c r="EC14" s="146">
        <f>'[81]2. Distributional by deciles o'!D30</f>
        <v>15028692.086400004</v>
      </c>
      <c r="ED14" s="146">
        <f>'[81]2. Distributional by deciles o'!E30</f>
        <v>15049543.831200002</v>
      </c>
      <c r="EE14" s="146">
        <f>'[81]2. Distributional by deciles o'!F30</f>
        <v>15028692.086400004</v>
      </c>
      <c r="EF14" s="146">
        <f>'[81]2. Distributional by deciles o'!G30</f>
        <v>15027996.836400004</v>
      </c>
      <c r="EG14" s="146">
        <f>'[81]2. Distributional by deciles o'!H30</f>
        <v>15027996.836400004</v>
      </c>
      <c r="EH14" s="122"/>
      <c r="EI14" s="130" t="s">
        <v>113</v>
      </c>
      <c r="EJ14" s="130" t="s">
        <v>113</v>
      </c>
      <c r="EK14" s="130" t="s">
        <v>113</v>
      </c>
      <c r="EL14" s="130" t="s">
        <v>113</v>
      </c>
      <c r="EM14" s="131">
        <f t="shared" si="9"/>
        <v>1.38417042025172</v>
      </c>
      <c r="EN14" s="146">
        <f>'[82]2. Distributional by deciles o'!B66</f>
        <v>478763382.43440002</v>
      </c>
      <c r="EO14" s="146">
        <f>'[82]2. Distributional by deciles o'!C66</f>
        <v>483551106.33839977</v>
      </c>
      <c r="EP14" s="131">
        <f t="shared" si="10"/>
        <v>1.000018815067949</v>
      </c>
      <c r="EQ14" s="130" t="s">
        <v>113</v>
      </c>
      <c r="ER14" s="130" t="s">
        <v>113</v>
      </c>
      <c r="ES14" s="130" t="s">
        <v>113</v>
      </c>
      <c r="ET14" s="130" t="s">
        <v>113</v>
      </c>
      <c r="EU14" s="131">
        <f t="shared" si="24"/>
        <v>5.7266943335076945</v>
      </c>
      <c r="EV14" s="132">
        <f t="shared" si="25"/>
        <v>3.422538129474618</v>
      </c>
      <c r="EW14" s="132">
        <f t="shared" si="26"/>
        <v>1.0830704326289073</v>
      </c>
      <c r="EX14" s="132"/>
      <c r="EY14" s="148">
        <f t="shared" si="11"/>
        <v>-0.46291516308678293</v>
      </c>
      <c r="EZ14" s="144">
        <f t="shared" si="27"/>
        <v>1.3385245052026762</v>
      </c>
      <c r="FA14" s="145">
        <f>'[82]2. Distributional by deciles o'!I12</f>
        <v>0.98661475494797324</v>
      </c>
      <c r="FB14" s="130" t="s">
        <v>113</v>
      </c>
      <c r="FC14" s="130" t="s">
        <v>113</v>
      </c>
      <c r="FD14" s="130" t="s">
        <v>113</v>
      </c>
      <c r="FE14" s="130" t="s">
        <v>113</v>
      </c>
      <c r="FF14" s="130" t="s">
        <v>113</v>
      </c>
      <c r="FG14" s="130" t="s">
        <v>113</v>
      </c>
      <c r="FH14" s="130" t="s">
        <v>113</v>
      </c>
      <c r="FI14" s="130" t="s">
        <v>113</v>
      </c>
      <c r="FJ14" s="1"/>
      <c r="FK14" s="1"/>
      <c r="FL14" s="1"/>
      <c r="FM14" s="1"/>
      <c r="FN14" s="1"/>
      <c r="FO14" s="1"/>
      <c r="FP14" s="1"/>
      <c r="FQ14" s="1"/>
    </row>
    <row r="15" spans="1:173" x14ac:dyDescent="0.3">
      <c r="A15" s="1"/>
      <c r="B15" s="28">
        <v>4</v>
      </c>
      <c r="C15" s="129">
        <f>'[79]2. Distributional by deciles o'!B31</f>
        <v>22996120.741199985</v>
      </c>
      <c r="D15" s="129">
        <f>'[79]2. Distributional by deciles o'!C31</f>
        <v>23792728.390799992</v>
      </c>
      <c r="E15" s="129">
        <f>'[79]2. Distributional by deciles o'!D31</f>
        <v>23250375.346799992</v>
      </c>
      <c r="F15" s="129">
        <f>'[79]2. Distributional by deciles o'!E31</f>
        <v>23274321.171599999</v>
      </c>
      <c r="G15" s="129">
        <f>'[79]2. Distributional by deciles o'!F31</f>
        <v>23261904.982799992</v>
      </c>
      <c r="H15" s="129">
        <f>'[79]2. Distributional by deciles o'!G31</f>
        <v>23253836.281199992</v>
      </c>
      <c r="I15" s="129">
        <f>'[79]2. Distributional by deciles o'!H31</f>
        <v>23253805.621199992</v>
      </c>
      <c r="J15" s="122"/>
      <c r="K15" s="130" t="s">
        <v>113</v>
      </c>
      <c r="L15" s="130" t="s">
        <v>113</v>
      </c>
      <c r="M15" s="130" t="s">
        <v>113</v>
      </c>
      <c r="N15" s="130" t="s">
        <v>113</v>
      </c>
      <c r="O15" s="131">
        <f t="shared" si="12"/>
        <v>2.4590558828967524</v>
      </c>
      <c r="P15" s="129">
        <f>'[80]2. Distributional by deciles o'!B67</f>
        <v>499854267.20639944</v>
      </c>
      <c r="Q15" s="129">
        <f>'[80]2. Distributional by deciles o'!C67</f>
        <v>504852881.41080004</v>
      </c>
      <c r="R15" s="131">
        <f t="shared" si="0"/>
        <v>1.0000143106383863</v>
      </c>
      <c r="S15" s="130" t="s">
        <v>113</v>
      </c>
      <c r="T15" s="130" t="s">
        <v>113</v>
      </c>
      <c r="U15" s="130" t="s">
        <v>113</v>
      </c>
      <c r="V15" s="130" t="s">
        <v>113</v>
      </c>
      <c r="W15" s="132">
        <f t="shared" si="13"/>
        <v>3.4640462135509202</v>
      </c>
      <c r="X15" s="132">
        <f t="shared" si="13"/>
        <v>1.1056254659980094</v>
      </c>
      <c r="Y15" s="132">
        <f t="shared" si="1"/>
        <v>1.2097538204902978</v>
      </c>
      <c r="Z15" s="132">
        <f t="shared" si="1"/>
        <v>1.1557620570155254</v>
      </c>
      <c r="AA15" s="132">
        <f t="shared" si="1"/>
        <v>1.1206753298923455</v>
      </c>
      <c r="AB15" s="132">
        <f t="shared" si="14"/>
        <v>1.1205420049651227</v>
      </c>
      <c r="AC15" s="132">
        <f t="shared" si="14"/>
        <v>1.1205420049651227</v>
      </c>
      <c r="AD15" s="130" t="s">
        <v>113</v>
      </c>
      <c r="AE15" s="130" t="s">
        <v>113</v>
      </c>
      <c r="AF15" s="130" t="s">
        <v>113</v>
      </c>
      <c r="AG15" s="130" t="s">
        <v>113</v>
      </c>
      <c r="AH15" s="133">
        <f t="shared" si="2"/>
        <v>1</v>
      </c>
      <c r="AI15" s="134">
        <f t="shared" si="15"/>
        <v>0.10562546599800937</v>
      </c>
      <c r="AJ15" s="134">
        <f t="shared" si="3"/>
        <v>2.2542923930606227</v>
      </c>
      <c r="AK15" s="134">
        <f t="shared" si="4"/>
        <v>5.3991763474772414E-2</v>
      </c>
      <c r="AL15" s="134">
        <f t="shared" si="16"/>
        <v>3.5086727123179839E-2</v>
      </c>
      <c r="AM15" s="134">
        <f t="shared" si="17"/>
        <v>1.3332492722284428E-4</v>
      </c>
      <c r="AN15" s="135">
        <f t="shared" ref="AN15:AN22" si="28">IF(J15&lt;&gt;0,IF(W15&gt;1,MAX(MIN(AB15-AC15,W15-AH15-AJ15-AK15-AL15-AM15),0),0),0)</f>
        <v>0</v>
      </c>
      <c r="AO15" s="134">
        <f t="shared" si="18"/>
        <v>1.4916538967113091E-2</v>
      </c>
      <c r="AP15" s="134">
        <f t="shared" si="6"/>
        <v>0.12054200496512246</v>
      </c>
      <c r="AQ15" s="136" t="s">
        <v>113</v>
      </c>
      <c r="AR15" s="137">
        <f t="shared" si="7"/>
        <v>4.2866674097720443</v>
      </c>
      <c r="AS15" s="137">
        <f t="shared" si="7"/>
        <v>91.48742343642887</v>
      </c>
      <c r="AT15" s="137">
        <f t="shared" si="7"/>
        <v>2.1911830702625195</v>
      </c>
      <c r="AU15" s="137">
        <f t="shared" si="7"/>
        <v>1.423947608215375</v>
      </c>
      <c r="AV15" s="137">
        <f t="shared" si="7"/>
        <v>5.4108127716773072E-3</v>
      </c>
      <c r="AW15" s="138">
        <f t="shared" si="7"/>
        <v>0</v>
      </c>
      <c r="AX15" s="137">
        <f t="shared" si="7"/>
        <v>0.60536766254951724</v>
      </c>
      <c r="AY15" s="137">
        <f t="shared" si="7"/>
        <v>4.8920350723215611</v>
      </c>
      <c r="AZ15" s="139" t="s">
        <v>113</v>
      </c>
      <c r="BA15" s="139" t="s">
        <v>113</v>
      </c>
      <c r="BB15" s="139" t="s">
        <v>113</v>
      </c>
      <c r="BC15" s="139" t="s">
        <v>113</v>
      </c>
      <c r="BD15" s="139" t="s">
        <v>113</v>
      </c>
      <c r="BE15" s="139" t="s">
        <v>113</v>
      </c>
      <c r="BF15" s="139" t="s">
        <v>113</v>
      </c>
      <c r="BG15" s="139" t="s">
        <v>113</v>
      </c>
      <c r="BH15" s="140">
        <f>'[80]2. Distributional by deciles o'!B85</f>
        <v>286898720.77920008</v>
      </c>
      <c r="BI15" s="140">
        <f>'[80]2. Distributional by deciles o'!B103</f>
        <v>140012704.03679997</v>
      </c>
      <c r="BJ15" s="140">
        <f>'[80]2. Distributional by deciles o'!B121</f>
        <v>53558327.820000015</v>
      </c>
      <c r="BK15" s="140">
        <f>'[80]2. Distributional by deciles o'!B139</f>
        <v>19384452.215999972</v>
      </c>
      <c r="BL15" s="141">
        <f t="shared" si="19"/>
        <v>0.57396480412552875</v>
      </c>
      <c r="BM15" s="141">
        <f t="shared" si="20"/>
        <v>0.28010708458130468</v>
      </c>
      <c r="BN15" s="141">
        <f t="shared" si="21"/>
        <v>0.1071478989275641</v>
      </c>
      <c r="BO15" s="141">
        <f t="shared" si="21"/>
        <v>3.878021236560257E-2</v>
      </c>
      <c r="BP15" s="139" t="s">
        <v>113</v>
      </c>
      <c r="BQ15" s="139" t="s">
        <v>113</v>
      </c>
      <c r="BR15" s="139" t="s">
        <v>113</v>
      </c>
      <c r="BS15" s="131">
        <f t="shared" si="22"/>
        <v>6.6136945676834662</v>
      </c>
      <c r="BT15" s="139"/>
      <c r="BU15" s="139"/>
      <c r="BV15" s="139"/>
      <c r="BW15" s="139"/>
      <c r="BX15" s="139"/>
      <c r="BY15" s="139"/>
      <c r="BZ15" s="139"/>
      <c r="CA15" s="139"/>
      <c r="CB15" s="139"/>
      <c r="CC15" s="142" t="s">
        <v>113</v>
      </c>
      <c r="CD15" s="142" t="s">
        <v>113</v>
      </c>
      <c r="CE15" s="142" t="s">
        <v>113</v>
      </c>
      <c r="CF15" s="142" t="s">
        <v>113</v>
      </c>
      <c r="CG15" s="142" t="s">
        <v>113</v>
      </c>
      <c r="CH15" s="142" t="s">
        <v>113</v>
      </c>
      <c r="CI15" s="142" t="s">
        <v>113</v>
      </c>
      <c r="CJ15" s="142"/>
      <c r="CK15" s="139" t="s">
        <v>113</v>
      </c>
      <c r="CL15" s="139" t="s">
        <v>113</v>
      </c>
      <c r="CM15" s="139" t="s">
        <v>113</v>
      </c>
      <c r="CN15" s="139" t="s">
        <v>113</v>
      </c>
      <c r="CO15" s="139" t="s">
        <v>113</v>
      </c>
      <c r="CP15" s="139" t="s">
        <v>113</v>
      </c>
      <c r="CQ15" s="139" t="s">
        <v>113</v>
      </c>
      <c r="CR15" s="139"/>
      <c r="CS15" s="143" t="s">
        <v>113</v>
      </c>
      <c r="CT15" s="143" t="s">
        <v>113</v>
      </c>
      <c r="CU15" s="143" t="s">
        <v>113</v>
      </c>
      <c r="CV15" s="143" t="s">
        <v>113</v>
      </c>
      <c r="CW15" s="143" t="s">
        <v>113</v>
      </c>
      <c r="CX15" s="143" t="s">
        <v>113</v>
      </c>
      <c r="CY15" s="143" t="s">
        <v>113</v>
      </c>
      <c r="CZ15" s="143"/>
      <c r="DA15" s="139" t="s">
        <v>113</v>
      </c>
      <c r="DB15" s="139" t="s">
        <v>113</v>
      </c>
      <c r="DC15" s="139" t="s">
        <v>113</v>
      </c>
      <c r="DD15" s="144">
        <f t="shared" si="23"/>
        <v>0</v>
      </c>
      <c r="DE15" s="145">
        <f>'[80]2. Distributional by deciles o'!I13</f>
        <v>1</v>
      </c>
      <c r="DF15" s="1"/>
      <c r="DG15" s="1"/>
      <c r="DH15" s="1"/>
      <c r="DI15" s="1"/>
      <c r="DJ15" s="1"/>
      <c r="DK15" s="1"/>
      <c r="DL15" s="1"/>
      <c r="DM15" s="1"/>
      <c r="DN15" s="1"/>
      <c r="DO15" s="1"/>
      <c r="DP15" s="1"/>
      <c r="DQ15" s="1"/>
      <c r="DR15" s="1"/>
      <c r="DS15" s="1"/>
      <c r="DT15" s="1"/>
      <c r="DU15" s="1"/>
      <c r="DV15" s="1"/>
      <c r="DW15" s="1"/>
      <c r="DX15" s="1"/>
      <c r="DY15" s="1"/>
      <c r="DZ15" s="1"/>
      <c r="EA15" s="146">
        <f>'[81]2. Distributional by deciles o'!B31</f>
        <v>26788681.676399983</v>
      </c>
      <c r="EB15" s="146">
        <f>'[81]2. Distributional by deciles o'!C31</f>
        <v>27575309.478</v>
      </c>
      <c r="EC15" s="146">
        <f>'[81]2. Distributional by deciles o'!D31</f>
        <v>27080024.185199998</v>
      </c>
      <c r="ED15" s="146">
        <f>'[81]2. Distributional by deciles o'!E31</f>
        <v>27116774.15640001</v>
      </c>
      <c r="EE15" s="146">
        <f>'[81]2. Distributional by deciles o'!F31</f>
        <v>27085074.259199999</v>
      </c>
      <c r="EF15" s="146">
        <f>'[81]2. Distributional by deciles o'!G31</f>
        <v>27080695.665599998</v>
      </c>
      <c r="EG15" s="146">
        <f>'[81]2. Distributional by deciles o'!H31</f>
        <v>27079686.165599998</v>
      </c>
      <c r="EH15" s="122"/>
      <c r="EI15" s="130" t="s">
        <v>113</v>
      </c>
      <c r="EJ15" s="130" t="s">
        <v>113</v>
      </c>
      <c r="EK15" s="130" t="s">
        <v>113</v>
      </c>
      <c r="EL15" s="130" t="s">
        <v>113</v>
      </c>
      <c r="EM15" s="131">
        <f t="shared" si="9"/>
        <v>2.4940102387221135</v>
      </c>
      <c r="EN15" s="146">
        <f>'[82]2. Distributional by deciles o'!B67</f>
        <v>550040324.95200014</v>
      </c>
      <c r="EO15" s="146">
        <f>'[82]2. Distributional by deciles o'!C67</f>
        <v>555540953.7420001</v>
      </c>
      <c r="EP15" s="131">
        <f t="shared" si="10"/>
        <v>1.0000410043536245</v>
      </c>
      <c r="EQ15" s="130" t="s">
        <v>113</v>
      </c>
      <c r="ER15" s="130" t="s">
        <v>113</v>
      </c>
      <c r="ES15" s="130" t="s">
        <v>113</v>
      </c>
      <c r="ET15" s="130" t="s">
        <v>113</v>
      </c>
      <c r="EU15" s="131">
        <f t="shared" si="24"/>
        <v>6.5792684396345837</v>
      </c>
      <c r="EV15" s="132">
        <f t="shared" si="25"/>
        <v>2.9362980876023612</v>
      </c>
      <c r="EW15" s="132">
        <f t="shared" si="26"/>
        <v>1.0875136242155665</v>
      </c>
      <c r="EX15" s="132"/>
      <c r="EY15" s="148">
        <f t="shared" si="11"/>
        <v>-0.52774812594855902</v>
      </c>
      <c r="EZ15" s="144">
        <f t="shared" si="27"/>
        <v>0</v>
      </c>
      <c r="FA15" s="145">
        <f>'[82]2. Distributional by deciles o'!I13</f>
        <v>1</v>
      </c>
      <c r="FB15" s="130" t="s">
        <v>113</v>
      </c>
      <c r="FC15" s="130" t="s">
        <v>113</v>
      </c>
      <c r="FD15" s="130" t="s">
        <v>113</v>
      </c>
      <c r="FE15" s="130" t="s">
        <v>113</v>
      </c>
      <c r="FF15" s="130" t="s">
        <v>113</v>
      </c>
      <c r="FG15" s="130" t="s">
        <v>113</v>
      </c>
      <c r="FH15" s="130" t="s">
        <v>113</v>
      </c>
      <c r="FI15" s="130" t="s">
        <v>113</v>
      </c>
      <c r="FJ15" s="1"/>
      <c r="FK15" s="1"/>
      <c r="FL15" s="1"/>
      <c r="FM15" s="1"/>
      <c r="FN15" s="1"/>
      <c r="FO15" s="1"/>
      <c r="FP15" s="1"/>
      <c r="FQ15" s="1"/>
    </row>
    <row r="16" spans="1:173" x14ac:dyDescent="0.3">
      <c r="A16" s="1"/>
      <c r="B16" s="28">
        <v>5</v>
      </c>
      <c r="C16" s="129">
        <f>'[79]2. Distributional by deciles o'!B32</f>
        <v>34947371.961600013</v>
      </c>
      <c r="D16" s="129">
        <f>'[79]2. Distributional by deciles o'!C32</f>
        <v>36009264.161999986</v>
      </c>
      <c r="E16" s="129">
        <f>'[79]2. Distributional by deciles o'!D32</f>
        <v>35322307.877999984</v>
      </c>
      <c r="F16" s="129">
        <f>'[79]2. Distributional by deciles o'!E32</f>
        <v>35348972.575200014</v>
      </c>
      <c r="G16" s="129">
        <f>'[79]2. Distributional by deciles o'!F32</f>
        <v>35338532.864399984</v>
      </c>
      <c r="H16" s="129">
        <f>'[79]2. Distributional by deciles o'!G32</f>
        <v>35333841.380399987</v>
      </c>
      <c r="I16" s="129">
        <f>'[79]2. Distributional by deciles o'!H32</f>
        <v>35333626.364399984</v>
      </c>
      <c r="J16" s="122"/>
      <c r="K16" s="130" t="s">
        <v>113</v>
      </c>
      <c r="L16" s="130" t="s">
        <v>113</v>
      </c>
      <c r="M16" s="130" t="s">
        <v>113</v>
      </c>
      <c r="N16" s="130" t="s">
        <v>113</v>
      </c>
      <c r="O16" s="131">
        <f t="shared" si="12"/>
        <v>3.7370451121343842</v>
      </c>
      <c r="P16" s="129">
        <f>'[80]2. Distributional by deciles o'!B68</f>
        <v>557924069.6748004</v>
      </c>
      <c r="Q16" s="129">
        <f>'[80]2. Distributional by deciles o'!C68</f>
        <v>563503201.15439987</v>
      </c>
      <c r="R16" s="131">
        <f t="shared" si="0"/>
        <v>0.99998042437055012</v>
      </c>
      <c r="S16" s="130" t="s">
        <v>113</v>
      </c>
      <c r="T16" s="130" t="s">
        <v>113</v>
      </c>
      <c r="U16" s="130" t="s">
        <v>113</v>
      </c>
      <c r="V16" s="130" t="s">
        <v>113</v>
      </c>
      <c r="W16" s="132">
        <f t="shared" si="13"/>
        <v>3.0386061337658186</v>
      </c>
      <c r="X16" s="132">
        <f t="shared" si="13"/>
        <v>1.0728796905306739</v>
      </c>
      <c r="Y16" s="132">
        <f t="shared" si="1"/>
        <v>1.1491807618037293</v>
      </c>
      <c r="Z16" s="132">
        <f t="shared" si="1"/>
        <v>1.1193075135966495</v>
      </c>
      <c r="AA16" s="132">
        <f t="shared" si="1"/>
        <v>1.1058828250515347</v>
      </c>
      <c r="AB16" s="132">
        <f t="shared" si="14"/>
        <v>1.1052675564430832</v>
      </c>
      <c r="AC16" s="132">
        <f t="shared" si="14"/>
        <v>1.1052675564430832</v>
      </c>
      <c r="AD16" s="130" t="s">
        <v>113</v>
      </c>
      <c r="AE16" s="130" t="s">
        <v>113</v>
      </c>
      <c r="AF16" s="130" t="s">
        <v>113</v>
      </c>
      <c r="AG16" s="130" t="s">
        <v>113</v>
      </c>
      <c r="AH16" s="133">
        <f t="shared" si="2"/>
        <v>1</v>
      </c>
      <c r="AI16" s="134">
        <f t="shared" si="15"/>
        <v>7.2879690530673891E-2</v>
      </c>
      <c r="AJ16" s="134">
        <f t="shared" si="3"/>
        <v>1.8894253719620893</v>
      </c>
      <c r="AK16" s="134">
        <f t="shared" si="4"/>
        <v>2.9873248207079817E-2</v>
      </c>
      <c r="AL16" s="134">
        <f t="shared" si="16"/>
        <v>1.3424688545114805E-2</v>
      </c>
      <c r="AM16" s="134">
        <f t="shared" si="17"/>
        <v>6.1526860845151354E-4</v>
      </c>
      <c r="AN16" s="135">
        <f t="shared" si="28"/>
        <v>0</v>
      </c>
      <c r="AO16" s="134">
        <f t="shared" si="18"/>
        <v>3.2387865912409275E-2</v>
      </c>
      <c r="AP16" s="134">
        <f t="shared" si="6"/>
        <v>0.10526755644308317</v>
      </c>
      <c r="AQ16" s="136" t="s">
        <v>113</v>
      </c>
      <c r="AR16" s="137">
        <f t="shared" si="7"/>
        <v>3.5749765157454303</v>
      </c>
      <c r="AS16" s="137">
        <f t="shared" si="7"/>
        <v>92.682217553806979</v>
      </c>
      <c r="AT16" s="137">
        <f t="shared" si="7"/>
        <v>1.4653761563984118</v>
      </c>
      <c r="AU16" s="137">
        <f t="shared" si="7"/>
        <v>0.65852291537630303</v>
      </c>
      <c r="AV16" s="137">
        <f t="shared" si="7"/>
        <v>3.0180847504611277E-2</v>
      </c>
      <c r="AW16" s="138">
        <f t="shared" si="7"/>
        <v>0</v>
      </c>
      <c r="AX16" s="137">
        <f t="shared" si="7"/>
        <v>1.5887260111682648</v>
      </c>
      <c r="AY16" s="137">
        <f t="shared" si="7"/>
        <v>5.1637025269136956</v>
      </c>
      <c r="AZ16" s="139" t="s">
        <v>113</v>
      </c>
      <c r="BA16" s="139" t="s">
        <v>113</v>
      </c>
      <c r="BB16" s="139" t="s">
        <v>113</v>
      </c>
      <c r="BC16" s="139" t="s">
        <v>113</v>
      </c>
      <c r="BD16" s="139" t="s">
        <v>113</v>
      </c>
      <c r="BE16" s="139" t="s">
        <v>113</v>
      </c>
      <c r="BF16" s="139" t="s">
        <v>113</v>
      </c>
      <c r="BG16" s="139" t="s">
        <v>113</v>
      </c>
      <c r="BH16" s="140">
        <f>'[80]2. Distributional by deciles o'!B86</f>
        <v>377928964.88520002</v>
      </c>
      <c r="BI16" s="140">
        <f>'[80]2. Distributional by deciles o'!B104</f>
        <v>106452697.58039993</v>
      </c>
      <c r="BJ16" s="140">
        <f>'[80]2. Distributional by deciles o'!B122</f>
        <v>55071167.609999992</v>
      </c>
      <c r="BK16" s="140">
        <f>'[80]2. Distributional by deciles o'!B140</f>
        <v>18471263.722799994</v>
      </c>
      <c r="BL16" s="141">
        <f t="shared" si="19"/>
        <v>0.67738419811237038</v>
      </c>
      <c r="BM16" s="141">
        <f t="shared" si="20"/>
        <v>0.19080139890654285</v>
      </c>
      <c r="BN16" s="141">
        <f t="shared" si="21"/>
        <v>9.8707276172768019E-2</v>
      </c>
      <c r="BO16" s="141">
        <f t="shared" si="21"/>
        <v>3.3107126808318829E-2</v>
      </c>
      <c r="BP16" s="139" t="s">
        <v>113</v>
      </c>
      <c r="BQ16" s="139" t="s">
        <v>113</v>
      </c>
      <c r="BR16" s="139" t="s">
        <v>113</v>
      </c>
      <c r="BS16" s="131">
        <f t="shared" si="22"/>
        <v>7.382030385397174</v>
      </c>
      <c r="BT16" s="139"/>
      <c r="BU16" s="139"/>
      <c r="BV16" s="139"/>
      <c r="BW16" s="139"/>
      <c r="BX16" s="139"/>
      <c r="BY16" s="139"/>
      <c r="BZ16" s="139"/>
      <c r="CA16" s="139"/>
      <c r="CB16" s="139"/>
      <c r="CC16" s="142" t="s">
        <v>113</v>
      </c>
      <c r="CD16" s="142" t="s">
        <v>113</v>
      </c>
      <c r="CE16" s="142" t="s">
        <v>113</v>
      </c>
      <c r="CF16" s="142" t="s">
        <v>113</v>
      </c>
      <c r="CG16" s="142" t="s">
        <v>113</v>
      </c>
      <c r="CH16" s="142" t="s">
        <v>113</v>
      </c>
      <c r="CI16" s="142" t="s">
        <v>113</v>
      </c>
      <c r="CJ16" s="142"/>
      <c r="CK16" s="139" t="s">
        <v>113</v>
      </c>
      <c r="CL16" s="139" t="s">
        <v>113</v>
      </c>
      <c r="CM16" s="139" t="s">
        <v>113</v>
      </c>
      <c r="CN16" s="139" t="s">
        <v>113</v>
      </c>
      <c r="CO16" s="139" t="s">
        <v>113</v>
      </c>
      <c r="CP16" s="139" t="s">
        <v>113</v>
      </c>
      <c r="CQ16" s="139" t="s">
        <v>113</v>
      </c>
      <c r="CR16" s="139"/>
      <c r="CS16" s="143" t="s">
        <v>113</v>
      </c>
      <c r="CT16" s="143" t="s">
        <v>113</v>
      </c>
      <c r="CU16" s="143" t="s">
        <v>113</v>
      </c>
      <c r="CV16" s="143" t="s">
        <v>113</v>
      </c>
      <c r="CW16" s="143" t="s">
        <v>113</v>
      </c>
      <c r="CX16" s="143" t="s">
        <v>113</v>
      </c>
      <c r="CY16" s="143" t="s">
        <v>113</v>
      </c>
      <c r="CZ16" s="143"/>
      <c r="DA16" s="139" t="s">
        <v>113</v>
      </c>
      <c r="DB16" s="139" t="s">
        <v>113</v>
      </c>
      <c r="DC16" s="139" t="s">
        <v>113</v>
      </c>
      <c r="DD16" s="144">
        <f t="shared" si="23"/>
        <v>0</v>
      </c>
      <c r="DE16" s="145">
        <f>'[80]2. Distributional by deciles o'!I14</f>
        <v>1</v>
      </c>
      <c r="DF16" s="1"/>
      <c r="DG16" s="1"/>
      <c r="DH16" s="1"/>
      <c r="DI16" s="1"/>
      <c r="DJ16" s="1"/>
      <c r="DK16" s="1"/>
      <c r="DL16" s="1"/>
      <c r="DM16" s="1"/>
      <c r="DN16" s="1"/>
      <c r="DO16" s="1"/>
      <c r="DP16" s="1"/>
      <c r="DQ16" s="1"/>
      <c r="DR16" s="1"/>
      <c r="DS16" s="1"/>
      <c r="DT16" s="1"/>
      <c r="DU16" s="1"/>
      <c r="DV16" s="1"/>
      <c r="DW16" s="1"/>
      <c r="DX16" s="1"/>
      <c r="DY16" s="1"/>
      <c r="DZ16" s="1"/>
      <c r="EA16" s="146">
        <f>'[81]2. Distributional by deciles o'!B32</f>
        <v>41379723.013199992</v>
      </c>
      <c r="EB16" s="146">
        <f>'[81]2. Distributional by deciles o'!C32</f>
        <v>42521362.798800036</v>
      </c>
      <c r="EC16" s="146">
        <f>'[81]2. Distributional by deciles o'!D32</f>
        <v>41832017.754000016</v>
      </c>
      <c r="ED16" s="146">
        <f>'[81]2. Distributional by deciles o'!E32</f>
        <v>41870171.404800005</v>
      </c>
      <c r="EE16" s="146">
        <f>'[81]2. Distributional by deciles o'!F32</f>
        <v>41842977.276000008</v>
      </c>
      <c r="EF16" s="146">
        <f>'[81]2. Distributional by deciles o'!G32</f>
        <v>41839867.156800009</v>
      </c>
      <c r="EG16" s="146">
        <f>'[81]2. Distributional by deciles o'!H32</f>
        <v>41839082.076000012</v>
      </c>
      <c r="EH16" s="122"/>
      <c r="EI16" s="130" t="s">
        <v>113</v>
      </c>
      <c r="EJ16" s="130" t="s">
        <v>113</v>
      </c>
      <c r="EK16" s="130" t="s">
        <v>113</v>
      </c>
      <c r="EL16" s="130" t="s">
        <v>113</v>
      </c>
      <c r="EM16" s="131">
        <f t="shared" si="9"/>
        <v>3.8524274586204519</v>
      </c>
      <c r="EN16" s="146">
        <f>'[82]2. Distributional by deciles o'!B68</f>
        <v>615105506.21279991</v>
      </c>
      <c r="EO16" s="146">
        <f>'[82]2. Distributional by deciles o'!C68</f>
        <v>621256620.40920019</v>
      </c>
      <c r="EP16" s="131">
        <f t="shared" si="10"/>
        <v>1.0000096136795644</v>
      </c>
      <c r="EQ16" s="130" t="s">
        <v>113</v>
      </c>
      <c r="ER16" s="130" t="s">
        <v>113</v>
      </c>
      <c r="ES16" s="130" t="s">
        <v>113</v>
      </c>
      <c r="ET16" s="130" t="s">
        <v>113</v>
      </c>
      <c r="EU16" s="131">
        <f t="shared" si="24"/>
        <v>7.3575410028791781</v>
      </c>
      <c r="EV16" s="132">
        <f t="shared" si="25"/>
        <v>2.7589087775727834</v>
      </c>
      <c r="EW16" s="132">
        <f t="shared" si="26"/>
        <v>1.0930242149780443</v>
      </c>
      <c r="EX16" s="132"/>
      <c r="EY16" s="148">
        <f t="shared" si="11"/>
        <v>-0.27969735619303515</v>
      </c>
      <c r="EZ16" s="144">
        <f t="shared" si="27"/>
        <v>0</v>
      </c>
      <c r="FA16" s="145">
        <f>'[82]2. Distributional by deciles o'!I14</f>
        <v>1</v>
      </c>
      <c r="FB16" s="130" t="s">
        <v>113</v>
      </c>
      <c r="FC16" s="130" t="s">
        <v>113</v>
      </c>
      <c r="FD16" s="130" t="s">
        <v>113</v>
      </c>
      <c r="FE16" s="130" t="s">
        <v>113</v>
      </c>
      <c r="FF16" s="130" t="s">
        <v>113</v>
      </c>
      <c r="FG16" s="130" t="s">
        <v>113</v>
      </c>
      <c r="FH16" s="130" t="s">
        <v>113</v>
      </c>
      <c r="FI16" s="130" t="s">
        <v>113</v>
      </c>
      <c r="FJ16" s="1"/>
      <c r="FK16" s="1"/>
      <c r="FL16" s="1"/>
      <c r="FM16" s="1"/>
      <c r="FN16" s="1"/>
      <c r="FO16" s="1"/>
      <c r="FP16" s="1"/>
      <c r="FQ16" s="1"/>
    </row>
    <row r="17" spans="1:173" x14ac:dyDescent="0.3">
      <c r="A17" s="1"/>
      <c r="B17" s="28">
        <v>6</v>
      </c>
      <c r="C17" s="129">
        <f>'[79]2. Distributional by deciles o'!B33</f>
        <v>54154396.662000038</v>
      </c>
      <c r="D17" s="129">
        <f>'[79]2. Distributional by deciles o'!C33</f>
        <v>55608009.450000033</v>
      </c>
      <c r="E17" s="129">
        <f>'[79]2. Distributional by deciles o'!D33</f>
        <v>54739416.784800053</v>
      </c>
      <c r="F17" s="129">
        <f>'[79]2. Distributional by deciles o'!E33</f>
        <v>54763609.093199983</v>
      </c>
      <c r="G17" s="129">
        <f>'[79]2. Distributional by deciles o'!F33</f>
        <v>54750140.37120004</v>
      </c>
      <c r="H17" s="129">
        <f>'[79]2. Distributional by deciles o'!G33</f>
        <v>54741641.632800058</v>
      </c>
      <c r="I17" s="129">
        <f>'[79]2. Distributional by deciles o'!H33</f>
        <v>54741102.250800043</v>
      </c>
      <c r="J17" s="122"/>
      <c r="K17" s="130" t="s">
        <v>113</v>
      </c>
      <c r="L17" s="130" t="s">
        <v>113</v>
      </c>
      <c r="M17" s="130" t="s">
        <v>113</v>
      </c>
      <c r="N17" s="130" t="s">
        <v>113</v>
      </c>
      <c r="O17" s="131">
        <f t="shared" si="12"/>
        <v>5.7909196596724097</v>
      </c>
      <c r="P17" s="129">
        <f>'[80]2. Distributional by deciles o'!B69</f>
        <v>656662621.76760054</v>
      </c>
      <c r="Q17" s="129">
        <f>'[80]2. Distributional by deciles o'!C69</f>
        <v>663229161.55679989</v>
      </c>
      <c r="R17" s="131">
        <f t="shared" si="0"/>
        <v>0.99998683822197787</v>
      </c>
      <c r="S17" s="130" t="s">
        <v>113</v>
      </c>
      <c r="T17" s="130" t="s">
        <v>113</v>
      </c>
      <c r="U17" s="130" t="s">
        <v>113</v>
      </c>
      <c r="V17" s="130" t="s">
        <v>113</v>
      </c>
      <c r="W17" s="132">
        <f t="shared" si="13"/>
        <v>2.684236202377758</v>
      </c>
      <c r="X17" s="132">
        <f t="shared" si="13"/>
        <v>1.0802960772654449</v>
      </c>
      <c r="Y17" s="132">
        <f t="shared" si="1"/>
        <v>1.1249695078807109</v>
      </c>
      <c r="Z17" s="132">
        <f t="shared" si="1"/>
        <v>1.1000982137572244</v>
      </c>
      <c r="AA17" s="132">
        <f t="shared" si="1"/>
        <v>1.0844044736662619</v>
      </c>
      <c r="AB17" s="132">
        <f t="shared" si="14"/>
        <v>1.0834084527841528</v>
      </c>
      <c r="AC17" s="132">
        <f t="shared" si="14"/>
        <v>1.0834084527841528</v>
      </c>
      <c r="AD17" s="130" t="s">
        <v>113</v>
      </c>
      <c r="AE17" s="130" t="s">
        <v>113</v>
      </c>
      <c r="AF17" s="130" t="s">
        <v>113</v>
      </c>
      <c r="AG17" s="130" t="s">
        <v>113</v>
      </c>
      <c r="AH17" s="133">
        <f t="shared" si="2"/>
        <v>1</v>
      </c>
      <c r="AI17" s="134">
        <f t="shared" si="15"/>
        <v>8.0296077265444854E-2</v>
      </c>
      <c r="AJ17" s="134">
        <f t="shared" si="3"/>
        <v>1.559266694497047</v>
      </c>
      <c r="AK17" s="134">
        <f t="shared" si="4"/>
        <v>2.4871294123486543E-2</v>
      </c>
      <c r="AL17" s="134">
        <f t="shared" si="16"/>
        <v>1.5693740090962471E-2</v>
      </c>
      <c r="AM17" s="134">
        <f t="shared" si="17"/>
        <v>9.9602088210914985E-4</v>
      </c>
      <c r="AN17" s="135">
        <f t="shared" si="28"/>
        <v>0</v>
      </c>
      <c r="AO17" s="134">
        <f t="shared" si="18"/>
        <v>3.1123755187079105E-3</v>
      </c>
      <c r="AP17" s="134">
        <f t="shared" si="6"/>
        <v>8.3408452784152765E-2</v>
      </c>
      <c r="AQ17" s="136" t="s">
        <v>113</v>
      </c>
      <c r="AR17" s="137">
        <f t="shared" si="7"/>
        <v>4.7675069062216497</v>
      </c>
      <c r="AS17" s="137">
        <f t="shared" si="7"/>
        <v>92.580048587942571</v>
      </c>
      <c r="AT17" s="137">
        <f t="shared" si="7"/>
        <v>1.4767105758903614</v>
      </c>
      <c r="AU17" s="137">
        <f t="shared" si="7"/>
        <v>0.9318016124345555</v>
      </c>
      <c r="AV17" s="137">
        <f t="shared" si="7"/>
        <v>5.9137838309317611E-2</v>
      </c>
      <c r="AW17" s="138">
        <f t="shared" si="7"/>
        <v>0</v>
      </c>
      <c r="AX17" s="137">
        <f t="shared" si="7"/>
        <v>0.18479447920154818</v>
      </c>
      <c r="AY17" s="137">
        <f t="shared" si="7"/>
        <v>4.9523013854231985</v>
      </c>
      <c r="AZ17" s="139" t="s">
        <v>113</v>
      </c>
      <c r="BA17" s="139" t="s">
        <v>113</v>
      </c>
      <c r="BB17" s="139" t="s">
        <v>113</v>
      </c>
      <c r="BC17" s="139" t="s">
        <v>113</v>
      </c>
      <c r="BD17" s="139" t="s">
        <v>113</v>
      </c>
      <c r="BE17" s="139" t="s">
        <v>113</v>
      </c>
      <c r="BF17" s="139" t="s">
        <v>113</v>
      </c>
      <c r="BG17" s="139" t="s">
        <v>113</v>
      </c>
      <c r="BH17" s="140">
        <f>'[80]2. Distributional by deciles o'!B87</f>
        <v>472426971.62279981</v>
      </c>
      <c r="BI17" s="140">
        <f>'[80]2. Distributional by deciles o'!B105</f>
        <v>100442126.43719999</v>
      </c>
      <c r="BJ17" s="140">
        <f>'[80]2. Distributional by deciles o'!B123</f>
        <v>59939425.860000014</v>
      </c>
      <c r="BK17" s="140">
        <f>'[80]2. Distributional by deciles o'!B141</f>
        <v>23854232.063999992</v>
      </c>
      <c r="BL17" s="141">
        <f t="shared" si="19"/>
        <v>0.71943622097902393</v>
      </c>
      <c r="BM17" s="141">
        <f t="shared" si="20"/>
        <v>0.15295846387189857</v>
      </c>
      <c r="BN17" s="141">
        <f t="shared" si="21"/>
        <v>9.1278857090321242E-2</v>
      </c>
      <c r="BO17" s="141">
        <f t="shared" si="21"/>
        <v>3.6326458058756145E-2</v>
      </c>
      <c r="BP17" s="139" t="s">
        <v>113</v>
      </c>
      <c r="BQ17" s="139" t="s">
        <v>113</v>
      </c>
      <c r="BR17" s="139" t="s">
        <v>113</v>
      </c>
      <c r="BS17" s="131">
        <f t="shared" si="22"/>
        <v>8.688464417153547</v>
      </c>
      <c r="BT17" s="139"/>
      <c r="BU17" s="139"/>
      <c r="BV17" s="139"/>
      <c r="BW17" s="139"/>
      <c r="BX17" s="139"/>
      <c r="BY17" s="139"/>
      <c r="BZ17" s="139"/>
      <c r="CA17" s="139"/>
      <c r="CB17" s="139"/>
      <c r="CC17" s="142" t="s">
        <v>113</v>
      </c>
      <c r="CD17" s="142" t="s">
        <v>113</v>
      </c>
      <c r="CE17" s="142" t="s">
        <v>113</v>
      </c>
      <c r="CF17" s="142" t="s">
        <v>113</v>
      </c>
      <c r="CG17" s="142" t="s">
        <v>113</v>
      </c>
      <c r="CH17" s="142" t="s">
        <v>113</v>
      </c>
      <c r="CI17" s="142" t="s">
        <v>113</v>
      </c>
      <c r="CJ17" s="142"/>
      <c r="CK17" s="139" t="s">
        <v>113</v>
      </c>
      <c r="CL17" s="139" t="s">
        <v>113</v>
      </c>
      <c r="CM17" s="139" t="s">
        <v>113</v>
      </c>
      <c r="CN17" s="139" t="s">
        <v>113</v>
      </c>
      <c r="CO17" s="139" t="s">
        <v>113</v>
      </c>
      <c r="CP17" s="139" t="s">
        <v>113</v>
      </c>
      <c r="CQ17" s="139" t="s">
        <v>113</v>
      </c>
      <c r="CR17" s="139"/>
      <c r="CS17" s="143" t="s">
        <v>113</v>
      </c>
      <c r="CT17" s="143" t="s">
        <v>113</v>
      </c>
      <c r="CU17" s="143" t="s">
        <v>113</v>
      </c>
      <c r="CV17" s="143" t="s">
        <v>113</v>
      </c>
      <c r="CW17" s="143" t="s">
        <v>113</v>
      </c>
      <c r="CX17" s="143" t="s">
        <v>113</v>
      </c>
      <c r="CY17" s="143" t="s">
        <v>113</v>
      </c>
      <c r="CZ17" s="143"/>
      <c r="DA17" s="139" t="s">
        <v>113</v>
      </c>
      <c r="DB17" s="139" t="s">
        <v>113</v>
      </c>
      <c r="DC17" s="139" t="s">
        <v>113</v>
      </c>
      <c r="DD17" s="144">
        <f t="shared" si="23"/>
        <v>0</v>
      </c>
      <c r="DE17" s="145">
        <f>'[80]2. Distributional by deciles o'!I15</f>
        <v>1</v>
      </c>
      <c r="DF17" s="1"/>
      <c r="DG17" s="1"/>
      <c r="DH17" s="1"/>
      <c r="DI17" s="1"/>
      <c r="DJ17" s="1"/>
      <c r="DK17" s="1"/>
      <c r="DL17" s="1"/>
      <c r="DM17" s="1"/>
      <c r="DN17" s="1"/>
      <c r="DO17" s="1"/>
      <c r="DP17" s="1"/>
      <c r="DQ17" s="1"/>
      <c r="DR17" s="1"/>
      <c r="DS17" s="1"/>
      <c r="DT17" s="1"/>
      <c r="DU17" s="1"/>
      <c r="DV17" s="1"/>
      <c r="DW17" s="1"/>
      <c r="DX17" s="1"/>
      <c r="DY17" s="1"/>
      <c r="DZ17" s="1"/>
      <c r="EA17" s="146">
        <f>'[81]2. Distributional by deciles o'!B33</f>
        <v>63610582.462799974</v>
      </c>
      <c r="EB17" s="146">
        <f>'[81]2. Distributional by deciles o'!C33</f>
        <v>65109281.869199999</v>
      </c>
      <c r="EC17" s="146">
        <f>'[81]2. Distributional by deciles o'!D33</f>
        <v>64278377.46360001</v>
      </c>
      <c r="ED17" s="146">
        <f>'[81]2. Distributional by deciles o'!E33</f>
        <v>64328223.420000002</v>
      </c>
      <c r="EE17" s="146">
        <f>'[81]2. Distributional by deciles o'!F33</f>
        <v>64287851.244000033</v>
      </c>
      <c r="EF17" s="146">
        <f>'[81]2. Distributional by deciles o'!G33</f>
        <v>64276550.904000044</v>
      </c>
      <c r="EG17" s="146">
        <f>'[81]2. Distributional by deciles o'!H33</f>
        <v>64274918.168400034</v>
      </c>
      <c r="EH17" s="122"/>
      <c r="EI17" s="130" t="s">
        <v>113</v>
      </c>
      <c r="EJ17" s="130" t="s">
        <v>113</v>
      </c>
      <c r="EK17" s="130" t="s">
        <v>113</v>
      </c>
      <c r="EL17" s="130" t="s">
        <v>113</v>
      </c>
      <c r="EM17" s="131">
        <f t="shared" si="9"/>
        <v>5.9221071745782208</v>
      </c>
      <c r="EN17" s="146">
        <f>'[82]2. Distributional by deciles o'!B69</f>
        <v>732597473.39279997</v>
      </c>
      <c r="EO17" s="146">
        <f>'[82]2. Distributional by deciles o'!C69</f>
        <v>739923356.47079968</v>
      </c>
      <c r="EP17" s="131">
        <f t="shared" si="10"/>
        <v>0.99998748891012568</v>
      </c>
      <c r="EQ17" s="130" t="s">
        <v>113</v>
      </c>
      <c r="ER17" s="130" t="s">
        <v>113</v>
      </c>
      <c r="ES17" s="130" t="s">
        <v>113</v>
      </c>
      <c r="ET17" s="130" t="s">
        <v>113</v>
      </c>
      <c r="EU17" s="131">
        <f t="shared" si="24"/>
        <v>8.7629128574707753</v>
      </c>
      <c r="EV17" s="132">
        <f t="shared" si="25"/>
        <v>2.3560830587804267</v>
      </c>
      <c r="EW17" s="132">
        <f t="shared" si="26"/>
        <v>1.0498305940499371</v>
      </c>
      <c r="EX17" s="132"/>
      <c r="EY17" s="148">
        <f t="shared" si="11"/>
        <v>-0.32815314359733128</v>
      </c>
      <c r="EZ17" s="144">
        <f t="shared" si="27"/>
        <v>0</v>
      </c>
      <c r="FA17" s="145">
        <f>'[82]2. Distributional by deciles o'!I15</f>
        <v>1</v>
      </c>
      <c r="FB17" s="130" t="s">
        <v>113</v>
      </c>
      <c r="FC17" s="130" t="s">
        <v>113</v>
      </c>
      <c r="FD17" s="130" t="s">
        <v>113</v>
      </c>
      <c r="FE17" s="130" t="s">
        <v>113</v>
      </c>
      <c r="FF17" s="130" t="s">
        <v>113</v>
      </c>
      <c r="FG17" s="130" t="s">
        <v>113</v>
      </c>
      <c r="FH17" s="130" t="s">
        <v>113</v>
      </c>
      <c r="FI17" s="130" t="s">
        <v>113</v>
      </c>
      <c r="FJ17" s="1"/>
      <c r="FK17" s="1"/>
      <c r="FL17" s="1"/>
      <c r="FM17" s="1"/>
      <c r="FN17" s="1"/>
      <c r="FO17" s="1"/>
      <c r="FP17" s="1"/>
      <c r="FQ17" s="1"/>
    </row>
    <row r="18" spans="1:173" x14ac:dyDescent="0.3">
      <c r="A18" s="1"/>
      <c r="B18" s="28">
        <v>7</v>
      </c>
      <c r="C18" s="129">
        <f>'[79]2. Distributional by deciles o'!B34</f>
        <v>80191439.998800069</v>
      </c>
      <c r="D18" s="129">
        <f>'[79]2. Distributional by deciles o'!C34</f>
        <v>81952566.240000039</v>
      </c>
      <c r="E18" s="129">
        <f>'[79]2. Distributional by deciles o'!D34</f>
        <v>81023695.577999949</v>
      </c>
      <c r="F18" s="129">
        <f>'[79]2. Distributional by deciles o'!E34</f>
        <v>81059986.634399995</v>
      </c>
      <c r="G18" s="129">
        <f>'[79]2. Distributional by deciles o'!F34</f>
        <v>81045539.331599981</v>
      </c>
      <c r="H18" s="129">
        <f>'[79]2. Distributional by deciles o'!G34</f>
        <v>81042229.02959995</v>
      </c>
      <c r="I18" s="129">
        <f>'[79]2. Distributional by deciles o'!H34</f>
        <v>81041477.170799956</v>
      </c>
      <c r="J18" s="122"/>
      <c r="K18" s="130" t="s">
        <v>113</v>
      </c>
      <c r="L18" s="130" t="s">
        <v>113</v>
      </c>
      <c r="M18" s="130" t="s">
        <v>113</v>
      </c>
      <c r="N18" s="130" t="s">
        <v>113</v>
      </c>
      <c r="O18" s="131">
        <f t="shared" si="12"/>
        <v>8.5751520661358818</v>
      </c>
      <c r="P18" s="129">
        <f>'[80]2. Distributional by deciles o'!B70</f>
        <v>786765987.01079988</v>
      </c>
      <c r="Q18" s="129">
        <f>'[80]2. Distributional by deciles o'!C70</f>
        <v>794633600.03759992</v>
      </c>
      <c r="R18" s="131">
        <f t="shared" si="0"/>
        <v>0.99999404609392162</v>
      </c>
      <c r="S18" s="130" t="s">
        <v>113</v>
      </c>
      <c r="T18" s="130" t="s">
        <v>113</v>
      </c>
      <c r="U18" s="130" t="s">
        <v>113</v>
      </c>
      <c r="V18" s="130" t="s">
        <v>113</v>
      </c>
      <c r="W18" s="132">
        <f t="shared" si="13"/>
        <v>2.1961654845816283</v>
      </c>
      <c r="X18" s="132">
        <f t="shared" si="13"/>
        <v>1.0378421118430949</v>
      </c>
      <c r="Y18" s="132">
        <f t="shared" si="1"/>
        <v>1.0830979053235668</v>
      </c>
      <c r="Z18" s="132">
        <f t="shared" si="1"/>
        <v>1.0650817818836749</v>
      </c>
      <c r="AA18" s="132">
        <f t="shared" si="1"/>
        <v>1.0609537581077895</v>
      </c>
      <c r="AB18" s="132">
        <f t="shared" si="14"/>
        <v>1.0600161726541193</v>
      </c>
      <c r="AC18" s="132">
        <f t="shared" si="14"/>
        <v>1.0600161726541193</v>
      </c>
      <c r="AD18" s="130" t="s">
        <v>113</v>
      </c>
      <c r="AE18" s="130" t="s">
        <v>113</v>
      </c>
      <c r="AF18" s="130" t="s">
        <v>113</v>
      </c>
      <c r="AG18" s="130" t="s">
        <v>113</v>
      </c>
      <c r="AH18" s="133">
        <f t="shared" si="2"/>
        <v>1</v>
      </c>
      <c r="AI18" s="134">
        <f t="shared" si="15"/>
        <v>3.7842111843094717E-2</v>
      </c>
      <c r="AJ18" s="134">
        <f t="shared" si="3"/>
        <v>1.1130675792580615</v>
      </c>
      <c r="AK18" s="134">
        <f t="shared" si="4"/>
        <v>1.8016123439891896E-2</v>
      </c>
      <c r="AL18" s="134">
        <f t="shared" si="16"/>
        <v>4.1280237758853922E-3</v>
      </c>
      <c r="AM18" s="134">
        <f t="shared" si="17"/>
        <v>9.3758545367017554E-4</v>
      </c>
      <c r="AN18" s="135">
        <f t="shared" si="28"/>
        <v>0</v>
      </c>
      <c r="AO18" s="134">
        <f t="shared" si="18"/>
        <v>2.2174060811024354E-2</v>
      </c>
      <c r="AP18" s="134">
        <f t="shared" si="6"/>
        <v>6.0016172654119071E-2</v>
      </c>
      <c r="AQ18" s="136" t="s">
        <v>113</v>
      </c>
      <c r="AR18" s="137">
        <f t="shared" si="7"/>
        <v>3.1636184399962355</v>
      </c>
      <c r="AS18" s="137">
        <f t="shared" si="7"/>
        <v>93.052975830293988</v>
      </c>
      <c r="AT18" s="137">
        <f t="shared" si="7"/>
        <v>1.5061564367235716</v>
      </c>
      <c r="AU18" s="137">
        <f t="shared" si="7"/>
        <v>0.34510473919327417</v>
      </c>
      <c r="AV18" s="137">
        <f t="shared" si="7"/>
        <v>7.8382587171716145E-2</v>
      </c>
      <c r="AW18" s="138">
        <f t="shared" si="7"/>
        <v>0</v>
      </c>
      <c r="AX18" s="137">
        <f t="shared" si="7"/>
        <v>1.8537619666211962</v>
      </c>
      <c r="AY18" s="137">
        <f t="shared" si="7"/>
        <v>5.0173804066174315</v>
      </c>
      <c r="AZ18" s="139" t="s">
        <v>113</v>
      </c>
      <c r="BA18" s="139" t="s">
        <v>113</v>
      </c>
      <c r="BB18" s="139" t="s">
        <v>113</v>
      </c>
      <c r="BC18" s="139" t="s">
        <v>113</v>
      </c>
      <c r="BD18" s="139" t="s">
        <v>113</v>
      </c>
      <c r="BE18" s="139" t="s">
        <v>113</v>
      </c>
      <c r="BF18" s="139" t="s">
        <v>113</v>
      </c>
      <c r="BG18" s="139" t="s">
        <v>113</v>
      </c>
      <c r="BH18" s="140">
        <f>'[80]2. Distributional by deciles o'!B88</f>
        <v>606489113.99880004</v>
      </c>
      <c r="BI18" s="140">
        <f>'[80]2. Distributional by deciles o'!B106</f>
        <v>90274629.554400042</v>
      </c>
      <c r="BJ18" s="140">
        <f>'[80]2. Distributional by deciles o'!B124</f>
        <v>59925042.439199992</v>
      </c>
      <c r="BK18" s="140">
        <f>'[80]2. Distributional by deciles o'!B142</f>
        <v>30077330.17200001</v>
      </c>
      <c r="BL18" s="141">
        <f t="shared" si="19"/>
        <v>0.77086328648153168</v>
      </c>
      <c r="BM18" s="141">
        <f t="shared" si="20"/>
        <v>0.11474137955317909</v>
      </c>
      <c r="BN18" s="141">
        <f t="shared" si="21"/>
        <v>7.6166272552945377E-2</v>
      </c>
      <c r="BO18" s="141">
        <f t="shared" si="21"/>
        <v>3.8229061412343723E-2</v>
      </c>
      <c r="BP18" s="139" t="s">
        <v>113</v>
      </c>
      <c r="BQ18" s="139" t="s">
        <v>113</v>
      </c>
      <c r="BR18" s="139" t="s">
        <v>113</v>
      </c>
      <c r="BS18" s="131">
        <f t="shared" si="22"/>
        <v>10.409893994528712</v>
      </c>
      <c r="BT18" s="139"/>
      <c r="BU18" s="139"/>
      <c r="BV18" s="139"/>
      <c r="BW18" s="139"/>
      <c r="BX18" s="139"/>
      <c r="BY18" s="139"/>
      <c r="BZ18" s="139"/>
      <c r="CA18" s="139"/>
      <c r="CB18" s="139"/>
      <c r="CC18" s="142" t="s">
        <v>113</v>
      </c>
      <c r="CD18" s="142" t="s">
        <v>113</v>
      </c>
      <c r="CE18" s="142" t="s">
        <v>113</v>
      </c>
      <c r="CF18" s="142" t="s">
        <v>113</v>
      </c>
      <c r="CG18" s="142" t="s">
        <v>113</v>
      </c>
      <c r="CH18" s="142" t="s">
        <v>113</v>
      </c>
      <c r="CI18" s="142" t="s">
        <v>113</v>
      </c>
      <c r="CJ18" s="142"/>
      <c r="CK18" s="139" t="s">
        <v>113</v>
      </c>
      <c r="CL18" s="139" t="s">
        <v>113</v>
      </c>
      <c r="CM18" s="139" t="s">
        <v>113</v>
      </c>
      <c r="CN18" s="139" t="s">
        <v>113</v>
      </c>
      <c r="CO18" s="139" t="s">
        <v>113</v>
      </c>
      <c r="CP18" s="139" t="s">
        <v>113</v>
      </c>
      <c r="CQ18" s="139" t="s">
        <v>113</v>
      </c>
      <c r="CR18" s="139"/>
      <c r="CS18" s="143" t="s">
        <v>113</v>
      </c>
      <c r="CT18" s="143" t="s">
        <v>113</v>
      </c>
      <c r="CU18" s="143" t="s">
        <v>113</v>
      </c>
      <c r="CV18" s="143" t="s">
        <v>113</v>
      </c>
      <c r="CW18" s="143" t="s">
        <v>113</v>
      </c>
      <c r="CX18" s="143" t="s">
        <v>113</v>
      </c>
      <c r="CY18" s="143" t="s">
        <v>113</v>
      </c>
      <c r="CZ18" s="143"/>
      <c r="DA18" s="139" t="s">
        <v>113</v>
      </c>
      <c r="DB18" s="139" t="s">
        <v>113</v>
      </c>
      <c r="DC18" s="139" t="s">
        <v>113</v>
      </c>
      <c r="DD18" s="144">
        <f t="shared" si="23"/>
        <v>0</v>
      </c>
      <c r="DE18" s="145">
        <f>'[80]2. Distributional by deciles o'!I16</f>
        <v>1</v>
      </c>
      <c r="DF18" s="1"/>
      <c r="DG18" s="1"/>
      <c r="DH18" s="1"/>
      <c r="DI18" s="1"/>
      <c r="DJ18" s="1"/>
      <c r="DK18" s="1"/>
      <c r="DL18" s="1"/>
      <c r="DM18" s="1"/>
      <c r="DN18" s="1"/>
      <c r="DO18" s="1"/>
      <c r="DP18" s="1"/>
      <c r="DQ18" s="1"/>
      <c r="DR18" s="1"/>
      <c r="DS18" s="1"/>
      <c r="DT18" s="1"/>
      <c r="DU18" s="1"/>
      <c r="DV18" s="1"/>
      <c r="DW18" s="1"/>
      <c r="DX18" s="1"/>
      <c r="DY18" s="1"/>
      <c r="DZ18" s="1"/>
      <c r="EA18" s="146">
        <f>'[81]2. Distributional by deciles o'!B34</f>
        <v>91871645.53079994</v>
      </c>
      <c r="EB18" s="146">
        <f>'[81]2. Distributional by deciles o'!C34</f>
        <v>93812183.110799998</v>
      </c>
      <c r="EC18" s="146">
        <f>'[81]2. Distributional by deciles o'!D34</f>
        <v>92837590.388399988</v>
      </c>
      <c r="ED18" s="146">
        <f>'[81]2. Distributional by deciles o'!E34</f>
        <v>92899528.796399951</v>
      </c>
      <c r="EE18" s="146">
        <f>'[81]2. Distributional by deciles o'!F34</f>
        <v>92859305.749200031</v>
      </c>
      <c r="EF18" s="146">
        <f>'[81]2. Distributional by deciles o'!G34</f>
        <v>92844544.826400056</v>
      </c>
      <c r="EG18" s="146">
        <f>'[81]2. Distributional by deciles o'!H34</f>
        <v>92842188.433200046</v>
      </c>
      <c r="EH18" s="122"/>
      <c r="EI18" s="130" t="s">
        <v>113</v>
      </c>
      <c r="EJ18" s="130" t="s">
        <v>113</v>
      </c>
      <c r="EK18" s="130" t="s">
        <v>113</v>
      </c>
      <c r="EL18" s="130" t="s">
        <v>113</v>
      </c>
      <c r="EM18" s="131">
        <f t="shared" si="9"/>
        <v>8.5531952400598836</v>
      </c>
      <c r="EN18" s="146">
        <f>'[82]2. Distributional by deciles o'!B70</f>
        <v>871002952.79879999</v>
      </c>
      <c r="EO18" s="146">
        <f>'[82]2. Distributional by deciles o'!C70</f>
        <v>879713068.16159999</v>
      </c>
      <c r="EP18" s="131">
        <f t="shared" si="10"/>
        <v>1.0000098547096492</v>
      </c>
      <c r="EQ18" s="130" t="s">
        <v>113</v>
      </c>
      <c r="ER18" s="130" t="s">
        <v>113</v>
      </c>
      <c r="ES18" s="130" t="s">
        <v>113</v>
      </c>
      <c r="ET18" s="130" t="s">
        <v>113</v>
      </c>
      <c r="EU18" s="131">
        <f t="shared" si="24"/>
        <v>10.418440209229676</v>
      </c>
      <c r="EV18" s="132">
        <f t="shared" si="25"/>
        <v>2.1122060517611381</v>
      </c>
      <c r="EW18" s="132">
        <f t="shared" si="26"/>
        <v>1.0513965794418223</v>
      </c>
      <c r="EX18" s="132"/>
      <c r="EY18" s="148">
        <f t="shared" si="11"/>
        <v>-8.3959432820490232E-2</v>
      </c>
      <c r="EZ18" s="144">
        <f t="shared" si="27"/>
        <v>0</v>
      </c>
      <c r="FA18" s="145">
        <f>'[82]2. Distributional by deciles o'!I16</f>
        <v>1</v>
      </c>
      <c r="FB18" s="130" t="s">
        <v>113</v>
      </c>
      <c r="FC18" s="130" t="s">
        <v>113</v>
      </c>
      <c r="FD18" s="130" t="s">
        <v>113</v>
      </c>
      <c r="FE18" s="130" t="s">
        <v>113</v>
      </c>
      <c r="FF18" s="130" t="s">
        <v>113</v>
      </c>
      <c r="FG18" s="130" t="s">
        <v>113</v>
      </c>
      <c r="FH18" s="130" t="s">
        <v>113</v>
      </c>
      <c r="FI18" s="130" t="s">
        <v>113</v>
      </c>
      <c r="FJ18" s="1"/>
      <c r="FK18" s="1"/>
      <c r="FL18" s="1"/>
      <c r="FM18" s="1"/>
      <c r="FN18" s="1"/>
      <c r="FO18" s="1"/>
      <c r="FP18" s="1"/>
      <c r="FQ18" s="1"/>
    </row>
    <row r="19" spans="1:173" x14ac:dyDescent="0.3">
      <c r="A19" s="1"/>
      <c r="B19" s="28">
        <v>8</v>
      </c>
      <c r="C19" s="129">
        <f>'[79]2. Distributional by deciles o'!B35</f>
        <v>116901196.32959995</v>
      </c>
      <c r="D19" s="129">
        <f>'[79]2. Distributional by deciles o'!C35</f>
        <v>119086489.33559994</v>
      </c>
      <c r="E19" s="129">
        <f>'[79]2. Distributional by deciles o'!D35</f>
        <v>118094989.00559999</v>
      </c>
      <c r="F19" s="129">
        <f>'[79]2. Distributional by deciles o'!E35</f>
        <v>118118890.48560007</v>
      </c>
      <c r="G19" s="129">
        <f>'[79]2. Distributional by deciles o'!F35</f>
        <v>118101189.71880007</v>
      </c>
      <c r="H19" s="129">
        <f>'[79]2. Distributional by deciles o'!G35</f>
        <v>118103113.39800002</v>
      </c>
      <c r="I19" s="129">
        <f>'[79]2. Distributional by deciles o'!H35</f>
        <v>118103113.39800002</v>
      </c>
      <c r="J19" s="122"/>
      <c r="K19" s="130" t="s">
        <v>113</v>
      </c>
      <c r="L19" s="130" t="s">
        <v>113</v>
      </c>
      <c r="M19" s="130" t="s">
        <v>113</v>
      </c>
      <c r="N19" s="130" t="s">
        <v>113</v>
      </c>
      <c r="O19" s="131">
        <f t="shared" si="12"/>
        <v>12.500655122972294</v>
      </c>
      <c r="P19" s="129">
        <f>'[80]2. Distributional by deciles o'!B71</f>
        <v>935623252.44239998</v>
      </c>
      <c r="Q19" s="129">
        <f>'[80]2. Distributional by deciles o'!C71</f>
        <v>944979385.41119993</v>
      </c>
      <c r="R19" s="131">
        <f t="shared" si="0"/>
        <v>0.9999893594324627</v>
      </c>
      <c r="S19" s="130" t="s">
        <v>113</v>
      </c>
      <c r="T19" s="130" t="s">
        <v>113</v>
      </c>
      <c r="U19" s="130" t="s">
        <v>113</v>
      </c>
      <c r="V19" s="130" t="s">
        <v>113</v>
      </c>
      <c r="W19" s="132">
        <f t="shared" si="13"/>
        <v>1.8693703123822598</v>
      </c>
      <c r="X19" s="132">
        <f t="shared" si="13"/>
        <v>1.0212088637663717</v>
      </c>
      <c r="Y19" s="132">
        <f t="shared" si="1"/>
        <v>1.0416549627615492</v>
      </c>
      <c r="Z19" s="132">
        <f t="shared" si="1"/>
        <v>1.0265131543763701</v>
      </c>
      <c r="AA19" s="132">
        <f t="shared" si="1"/>
        <v>1.0281587317781458</v>
      </c>
      <c r="AB19" s="132">
        <f t="shared" si="14"/>
        <v>1.0281587317781458</v>
      </c>
      <c r="AC19" s="132">
        <f t="shared" si="14"/>
        <v>1.0281587317781458</v>
      </c>
      <c r="AD19" s="130" t="s">
        <v>113</v>
      </c>
      <c r="AE19" s="130" t="s">
        <v>113</v>
      </c>
      <c r="AF19" s="130" t="s">
        <v>113</v>
      </c>
      <c r="AG19" s="130" t="s">
        <v>113</v>
      </c>
      <c r="AH19" s="133">
        <f t="shared" si="2"/>
        <v>1</v>
      </c>
      <c r="AI19" s="134">
        <f t="shared" si="15"/>
        <v>2.1208863766371655E-2</v>
      </c>
      <c r="AJ19" s="134">
        <f t="shared" si="3"/>
        <v>0.82771534962071058</v>
      </c>
      <c r="AK19" s="134">
        <f t="shared" si="4"/>
        <v>1.514180838517909E-2</v>
      </c>
      <c r="AL19" s="134">
        <f t="shared" si="16"/>
        <v>0</v>
      </c>
      <c r="AM19" s="134">
        <f t="shared" si="17"/>
        <v>0</v>
      </c>
      <c r="AN19" s="135">
        <f t="shared" si="28"/>
        <v>0</v>
      </c>
      <c r="AO19" s="134">
        <f t="shared" si="18"/>
        <v>5.3042906099984855E-3</v>
      </c>
      <c r="AP19" s="134">
        <f t="shared" si="6"/>
        <v>2.651315437637014E-2</v>
      </c>
      <c r="AQ19" s="136" t="s">
        <v>113</v>
      </c>
      <c r="AR19" s="137">
        <f t="shared" si="7"/>
        <v>2.4395661393422619</v>
      </c>
      <c r="AS19" s="137">
        <f t="shared" si="7"/>
        <v>95.208605335578383</v>
      </c>
      <c r="AT19" s="137">
        <f t="shared" si="7"/>
        <v>1.7416983498881287</v>
      </c>
      <c r="AU19" s="137">
        <f t="shared" si="7"/>
        <v>0</v>
      </c>
      <c r="AV19" s="137">
        <f t="shared" si="7"/>
        <v>0</v>
      </c>
      <c r="AW19" s="138">
        <f t="shared" si="7"/>
        <v>0</v>
      </c>
      <c r="AX19" s="137">
        <f t="shared" si="7"/>
        <v>0.61013017519123691</v>
      </c>
      <c r="AY19" s="137">
        <f t="shared" si="7"/>
        <v>3.0496963145334988</v>
      </c>
      <c r="AZ19" s="139" t="s">
        <v>113</v>
      </c>
      <c r="BA19" s="139" t="s">
        <v>113</v>
      </c>
      <c r="BB19" s="139" t="s">
        <v>113</v>
      </c>
      <c r="BC19" s="139" t="s">
        <v>113</v>
      </c>
      <c r="BD19" s="139" t="s">
        <v>113</v>
      </c>
      <c r="BE19" s="139" t="s">
        <v>113</v>
      </c>
      <c r="BF19" s="139" t="s">
        <v>113</v>
      </c>
      <c r="BG19" s="139" t="s">
        <v>113</v>
      </c>
      <c r="BH19" s="140">
        <f>'[80]2. Distributional by deciles o'!B89</f>
        <v>765722158.43040013</v>
      </c>
      <c r="BI19" s="140">
        <f>'[80]2. Distributional by deciles o'!B107</f>
        <v>58640505.748800009</v>
      </c>
      <c r="BJ19" s="140">
        <f>'[80]2. Distributional by deciles o'!B125</f>
        <v>77949994.599599987</v>
      </c>
      <c r="BK19" s="140">
        <f>'[80]2. Distributional by deciles o'!B143</f>
        <v>33310892.036399994</v>
      </c>
      <c r="BL19" s="141">
        <f t="shared" si="19"/>
        <v>0.8184083841874582</v>
      </c>
      <c r="BM19" s="141">
        <f t="shared" si="20"/>
        <v>6.2675320322695044E-2</v>
      </c>
      <c r="BN19" s="141">
        <f t="shared" si="21"/>
        <v>8.3313416524929157E-2</v>
      </c>
      <c r="BO19" s="141">
        <f t="shared" si="21"/>
        <v>3.5602878964917595E-2</v>
      </c>
      <c r="BP19" s="139" t="s">
        <v>113</v>
      </c>
      <c r="BQ19" s="139" t="s">
        <v>113</v>
      </c>
      <c r="BR19" s="139" t="s">
        <v>113</v>
      </c>
      <c r="BS19" s="131">
        <f t="shared" si="22"/>
        <v>12.379461031031918</v>
      </c>
      <c r="BT19" s="139"/>
      <c r="BU19" s="139"/>
      <c r="BV19" s="139"/>
      <c r="BW19" s="139"/>
      <c r="BX19" s="139"/>
      <c r="BY19" s="139"/>
      <c r="BZ19" s="139"/>
      <c r="CA19" s="139"/>
      <c r="CB19" s="139"/>
      <c r="CC19" s="142" t="s">
        <v>113</v>
      </c>
      <c r="CD19" s="142" t="s">
        <v>113</v>
      </c>
      <c r="CE19" s="142" t="s">
        <v>113</v>
      </c>
      <c r="CF19" s="142" t="s">
        <v>113</v>
      </c>
      <c r="CG19" s="142" t="s">
        <v>113</v>
      </c>
      <c r="CH19" s="142" t="s">
        <v>113</v>
      </c>
      <c r="CI19" s="142" t="s">
        <v>113</v>
      </c>
      <c r="CJ19" s="142"/>
      <c r="CK19" s="139" t="s">
        <v>113</v>
      </c>
      <c r="CL19" s="139" t="s">
        <v>113</v>
      </c>
      <c r="CM19" s="139" t="s">
        <v>113</v>
      </c>
      <c r="CN19" s="139" t="s">
        <v>113</v>
      </c>
      <c r="CO19" s="139" t="s">
        <v>113</v>
      </c>
      <c r="CP19" s="139" t="s">
        <v>113</v>
      </c>
      <c r="CQ19" s="139" t="s">
        <v>113</v>
      </c>
      <c r="CR19" s="139"/>
      <c r="CS19" s="143" t="s">
        <v>113</v>
      </c>
      <c r="CT19" s="143" t="s">
        <v>113</v>
      </c>
      <c r="CU19" s="143" t="s">
        <v>113</v>
      </c>
      <c r="CV19" s="143" t="s">
        <v>113</v>
      </c>
      <c r="CW19" s="143" t="s">
        <v>113</v>
      </c>
      <c r="CX19" s="143" t="s">
        <v>113</v>
      </c>
      <c r="CY19" s="143" t="s">
        <v>113</v>
      </c>
      <c r="CZ19" s="143"/>
      <c r="DA19" s="139" t="s">
        <v>113</v>
      </c>
      <c r="DB19" s="139" t="s">
        <v>113</v>
      </c>
      <c r="DC19" s="139" t="s">
        <v>113</v>
      </c>
      <c r="DD19" s="144">
        <f t="shared" si="23"/>
        <v>0</v>
      </c>
      <c r="DE19" s="145">
        <f>'[80]2. Distributional by deciles o'!I17</f>
        <v>1</v>
      </c>
      <c r="DF19" s="1"/>
      <c r="DG19" s="1"/>
      <c r="DH19" s="1"/>
      <c r="DI19" s="1"/>
      <c r="DJ19" s="1"/>
      <c r="DK19" s="1"/>
      <c r="DL19" s="1"/>
      <c r="DM19" s="1"/>
      <c r="DN19" s="1"/>
      <c r="DO19" s="1"/>
      <c r="DP19" s="1"/>
      <c r="DQ19" s="1"/>
      <c r="DR19" s="1"/>
      <c r="DS19" s="1"/>
      <c r="DT19" s="1"/>
      <c r="DU19" s="1"/>
      <c r="DV19" s="1"/>
      <c r="DW19" s="1"/>
      <c r="DX19" s="1"/>
      <c r="DY19" s="1"/>
      <c r="DZ19" s="1"/>
      <c r="EA19" s="146">
        <f>'[81]2. Distributional by deciles o'!B35</f>
        <v>133126533.98279995</v>
      </c>
      <c r="EB19" s="146">
        <f>'[81]2. Distributional by deciles o'!C35</f>
        <v>135563726.62799984</v>
      </c>
      <c r="EC19" s="146">
        <f>'[81]2. Distributional by deciles o'!D35</f>
        <v>134499440.89800018</v>
      </c>
      <c r="ED19" s="146">
        <f>'[81]2. Distributional by deciles o'!E35</f>
        <v>134570782.03080013</v>
      </c>
      <c r="EE19" s="146">
        <f>'[81]2. Distributional by deciles o'!F35</f>
        <v>134512112.42160016</v>
      </c>
      <c r="EF19" s="146">
        <f>'[81]2. Distributional by deciles o'!G35</f>
        <v>134497638.85800019</v>
      </c>
      <c r="EG19" s="146">
        <f>'[81]2. Distributional by deciles o'!H35</f>
        <v>134497255.2528002</v>
      </c>
      <c r="EH19" s="122"/>
      <c r="EI19" s="130" t="s">
        <v>113</v>
      </c>
      <c r="EJ19" s="130" t="s">
        <v>113</v>
      </c>
      <c r="EK19" s="130" t="s">
        <v>113</v>
      </c>
      <c r="EL19" s="130" t="s">
        <v>113</v>
      </c>
      <c r="EM19" s="131">
        <f t="shared" si="9"/>
        <v>12.394000675710336</v>
      </c>
      <c r="EN19" s="146">
        <f>'[82]2. Distributional by deciles o'!B71</f>
        <v>1016848890.1788003</v>
      </c>
      <c r="EO19" s="146">
        <f>'[82]2. Distributional by deciles o'!C71</f>
        <v>1027017288.6264</v>
      </c>
      <c r="EP19" s="131">
        <f t="shared" si="10"/>
        <v>0.99999110446111761</v>
      </c>
      <c r="EQ19" s="130" t="s">
        <v>113</v>
      </c>
      <c r="ER19" s="130" t="s">
        <v>113</v>
      </c>
      <c r="ES19" s="130" t="s">
        <v>113</v>
      </c>
      <c r="ET19" s="130" t="s">
        <v>113</v>
      </c>
      <c r="EU19" s="131">
        <f t="shared" si="24"/>
        <v>12.162966072741401</v>
      </c>
      <c r="EV19" s="132">
        <f t="shared" si="25"/>
        <v>1.8307502288383641</v>
      </c>
      <c r="EW19" s="132">
        <f t="shared" si="26"/>
        <v>1.0312888700558387</v>
      </c>
      <c r="EX19" s="132"/>
      <c r="EY19" s="148">
        <f t="shared" si="11"/>
        <v>-3.8620083543895678E-2</v>
      </c>
      <c r="EZ19" s="144">
        <f t="shared" si="27"/>
        <v>0</v>
      </c>
      <c r="FA19" s="145">
        <f>'[82]2. Distributional by deciles o'!I17</f>
        <v>1</v>
      </c>
      <c r="FB19" s="130" t="s">
        <v>113</v>
      </c>
      <c r="FC19" s="130" t="s">
        <v>113</v>
      </c>
      <c r="FD19" s="130" t="s">
        <v>113</v>
      </c>
      <c r="FE19" s="130" t="s">
        <v>113</v>
      </c>
      <c r="FF19" s="130" t="s">
        <v>113</v>
      </c>
      <c r="FG19" s="130" t="s">
        <v>113</v>
      </c>
      <c r="FH19" s="130" t="s">
        <v>113</v>
      </c>
      <c r="FI19" s="130" t="s">
        <v>113</v>
      </c>
      <c r="FJ19" s="1"/>
      <c r="FK19" s="1"/>
      <c r="FL19" s="1"/>
      <c r="FM19" s="1"/>
      <c r="FN19" s="1"/>
      <c r="FO19" s="1"/>
      <c r="FP19" s="1"/>
      <c r="FQ19" s="1"/>
    </row>
    <row r="20" spans="1:173" x14ac:dyDescent="0.3">
      <c r="A20" s="1"/>
      <c r="B20" s="28">
        <v>9</v>
      </c>
      <c r="C20" s="129">
        <f>'[79]2. Distributional by deciles o'!B36</f>
        <v>173907978.29879993</v>
      </c>
      <c r="D20" s="129">
        <f>'[79]2. Distributional by deciles o'!C36</f>
        <v>176840517.56279993</v>
      </c>
      <c r="E20" s="129">
        <f>'[79]2. Distributional by deciles o'!D36</f>
        <v>175687624.03919995</v>
      </c>
      <c r="F20" s="129">
        <f>'[79]2. Distributional by deciles o'!E36</f>
        <v>175725964.91879997</v>
      </c>
      <c r="G20" s="129">
        <f>'[79]2. Distributional by deciles o'!F36</f>
        <v>175703019.65399995</v>
      </c>
      <c r="H20" s="129">
        <f>'[79]2. Distributional by deciles o'!G36</f>
        <v>175702310.75519997</v>
      </c>
      <c r="I20" s="129">
        <f>'[79]2. Distributional by deciles o'!H36</f>
        <v>175702310.75519997</v>
      </c>
      <c r="J20" s="122"/>
      <c r="K20" s="130" t="s">
        <v>113</v>
      </c>
      <c r="L20" s="130" t="s">
        <v>113</v>
      </c>
      <c r="M20" s="130" t="s">
        <v>113</v>
      </c>
      <c r="N20" s="130" t="s">
        <v>113</v>
      </c>
      <c r="O20" s="131">
        <f t="shared" si="12"/>
        <v>18.596590352396504</v>
      </c>
      <c r="P20" s="129">
        <f>'[80]2. Distributional by deciles o'!B72</f>
        <v>1171165648.7208009</v>
      </c>
      <c r="Q20" s="129">
        <f>'[80]2. Distributional by deciles o'!C72</f>
        <v>1182877337.9976001</v>
      </c>
      <c r="R20" s="131">
        <f t="shared" si="0"/>
        <v>1.0000027997398409</v>
      </c>
      <c r="S20" s="130" t="s">
        <v>113</v>
      </c>
      <c r="T20" s="130" t="s">
        <v>113</v>
      </c>
      <c r="U20" s="130" t="s">
        <v>113</v>
      </c>
      <c r="V20" s="130" t="s">
        <v>113</v>
      </c>
      <c r="W20" s="132">
        <f t="shared" si="13"/>
        <v>1.6862544676572835</v>
      </c>
      <c r="X20" s="132">
        <f t="shared" si="13"/>
        <v>1.0233232398407823</v>
      </c>
      <c r="Y20" s="132">
        <f t="shared" si="1"/>
        <v>1.0453698259898982</v>
      </c>
      <c r="Z20" s="132">
        <f t="shared" si="1"/>
        <v>1.0321759513995117</v>
      </c>
      <c r="AA20" s="132">
        <f t="shared" si="1"/>
        <v>1.0317683238586748</v>
      </c>
      <c r="AB20" s="132">
        <f t="shared" si="14"/>
        <v>1.0317683238586748</v>
      </c>
      <c r="AC20" s="132">
        <f t="shared" si="14"/>
        <v>1.0317683238586748</v>
      </c>
      <c r="AD20" s="130" t="s">
        <v>113</v>
      </c>
      <c r="AE20" s="130" t="s">
        <v>113</v>
      </c>
      <c r="AF20" s="130" t="s">
        <v>113</v>
      </c>
      <c r="AG20" s="130" t="s">
        <v>113</v>
      </c>
      <c r="AH20" s="133">
        <f t="shared" si="2"/>
        <v>1</v>
      </c>
      <c r="AI20" s="134">
        <f t="shared" si="15"/>
        <v>2.3323239840782328E-2</v>
      </c>
      <c r="AJ20" s="134">
        <f t="shared" si="3"/>
        <v>0.64088464166738524</v>
      </c>
      <c r="AK20" s="134">
        <f t="shared" si="4"/>
        <v>1.3193874590386567E-2</v>
      </c>
      <c r="AL20" s="134">
        <f t="shared" si="16"/>
        <v>4.0762754083689678E-4</v>
      </c>
      <c r="AM20" s="134">
        <f t="shared" si="17"/>
        <v>0</v>
      </c>
      <c r="AN20" s="135">
        <f t="shared" si="28"/>
        <v>0</v>
      </c>
      <c r="AO20" s="134">
        <f t="shared" si="18"/>
        <v>8.4450840178924569E-3</v>
      </c>
      <c r="AP20" s="134">
        <f t="shared" si="6"/>
        <v>3.1768323858674785E-2</v>
      </c>
      <c r="AQ20" s="136" t="s">
        <v>113</v>
      </c>
      <c r="AR20" s="137">
        <f t="shared" si="7"/>
        <v>3.3986284884093445</v>
      </c>
      <c r="AS20" s="137">
        <f t="shared" si="7"/>
        <v>93.388775136899213</v>
      </c>
      <c r="AT20" s="137">
        <f t="shared" si="7"/>
        <v>1.9225921596441407</v>
      </c>
      <c r="AU20" s="137">
        <f t="shared" si="7"/>
        <v>5.9398890651807985E-2</v>
      </c>
      <c r="AV20" s="137">
        <f t="shared" si="7"/>
        <v>0</v>
      </c>
      <c r="AW20" s="138">
        <f t="shared" si="7"/>
        <v>0</v>
      </c>
      <c r="AX20" s="137">
        <f t="shared" si="7"/>
        <v>1.23060532439549</v>
      </c>
      <c r="AY20" s="137">
        <f t="shared" si="7"/>
        <v>4.6292338128048343</v>
      </c>
      <c r="AZ20" s="139" t="s">
        <v>113</v>
      </c>
      <c r="BA20" s="139" t="s">
        <v>113</v>
      </c>
      <c r="BB20" s="139" t="s">
        <v>113</v>
      </c>
      <c r="BC20" s="139" t="s">
        <v>113</v>
      </c>
      <c r="BD20" s="139" t="s">
        <v>113</v>
      </c>
      <c r="BE20" s="139" t="s">
        <v>113</v>
      </c>
      <c r="BF20" s="139" t="s">
        <v>113</v>
      </c>
      <c r="BG20" s="139" t="s">
        <v>113</v>
      </c>
      <c r="BH20" s="140">
        <f>'[80]2. Distributional by deciles o'!B90</f>
        <v>1014904353.2171996</v>
      </c>
      <c r="BI20" s="140">
        <f>'[80]2. Distributional by deciles o'!B108</f>
        <v>43832885.25</v>
      </c>
      <c r="BJ20" s="140">
        <f>'[80]2. Distributional by deciles o'!B126</f>
        <v>72566191.501199976</v>
      </c>
      <c r="BK20" s="140">
        <f>'[80]2. Distributional by deciles o'!B144</f>
        <v>39862310.354400001</v>
      </c>
      <c r="BL20" s="141">
        <f t="shared" si="19"/>
        <v>0.86657619692450127</v>
      </c>
      <c r="BM20" s="141">
        <f t="shared" si="20"/>
        <v>3.7426714034444586E-2</v>
      </c>
      <c r="BN20" s="141">
        <f t="shared" si="21"/>
        <v>6.1960650830854315E-2</v>
      </c>
      <c r="BO20" s="141">
        <f t="shared" si="21"/>
        <v>3.4036438210199915E-2</v>
      </c>
      <c r="BP20" s="139" t="s">
        <v>113</v>
      </c>
      <c r="BQ20" s="139" t="s">
        <v>113</v>
      </c>
      <c r="BR20" s="139" t="s">
        <v>113</v>
      </c>
      <c r="BS20" s="131">
        <f t="shared" si="22"/>
        <v>15.495980322608474</v>
      </c>
      <c r="BT20" s="139"/>
      <c r="BU20" s="139"/>
      <c r="BV20" s="139"/>
      <c r="BW20" s="139"/>
      <c r="BX20" s="139"/>
      <c r="BY20" s="139"/>
      <c r="BZ20" s="139"/>
      <c r="CA20" s="139"/>
      <c r="CB20" s="139"/>
      <c r="CC20" s="142" t="s">
        <v>113</v>
      </c>
      <c r="CD20" s="142" t="s">
        <v>113</v>
      </c>
      <c r="CE20" s="142" t="s">
        <v>113</v>
      </c>
      <c r="CF20" s="142" t="s">
        <v>113</v>
      </c>
      <c r="CG20" s="142" t="s">
        <v>113</v>
      </c>
      <c r="CH20" s="142" t="s">
        <v>113</v>
      </c>
      <c r="CI20" s="142" t="s">
        <v>113</v>
      </c>
      <c r="CJ20" s="142"/>
      <c r="CK20" s="139" t="s">
        <v>113</v>
      </c>
      <c r="CL20" s="139" t="s">
        <v>113</v>
      </c>
      <c r="CM20" s="139" t="s">
        <v>113</v>
      </c>
      <c r="CN20" s="139" t="s">
        <v>113</v>
      </c>
      <c r="CO20" s="139" t="s">
        <v>113</v>
      </c>
      <c r="CP20" s="139" t="s">
        <v>113</v>
      </c>
      <c r="CQ20" s="139" t="s">
        <v>113</v>
      </c>
      <c r="CR20" s="139"/>
      <c r="CS20" s="143" t="s">
        <v>113</v>
      </c>
      <c r="CT20" s="143" t="s">
        <v>113</v>
      </c>
      <c r="CU20" s="143" t="s">
        <v>113</v>
      </c>
      <c r="CV20" s="143" t="s">
        <v>113</v>
      </c>
      <c r="CW20" s="143" t="s">
        <v>113</v>
      </c>
      <c r="CX20" s="143" t="s">
        <v>113</v>
      </c>
      <c r="CY20" s="143" t="s">
        <v>113</v>
      </c>
      <c r="CZ20" s="143"/>
      <c r="DA20" s="139" t="s">
        <v>113</v>
      </c>
      <c r="DB20" s="139" t="s">
        <v>113</v>
      </c>
      <c r="DC20" s="139" t="s">
        <v>113</v>
      </c>
      <c r="DD20" s="144">
        <f t="shared" si="23"/>
        <v>0</v>
      </c>
      <c r="DE20" s="145">
        <f>'[80]2. Distributional by deciles o'!I18</f>
        <v>1</v>
      </c>
      <c r="DF20" s="1"/>
      <c r="DG20" s="1"/>
      <c r="DH20" s="1"/>
      <c r="DI20" s="1"/>
      <c r="DJ20" s="1"/>
      <c r="DK20" s="1"/>
      <c r="DL20" s="1"/>
      <c r="DM20" s="1"/>
      <c r="DN20" s="1"/>
      <c r="DO20" s="1"/>
      <c r="DP20" s="1"/>
      <c r="DQ20" s="1"/>
      <c r="DR20" s="1"/>
      <c r="DS20" s="1"/>
      <c r="DT20" s="1"/>
      <c r="DU20" s="1"/>
      <c r="DV20" s="1"/>
      <c r="DW20" s="1"/>
      <c r="DX20" s="1"/>
      <c r="DY20" s="1"/>
      <c r="DZ20" s="1"/>
      <c r="EA20" s="146">
        <f>'[81]2. Distributional by deciles o'!B36</f>
        <v>200708274.82319999</v>
      </c>
      <c r="EB20" s="146">
        <f>'[81]2. Distributional by deciles o'!C36</f>
        <v>203961557.39040011</v>
      </c>
      <c r="EC20" s="146">
        <f>'[81]2. Distributional by deciles o'!D36</f>
        <v>202757754.18359998</v>
      </c>
      <c r="ED20" s="146">
        <f>'[81]2. Distributional by deciles o'!E36</f>
        <v>202800276.36000001</v>
      </c>
      <c r="EE20" s="146">
        <f>'[81]2. Distributional by deciles o'!F36</f>
        <v>202772351.382</v>
      </c>
      <c r="EF20" s="146">
        <f>'[81]2. Distributional by deciles o'!G36</f>
        <v>202781243.72399998</v>
      </c>
      <c r="EG20" s="146">
        <f>'[81]2. Distributional by deciles o'!H36</f>
        <v>202780167.31439996</v>
      </c>
      <c r="EH20" s="122"/>
      <c r="EI20" s="130" t="s">
        <v>113</v>
      </c>
      <c r="EJ20" s="130" t="s">
        <v>113</v>
      </c>
      <c r="EK20" s="130" t="s">
        <v>113</v>
      </c>
      <c r="EL20" s="130" t="s">
        <v>113</v>
      </c>
      <c r="EM20" s="131">
        <f t="shared" si="9"/>
        <v>18.685820319642616</v>
      </c>
      <c r="EN20" s="146">
        <f>'[82]2. Distributional by deciles o'!B72</f>
        <v>1295214184.6475992</v>
      </c>
      <c r="EO20" s="146">
        <f>'[82]2. Distributional by deciles o'!C72</f>
        <v>1308166565.2835994</v>
      </c>
      <c r="EP20" s="131">
        <f t="shared" si="10"/>
        <v>1.0000184362962461</v>
      </c>
      <c r="EQ20" s="130" t="s">
        <v>113</v>
      </c>
      <c r="ER20" s="130" t="s">
        <v>113</v>
      </c>
      <c r="ES20" s="130" t="s">
        <v>113</v>
      </c>
      <c r="ET20" s="130" t="s">
        <v>113</v>
      </c>
      <c r="EU20" s="131">
        <f t="shared" si="24"/>
        <v>15.49261285227157</v>
      </c>
      <c r="EV20" s="132">
        <f t="shared" si="25"/>
        <v>1.6208711836571783</v>
      </c>
      <c r="EW20" s="132">
        <f t="shared" si="26"/>
        <v>1.0211046744800458</v>
      </c>
      <c r="EX20" s="132"/>
      <c r="EY20" s="148">
        <f t="shared" si="11"/>
        <v>-6.538328400010518E-2</v>
      </c>
      <c r="EZ20" s="144">
        <f t="shared" si="27"/>
        <v>0</v>
      </c>
      <c r="FA20" s="145">
        <f>'[82]2. Distributional by deciles o'!I18</f>
        <v>1</v>
      </c>
      <c r="FB20" s="130" t="s">
        <v>113</v>
      </c>
      <c r="FC20" s="130" t="s">
        <v>113</v>
      </c>
      <c r="FD20" s="130" t="s">
        <v>113</v>
      </c>
      <c r="FE20" s="130" t="s">
        <v>113</v>
      </c>
      <c r="FF20" s="130" t="s">
        <v>113</v>
      </c>
      <c r="FG20" s="130" t="s">
        <v>113</v>
      </c>
      <c r="FH20" s="130" t="s">
        <v>113</v>
      </c>
      <c r="FI20" s="130" t="s">
        <v>113</v>
      </c>
      <c r="FJ20" s="1"/>
      <c r="FK20" s="1"/>
      <c r="FL20" s="1"/>
      <c r="FM20" s="1"/>
      <c r="FN20" s="1"/>
      <c r="FO20" s="1"/>
      <c r="FP20" s="1"/>
      <c r="FQ20" s="1"/>
    </row>
    <row r="21" spans="1:173" x14ac:dyDescent="0.3">
      <c r="A21" s="1"/>
      <c r="B21" s="33">
        <v>10</v>
      </c>
      <c r="C21" s="129">
        <f>'[79]2. Distributional by deciles o'!B37</f>
        <v>434460540.88319993</v>
      </c>
      <c r="D21" s="129">
        <f>'[79]2. Distributional by deciles o'!C37</f>
        <v>440546905.51200032</v>
      </c>
      <c r="E21" s="129">
        <f>'[79]2. Distributional by deciles o'!D37</f>
        <v>438851961.17879981</v>
      </c>
      <c r="F21" s="129">
        <f>'[79]2. Distributional by deciles o'!E37</f>
        <v>438875111.09519988</v>
      </c>
      <c r="G21" s="129">
        <f>'[79]2. Distributional by deciles o'!F37</f>
        <v>438870365.17079991</v>
      </c>
      <c r="H21" s="129">
        <f>'[79]2. Distributional by deciles o'!G37</f>
        <v>438865330.66559994</v>
      </c>
      <c r="I21" s="129">
        <f>'[79]2. Distributional by deciles o'!H37</f>
        <v>438863966.83799976</v>
      </c>
      <c r="J21" s="122"/>
      <c r="K21" s="130" t="s">
        <v>113</v>
      </c>
      <c r="L21" s="130" t="s">
        <v>113</v>
      </c>
      <c r="M21" s="130" t="s">
        <v>113</v>
      </c>
      <c r="N21" s="130" t="s">
        <v>113</v>
      </c>
      <c r="O21" s="131">
        <f t="shared" si="12"/>
        <v>46.458390133221592</v>
      </c>
      <c r="P21" s="129">
        <f>'[80]2. Distributional by deciles o'!B73</f>
        <v>2057018168.1491995</v>
      </c>
      <c r="Q21" s="129">
        <f>'[80]2. Distributional by deciles o'!C73</f>
        <v>2077588446.1019998</v>
      </c>
      <c r="R21" s="131">
        <f t="shared" si="0"/>
        <v>1.0000046801389439</v>
      </c>
      <c r="S21" s="130" t="s">
        <v>113</v>
      </c>
      <c r="T21" s="130" t="s">
        <v>113</v>
      </c>
      <c r="U21" s="130" t="s">
        <v>113</v>
      </c>
      <c r="V21" s="130" t="s">
        <v>113</v>
      </c>
      <c r="W21" s="132">
        <f t="shared" si="13"/>
        <v>1.4008950344555744</v>
      </c>
      <c r="X21" s="132">
        <f t="shared" si="13"/>
        <v>1.010770675355648</v>
      </c>
      <c r="Y21" s="132">
        <f t="shared" si="1"/>
        <v>1.0160990782547228</v>
      </c>
      <c r="Z21" s="132">
        <f t="shared" si="1"/>
        <v>1.0150067115742316</v>
      </c>
      <c r="AA21" s="132">
        <f t="shared" si="1"/>
        <v>1.0138479224175314</v>
      </c>
      <c r="AB21" s="132">
        <f t="shared" si="14"/>
        <v>1.0135340110057987</v>
      </c>
      <c r="AC21" s="132">
        <f t="shared" si="14"/>
        <v>1.0135340110057987</v>
      </c>
      <c r="AD21" s="130" t="s">
        <v>113</v>
      </c>
      <c r="AE21" s="130" t="s">
        <v>113</v>
      </c>
      <c r="AF21" s="130" t="s">
        <v>113</v>
      </c>
      <c r="AG21" s="130" t="s">
        <v>113</v>
      </c>
      <c r="AH21" s="133">
        <f t="shared" si="2"/>
        <v>1</v>
      </c>
      <c r="AI21" s="134">
        <f t="shared" si="15"/>
        <v>1.0770675355648018E-2</v>
      </c>
      <c r="AJ21" s="134">
        <f t="shared" si="3"/>
        <v>0.38479595620085161</v>
      </c>
      <c r="AK21" s="134">
        <f>IF(W21&gt;1,MAX(MIN(Y21-Z21,W21-AH21-AJ21),0),0)</f>
        <v>1.0923666804911747E-3</v>
      </c>
      <c r="AL21" s="134">
        <f t="shared" si="16"/>
        <v>1.1587891567002018E-3</v>
      </c>
      <c r="AM21" s="134">
        <f t="shared" si="17"/>
        <v>3.1391141173275905E-4</v>
      </c>
      <c r="AN21" s="135">
        <f t="shared" si="28"/>
        <v>0</v>
      </c>
      <c r="AO21" s="134">
        <f t="shared" si="18"/>
        <v>2.7633356501506334E-3</v>
      </c>
      <c r="AP21" s="134">
        <f t="shared" si="6"/>
        <v>1.3534011005798652E-2</v>
      </c>
      <c r="AQ21" s="136" t="s">
        <v>113</v>
      </c>
      <c r="AR21" s="137">
        <f t="shared" si="7"/>
        <v>2.6866572119744183</v>
      </c>
      <c r="AS21" s="137">
        <f t="shared" si="7"/>
        <v>95.984216098713787</v>
      </c>
      <c r="AT21" s="137">
        <f t="shared" si="7"/>
        <v>0.27248196824753301</v>
      </c>
      <c r="AU21" s="137">
        <f t="shared" si="7"/>
        <v>0.28905051375202656</v>
      </c>
      <c r="AV21" s="137">
        <f t="shared" si="7"/>
        <v>7.8302644022283457E-2</v>
      </c>
      <c r="AW21" s="138">
        <f t="shared" si="7"/>
        <v>0</v>
      </c>
      <c r="AX21" s="137">
        <f t="shared" si="7"/>
        <v>0.68929156328995522</v>
      </c>
      <c r="AY21" s="137">
        <f t="shared" si="7"/>
        <v>3.3759487752643738</v>
      </c>
      <c r="AZ21" s="139" t="s">
        <v>113</v>
      </c>
      <c r="BA21" s="139" t="s">
        <v>113</v>
      </c>
      <c r="BB21" s="139" t="s">
        <v>113</v>
      </c>
      <c r="BC21" s="139" t="s">
        <v>113</v>
      </c>
      <c r="BD21" s="139" t="s">
        <v>113</v>
      </c>
      <c r="BE21" s="139" t="s">
        <v>113</v>
      </c>
      <c r="BF21" s="139" t="s">
        <v>113</v>
      </c>
      <c r="BG21" s="139" t="s">
        <v>113</v>
      </c>
      <c r="BH21" s="140">
        <f>'[80]2. Distributional by deciles o'!B91</f>
        <v>1618561531.026</v>
      </c>
      <c r="BI21" s="140">
        <f>'[80]2. Distributional by deciles o'!B109</f>
        <v>66233219.003999978</v>
      </c>
      <c r="BJ21" s="140">
        <f>'[80]2. Distributional by deciles o'!B127</f>
        <v>299593562.17439997</v>
      </c>
      <c r="BK21" s="140">
        <f>'[80]2. Distributional by deciles o'!B145</f>
        <v>72629935.033200011</v>
      </c>
      <c r="BL21" s="141">
        <f t="shared" si="19"/>
        <v>0.78684840700834324</v>
      </c>
      <c r="BM21" s="141">
        <f t="shared" si="20"/>
        <v>3.2198654092128513E-2</v>
      </c>
      <c r="BN21" s="141">
        <f t="shared" si="21"/>
        <v>0.14564458170302017</v>
      </c>
      <c r="BO21" s="141">
        <f t="shared" si="21"/>
        <v>3.530835719650801E-2</v>
      </c>
      <c r="BP21" s="139" t="s">
        <v>113</v>
      </c>
      <c r="BQ21" s="139" t="s">
        <v>113</v>
      </c>
      <c r="BR21" s="139" t="s">
        <v>113</v>
      </c>
      <c r="BS21" s="131">
        <f t="shared" si="22"/>
        <v>27.216912562030803</v>
      </c>
      <c r="BT21" s="139"/>
      <c r="BU21" s="139"/>
      <c r="BV21" s="139"/>
      <c r="BW21" s="139"/>
      <c r="BX21" s="139"/>
      <c r="BY21" s="139"/>
      <c r="BZ21" s="139"/>
      <c r="CA21" s="139"/>
      <c r="CB21" s="139"/>
      <c r="CC21" s="142" t="s">
        <v>113</v>
      </c>
      <c r="CD21" s="142" t="s">
        <v>113</v>
      </c>
      <c r="CE21" s="142" t="s">
        <v>113</v>
      </c>
      <c r="CF21" s="142" t="s">
        <v>113</v>
      </c>
      <c r="CG21" s="142" t="s">
        <v>113</v>
      </c>
      <c r="CH21" s="142" t="s">
        <v>113</v>
      </c>
      <c r="CI21" s="142" t="s">
        <v>113</v>
      </c>
      <c r="CJ21" s="142"/>
      <c r="CK21" s="139" t="s">
        <v>113</v>
      </c>
      <c r="CL21" s="139" t="s">
        <v>113</v>
      </c>
      <c r="CM21" s="139" t="s">
        <v>113</v>
      </c>
      <c r="CN21" s="139" t="s">
        <v>113</v>
      </c>
      <c r="CO21" s="139" t="s">
        <v>113</v>
      </c>
      <c r="CP21" s="139" t="s">
        <v>113</v>
      </c>
      <c r="CQ21" s="139" t="s">
        <v>113</v>
      </c>
      <c r="CR21" s="139"/>
      <c r="CS21" s="143" t="s">
        <v>113</v>
      </c>
      <c r="CT21" s="143" t="s">
        <v>113</v>
      </c>
      <c r="CU21" s="143" t="s">
        <v>113</v>
      </c>
      <c r="CV21" s="143" t="s">
        <v>113</v>
      </c>
      <c r="CW21" s="143" t="s">
        <v>113</v>
      </c>
      <c r="CX21" s="143" t="s">
        <v>113</v>
      </c>
      <c r="CY21" s="143" t="s">
        <v>113</v>
      </c>
      <c r="CZ21" s="143"/>
      <c r="DA21" s="139" t="s">
        <v>113</v>
      </c>
      <c r="DB21" s="139" t="s">
        <v>113</v>
      </c>
      <c r="DC21" s="139" t="s">
        <v>113</v>
      </c>
      <c r="DD21" s="144">
        <f t="shared" si="23"/>
        <v>0</v>
      </c>
      <c r="DE21" s="145">
        <f>'[80]2. Distributional by deciles o'!I19</f>
        <v>1</v>
      </c>
      <c r="DF21" s="1"/>
      <c r="DG21" s="1"/>
      <c r="DH21" s="1"/>
      <c r="DI21" s="1"/>
      <c r="DJ21" s="1"/>
      <c r="DK21" s="1"/>
      <c r="DL21" s="1"/>
      <c r="DM21" s="1"/>
      <c r="DN21" s="1"/>
      <c r="DO21" s="1"/>
      <c r="DP21" s="1"/>
      <c r="DQ21" s="1"/>
      <c r="DR21" s="1"/>
      <c r="DS21" s="1"/>
      <c r="DT21" s="1"/>
      <c r="DU21" s="1"/>
      <c r="DV21" s="1"/>
      <c r="DW21" s="1"/>
      <c r="DX21" s="1"/>
      <c r="DY21" s="1"/>
      <c r="DZ21" s="1"/>
      <c r="EA21" s="146">
        <f>'[81]2. Distributional by deciles o'!B37</f>
        <v>493608170.22239983</v>
      </c>
      <c r="EB21" s="146">
        <f>'[81]2. Distributional by deciles o'!C37</f>
        <v>500421323.49720025</v>
      </c>
      <c r="EC21" s="146">
        <f>'[81]2. Distributional by deciles o'!D37</f>
        <v>498608218.82159972</v>
      </c>
      <c r="ED21" s="146">
        <f>'[81]2. Distributional by deciles o'!E37</f>
        <v>498628854.88319975</v>
      </c>
      <c r="EE21" s="146">
        <f>'[81]2. Distributional by deciles o'!F37</f>
        <v>498621365.03639978</v>
      </c>
      <c r="EF21" s="146">
        <f>'[81]2. Distributional by deciles o'!G37</f>
        <v>498611311.73999965</v>
      </c>
      <c r="EG21" s="146">
        <f>'[81]2. Distributional by deciles o'!H37</f>
        <v>498609319.73639971</v>
      </c>
      <c r="EH21" s="122"/>
      <c r="EI21" s="130" t="s">
        <v>113</v>
      </c>
      <c r="EJ21" s="130" t="s">
        <v>113</v>
      </c>
      <c r="EK21" s="130" t="s">
        <v>113</v>
      </c>
      <c r="EL21" s="130" t="s">
        <v>113</v>
      </c>
      <c r="EM21" s="131">
        <f t="shared" si="9"/>
        <v>45.954625364639838</v>
      </c>
      <c r="EN21" s="146">
        <f>'[82]2. Distributional by deciles o'!B73</f>
        <v>2275842115.7724004</v>
      </c>
      <c r="EO21" s="146">
        <f>'[82]2. Distributional by deciles o'!C73</f>
        <v>2298600675.1043997</v>
      </c>
      <c r="EP21" s="131">
        <f t="shared" si="10"/>
        <v>1.000006071347137</v>
      </c>
      <c r="EQ21" s="130" t="s">
        <v>113</v>
      </c>
      <c r="ER21" s="130" t="s">
        <v>113</v>
      </c>
      <c r="ES21" s="130" t="s">
        <v>113</v>
      </c>
      <c r="ET21" s="130" t="s">
        <v>113</v>
      </c>
      <c r="EU21" s="131">
        <f t="shared" si="24"/>
        <v>27.222324485389716</v>
      </c>
      <c r="EV21" s="132">
        <f t="shared" si="25"/>
        <v>1.3802672486079837</v>
      </c>
      <c r="EW21" s="132">
        <f t="shared" si="26"/>
        <v>1.0129528934054404</v>
      </c>
      <c r="EX21" s="132"/>
      <c r="EY21" s="148">
        <f t="shared" si="11"/>
        <v>-2.0627785847590729E-2</v>
      </c>
      <c r="EZ21" s="144">
        <f t="shared" si="27"/>
        <v>0</v>
      </c>
      <c r="FA21" s="145">
        <f>'[82]2. Distributional by deciles o'!I19</f>
        <v>1</v>
      </c>
      <c r="FB21" s="130" t="s">
        <v>113</v>
      </c>
      <c r="FC21" s="130" t="s">
        <v>113</v>
      </c>
      <c r="FD21" s="130" t="s">
        <v>113</v>
      </c>
      <c r="FE21" s="130" t="s">
        <v>113</v>
      </c>
      <c r="FF21" s="130" t="s">
        <v>113</v>
      </c>
      <c r="FG21" s="130" t="s">
        <v>113</v>
      </c>
      <c r="FH21" s="130" t="s">
        <v>113</v>
      </c>
      <c r="FI21" s="130" t="s">
        <v>113</v>
      </c>
      <c r="FJ21" s="1"/>
      <c r="FK21" s="1"/>
      <c r="FL21" s="1"/>
      <c r="FM21" s="1"/>
      <c r="FN21" s="1"/>
      <c r="FO21" s="1"/>
      <c r="FP21" s="1"/>
      <c r="FQ21" s="1"/>
    </row>
    <row r="22" spans="1:173" ht="13.2" customHeight="1" x14ac:dyDescent="0.3">
      <c r="A22" s="1"/>
      <c r="B22" s="34" t="s">
        <v>114</v>
      </c>
      <c r="C22" s="129">
        <f>'[79]2. Distributional by deciles o'!B38</f>
        <v>935160559.02359962</v>
      </c>
      <c r="D22" s="129">
        <f>'[79]2. Distributional by deciles o'!C38</f>
        <v>952122774.41279697</v>
      </c>
      <c r="E22" s="129">
        <f>'[79]2. Distributional by deciles o'!D38</f>
        <v>944760758.65319932</v>
      </c>
      <c r="F22" s="129">
        <f>'[79]2. Distributional by deciles o'!E38</f>
        <v>944973759.72359848</v>
      </c>
      <c r="G22" s="129">
        <f>'[79]2. Distributional by deciles o'!F38</f>
        <v>944860088.31239855</v>
      </c>
      <c r="H22" s="129">
        <f>'[79]2. Distributional by deciles o'!G38</f>
        <v>944833182.49199963</v>
      </c>
      <c r="I22" s="129">
        <f>'[79]2. Distributional by deciles o'!H38</f>
        <v>944830281.7475996</v>
      </c>
      <c r="J22" s="122"/>
      <c r="K22" s="151">
        <f>'[80]2. Distributional by deciles o'!D38</f>
        <v>948759441.08880019</v>
      </c>
      <c r="L22" s="151">
        <f>'[80]2. Distributional by deciles o'!E38</f>
        <v>936094319.22840035</v>
      </c>
      <c r="M22" s="151">
        <f>'[80]2. Distributional by deciles o'!F38</f>
        <v>937063143.56040072</v>
      </c>
      <c r="N22" s="151">
        <f>'[80]2. Distributional by deciles o'!G38</f>
        <v>935703754.18319845</v>
      </c>
      <c r="O22" s="152" t="s">
        <v>113</v>
      </c>
      <c r="P22" s="129">
        <f>'[80]2. Distributional by deciles o'!B74</f>
        <v>7557867423.2832012</v>
      </c>
      <c r="Q22" s="129">
        <f>'[80]2. Distributional by deciles o'!C74</f>
        <v>7633445869.8251953</v>
      </c>
      <c r="R22" s="153">
        <f>(Q22/P22-1)*100</f>
        <v>0.99999698736661369</v>
      </c>
      <c r="S22" s="151">
        <f>'[80]2. Distributional by deciles o'!D74</f>
        <v>7612863195.9215794</v>
      </c>
      <c r="T22" s="151">
        <f>'[80]2. Distributional by deciles o'!E74</f>
        <v>7568086427.0388193</v>
      </c>
      <c r="U22" s="151">
        <f>'[80]2. Distributional by deciles o'!F74</f>
        <v>7565545609.1208019</v>
      </c>
      <c r="V22" s="151">
        <f>'[80]2. Distributional by deciles o'!G74</f>
        <v>7560553706.1468163</v>
      </c>
      <c r="W22" s="154">
        <f t="shared" si="13"/>
        <v>1.8138346754056838</v>
      </c>
      <c r="X22" s="154">
        <f t="shared" si="13"/>
        <v>1.0265861256587137</v>
      </c>
      <c r="Y22" s="154">
        <f t="shared" si="1"/>
        <v>1.0493631461435844</v>
      </c>
      <c r="Z22" s="154">
        <f t="shared" si="1"/>
        <v>1.0372078266581335</v>
      </c>
      <c r="AA22" s="154">
        <f t="shared" si="1"/>
        <v>1.0343306842041533</v>
      </c>
      <c r="AB22" s="154">
        <f t="shared" si="14"/>
        <v>1.0340204964924349</v>
      </c>
      <c r="AC22" s="154">
        <f t="shared" si="14"/>
        <v>1.0340204964924349</v>
      </c>
      <c r="AD22" s="155">
        <f>(K22/$C22-1) / (S22/$P22-1)</f>
        <v>1.9984210109142111</v>
      </c>
      <c r="AE22" s="155">
        <f>(L22/$C22-1) / (T22/$P22-1)</f>
        <v>0.73848195880842593</v>
      </c>
      <c r="AF22" s="155">
        <f>(M22/$C22-1) / (U22/$P22-1)</f>
        <v>2.0026194552608425</v>
      </c>
      <c r="AG22" s="155">
        <f>(N22/$C22-1) / (V22/$P22-1)</f>
        <v>1.6342452720963929</v>
      </c>
      <c r="AH22" s="156">
        <f t="shared" si="2"/>
        <v>1</v>
      </c>
      <c r="AI22" s="155">
        <f t="shared" si="15"/>
        <v>2.6586125658713655E-2</v>
      </c>
      <c r="AJ22" s="155">
        <f t="shared" si="3"/>
        <v>0.76447152926209938</v>
      </c>
      <c r="AK22" s="155">
        <f>IF(W22&gt;1,MAX(MIN(Y22-Z22,W22-AH22-AJ22),0),0)</f>
        <v>1.2155319485450899E-2</v>
      </c>
      <c r="AL22" s="155">
        <f t="shared" si="16"/>
        <v>2.877142453980186E-3</v>
      </c>
      <c r="AM22" s="155">
        <f t="shared" si="17"/>
        <v>3.1018771171842374E-4</v>
      </c>
      <c r="AN22" s="157">
        <f t="shared" si="28"/>
        <v>0</v>
      </c>
      <c r="AO22" s="155">
        <f t="shared" si="18"/>
        <v>7.4343708337212266E-3</v>
      </c>
      <c r="AP22" s="155">
        <f t="shared" si="6"/>
        <v>3.4020496492434882E-2</v>
      </c>
      <c r="AQ22" s="136" t="s">
        <v>113</v>
      </c>
      <c r="AR22" s="137">
        <f>AI22/($W22-1)*100</f>
        <v>3.2667722895268487</v>
      </c>
      <c r="AS22" s="137">
        <f t="shared" si="7"/>
        <v>93.934499519945163</v>
      </c>
      <c r="AT22" s="137">
        <f t="shared" si="7"/>
        <v>1.4935858415459704</v>
      </c>
      <c r="AU22" s="137">
        <f t="shared" si="7"/>
        <v>0.3535291062089454</v>
      </c>
      <c r="AV22" s="137">
        <f t="shared" si="7"/>
        <v>3.8114339569495496E-2</v>
      </c>
      <c r="AW22" s="138">
        <f t="shared" si="7"/>
        <v>0</v>
      </c>
      <c r="AX22" s="137">
        <f t="shared" si="7"/>
        <v>0.91349890320356653</v>
      </c>
      <c r="AY22" s="137">
        <f t="shared" si="7"/>
        <v>4.1802711927304159</v>
      </c>
      <c r="AZ22" s="158">
        <f>W22</f>
        <v>1.8138346754056838</v>
      </c>
      <c r="BA22" s="158">
        <f>AD22</f>
        <v>1.9984210109142111</v>
      </c>
      <c r="BB22" s="158">
        <f>AF22</f>
        <v>2.0026194552608425</v>
      </c>
      <c r="BC22" s="158">
        <f>AG22</f>
        <v>1.6342452720963929</v>
      </c>
      <c r="BD22" s="159">
        <f>W22-AZ22</f>
        <v>0</v>
      </c>
      <c r="BE22" s="159">
        <f>AD22-BA22</f>
        <v>0</v>
      </c>
      <c r="BF22" s="159">
        <f>AF22-BB22</f>
        <v>0</v>
      </c>
      <c r="BG22" s="159">
        <f>AG22-BC22</f>
        <v>0</v>
      </c>
      <c r="BH22" s="140">
        <f>'[80]2. Distributional by deciles o'!B92</f>
        <v>5499586827.9432011</v>
      </c>
      <c r="BI22" s="140">
        <f>'[80]2. Distributional by deciles o'!B110</f>
        <v>1021907004.9348006</v>
      </c>
      <c r="BJ22" s="140">
        <f>'[80]2. Distributional by deciles o'!B128</f>
        <v>767816591.60279977</v>
      </c>
      <c r="BK22" s="140">
        <f>'[80]2. Distributional by deciles o'!B146</f>
        <v>268557966.82079923</v>
      </c>
      <c r="BL22" s="141">
        <f t="shared" si="19"/>
        <v>0.72766374633788422</v>
      </c>
      <c r="BM22" s="141">
        <f t="shared" si="20"/>
        <v>0.13521100818729789</v>
      </c>
      <c r="BN22" s="141">
        <f t="shared" si="21"/>
        <v>0.10159168588943476</v>
      </c>
      <c r="BO22" s="141">
        <f t="shared" si="21"/>
        <v>3.5533559585383137E-2</v>
      </c>
      <c r="BP22" s="159">
        <f>(AD22*BL22+AF22*BN22+AG22*BO22)/(BL22+BN22+BO22)</f>
        <v>1.9839505060927796</v>
      </c>
      <c r="BQ22" s="159">
        <f>W22-BP22</f>
        <v>-0.17011583068709579</v>
      </c>
      <c r="BR22" s="159">
        <f>BP22-AZ22</f>
        <v>0.17011583068709579</v>
      </c>
      <c r="BS22" s="152" t="s">
        <v>113</v>
      </c>
      <c r="BT22" s="161"/>
      <c r="BU22" s="161"/>
      <c r="BV22" s="161"/>
      <c r="BW22" s="161"/>
      <c r="BX22" s="162"/>
      <c r="BY22" s="162"/>
      <c r="BZ22" s="163"/>
      <c r="CA22" s="164"/>
      <c r="CB22" s="165"/>
      <c r="CC22" s="166"/>
      <c r="CD22" s="166"/>
      <c r="CE22" s="166"/>
      <c r="CF22" s="166"/>
      <c r="CG22" s="167"/>
      <c r="CH22" s="167"/>
      <c r="CI22" s="168"/>
      <c r="CJ22" s="169"/>
      <c r="CK22" s="161">
        <f>'[80]3. Inequality and Poverty'!$B$7</f>
        <v>0.36772412938635402</v>
      </c>
      <c r="CL22" s="161">
        <f>'[80]3. Inequality and Poverty'!$B$8</f>
        <v>0.32988943714866897</v>
      </c>
      <c r="CM22" s="161">
        <f>'[80]3. Inequality and Poverty'!$C$7</f>
        <v>0.36772415870265301</v>
      </c>
      <c r="CN22" s="161">
        <f>'[80]3. Inequality and Poverty'!$C$8</f>
        <v>0.32984723702076801</v>
      </c>
      <c r="CO22" s="162">
        <f t="shared" ref="CO22" si="29">(CK22-CL22)/CK22</f>
        <v>0.10288879410992784</v>
      </c>
      <c r="CP22" s="162">
        <f>(CM22-CN22)/CM22</f>
        <v>0.10300362591219582</v>
      </c>
      <c r="CQ22" s="163">
        <f>(CP22-CO22)*100</f>
        <v>1.1483180226798395E-2</v>
      </c>
      <c r="CR22" s="165">
        <f>CN22-CL22</f>
        <v>-4.2200127900959838E-5</v>
      </c>
      <c r="CS22" s="170">
        <f>(SUM(P20:P21))/(SUM(P12:P13))</f>
        <v>6.9101397238286317</v>
      </c>
      <c r="CT22" s="170">
        <f>(SUM(P20:P21)-SUM(C20:C21))/(SUM(P12:P13)-SUM(C12:C13))</f>
        <v>5.6814208818133825</v>
      </c>
      <c r="CU22" s="170">
        <f>(SUM(Q20:Q21))/(SUM(Q12:Q13))</f>
        <v>6.9101414945023532</v>
      </c>
      <c r="CV22" s="170">
        <f>(SUM(Q20:Q21)-SUM(D20:D21))/(SUM(Q12:Q13)-SUM(D12:D13))</f>
        <v>5.6772575001213781</v>
      </c>
      <c r="CW22" s="162">
        <f>(CS22-CT22)/CS22</f>
        <v>0.17781389250034807</v>
      </c>
      <c r="CX22" s="162">
        <f>(CU22-CV22)/CU22</f>
        <v>0.17841660628249748</v>
      </c>
      <c r="CY22" s="163">
        <f>(CX22-CW22)*100</f>
        <v>6.0271378214940552E-2</v>
      </c>
      <c r="CZ22" s="165">
        <f>CV22-CT22</f>
        <v>-4.1633816920043643E-3</v>
      </c>
      <c r="DA22" s="171">
        <f>'[80]3. Inequality and Poverty'!$B$34</f>
        <v>0.26761424504826198</v>
      </c>
      <c r="DB22" s="171">
        <f>'[80]3. Inequality and Poverty'!$C$34</f>
        <v>0.26545730187296301</v>
      </c>
      <c r="DC22" s="172">
        <f>DB22-DA22</f>
        <v>-2.1569431752989643E-3</v>
      </c>
      <c r="DD22" s="144">
        <f t="shared" si="23"/>
        <v>2.4124533368460876</v>
      </c>
      <c r="DE22" s="145">
        <f>'[80]2. Distributional by deciles o'!I20</f>
        <v>0.97587546663153912</v>
      </c>
      <c r="DF22" s="1"/>
      <c r="DG22" s="1"/>
      <c r="DH22" s="1"/>
      <c r="DI22" s="1"/>
      <c r="DJ22" s="1"/>
      <c r="DK22" s="1"/>
      <c r="DL22" s="1"/>
      <c r="DM22" s="1"/>
      <c r="DN22" s="1"/>
      <c r="DO22" s="1"/>
      <c r="DP22" s="1"/>
      <c r="DQ22" s="1"/>
      <c r="DR22" s="1"/>
      <c r="DS22" s="1"/>
      <c r="DT22" s="1"/>
      <c r="DU22" s="1"/>
      <c r="DV22" s="1"/>
      <c r="DW22" s="1"/>
      <c r="DX22" s="1"/>
      <c r="DY22" s="1"/>
      <c r="DZ22" s="1"/>
      <c r="EA22" s="146">
        <f>'[81]2. Distributional by deciles o'!B38</f>
        <v>1074120757.8251975</v>
      </c>
      <c r="EB22" s="146">
        <f>'[81]2. Distributional by deciles o'!C38</f>
        <v>1092777182.9832006</v>
      </c>
      <c r="EC22" s="146">
        <f>'[81]2. Distributional by deciles o'!D38</f>
        <v>1085168324.2992003</v>
      </c>
      <c r="ED22" s="146">
        <f>'[81]2. Distributional by deciles o'!E38</f>
        <v>1085520257.3219993</v>
      </c>
      <c r="EE22" s="146">
        <f>'[81]2. Distributional by deciles o'!F38</f>
        <v>1085256078.4380002</v>
      </c>
      <c r="EF22" s="146">
        <f>'[81]2. Distributional by deciles o'!G38</f>
        <v>1085205999.3443995</v>
      </c>
      <c r="EG22" s="146">
        <f>'[81]2. Distributional by deciles o'!H38</f>
        <v>1085196763.6163995</v>
      </c>
      <c r="EH22" s="123"/>
      <c r="EI22" s="151">
        <f>'[82]2. Distributional by deciles o'!D38</f>
        <v>1089302761.7159982</v>
      </c>
      <c r="EJ22" s="151">
        <f>'[82]2. Distributional by deciles o'!E38</f>
        <v>1074653213.6183989</v>
      </c>
      <c r="EK22" s="151">
        <f>'[82]2. Distributional by deciles o'!F38</f>
        <v>1076357209.2347982</v>
      </c>
      <c r="EL22" s="151">
        <f>'[82]2. Distributional by deciles o'!G38</f>
        <v>1074723330.6779993</v>
      </c>
      <c r="EM22" s="152" t="s">
        <v>113</v>
      </c>
      <c r="EN22" s="146">
        <f>'[82]2. Distributional by deciles o'!B74</f>
        <v>8360204937.6564083</v>
      </c>
      <c r="EO22" s="146">
        <f>'[82]2. Distributional by deciles o'!C74</f>
        <v>8443807683.4595947</v>
      </c>
      <c r="EP22" s="153">
        <f>(EO22/EN22-1)*100</f>
        <v>1.0000083302577734</v>
      </c>
      <c r="EQ22" s="151">
        <f>'[82]2. Distributional by deciles o'!D74</f>
        <v>8420462860.184391</v>
      </c>
      <c r="ER22" s="151">
        <f>'[82]2. Distributional by deciles o'!E74</f>
        <v>8371706164.8372364</v>
      </c>
      <c r="ES22" s="151">
        <f>'[82]2. Distributional by deciles o'!F74</f>
        <v>8368856581.3752041</v>
      </c>
      <c r="ET22" s="151">
        <f>'[82]2. Distributional by deciles o'!G74</f>
        <v>8363410877.2500153</v>
      </c>
      <c r="EU22" s="152" t="s">
        <v>113</v>
      </c>
      <c r="EV22" s="154">
        <f t="shared" si="25"/>
        <v>1.736887552963867</v>
      </c>
      <c r="EW22" s="154">
        <f t="shared" si="26"/>
        <v>1.0285132621457846</v>
      </c>
      <c r="EX22" s="174">
        <f>EW22-X22</f>
        <v>1.9271364870709906E-3</v>
      </c>
      <c r="EY22" s="175">
        <f t="shared" si="11"/>
        <v>-7.6947122441816784E-2</v>
      </c>
      <c r="EZ22" s="144">
        <f t="shared" si="27"/>
        <v>2.2596314320830535</v>
      </c>
      <c r="FA22" s="145">
        <f>'[82]2. Distributional by deciles o'!I20</f>
        <v>0.97740368567916946</v>
      </c>
      <c r="FB22" s="155">
        <f>(EI22/$EA22-1) / (EQ22/$EN22-1)</f>
        <v>1.9610052561561566</v>
      </c>
      <c r="FC22" s="155">
        <f>(EJ22/$EA22-1) / (ER22/$EN22-1)</f>
        <v>0.36033229568367736</v>
      </c>
      <c r="FD22" s="155">
        <f>(EK22/$EA22-1) / (ES22/$EN22-1)</f>
        <v>2.0119846098530507</v>
      </c>
      <c r="FE22" s="155">
        <f>(EL22/$EA22-1) / (ET22/$EN22-1)</f>
        <v>1.462911455859992</v>
      </c>
      <c r="FF22" s="75">
        <f>FB22-AD22</f>
        <v>-3.7415754758054476E-2</v>
      </c>
      <c r="FG22" s="75">
        <f>FC22-AE22</f>
        <v>-0.37814966312474857</v>
      </c>
      <c r="FH22" s="75">
        <f>FD22-AF22</f>
        <v>9.3651545922082136E-3</v>
      </c>
      <c r="FI22" s="75">
        <f>FE22-AG22</f>
        <v>-0.17133381623640087</v>
      </c>
      <c r="FJ22" s="1"/>
      <c r="FK22" s="1"/>
      <c r="FL22" s="1"/>
      <c r="FM22" s="1"/>
      <c r="FN22" s="1"/>
      <c r="FO22" s="1"/>
      <c r="FP22" s="1"/>
      <c r="FQ22" s="1"/>
    </row>
    <row r="23" spans="1:173" x14ac:dyDescent="0.3">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c r="ET23" s="1"/>
      <c r="EU23" s="1"/>
      <c r="EV23" s="1"/>
      <c r="EW23" s="1"/>
      <c r="EX23" s="1"/>
      <c r="EY23" s="1"/>
      <c r="EZ23" s="1"/>
      <c r="FA23" s="1"/>
      <c r="FB23" s="1"/>
      <c r="FC23" s="1"/>
      <c r="FD23" s="1"/>
      <c r="FE23" s="1"/>
      <c r="FF23" s="1"/>
      <c r="FG23" s="1"/>
      <c r="FH23" s="1"/>
      <c r="FI23" s="1"/>
      <c r="FJ23" s="1"/>
      <c r="FK23" s="1"/>
      <c r="FL23" s="1"/>
      <c r="FM23" s="1"/>
      <c r="FN23" s="1"/>
      <c r="FO23" s="1"/>
      <c r="FP23" s="1"/>
      <c r="FQ23" s="1"/>
    </row>
    <row r="24" spans="1:173" x14ac:dyDescent="0.3">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c r="EJ24" s="1"/>
      <c r="EK24" s="1"/>
      <c r="EL24" s="1"/>
      <c r="EM24" s="1"/>
      <c r="EN24" s="1"/>
      <c r="EO24" s="1"/>
      <c r="EP24" s="1"/>
      <c r="EQ24" s="1"/>
      <c r="ER24" s="1"/>
      <c r="ES24" s="1"/>
      <c r="ET24" s="1"/>
      <c r="EU24" s="1"/>
      <c r="EV24" s="1"/>
      <c r="EW24" s="1"/>
      <c r="EX24" s="1"/>
      <c r="EY24" s="1"/>
      <c r="EZ24" s="1"/>
      <c r="FA24" s="1"/>
      <c r="FB24" s="1"/>
      <c r="FC24" s="1"/>
      <c r="FD24" s="1"/>
      <c r="FE24" s="1"/>
      <c r="FF24" s="1"/>
      <c r="FG24" s="1"/>
      <c r="FH24" s="1"/>
      <c r="FI24" s="1"/>
      <c r="FJ24" s="1"/>
      <c r="FK24" s="1"/>
      <c r="FL24" s="1"/>
      <c r="FM24" s="1"/>
      <c r="FN24" s="1"/>
      <c r="FO24" s="1"/>
      <c r="FP24" s="1"/>
      <c r="FQ24" s="1"/>
    </row>
    <row r="25" spans="1:173" x14ac:dyDescent="0.3">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Q25" s="1"/>
    </row>
    <row r="26" spans="1:173" x14ac:dyDescent="0.3">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c r="ER26" s="1"/>
      <c r="ES26" s="1"/>
      <c r="ET26" s="1"/>
      <c r="EU26" s="1"/>
      <c r="EV26" s="1"/>
      <c r="EW26" s="1"/>
      <c r="EX26" s="1"/>
      <c r="EY26" s="1"/>
      <c r="EZ26" s="1"/>
      <c r="FA26" s="1"/>
      <c r="FB26" s="1"/>
      <c r="FC26" s="1"/>
      <c r="FD26" s="1"/>
      <c r="FE26" s="1"/>
      <c r="FF26" s="1"/>
      <c r="FG26" s="1"/>
      <c r="FH26" s="1"/>
      <c r="FI26" s="1"/>
      <c r="FJ26" s="1"/>
      <c r="FK26" s="1"/>
      <c r="FL26" s="1"/>
      <c r="FM26" s="1"/>
      <c r="FN26" s="1"/>
      <c r="FO26" s="1"/>
      <c r="FP26" s="1"/>
      <c r="FQ26" s="1"/>
    </row>
    <row r="27" spans="1:173" x14ac:dyDescent="0.3">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c r="CW27" s="1"/>
      <c r="CX27" s="1"/>
      <c r="CY27" s="1"/>
      <c r="CZ27" s="1"/>
      <c r="DA27" s="1"/>
      <c r="DB27" s="1"/>
      <c r="DC27" s="1"/>
      <c r="DD27" s="1"/>
      <c r="DE27" s="1"/>
      <c r="DF27" s="1"/>
      <c r="DG27" s="1"/>
      <c r="DH27" s="1"/>
      <c r="DI27" s="1"/>
      <c r="DJ27" s="1"/>
      <c r="DK27" s="1"/>
      <c r="DL27" s="1"/>
      <c r="DM27" s="1"/>
      <c r="DN27" s="1"/>
      <c r="DO27" s="1"/>
      <c r="DP27" s="1"/>
      <c r="DQ27" s="1"/>
      <c r="DR27" s="1"/>
      <c r="DS27" s="1"/>
      <c r="DT27" s="1"/>
      <c r="DU27" s="1"/>
      <c r="DV27" s="1"/>
      <c r="DW27" s="1"/>
      <c r="DX27" s="1"/>
      <c r="DY27" s="1"/>
      <c r="DZ27" s="1"/>
      <c r="EA27" s="1"/>
      <c r="EB27" s="1"/>
      <c r="EC27" s="1"/>
      <c r="ED27" s="1"/>
      <c r="EE27" s="1"/>
      <c r="EF27" s="1"/>
      <c r="EG27" s="1"/>
      <c r="EH27" s="1"/>
      <c r="EI27" s="1"/>
      <c r="EJ27" s="1"/>
      <c r="EK27" s="1"/>
      <c r="EL27" s="1"/>
      <c r="EM27" s="1"/>
      <c r="EN27" s="1"/>
      <c r="EO27" s="1"/>
      <c r="EP27" s="1"/>
      <c r="EQ27" s="1"/>
      <c r="ER27" s="1"/>
      <c r="ES27" s="1"/>
      <c r="ET27" s="1"/>
      <c r="EU27" s="1"/>
      <c r="EV27" s="1"/>
      <c r="EW27" s="1"/>
      <c r="EX27" s="1"/>
      <c r="EY27" s="1"/>
      <c r="EZ27" s="1"/>
      <c r="FA27" s="1"/>
      <c r="FB27" s="1"/>
      <c r="FC27" s="1"/>
      <c r="FD27" s="1"/>
      <c r="FE27" s="1"/>
      <c r="FF27" s="1"/>
      <c r="FG27" s="1"/>
      <c r="FH27" s="1"/>
      <c r="FI27" s="1"/>
      <c r="FJ27" s="1"/>
      <c r="FK27" s="1"/>
      <c r="FL27" s="1"/>
      <c r="FM27" s="1"/>
      <c r="FN27" s="1"/>
      <c r="FO27" s="1"/>
      <c r="FP27" s="1"/>
      <c r="FQ27" s="1"/>
    </row>
  </sheetData>
  <pageMargins left="0.7" right="0.7" top="0.75" bottom="0.75" header="0.3" footer="0.3"/>
  <pageSetup paperSize="9" orientation="portrait" r:id="rId1"/>
  <headerFooter>
    <oddHeader>&amp;R&amp;"Arial"&amp;10&amp;K000000 ECB-RESTRICTED&amp;1#_x000D_</oddHeader>
    <oddFooter>&amp;L_x000D_&amp;1#&amp;"Arial"&amp;9&amp;K000000 Document Classification: Restricted</oddFooter>
  </headerFooter>
  <legacyDrawing r:id="rId2"/>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700C8-D104-49F2-8837-888CFA187086}">
  <dimension ref="A1:BN121"/>
  <sheetViews>
    <sheetView zoomScale="55" zoomScaleNormal="55" workbookViewId="0">
      <selection activeCell="D9" sqref="D9"/>
    </sheetView>
  </sheetViews>
  <sheetFormatPr baseColWidth="10" defaultColWidth="8.6640625" defaultRowHeight="14.4" x14ac:dyDescent="0.3"/>
  <cols>
    <col min="1" max="1" width="4.33203125" customWidth="1"/>
    <col min="3" max="3" width="17.33203125" customWidth="1"/>
    <col min="4" max="4" width="15.6640625" customWidth="1"/>
    <col min="5" max="5" width="16.33203125" customWidth="1"/>
    <col min="6" max="6" width="15.6640625" customWidth="1"/>
    <col min="7" max="7" width="16" customWidth="1"/>
    <col min="8" max="8" width="19" customWidth="1"/>
    <col min="9" max="12" width="17" customWidth="1"/>
    <col min="13" max="13" width="17.33203125" customWidth="1"/>
    <col min="14" max="18" width="16.33203125" customWidth="1"/>
    <col min="19" max="19" width="17" customWidth="1"/>
    <col min="20" max="33" width="16.33203125" customWidth="1"/>
    <col min="34" max="34" width="14.6640625" customWidth="1"/>
    <col min="35" max="36" width="12.6640625" customWidth="1"/>
    <col min="37" max="37" width="17.33203125" customWidth="1"/>
    <col min="38" max="38" width="12.33203125" customWidth="1"/>
    <col min="39" max="39" width="9.6640625" customWidth="1"/>
    <col min="40" max="42" width="16.44140625" customWidth="1"/>
    <col min="43" max="50" width="9.6640625" customWidth="1"/>
    <col min="51" max="59" width="0.5546875" customWidth="1"/>
  </cols>
  <sheetData>
    <row r="1" spans="1:66" ht="15" thickBot="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row>
    <row r="2" spans="1:66" ht="18" customHeight="1" thickBot="1" x14ac:dyDescent="0.35">
      <c r="A2" s="1"/>
      <c r="B2" s="2" t="s">
        <v>654</v>
      </c>
      <c r="C2" s="3"/>
      <c r="D2" s="3"/>
      <c r="E2" s="3"/>
      <c r="F2" s="3"/>
      <c r="G2" s="3"/>
      <c r="H2" s="3"/>
      <c r="I2" s="3"/>
      <c r="J2" s="3"/>
      <c r="K2" s="3"/>
      <c r="L2" s="3"/>
      <c r="M2" s="4"/>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row>
    <row r="3" spans="1:66" ht="18" customHeight="1" x14ac:dyDescent="0.3">
      <c r="A3" s="1"/>
      <c r="B3" s="5" t="s">
        <v>115</v>
      </c>
      <c r="C3" s="6"/>
      <c r="D3" s="6"/>
      <c r="E3" s="6"/>
      <c r="F3" s="6"/>
      <c r="G3" s="6"/>
      <c r="H3" s="6"/>
      <c r="I3" s="6"/>
      <c r="J3" s="6"/>
      <c r="K3" s="6"/>
      <c r="L3" s="6"/>
      <c r="M3" s="7"/>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row>
    <row r="4" spans="1:66" ht="18" customHeight="1" x14ac:dyDescent="0.3">
      <c r="A4" s="1"/>
      <c r="B4" s="99" t="s">
        <v>1</v>
      </c>
      <c r="C4" s="296"/>
      <c r="D4" s="296"/>
      <c r="E4" s="296"/>
      <c r="F4" s="296"/>
      <c r="G4" s="296"/>
      <c r="H4" s="296"/>
      <c r="I4" s="296"/>
      <c r="J4" s="296"/>
      <c r="K4" s="296"/>
      <c r="L4" s="296"/>
      <c r="M4" s="100"/>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row>
    <row r="5" spans="1:66" ht="14.25" customHeight="1" x14ac:dyDescent="0.3">
      <c r="A5" s="1"/>
      <c r="B5" s="293" t="s">
        <v>116</v>
      </c>
      <c r="C5" s="294"/>
      <c r="D5" s="294"/>
      <c r="E5" s="294"/>
      <c r="F5" s="294"/>
      <c r="G5" s="294"/>
      <c r="H5" s="294"/>
      <c r="I5" s="294"/>
      <c r="J5" s="294"/>
      <c r="K5" s="294"/>
      <c r="L5" s="294"/>
      <c r="M5" s="295"/>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row>
    <row r="6" spans="1:66" ht="12.6" customHeight="1" x14ac:dyDescent="0.3">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row>
    <row r="7" spans="1:66" ht="12.6" customHeight="1" x14ac:dyDescent="0.3">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row>
    <row r="8" spans="1:66" ht="17.7" customHeight="1" x14ac:dyDescent="0.3">
      <c r="A8" s="1"/>
      <c r="B8" s="11" t="s">
        <v>2</v>
      </c>
      <c r="C8" s="12" t="s">
        <v>245</v>
      </c>
      <c r="D8" s="12" t="s">
        <v>246</v>
      </c>
      <c r="E8" s="124" t="s">
        <v>517</v>
      </c>
      <c r="F8" s="125"/>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row>
    <row r="9" spans="1:66" ht="10.35" customHeight="1" x14ac:dyDescent="0.3">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row>
    <row r="10" spans="1:66" x14ac:dyDescent="0.3">
      <c r="A10" s="1"/>
      <c r="B10" s="1"/>
      <c r="C10" s="13" t="s">
        <v>6</v>
      </c>
      <c r="D10" s="14"/>
      <c r="E10" s="14"/>
      <c r="F10" s="14"/>
      <c r="G10" s="14"/>
      <c r="H10" s="14"/>
      <c r="I10" s="14"/>
      <c r="J10" s="14"/>
      <c r="K10" s="14"/>
      <c r="L10" s="14"/>
      <c r="M10" s="14"/>
      <c r="N10" s="14"/>
      <c r="O10" s="14"/>
      <c r="P10" s="15" t="s">
        <v>596</v>
      </c>
      <c r="Q10" s="16"/>
      <c r="R10" s="16"/>
      <c r="S10" s="16"/>
      <c r="T10" s="16"/>
      <c r="U10" s="16"/>
      <c r="V10" s="16"/>
      <c r="W10" s="16"/>
      <c r="X10" s="13"/>
      <c r="Y10" s="17"/>
      <c r="Z10" s="17"/>
      <c r="AA10" s="17"/>
      <c r="AB10" s="17"/>
      <c r="AC10" s="17"/>
      <c r="AD10" s="17"/>
      <c r="AE10" s="19"/>
      <c r="AF10" s="16"/>
      <c r="AG10" s="16"/>
      <c r="AH10" s="16"/>
      <c r="AI10" s="16"/>
      <c r="AJ10" s="16"/>
      <c r="AK10" s="1"/>
      <c r="AL10" s="1"/>
      <c r="AM10" s="99" t="s">
        <v>562</v>
      </c>
      <c r="AN10" s="9"/>
      <c r="AO10" s="9"/>
      <c r="AP10" s="9"/>
      <c r="AQ10" s="9"/>
      <c r="AR10" s="9"/>
      <c r="AS10" s="10"/>
      <c r="AT10" s="1"/>
      <c r="AU10" s="1"/>
      <c r="AV10" s="1"/>
      <c r="AW10" s="1"/>
      <c r="AX10" s="1"/>
      <c r="AY10" s="1"/>
      <c r="AZ10" s="1"/>
      <c r="BA10" s="1"/>
      <c r="BB10" s="1"/>
      <c r="BC10" s="1"/>
      <c r="BD10" s="1"/>
      <c r="BE10" s="1"/>
      <c r="BF10" s="1"/>
      <c r="BG10" s="1"/>
      <c r="BH10" s="1"/>
      <c r="BI10" s="1"/>
      <c r="BJ10" s="1"/>
      <c r="BK10" s="1"/>
      <c r="BL10" s="1"/>
      <c r="BM10" s="1"/>
      <c r="BN10" s="1"/>
    </row>
    <row r="11" spans="1:66" ht="78.75" customHeight="1" x14ac:dyDescent="0.3">
      <c r="A11" s="1"/>
      <c r="B11" s="25" t="s">
        <v>20</v>
      </c>
      <c r="C11" s="26" t="s">
        <v>119</v>
      </c>
      <c r="D11" s="27" t="s">
        <v>120</v>
      </c>
      <c r="E11" s="26" t="s">
        <v>121</v>
      </c>
      <c r="F11" s="27" t="s">
        <v>122</v>
      </c>
      <c r="G11" s="27" t="s">
        <v>123</v>
      </c>
      <c r="H11" s="27" t="s">
        <v>124</v>
      </c>
      <c r="I11" s="27" t="s">
        <v>125</v>
      </c>
      <c r="J11" s="27" t="s">
        <v>126</v>
      </c>
      <c r="K11" s="27" t="s">
        <v>127</v>
      </c>
      <c r="L11" s="27"/>
      <c r="M11" s="27"/>
      <c r="N11" s="27"/>
      <c r="O11" s="27"/>
      <c r="P11" s="26" t="s">
        <v>119</v>
      </c>
      <c r="Q11" s="27" t="s">
        <v>120</v>
      </c>
      <c r="R11" s="27" t="s">
        <v>121</v>
      </c>
      <c r="S11" s="27" t="s">
        <v>122</v>
      </c>
      <c r="T11" s="27" t="s">
        <v>123</v>
      </c>
      <c r="U11" s="27" t="s">
        <v>130</v>
      </c>
      <c r="V11" s="27"/>
      <c r="W11" s="27"/>
      <c r="X11" s="27"/>
      <c r="Y11" s="27"/>
      <c r="Z11" s="27"/>
      <c r="AA11" s="27"/>
      <c r="AB11" s="27"/>
      <c r="AC11" s="27"/>
      <c r="AD11" s="27"/>
      <c r="AE11" s="27"/>
      <c r="AF11" s="27"/>
      <c r="AG11" s="27"/>
      <c r="AH11" s="27"/>
      <c r="AI11" s="27"/>
      <c r="AJ11" s="27"/>
      <c r="AK11" s="27" t="s">
        <v>150</v>
      </c>
      <c r="AL11" s="1"/>
      <c r="AM11" s="522" t="s">
        <v>563</v>
      </c>
      <c r="AN11" s="523" t="s">
        <v>568</v>
      </c>
      <c r="AO11" s="523" t="s">
        <v>569</v>
      </c>
      <c r="AP11" s="523" t="s">
        <v>570</v>
      </c>
      <c r="AQ11" s="523" t="s">
        <v>564</v>
      </c>
      <c r="AR11" s="523" t="s">
        <v>565</v>
      </c>
      <c r="AS11" s="523" t="s">
        <v>566</v>
      </c>
      <c r="AT11" s="1"/>
      <c r="AU11" s="1"/>
      <c r="AV11" s="1"/>
      <c r="AW11" s="1"/>
      <c r="AX11" s="1"/>
      <c r="AY11" s="1"/>
      <c r="AZ11" s="1"/>
      <c r="BA11" s="1"/>
      <c r="BB11" s="1"/>
      <c r="BC11" s="1"/>
      <c r="BD11" s="1"/>
      <c r="BE11" s="1"/>
      <c r="BF11" s="1"/>
      <c r="BG11" s="1"/>
      <c r="BH11" s="1"/>
      <c r="BI11" s="1"/>
      <c r="BJ11" s="1"/>
      <c r="BK11" s="1"/>
      <c r="BL11" s="1"/>
      <c r="BM11" s="1"/>
      <c r="BN11" s="1"/>
    </row>
    <row r="12" spans="1:66" x14ac:dyDescent="0.3">
      <c r="A12" s="1"/>
      <c r="B12" s="28">
        <v>1</v>
      </c>
      <c r="C12" s="129">
        <v>1294306.0032000004</v>
      </c>
      <c r="D12" s="129">
        <v>1162272.4283999996</v>
      </c>
      <c r="E12" s="129">
        <v>1318575.5076000011</v>
      </c>
      <c r="F12" s="129">
        <v>1539773.9136000006</v>
      </c>
      <c r="G12" s="129">
        <v>1816623.3035999984</v>
      </c>
      <c r="H12" s="129">
        <v>1995650.9663999989</v>
      </c>
      <c r="I12" s="129">
        <v>1573303.3007999999</v>
      </c>
      <c r="J12" s="129">
        <v>1613401.4460000009</v>
      </c>
      <c r="K12" s="129">
        <v>1484369.0171999999</v>
      </c>
      <c r="L12" s="139"/>
      <c r="M12" s="139"/>
      <c r="N12" s="139"/>
      <c r="O12" s="139"/>
      <c r="P12" s="129">
        <f>'[83]2. Distributional by deciles o'!B64</f>
        <v>147193254.41759998</v>
      </c>
      <c r="Q12" s="129">
        <f>'[83]2. Distributional by deciles o'!C64</f>
        <v>149267448.03119993</v>
      </c>
      <c r="R12" s="129">
        <f>'[83]2. Distributional by deciles o'!D64</f>
        <v>154698188.55360019</v>
      </c>
      <c r="S12" s="129">
        <f>'[83]2. Distributional by deciles o'!E64</f>
        <v>160727177.83319992</v>
      </c>
      <c r="T12" s="129">
        <f>'[83]2. Distributional by deciles o'!F64</f>
        <v>170194935.63720012</v>
      </c>
      <c r="U12" s="209">
        <f t="shared" ref="U12:U22" si="0">T12/P12-1</f>
        <v>0.15626858248777076</v>
      </c>
      <c r="V12" s="139"/>
      <c r="W12" s="209"/>
      <c r="X12" s="132"/>
      <c r="Y12" s="132"/>
      <c r="Z12" s="132"/>
      <c r="AA12" s="132"/>
      <c r="AB12" s="132"/>
      <c r="AC12" s="132"/>
      <c r="AD12" s="132"/>
      <c r="AE12" s="139"/>
      <c r="AF12" s="139"/>
      <c r="AG12" s="139"/>
      <c r="AH12" s="139"/>
      <c r="AI12" s="139"/>
      <c r="AJ12" s="139"/>
      <c r="AK12" s="408">
        <v>1955546.0903999992</v>
      </c>
      <c r="AL12" s="1"/>
      <c r="AM12" s="32" cm="1">
        <f t="array" aca="1" ref="AM12" ca="1">INDIRECT("'1"&amp;$C$8&amp;"'!W12")</f>
        <v>3.6154776719313695</v>
      </c>
      <c r="AN12" s="524">
        <f t="shared" ref="AN12:AN21" ca="1" si="1">C12+C12*U12*AM12</f>
        <v>2025570.2192193393</v>
      </c>
      <c r="AO12" s="524">
        <f t="shared" ref="AO12:AO21" ca="1" si="2">C12+C12*U$22*AM12</f>
        <v>1791081.8571473085</v>
      </c>
      <c r="AP12" s="524">
        <f t="shared" ref="AP12:AP21" ca="1" si="3">C12+C12*AR12*AM12</f>
        <v>2025570.2192193393</v>
      </c>
      <c r="AQ12" s="525">
        <f t="shared" ref="AQ12:AQ21" si="4">U12</f>
        <v>0.15626858248777076</v>
      </c>
      <c r="AR12" s="344">
        <f>AQ12</f>
        <v>0.15626858248777076</v>
      </c>
      <c r="AS12" s="41">
        <f>P12/P$22</f>
        <v>1.9475500981156135E-2</v>
      </c>
      <c r="AT12" s="1"/>
      <c r="AU12" s="1"/>
      <c r="AV12" s="1"/>
      <c r="AW12" s="1"/>
      <c r="AX12" s="1"/>
      <c r="AY12" s="1"/>
      <c r="AZ12" s="1"/>
      <c r="BA12" s="1"/>
      <c r="BB12" s="1"/>
      <c r="BC12" s="1"/>
      <c r="BD12" s="1"/>
      <c r="BE12" s="1"/>
      <c r="BF12" s="1"/>
      <c r="BG12" s="1"/>
      <c r="BH12" s="1"/>
      <c r="BI12" s="1"/>
      <c r="BJ12" s="1"/>
      <c r="BK12" s="1"/>
      <c r="BL12" s="1"/>
      <c r="BM12" s="1"/>
      <c r="BN12" s="1"/>
    </row>
    <row r="13" spans="1:66" x14ac:dyDescent="0.3">
      <c r="A13" s="1"/>
      <c r="B13" s="28">
        <v>2</v>
      </c>
      <c r="C13" s="129">
        <v>4752172.4592000004</v>
      </c>
      <c r="D13" s="129">
        <v>4393798.786799999</v>
      </c>
      <c r="E13" s="129">
        <v>4949336.8667999972</v>
      </c>
      <c r="F13" s="129">
        <v>5618237.3364000013</v>
      </c>
      <c r="G13" s="129">
        <v>6551118.2544000018</v>
      </c>
      <c r="H13" s="129">
        <v>7447010.8919999879</v>
      </c>
      <c r="I13" s="129">
        <v>5645009.8308000015</v>
      </c>
      <c r="J13" s="129">
        <v>5814782.4240000034</v>
      </c>
      <c r="K13" s="129">
        <v>5298130.8660000004</v>
      </c>
      <c r="L13" s="139"/>
      <c r="M13" s="139"/>
      <c r="N13" s="139"/>
      <c r="O13" s="139"/>
      <c r="P13" s="129">
        <f>'[83]2. Distributional by deciles o'!B65</f>
        <v>319972960.1436004</v>
      </c>
      <c r="Q13" s="129">
        <f>'[83]2. Distributional by deciles o'!C65</f>
        <v>323463950.64480031</v>
      </c>
      <c r="R13" s="129">
        <f>'[83]2. Distributional by deciles o'!D65</f>
        <v>333992154.59519982</v>
      </c>
      <c r="S13" s="129">
        <f>'[83]2. Distributional by deciles o'!E65</f>
        <v>344950551.98760027</v>
      </c>
      <c r="T13" s="129">
        <f>'[83]2. Distributional by deciles o'!F65</f>
        <v>362489870.20200014</v>
      </c>
      <c r="U13" s="209">
        <f t="shared" si="0"/>
        <v>0.13287657194319991</v>
      </c>
      <c r="V13" s="139"/>
      <c r="W13" s="209"/>
      <c r="X13" s="132"/>
      <c r="Y13" s="132"/>
      <c r="Z13" s="132"/>
      <c r="AA13" s="132"/>
      <c r="AB13" s="132"/>
      <c r="AC13" s="132"/>
      <c r="AD13" s="132"/>
      <c r="AE13" s="139"/>
      <c r="AF13" s="139"/>
      <c r="AG13" s="139"/>
      <c r="AH13" s="139"/>
      <c r="AI13" s="139"/>
      <c r="AJ13" s="139"/>
      <c r="AK13" s="408">
        <v>6919795.0559999906</v>
      </c>
      <c r="AL13" s="1"/>
      <c r="AM13" s="32" cm="1">
        <f t="array" aca="1" ref="AM13" ca="1">INDIRECT("'1"&amp;$C$8&amp;"'!W13")</f>
        <v>3.9776430315533631</v>
      </c>
      <c r="AN13" s="524">
        <f t="shared" ca="1" si="1"/>
        <v>7263864.6407837439</v>
      </c>
      <c r="AO13" s="524">
        <f t="shared" ca="1" si="2"/>
        <v>6758841.8571541421</v>
      </c>
      <c r="AP13" s="524">
        <f t="shared" ca="1" si="3"/>
        <v>7263864.6407837439</v>
      </c>
      <c r="AQ13" s="525">
        <f t="shared" si="4"/>
        <v>0.13287657194319991</v>
      </c>
      <c r="AR13" s="344">
        <f t="shared" ref="AR13:AR18" si="5">AQ13</f>
        <v>0.13287657194319991</v>
      </c>
      <c r="AS13" s="41">
        <f t="shared" ref="AS13:AS21" si="6">P13/P$22</f>
        <v>4.2336408172214464E-2</v>
      </c>
      <c r="AT13" s="1"/>
      <c r="AU13" s="1"/>
      <c r="AV13" s="1"/>
      <c r="AW13" s="1"/>
      <c r="AX13" s="1"/>
      <c r="AY13" s="1"/>
      <c r="AZ13" s="1"/>
      <c r="BA13" s="1"/>
      <c r="BB13" s="1"/>
      <c r="BC13" s="1"/>
      <c r="BD13" s="1"/>
      <c r="BE13" s="1"/>
      <c r="BF13" s="1"/>
      <c r="BG13" s="1"/>
      <c r="BH13" s="1"/>
      <c r="BI13" s="1"/>
      <c r="BJ13" s="1"/>
      <c r="BK13" s="1"/>
      <c r="BL13" s="1"/>
      <c r="BM13" s="1"/>
      <c r="BN13" s="1"/>
    </row>
    <row r="14" spans="1:66" x14ac:dyDescent="0.3">
      <c r="A14" s="1"/>
      <c r="B14" s="28">
        <v>3</v>
      </c>
      <c r="C14" s="129">
        <v>11555035.685999999</v>
      </c>
      <c r="D14" s="129">
        <v>10276975.315199997</v>
      </c>
      <c r="E14" s="129">
        <v>11338672.8672</v>
      </c>
      <c r="F14" s="129">
        <v>12515835.412799995</v>
      </c>
      <c r="G14" s="129">
        <v>14435178.818399992</v>
      </c>
      <c r="H14" s="129">
        <v>16742632.995600002</v>
      </c>
      <c r="I14" s="129">
        <v>12866982.302399995</v>
      </c>
      <c r="J14" s="129">
        <v>13262604.650400009</v>
      </c>
      <c r="K14" s="129">
        <v>11956038.388799997</v>
      </c>
      <c r="L14" s="139"/>
      <c r="M14" s="139"/>
      <c r="N14" s="139"/>
      <c r="O14" s="139"/>
      <c r="P14" s="129">
        <f>'[83]2. Distributional by deciles o'!B66</f>
        <v>425687193.74999976</v>
      </c>
      <c r="Q14" s="129">
        <f>'[83]2. Distributional by deciles o'!C66</f>
        <v>424856186.5752002</v>
      </c>
      <c r="R14" s="129">
        <f>'[83]2. Distributional by deciles o'!D66</f>
        <v>439988367.9491998</v>
      </c>
      <c r="S14" s="129">
        <f>'[83]2. Distributional by deciles o'!E66</f>
        <v>454052394.68159992</v>
      </c>
      <c r="T14" s="129">
        <f>'[83]2. Distributional by deciles o'!F66</f>
        <v>474844023.55320013</v>
      </c>
      <c r="U14" s="209">
        <f t="shared" si="0"/>
        <v>0.11547641208128412</v>
      </c>
      <c r="V14" s="139"/>
      <c r="W14" s="209"/>
      <c r="X14" s="132"/>
      <c r="Y14" s="132"/>
      <c r="Z14" s="132"/>
      <c r="AA14" s="132"/>
      <c r="AB14" s="132"/>
      <c r="AC14" s="132"/>
      <c r="AD14" s="132"/>
      <c r="AE14" s="139"/>
      <c r="AF14" s="139"/>
      <c r="AG14" s="139"/>
      <c r="AH14" s="139"/>
      <c r="AI14" s="139"/>
      <c r="AJ14" s="139"/>
      <c r="AK14" s="408">
        <v>15190609.956000002</v>
      </c>
      <c r="AL14" s="1"/>
      <c r="AM14" s="32" cm="1">
        <f t="array" aca="1" ref="AM14" ca="1">INDIRECT("'1"&amp;$C$8&amp;"'!W14")</f>
        <v>3.8854532925614009</v>
      </c>
      <c r="AN14" s="524">
        <f t="shared" ca="1" si="1"/>
        <v>16739528.362480462</v>
      </c>
      <c r="AO14" s="524">
        <f t="shared" ca="1" si="2"/>
        <v>16321219.779785585</v>
      </c>
      <c r="AP14" s="524">
        <f t="shared" ca="1" si="3"/>
        <v>16739528.362480462</v>
      </c>
      <c r="AQ14" s="525">
        <f t="shared" si="4"/>
        <v>0.11547641208128412</v>
      </c>
      <c r="AR14" s="344">
        <f t="shared" si="5"/>
        <v>0.11547641208128412</v>
      </c>
      <c r="AS14" s="41">
        <f t="shared" si="6"/>
        <v>5.6323718042288397E-2</v>
      </c>
      <c r="AT14" s="1"/>
      <c r="AU14" s="1"/>
      <c r="AV14" s="1"/>
      <c r="AW14" s="1"/>
      <c r="AX14" s="1"/>
      <c r="AY14" s="1"/>
      <c r="AZ14" s="1"/>
      <c r="BA14" s="1"/>
      <c r="BB14" s="1"/>
      <c r="BC14" s="1"/>
      <c r="BD14" s="1"/>
      <c r="BE14" s="1"/>
      <c r="BF14" s="1"/>
      <c r="BG14" s="1"/>
      <c r="BH14" s="1"/>
      <c r="BI14" s="1"/>
      <c r="BJ14" s="1"/>
      <c r="BK14" s="1"/>
      <c r="BL14" s="1"/>
      <c r="BM14" s="1"/>
      <c r="BN14" s="1"/>
    </row>
    <row r="15" spans="1:66" x14ac:dyDescent="0.3">
      <c r="A15" s="1"/>
      <c r="B15" s="28">
        <v>4</v>
      </c>
      <c r="C15" s="129">
        <v>22996120.741199985</v>
      </c>
      <c r="D15" s="129">
        <v>21113396.053199984</v>
      </c>
      <c r="E15" s="129">
        <v>22934558.927999977</v>
      </c>
      <c r="F15" s="129">
        <v>24139807.457999997</v>
      </c>
      <c r="G15" s="129">
        <v>27267207.025199972</v>
      </c>
      <c r="H15" s="129">
        <v>31513482.390000042</v>
      </c>
      <c r="I15" s="129">
        <v>25045022.179200005</v>
      </c>
      <c r="J15" s="129">
        <v>25690122.641999993</v>
      </c>
      <c r="K15" s="129">
        <v>23553681.193200015</v>
      </c>
      <c r="L15" s="139"/>
      <c r="M15" s="139"/>
      <c r="N15" s="139"/>
      <c r="O15" s="139"/>
      <c r="P15" s="129">
        <f>'[83]2. Distributional by deciles o'!B67</f>
        <v>499854267.20639944</v>
      </c>
      <c r="Q15" s="129">
        <f>'[83]2. Distributional by deciles o'!C67</f>
        <v>495469140.40920007</v>
      </c>
      <c r="R15" s="129">
        <f>'[83]2. Distributional by deciles o'!D67</f>
        <v>513680009.64240021</v>
      </c>
      <c r="S15" s="129">
        <f>'[83]2. Distributional by deciles o'!E67</f>
        <v>530179303.95119989</v>
      </c>
      <c r="T15" s="129">
        <f>'[83]2. Distributional by deciles o'!F67</f>
        <v>553058889.66960001</v>
      </c>
      <c r="U15" s="209">
        <f t="shared" si="0"/>
        <v>0.1064402686017909</v>
      </c>
      <c r="V15" s="139"/>
      <c r="W15" s="209"/>
      <c r="X15" s="132"/>
      <c r="Y15" s="132"/>
      <c r="Z15" s="132"/>
      <c r="AA15" s="132"/>
      <c r="AB15" s="132"/>
      <c r="AC15" s="132"/>
      <c r="AD15" s="132"/>
      <c r="AE15" s="139"/>
      <c r="AF15" s="139"/>
      <c r="AG15" s="139"/>
      <c r="AH15" s="139"/>
      <c r="AI15" s="139"/>
      <c r="AJ15" s="139"/>
      <c r="AK15" s="408">
        <v>28152980.991600007</v>
      </c>
      <c r="AL15" s="1"/>
      <c r="AM15" s="32" cm="1">
        <f t="array" aca="1" ref="AM15" ca="1">INDIRECT("'1"&amp;$C$8&amp;"'!W15")</f>
        <v>3.4640462135509202</v>
      </c>
      <c r="AN15" s="524">
        <f t="shared" ca="1" si="1"/>
        <v>31475112.62077992</v>
      </c>
      <c r="AO15" s="524">
        <f t="shared" ca="1" si="2"/>
        <v>31452726.54317382</v>
      </c>
      <c r="AP15" s="524">
        <f t="shared" ca="1" si="3"/>
        <v>31475112.62077992</v>
      </c>
      <c r="AQ15" s="525">
        <f t="shared" si="4"/>
        <v>0.1064402686017909</v>
      </c>
      <c r="AR15" s="344">
        <f t="shared" si="5"/>
        <v>0.1064402686017909</v>
      </c>
      <c r="AS15" s="41">
        <f t="shared" si="6"/>
        <v>6.613694567683466E-2</v>
      </c>
      <c r="AT15" s="1"/>
      <c r="AU15" s="1"/>
      <c r="AV15" s="1"/>
      <c r="AW15" s="1"/>
      <c r="AX15" s="1"/>
      <c r="AY15" s="1"/>
      <c r="AZ15" s="1"/>
      <c r="BA15" s="1"/>
      <c r="BB15" s="1"/>
      <c r="BC15" s="1"/>
      <c r="BD15" s="1"/>
      <c r="BE15" s="1"/>
      <c r="BF15" s="1"/>
      <c r="BG15" s="1"/>
      <c r="BH15" s="1"/>
      <c r="BI15" s="1"/>
      <c r="BJ15" s="1"/>
      <c r="BK15" s="1"/>
      <c r="BL15" s="1"/>
      <c r="BM15" s="1"/>
      <c r="BN15" s="1"/>
    </row>
    <row r="16" spans="1:66" x14ac:dyDescent="0.3">
      <c r="A16" s="1"/>
      <c r="B16" s="28">
        <v>5</v>
      </c>
      <c r="C16" s="129">
        <v>34947371.961600013</v>
      </c>
      <c r="D16" s="129">
        <v>33106658.414400045</v>
      </c>
      <c r="E16" s="129">
        <v>36284136.664800003</v>
      </c>
      <c r="F16" s="129">
        <v>38148882.002399974</v>
      </c>
      <c r="G16" s="129">
        <v>42012214.645200007</v>
      </c>
      <c r="H16" s="129">
        <v>46251537.922800004</v>
      </c>
      <c r="I16" s="129">
        <v>38530051.065599993</v>
      </c>
      <c r="J16" s="129">
        <v>39372349.693199977</v>
      </c>
      <c r="K16" s="129">
        <v>36338566.800000019</v>
      </c>
      <c r="L16" s="139"/>
      <c r="M16" s="139"/>
      <c r="N16" s="139"/>
      <c r="O16" s="139"/>
      <c r="P16" s="129">
        <f>'[83]2. Distributional by deciles o'!B68</f>
        <v>557924069.6748004</v>
      </c>
      <c r="Q16" s="129">
        <f>'[83]2. Distributional by deciles o'!C68</f>
        <v>554088366.84360003</v>
      </c>
      <c r="R16" s="129">
        <f>'[83]2. Distributional by deciles o'!D68</f>
        <v>575211742.0631994</v>
      </c>
      <c r="S16" s="129">
        <f>'[83]2. Distributional by deciles o'!E68</f>
        <v>594092773.01880038</v>
      </c>
      <c r="T16" s="129">
        <f>'[83]2. Distributional by deciles o'!F68</f>
        <v>619051532.10599995</v>
      </c>
      <c r="U16" s="209">
        <f t="shared" si="0"/>
        <v>0.10956233249952674</v>
      </c>
      <c r="V16" s="139"/>
      <c r="W16" s="209"/>
      <c r="X16" s="132"/>
      <c r="Y16" s="132"/>
      <c r="Z16" s="132"/>
      <c r="AA16" s="132"/>
      <c r="AB16" s="132"/>
      <c r="AC16" s="132"/>
      <c r="AD16" s="132"/>
      <c r="AE16" s="139"/>
      <c r="AF16" s="139"/>
      <c r="AG16" s="139"/>
      <c r="AH16" s="139"/>
      <c r="AI16" s="139"/>
      <c r="AJ16" s="139"/>
      <c r="AK16" s="408">
        <v>43066058.724000037</v>
      </c>
      <c r="AL16" s="1"/>
      <c r="AM16" s="32" cm="1">
        <f t="array" aca="1" ref="AM16" ca="1">INDIRECT("'1"&amp;$C$8&amp;"'!W16")</f>
        <v>3.0386061337658186</v>
      </c>
      <c r="AN16" s="524">
        <f t="shared" ca="1" si="1"/>
        <v>46581938.349448018</v>
      </c>
      <c r="AO16" s="524">
        <f t="shared" ca="1" si="2"/>
        <v>46220560.277393028</v>
      </c>
      <c r="AP16" s="524">
        <f t="shared" ca="1" si="3"/>
        <v>46581938.349448018</v>
      </c>
      <c r="AQ16" s="525">
        <f t="shared" si="4"/>
        <v>0.10956233249952674</v>
      </c>
      <c r="AR16" s="344">
        <f t="shared" si="5"/>
        <v>0.10956233249952674</v>
      </c>
      <c r="AS16" s="41">
        <f t="shared" si="6"/>
        <v>7.3820303853971744E-2</v>
      </c>
      <c r="AT16" s="1"/>
      <c r="AU16" s="1"/>
      <c r="AV16" s="1"/>
      <c r="AW16" s="1"/>
      <c r="AX16" s="1"/>
      <c r="AY16" s="1"/>
      <c r="AZ16" s="1"/>
      <c r="BA16" s="1"/>
      <c r="BB16" s="1"/>
      <c r="BC16" s="1"/>
      <c r="BD16" s="1"/>
      <c r="BE16" s="1"/>
      <c r="BF16" s="1"/>
      <c r="BG16" s="1"/>
      <c r="BH16" s="1"/>
      <c r="BI16" s="1"/>
      <c r="BJ16" s="1"/>
      <c r="BK16" s="1"/>
      <c r="BL16" s="1"/>
      <c r="BM16" s="1"/>
      <c r="BN16" s="1"/>
    </row>
    <row r="17" spans="1:66" x14ac:dyDescent="0.3">
      <c r="A17" s="1"/>
      <c r="B17" s="28">
        <v>6</v>
      </c>
      <c r="C17" s="129">
        <v>54154396.662000038</v>
      </c>
      <c r="D17" s="129">
        <v>51599821.735200003</v>
      </c>
      <c r="E17" s="129">
        <v>56061018.956400029</v>
      </c>
      <c r="F17" s="129">
        <v>58418528.344799995</v>
      </c>
      <c r="G17" s="129">
        <v>63197647.882799953</v>
      </c>
      <c r="H17" s="129">
        <v>68688713.558400035</v>
      </c>
      <c r="I17" s="129">
        <v>59412639.891600028</v>
      </c>
      <c r="J17" s="129">
        <v>60431648.534400016</v>
      </c>
      <c r="K17" s="129">
        <v>56786874.226800017</v>
      </c>
      <c r="L17" s="139"/>
      <c r="M17" s="139"/>
      <c r="N17" s="139"/>
      <c r="O17" s="139"/>
      <c r="P17" s="129">
        <f>'[83]2. Distributional by deciles o'!B69</f>
        <v>656662621.76760054</v>
      </c>
      <c r="Q17" s="129">
        <f>'[83]2. Distributional by deciles o'!C69</f>
        <v>649088399.49960041</v>
      </c>
      <c r="R17" s="129">
        <f>'[83]2. Distributional by deciles o'!D69</f>
        <v>674842581.09480023</v>
      </c>
      <c r="S17" s="129">
        <f>'[83]2. Distributional by deciles o'!E69</f>
        <v>697000533.50159991</v>
      </c>
      <c r="T17" s="129">
        <f>'[83]2. Distributional by deciles o'!F69</f>
        <v>725840523.42479992</v>
      </c>
      <c r="U17" s="209">
        <f t="shared" si="0"/>
        <v>0.10534770727620635</v>
      </c>
      <c r="V17" s="139"/>
      <c r="W17" s="209"/>
      <c r="X17" s="132"/>
      <c r="Y17" s="132"/>
      <c r="Z17" s="132"/>
      <c r="AA17" s="132"/>
      <c r="AB17" s="132"/>
      <c r="AC17" s="132"/>
      <c r="AD17" s="132"/>
      <c r="AE17" s="139"/>
      <c r="AF17" s="139"/>
      <c r="AG17" s="139"/>
      <c r="AH17" s="139"/>
      <c r="AI17" s="139"/>
      <c r="AJ17" s="139"/>
      <c r="AK17" s="408">
        <v>64553231.305199981</v>
      </c>
      <c r="AL17" s="1"/>
      <c r="AM17" s="32" cm="1">
        <f t="array" aca="1" ref="AM17" ca="1">INDIRECT("'1"&amp;$C$8&amp;"'!W17")</f>
        <v>2.684236202377758</v>
      </c>
      <c r="AN17" s="524">
        <f t="shared" ca="1" si="1"/>
        <v>69468075.665561154</v>
      </c>
      <c r="AO17" s="524">
        <f t="shared" ca="1" si="2"/>
        <v>69586043.666269884</v>
      </c>
      <c r="AP17" s="524">
        <f t="shared" ca="1" si="3"/>
        <v>69468075.665561154</v>
      </c>
      <c r="AQ17" s="525">
        <f t="shared" si="4"/>
        <v>0.10534770727620635</v>
      </c>
      <c r="AR17" s="344">
        <f t="shared" si="5"/>
        <v>0.10534770727620635</v>
      </c>
      <c r="AS17" s="41">
        <f t="shared" si="6"/>
        <v>8.6884644171535463E-2</v>
      </c>
      <c r="AT17" s="1"/>
      <c r="AU17" s="1"/>
      <c r="AV17" s="1"/>
      <c r="AW17" s="1"/>
      <c r="AX17" s="1"/>
      <c r="AY17" s="1"/>
      <c r="AZ17" s="1"/>
      <c r="BA17" s="1"/>
      <c r="BB17" s="1"/>
      <c r="BC17" s="1"/>
      <c r="BD17" s="1"/>
      <c r="BE17" s="1"/>
      <c r="BF17" s="1"/>
      <c r="BG17" s="1"/>
      <c r="BH17" s="1"/>
      <c r="BI17" s="1"/>
      <c r="BJ17" s="1"/>
      <c r="BK17" s="1"/>
      <c r="BL17" s="1"/>
      <c r="BM17" s="1"/>
      <c r="BN17" s="1"/>
    </row>
    <row r="18" spans="1:66" x14ac:dyDescent="0.3">
      <c r="A18" s="1"/>
      <c r="B18" s="28">
        <v>7</v>
      </c>
      <c r="C18" s="129">
        <v>80191439.998800069</v>
      </c>
      <c r="D18" s="129">
        <v>75709854.124799937</v>
      </c>
      <c r="E18" s="129">
        <v>81882077.901600018</v>
      </c>
      <c r="F18" s="129">
        <v>85072455.370800033</v>
      </c>
      <c r="G18" s="129">
        <v>91209154.187999919</v>
      </c>
      <c r="H18" s="129">
        <v>97065824.69160004</v>
      </c>
      <c r="I18" s="129">
        <v>86661339.711599991</v>
      </c>
      <c r="J18" s="129">
        <v>87993258.621599942</v>
      </c>
      <c r="K18" s="129">
        <v>83766934.37879996</v>
      </c>
      <c r="L18" s="139"/>
      <c r="M18" s="139"/>
      <c r="N18" s="139"/>
      <c r="O18" s="139"/>
      <c r="P18" s="129">
        <f>'[83]2. Distributional by deciles o'!B70</f>
        <v>786765987.01079988</v>
      </c>
      <c r="Q18" s="129">
        <f>'[83]2. Distributional by deciles o'!C70</f>
        <v>770853195.07320011</v>
      </c>
      <c r="R18" s="129">
        <f>'[83]2. Distributional by deciles o'!D70</f>
        <v>802439788.61880028</v>
      </c>
      <c r="S18" s="129">
        <f>'[83]2. Distributional by deciles o'!E70</f>
        <v>828946667.95200026</v>
      </c>
      <c r="T18" s="129">
        <f>'[83]2. Distributional by deciles o'!F70</f>
        <v>862994741.4072001</v>
      </c>
      <c r="U18" s="209">
        <f t="shared" si="0"/>
        <v>9.6888726323846264E-2</v>
      </c>
      <c r="V18" s="139"/>
      <c r="W18" s="209"/>
      <c r="X18" s="132"/>
      <c r="Y18" s="132"/>
      <c r="Z18" s="132"/>
      <c r="AA18" s="132"/>
      <c r="AB18" s="132"/>
      <c r="AC18" s="132"/>
      <c r="AD18" s="132"/>
      <c r="AE18" s="139"/>
      <c r="AF18" s="139"/>
      <c r="AG18" s="139"/>
      <c r="AH18" s="139"/>
      <c r="AI18" s="139"/>
      <c r="AJ18" s="139"/>
      <c r="AK18" s="408">
        <v>92473137.673200011</v>
      </c>
      <c r="AL18" s="1"/>
      <c r="AM18" s="32" cm="1">
        <f t="array" aca="1" ref="AM18" ca="1">INDIRECT("'1"&amp;$C$8&amp;"'!W18")</f>
        <v>2.1961654845816283</v>
      </c>
      <c r="AN18" s="524">
        <f t="shared" ca="1" si="1"/>
        <v>97254869.433393091</v>
      </c>
      <c r="AO18" s="524">
        <f t="shared" ca="1" si="2"/>
        <v>98887534.872510552</v>
      </c>
      <c r="AP18" s="524">
        <f t="shared" ca="1" si="3"/>
        <v>97254869.433393091</v>
      </c>
      <c r="AQ18" s="525">
        <f t="shared" si="4"/>
        <v>9.6888726323846264E-2</v>
      </c>
      <c r="AR18" s="344">
        <f t="shared" si="5"/>
        <v>9.6888726323846264E-2</v>
      </c>
      <c r="AS18" s="41">
        <f t="shared" si="6"/>
        <v>0.10409893994528713</v>
      </c>
      <c r="AT18" s="1"/>
      <c r="AU18" s="1"/>
      <c r="AV18" s="1"/>
      <c r="AW18" s="1"/>
      <c r="AX18" s="1"/>
      <c r="AY18" s="1"/>
      <c r="AZ18" s="1"/>
      <c r="BA18" s="1"/>
      <c r="BB18" s="1"/>
      <c r="BC18" s="1"/>
      <c r="BD18" s="1"/>
      <c r="BE18" s="1"/>
      <c r="BF18" s="1"/>
      <c r="BG18" s="1"/>
      <c r="BH18" s="1"/>
      <c r="BI18" s="1"/>
      <c r="BJ18" s="1"/>
      <c r="BK18" s="1"/>
      <c r="BL18" s="1"/>
      <c r="BM18" s="1"/>
      <c r="BN18" s="1"/>
    </row>
    <row r="19" spans="1:66" x14ac:dyDescent="0.3">
      <c r="A19" s="1"/>
      <c r="B19" s="28">
        <v>8</v>
      </c>
      <c r="C19" s="129">
        <v>116901196.32959995</v>
      </c>
      <c r="D19" s="129">
        <v>112669606.52040003</v>
      </c>
      <c r="E19" s="129">
        <v>120725478.22559993</v>
      </c>
      <c r="F19" s="129">
        <v>126658629.24479991</v>
      </c>
      <c r="G19" s="129">
        <v>135053542.9463999</v>
      </c>
      <c r="H19" s="129">
        <v>138972723.1656</v>
      </c>
      <c r="I19" s="129">
        <v>127983481.23599996</v>
      </c>
      <c r="J19" s="129">
        <v>129209980.73159999</v>
      </c>
      <c r="K19" s="129">
        <v>124927643.08079991</v>
      </c>
      <c r="L19" s="139"/>
      <c r="M19" s="139"/>
      <c r="N19" s="139"/>
      <c r="O19" s="139"/>
      <c r="P19" s="129">
        <f>'[83]2. Distributional by deciles o'!B71</f>
        <v>935623252.44239998</v>
      </c>
      <c r="Q19" s="129">
        <f>'[83]2. Distributional by deciles o'!C71</f>
        <v>920003580.78479981</v>
      </c>
      <c r="R19" s="129">
        <f>'[83]2. Distributional by deciles o'!D71</f>
        <v>959118762.01440072</v>
      </c>
      <c r="S19" s="129">
        <f>'[83]2. Distributional by deciles o'!E71</f>
        <v>991541519.88719964</v>
      </c>
      <c r="T19" s="129">
        <f>'[83]2. Distributional by deciles o'!F71</f>
        <v>1031891305.9883997</v>
      </c>
      <c r="U19" s="209">
        <f t="shared" si="0"/>
        <v>0.10289189937797794</v>
      </c>
      <c r="V19" s="139"/>
      <c r="W19" s="209"/>
      <c r="X19" s="132"/>
      <c r="Y19" s="132"/>
      <c r="Z19" s="132"/>
      <c r="AA19" s="132"/>
      <c r="AB19" s="132"/>
      <c r="AC19" s="132"/>
      <c r="AD19" s="132"/>
      <c r="AE19" s="139"/>
      <c r="AF19" s="139"/>
      <c r="AG19" s="139"/>
      <c r="AH19" s="139"/>
      <c r="AI19" s="139"/>
      <c r="AJ19" s="139"/>
      <c r="AK19" s="408">
        <v>136320609.49199998</v>
      </c>
      <c r="AL19" s="1"/>
      <c r="AM19" s="32" cm="1">
        <f t="array" aca="1" ref="AM19" ca="1">INDIRECT("'1"&amp;$C$8&amp;"'!W19")</f>
        <v>1.8693703123822598</v>
      </c>
      <c r="AN19" s="524">
        <f t="shared" ca="1" si="1"/>
        <v>139386330.39266258</v>
      </c>
      <c r="AO19" s="524">
        <f t="shared" ca="1" si="2"/>
        <v>140100349.17486045</v>
      </c>
      <c r="AP19" s="524">
        <f t="shared" ca="1" si="3"/>
        <v>128717878.40527147</v>
      </c>
      <c r="AQ19" s="525">
        <f t="shared" si="4"/>
        <v>0.10289189937797794</v>
      </c>
      <c r="AR19" s="526">
        <f>U19-AP31*AS21/SUM(AS19:AS20)</f>
        <v>5.4073098239110197E-2</v>
      </c>
      <c r="AS19" s="41">
        <f t="shared" si="6"/>
        <v>0.12379461031031917</v>
      </c>
      <c r="AT19" s="1"/>
      <c r="AU19" s="1"/>
      <c r="AV19" s="1"/>
      <c r="AW19" s="1"/>
      <c r="AX19" s="1"/>
      <c r="AY19" s="1"/>
      <c r="AZ19" s="1"/>
      <c r="BA19" s="1"/>
      <c r="BB19" s="1"/>
      <c r="BC19" s="1"/>
      <c r="BD19" s="1"/>
      <c r="BE19" s="1"/>
      <c r="BF19" s="1"/>
      <c r="BG19" s="1"/>
      <c r="BH19" s="1"/>
      <c r="BI19" s="1"/>
      <c r="BJ19" s="1"/>
      <c r="BK19" s="1"/>
      <c r="BL19" s="1"/>
      <c r="BM19" s="1"/>
      <c r="BN19" s="1"/>
    </row>
    <row r="20" spans="1:66" x14ac:dyDescent="0.3">
      <c r="A20" s="1"/>
      <c r="B20" s="28">
        <v>9</v>
      </c>
      <c r="C20" s="129">
        <v>173907978.29879993</v>
      </c>
      <c r="D20" s="129">
        <v>168532319.66519991</v>
      </c>
      <c r="E20" s="129">
        <v>180037339.84439996</v>
      </c>
      <c r="F20" s="129">
        <v>188668588.42799994</v>
      </c>
      <c r="G20" s="129">
        <v>200411942.85600001</v>
      </c>
      <c r="H20" s="129">
        <v>203081805.64920002</v>
      </c>
      <c r="I20" s="129">
        <v>190317484.62120014</v>
      </c>
      <c r="J20" s="129">
        <v>191722541.83919984</v>
      </c>
      <c r="K20" s="129">
        <v>186759166.4843998</v>
      </c>
      <c r="L20" s="139"/>
      <c r="M20" s="139"/>
      <c r="N20" s="139"/>
      <c r="O20" s="139"/>
      <c r="P20" s="129">
        <f>'[83]2. Distributional by deciles o'!B72</f>
        <v>1171165648.7208009</v>
      </c>
      <c r="Q20" s="129">
        <f>'[83]2. Distributional by deciles o'!C72</f>
        <v>1151988778.6127999</v>
      </c>
      <c r="R20" s="129">
        <f>'[83]2. Distributional by deciles o'!D72</f>
        <v>1201047149.1312006</v>
      </c>
      <c r="S20" s="129">
        <f>'[83]2. Distributional by deciles o'!E72</f>
        <v>1240637166.9731989</v>
      </c>
      <c r="T20" s="129">
        <f>'[83]2. Distributional by deciles o'!F72</f>
        <v>1290181019.3483996</v>
      </c>
      <c r="U20" s="209">
        <f t="shared" si="0"/>
        <v>0.10162129563618327</v>
      </c>
      <c r="V20" s="139"/>
      <c r="W20" s="209"/>
      <c r="X20" s="132"/>
      <c r="Y20" s="132"/>
      <c r="Z20" s="132"/>
      <c r="AA20" s="132"/>
      <c r="AB20" s="132"/>
      <c r="AC20" s="132"/>
      <c r="AD20" s="132"/>
      <c r="AE20" s="139"/>
      <c r="AF20" s="139"/>
      <c r="AG20" s="139"/>
      <c r="AH20" s="139"/>
      <c r="AI20" s="139"/>
      <c r="AJ20" s="139"/>
      <c r="AK20" s="408">
        <v>201214366.45679998</v>
      </c>
      <c r="AL20" s="1"/>
      <c r="AM20" s="32" cm="1">
        <f t="array" aca="1" ref="AM20" ca="1">INDIRECT("'1"&amp;$C$8&amp;"'!W20")</f>
        <v>1.6862544676572835</v>
      </c>
      <c r="AN20" s="524">
        <f t="shared" ca="1" si="1"/>
        <v>203708738.81558934</v>
      </c>
      <c r="AO20" s="524">
        <f t="shared" ca="1" si="2"/>
        <v>205039507.13695085</v>
      </c>
      <c r="AP20" s="524">
        <f t="shared" ca="1" si="3"/>
        <v>189392473.78129318</v>
      </c>
      <c r="AQ20" s="525">
        <f t="shared" si="4"/>
        <v>0.10162129563618327</v>
      </c>
      <c r="AR20" s="526">
        <f>U20-AP31*AS21/SUM(AS19:AS20)</f>
        <v>5.2802494497315534E-2</v>
      </c>
      <c r="AS20" s="41">
        <f t="shared" si="6"/>
        <v>0.15495980322608474</v>
      </c>
      <c r="AT20" s="1"/>
      <c r="AU20" s="1"/>
      <c r="AV20" s="1"/>
      <c r="AW20" s="1"/>
      <c r="AX20" s="1"/>
      <c r="AY20" s="1"/>
      <c r="AZ20" s="1"/>
      <c r="BA20" s="1"/>
      <c r="BB20" s="1"/>
      <c r="BC20" s="1"/>
      <c r="BD20" s="1"/>
      <c r="BE20" s="1"/>
      <c r="BF20" s="1"/>
      <c r="BG20" s="1"/>
      <c r="BH20" s="1"/>
      <c r="BI20" s="1"/>
      <c r="BJ20" s="1"/>
      <c r="BK20" s="1"/>
      <c r="BL20" s="1"/>
      <c r="BM20" s="1"/>
      <c r="BN20" s="1"/>
    </row>
    <row r="21" spans="1:66" x14ac:dyDescent="0.3">
      <c r="A21" s="1"/>
      <c r="B21" s="33">
        <v>10</v>
      </c>
      <c r="C21" s="129">
        <v>434460540.88319993</v>
      </c>
      <c r="D21" s="129">
        <v>421407328.53239989</v>
      </c>
      <c r="E21" s="129">
        <v>446190397.76879978</v>
      </c>
      <c r="F21" s="129">
        <v>466438490.3363995</v>
      </c>
      <c r="G21" s="129">
        <v>492166127.90519983</v>
      </c>
      <c r="H21" s="129">
        <v>496140171.98279965</v>
      </c>
      <c r="I21" s="129">
        <v>477500441.01240039</v>
      </c>
      <c r="J21" s="129">
        <v>479601051.39359999</v>
      </c>
      <c r="K21" s="129">
        <v>472397211.35639966</v>
      </c>
      <c r="L21" s="139"/>
      <c r="M21" s="139"/>
      <c r="N21" s="139"/>
      <c r="O21" s="139"/>
      <c r="P21" s="129">
        <f>'[83]2. Distributional by deciles o'!B73</f>
        <v>2057018168.1491995</v>
      </c>
      <c r="Q21" s="129">
        <f>'[83]2. Distributional by deciles o'!C73</f>
        <v>2014404048.408</v>
      </c>
      <c r="R21" s="129">
        <f>'[83]2. Distributional by deciles o'!D73</f>
        <v>2102644388.0279984</v>
      </c>
      <c r="S21" s="129">
        <f>'[83]2. Distributional by deciles o'!E73</f>
        <v>2178817609.7663999</v>
      </c>
      <c r="T21" s="129">
        <f>'[83]2. Distributional by deciles o'!F73</f>
        <v>2269658096.3196011</v>
      </c>
      <c r="U21" s="209">
        <f t="shared" si="0"/>
        <v>0.1033728974604653</v>
      </c>
      <c r="V21" s="139"/>
      <c r="W21" s="209"/>
      <c r="X21" s="132"/>
      <c r="Y21" s="132"/>
      <c r="Z21" s="132"/>
      <c r="AA21" s="132"/>
      <c r="AB21" s="132"/>
      <c r="AC21" s="132"/>
      <c r="AD21" s="132"/>
      <c r="AE21" s="139"/>
      <c r="AF21" s="139"/>
      <c r="AG21" s="139"/>
      <c r="AH21" s="139"/>
      <c r="AI21" s="139"/>
      <c r="AJ21" s="139"/>
      <c r="AK21" s="408">
        <v>492793969.1231997</v>
      </c>
      <c r="AL21" s="1"/>
      <c r="AM21" s="32" cm="1">
        <f t="array" aca="1" ref="AM21" ca="1">INDIRECT("'1"&amp;$C$8&amp;"'!W21")</f>
        <v>1.4008950344555744</v>
      </c>
      <c r="AN21" s="524">
        <f t="shared" ca="1" si="1"/>
        <v>497376761.09454608</v>
      </c>
      <c r="AO21" s="524">
        <f t="shared" ca="1" si="2"/>
        <v>499072627.0689677</v>
      </c>
      <c r="AP21" s="524">
        <f t="shared" ca="1" si="3"/>
        <v>527808441.81405401</v>
      </c>
      <c r="AQ21" s="525">
        <f t="shared" si="4"/>
        <v>0.1033728974604653</v>
      </c>
      <c r="AR21" s="527">
        <f>U21+AP31</f>
        <v>0.15337289746046529</v>
      </c>
      <c r="AS21" s="41">
        <f t="shared" si="6"/>
        <v>0.27216912562030804</v>
      </c>
      <c r="AT21" s="1"/>
      <c r="AU21" s="1"/>
      <c r="AV21" s="1"/>
      <c r="AW21" s="1"/>
      <c r="AX21" s="1"/>
      <c r="AY21" s="1"/>
      <c r="AZ21" s="1"/>
      <c r="BA21" s="1"/>
      <c r="BB21" s="1"/>
      <c r="BC21" s="1"/>
      <c r="BD21" s="1"/>
      <c r="BE21" s="1"/>
      <c r="BF21" s="1"/>
      <c r="BG21" s="1"/>
      <c r="BH21" s="1"/>
      <c r="BI21" s="1"/>
      <c r="BJ21" s="1"/>
      <c r="BK21" s="1"/>
      <c r="BL21" s="1"/>
      <c r="BM21" s="1"/>
      <c r="BN21" s="1"/>
    </row>
    <row r="22" spans="1:66" ht="13.2" customHeight="1" x14ac:dyDescent="0.3">
      <c r="A22" s="1"/>
      <c r="B22" s="34" t="s">
        <v>114</v>
      </c>
      <c r="C22" s="129">
        <v>935160559.02359962</v>
      </c>
      <c r="D22" s="129">
        <v>899972031.57599878</v>
      </c>
      <c r="E22" s="129">
        <v>961721593.53119922</v>
      </c>
      <c r="F22" s="129">
        <v>1007219227.8479993</v>
      </c>
      <c r="G22" s="129">
        <v>1074120757.8251975</v>
      </c>
      <c r="H22" s="129">
        <v>1107899554.2144001</v>
      </c>
      <c r="I22" s="129">
        <v>1025535755.1515977</v>
      </c>
      <c r="J22" s="129">
        <v>1034711741.9760021</v>
      </c>
      <c r="K22" s="129">
        <v>1003268615.792401</v>
      </c>
      <c r="L22" s="139"/>
      <c r="M22" s="139"/>
      <c r="N22" s="139"/>
      <c r="O22" s="139"/>
      <c r="P22" s="129">
        <f>'[83]2. Distributional by deciles o'!B74</f>
        <v>7557867423.2832012</v>
      </c>
      <c r="Q22" s="129">
        <f>'[83]2. Distributional by deciles o'!C74</f>
        <v>7453483094.8824091</v>
      </c>
      <c r="R22" s="129">
        <f>'[83]2. Distributional by deciles o'!D74</f>
        <v>7757663131.6907997</v>
      </c>
      <c r="S22" s="129">
        <f>'[83]2. Distributional by deciles o'!E74</f>
        <v>8020945699.5527945</v>
      </c>
      <c r="T22" s="129">
        <f>'[83]2. Distributional by deciles o'!F74</f>
        <v>8360204937.6564083</v>
      </c>
      <c r="U22" s="210">
        <f t="shared" si="0"/>
        <v>0.1061592469724304</v>
      </c>
      <c r="V22" s="139"/>
      <c r="W22" s="210"/>
      <c r="X22" s="154"/>
      <c r="Y22" s="154"/>
      <c r="Z22" s="154"/>
      <c r="AA22" s="154"/>
      <c r="AB22" s="154"/>
      <c r="AC22" s="154"/>
      <c r="AD22" s="154"/>
      <c r="AE22" s="161"/>
      <c r="AF22" s="161"/>
      <c r="AG22" s="161"/>
      <c r="AH22" s="161"/>
      <c r="AI22" s="162"/>
      <c r="AJ22" s="162"/>
      <c r="AK22" s="408">
        <v>1082640304.8683977</v>
      </c>
      <c r="AL22" s="1"/>
      <c r="AM22" s="534" cm="1">
        <f t="array" aca="1" ref="AM22" ca="1">INDIRECT("'1"&amp;$C$8&amp;"'!W22")</f>
        <v>1.8138346754056838</v>
      </c>
      <c r="AN22" s="528">
        <f ca="1">SUM(AN12:AN21)</f>
        <v>1111280789.5944638</v>
      </c>
      <c r="AO22" s="528">
        <f ca="1">SUM(AO12:AO21)</f>
        <v>1115230492.2342134</v>
      </c>
      <c r="AP22" s="528">
        <f ca="1">SUM(AP12:AP21)</f>
        <v>1116727753.2922845</v>
      </c>
      <c r="AQ22" s="529">
        <f>SUMPRODUCT(AQ12:AQ21,AS12:AS21)</f>
        <v>0.10615924697242941</v>
      </c>
      <c r="AR22" s="529">
        <f>SUMPRODUCT(AR12:AR21,AS12:AS21)</f>
        <v>0.10615924697242941</v>
      </c>
      <c r="AS22" s="530"/>
      <c r="AT22" s="1"/>
      <c r="AU22" s="1"/>
      <c r="AV22" s="1"/>
      <c r="AW22" s="1"/>
      <c r="AX22" s="1"/>
      <c r="AY22" s="1"/>
      <c r="AZ22" s="1"/>
      <c r="BA22" s="1"/>
      <c r="BB22" s="1"/>
      <c r="BC22" s="1"/>
      <c r="BD22" s="1"/>
      <c r="BE22" s="1"/>
      <c r="BF22" s="1"/>
      <c r="BG22" s="1"/>
      <c r="BH22" s="1"/>
      <c r="BI22" s="1"/>
      <c r="BJ22" s="1"/>
      <c r="BK22" s="1"/>
      <c r="BL22" s="1"/>
      <c r="BM22" s="1"/>
      <c r="BN22" s="1"/>
    </row>
    <row r="23" spans="1:66" ht="12.6" customHeight="1" x14ac:dyDescent="0.3">
      <c r="A23" s="1"/>
      <c r="B23" s="1"/>
      <c r="C23" s="1"/>
      <c r="D23" s="1"/>
      <c r="E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531"/>
      <c r="AO23" s="531"/>
      <c r="AP23" s="1"/>
      <c r="AQ23" s="1"/>
      <c r="AR23" s="525">
        <f>U22</f>
        <v>0.1061592469724304</v>
      </c>
      <c r="AS23" s="1"/>
      <c r="AT23" s="1"/>
      <c r="AU23" s="1"/>
      <c r="AV23" s="1"/>
      <c r="AW23" s="1"/>
      <c r="AX23" s="1"/>
      <c r="AY23" s="1"/>
      <c r="AZ23" s="1"/>
      <c r="BA23" s="1"/>
      <c r="BB23" s="1"/>
      <c r="BC23" s="1"/>
      <c r="BD23" s="1"/>
      <c r="BE23" s="1"/>
      <c r="BF23" s="1"/>
      <c r="BG23" s="1"/>
      <c r="BH23" s="1"/>
      <c r="BI23" s="1"/>
      <c r="BJ23" s="1"/>
      <c r="BK23" s="1"/>
      <c r="BL23" s="1"/>
      <c r="BM23" s="1"/>
      <c r="BN23" s="1"/>
    </row>
    <row r="24" spans="1:66" ht="13.95" customHeight="1" x14ac:dyDescent="0.3">
      <c r="A24" s="1"/>
      <c r="B24" s="1"/>
      <c r="C24" s="1"/>
      <c r="D24" s="1"/>
      <c r="E24" s="1"/>
      <c r="F24" s="1"/>
      <c r="G24" s="11" t="s">
        <v>151</v>
      </c>
      <c r="H24" s="212">
        <f>U22</f>
        <v>0.1061592469724304</v>
      </c>
      <c r="I24" s="1"/>
      <c r="J24" s="1"/>
      <c r="K24" s="11" t="s">
        <v>151</v>
      </c>
      <c r="L24" s="212"/>
      <c r="M24" s="1"/>
      <c r="O24" s="1"/>
      <c r="P24" s="1"/>
      <c r="Q24" s="1"/>
      <c r="R24" s="1"/>
      <c r="S24" s="1"/>
      <c r="T24" s="1"/>
      <c r="U24" s="1"/>
      <c r="V24" s="1"/>
      <c r="W24" s="1"/>
      <c r="X24" s="1"/>
      <c r="Y24" s="55"/>
      <c r="Z24" s="55"/>
      <c r="AA24" s="55"/>
      <c r="AB24" s="55"/>
      <c r="AC24" s="55"/>
      <c r="AD24" s="55"/>
      <c r="AE24" s="55"/>
      <c r="AF24" s="55"/>
      <c r="AG24" s="55"/>
      <c r="AH24" s="1"/>
      <c r="AI24" s="1"/>
      <c r="AJ24" s="1"/>
      <c r="AK24" s="1"/>
      <c r="AL24" s="1"/>
      <c r="AM24" s="1"/>
      <c r="AN24" s="531">
        <f ca="1">AN22/G22-1</f>
        <v>3.4595767280864553E-2</v>
      </c>
      <c r="AO24" s="531"/>
      <c r="AP24" s="1"/>
      <c r="AQ24" s="1"/>
      <c r="AR24" s="532" t="str">
        <f>IF(AR23-AR22&lt;0.0000000001,"ok","wrong")</f>
        <v>ok</v>
      </c>
      <c r="AS24" s="1"/>
      <c r="AT24" s="1"/>
      <c r="AU24" s="1"/>
      <c r="AV24" s="1"/>
      <c r="AW24" s="1"/>
      <c r="AX24" s="1"/>
      <c r="AY24" s="1"/>
      <c r="AZ24" s="1"/>
      <c r="BA24" s="1"/>
      <c r="BB24" s="1"/>
      <c r="BC24" s="1"/>
      <c r="BD24" s="1"/>
      <c r="BE24" s="1"/>
      <c r="BF24" s="1"/>
      <c r="BG24" s="1"/>
      <c r="BH24" s="1"/>
      <c r="BI24" s="1"/>
      <c r="BJ24" s="1"/>
      <c r="BK24" s="1"/>
      <c r="BL24" s="1"/>
      <c r="BM24" s="1"/>
      <c r="BN24" s="1"/>
    </row>
    <row r="25" spans="1:66" ht="13.95" customHeight="1" x14ac:dyDescent="0.3">
      <c r="A25" s="1"/>
      <c r="B25" s="1"/>
      <c r="C25" s="1"/>
      <c r="D25" s="1"/>
      <c r="E25" s="1"/>
      <c r="F25" s="1"/>
      <c r="G25" s="11" t="s">
        <v>152</v>
      </c>
      <c r="H25" s="213">
        <v>9.3698893698893615E-2</v>
      </c>
      <c r="I25" s="1"/>
      <c r="J25" s="1"/>
      <c r="K25" s="11" t="s">
        <v>152</v>
      </c>
      <c r="L25" s="139"/>
      <c r="M25" s="1"/>
      <c r="N25" s="1"/>
      <c r="O25" s="1"/>
      <c r="P25" s="1"/>
      <c r="Q25" s="1"/>
      <c r="R25" s="1"/>
      <c r="S25" s="1"/>
      <c r="T25" s="1"/>
      <c r="U25" s="1"/>
      <c r="V25" s="1"/>
      <c r="W25" s="1"/>
      <c r="X25" s="1"/>
      <c r="Y25" s="55"/>
      <c r="Z25" s="55"/>
      <c r="AA25" s="55"/>
      <c r="AB25" s="55"/>
      <c r="AC25" s="55"/>
      <c r="AD25" s="55"/>
      <c r="AE25" s="55"/>
      <c r="AF25" s="55"/>
      <c r="AG25" s="55"/>
      <c r="AH25" s="1"/>
      <c r="AI25" s="1"/>
      <c r="AJ25" s="1"/>
      <c r="AK25" s="1"/>
      <c r="AL25" s="1"/>
      <c r="AM25" s="1"/>
      <c r="AN25" s="1"/>
      <c r="AO25" s="531"/>
      <c r="AP25" s="1"/>
      <c r="AQ25" s="1"/>
      <c r="AR25" s="532" t="str">
        <f>IF(AQ22-AR22&lt;0.0000000001,"ok","wrong")</f>
        <v>ok</v>
      </c>
      <c r="AS25" s="1"/>
      <c r="AT25" s="1"/>
      <c r="AU25" s="1"/>
      <c r="AV25" s="1"/>
      <c r="AW25" s="1"/>
      <c r="AX25" s="1"/>
      <c r="AY25" s="1"/>
      <c r="AZ25" s="1"/>
      <c r="BA25" s="1"/>
      <c r="BB25" s="1"/>
      <c r="BC25" s="1"/>
      <c r="BD25" s="1"/>
      <c r="BE25" s="1"/>
      <c r="BF25" s="1"/>
      <c r="BG25" s="1"/>
      <c r="BH25" s="1"/>
      <c r="BI25" s="1"/>
      <c r="BJ25" s="1"/>
      <c r="BK25" s="1"/>
      <c r="BL25" s="1"/>
      <c r="BM25" s="1"/>
      <c r="BN25" s="1"/>
    </row>
    <row r="26" spans="1:66" ht="13.95" customHeight="1" x14ac:dyDescent="0.3">
      <c r="A26" s="1"/>
      <c r="B26" s="1"/>
      <c r="C26" s="1"/>
      <c r="D26" s="1"/>
      <c r="E26" s="1"/>
      <c r="F26" s="1"/>
      <c r="G26" s="11" t="s">
        <v>153</v>
      </c>
      <c r="H26" s="213">
        <v>0.13710441538753071</v>
      </c>
      <c r="I26" s="1"/>
      <c r="J26" s="1"/>
      <c r="K26" s="11" t="s">
        <v>153</v>
      </c>
      <c r="L26" s="139"/>
      <c r="M26" s="1"/>
      <c r="N26" s="1"/>
      <c r="O26" s="1"/>
      <c r="P26" s="1"/>
      <c r="Q26" s="1"/>
      <c r="R26" s="1"/>
      <c r="S26" s="1"/>
      <c r="T26" s="1"/>
      <c r="U26" s="1"/>
      <c r="V26" s="1"/>
      <c r="W26" s="1"/>
      <c r="X26" s="1"/>
      <c r="Y26" s="55"/>
      <c r="Z26" s="55"/>
      <c r="AA26" s="55"/>
      <c r="AB26" s="55"/>
      <c r="AC26" s="55"/>
      <c r="AD26" s="55"/>
      <c r="AE26" s="55"/>
      <c r="AF26" s="55"/>
      <c r="AG26" s="55"/>
      <c r="AH26" s="1"/>
      <c r="AI26" s="1"/>
      <c r="AJ26" s="1"/>
      <c r="AK26" s="1"/>
      <c r="AL26" s="1"/>
      <c r="AM26" s="8" t="s">
        <v>571</v>
      </c>
      <c r="AN26" s="533"/>
      <c r="AO26" s="535">
        <f ca="1">AO22/$AN22-1</f>
        <v>3.5541896132218476E-3</v>
      </c>
      <c r="AP26" s="536">
        <f ca="1">AP22/$AN22-1</f>
        <v>4.9015188139880372E-3</v>
      </c>
      <c r="AQ26" s="1"/>
      <c r="AR26" s="1"/>
      <c r="AS26" s="1"/>
      <c r="AT26" s="1"/>
      <c r="AU26" s="1"/>
      <c r="AV26" s="1"/>
      <c r="AW26" s="1"/>
      <c r="AX26" s="1"/>
      <c r="AY26" s="1"/>
      <c r="AZ26" s="1"/>
      <c r="BA26" s="1"/>
      <c r="BB26" s="1"/>
      <c r="BC26" s="1"/>
      <c r="BD26" s="1"/>
      <c r="BE26" s="1"/>
      <c r="BF26" s="1"/>
      <c r="BG26" s="1"/>
      <c r="BH26" s="1"/>
      <c r="BI26" s="1"/>
      <c r="BJ26" s="1"/>
      <c r="BK26" s="1"/>
      <c r="BL26" s="1"/>
      <c r="BM26" s="1"/>
      <c r="BN26" s="1"/>
    </row>
    <row r="27" spans="1:66" ht="9" customHeight="1" x14ac:dyDescent="0.3">
      <c r="A27" s="1"/>
      <c r="B27" s="1"/>
      <c r="C27" s="1"/>
      <c r="D27" s="1"/>
      <c r="E27" s="1"/>
      <c r="F27" s="1"/>
      <c r="G27" s="1"/>
      <c r="H27" s="1"/>
      <c r="I27" s="1"/>
      <c r="J27" s="1"/>
      <c r="K27" s="1"/>
      <c r="L27" s="1"/>
      <c r="M27" s="1"/>
      <c r="N27" s="1"/>
      <c r="O27" s="1"/>
      <c r="P27" s="1"/>
      <c r="Q27" s="1"/>
      <c r="R27" s="1"/>
      <c r="S27" s="1"/>
      <c r="T27" s="55"/>
      <c r="U27" s="55"/>
      <c r="V27" s="55"/>
      <c r="W27" s="55"/>
      <c r="X27" s="55"/>
      <c r="Y27" s="55"/>
      <c r="Z27" s="55"/>
      <c r="AA27" s="55"/>
      <c r="AB27" s="55"/>
      <c r="AC27" s="55"/>
      <c r="AD27" s="55"/>
      <c r="AE27" s="55"/>
      <c r="AF27" s="55"/>
      <c r="AG27" s="55"/>
      <c r="AH27" s="1"/>
      <c r="AI27" s="1"/>
      <c r="AJ27" s="1"/>
      <c r="AK27" s="1"/>
      <c r="AL27" s="1"/>
      <c r="AM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row>
    <row r="28" spans="1:66" ht="12" customHeight="1" thickBot="1" x14ac:dyDescent="0.35">
      <c r="A28" s="214"/>
      <c r="B28" s="214"/>
      <c r="C28" s="214"/>
      <c r="D28" s="214"/>
      <c r="E28" s="214"/>
      <c r="F28" s="214"/>
      <c r="G28" s="214"/>
      <c r="H28" s="214"/>
      <c r="I28" s="214"/>
      <c r="J28" s="214"/>
      <c r="K28" s="214"/>
      <c r="L28" s="214"/>
      <c r="M28" s="214"/>
      <c r="N28" s="214"/>
      <c r="O28" s="214"/>
      <c r="P28" s="214"/>
      <c r="Q28" s="214"/>
      <c r="R28" s="214"/>
      <c r="S28" s="214"/>
      <c r="T28" s="215"/>
      <c r="U28" s="215"/>
      <c r="V28" s="215"/>
      <c r="W28" s="215"/>
      <c r="X28" s="215"/>
      <c r="Y28" s="215"/>
      <c r="Z28" s="215"/>
      <c r="AA28" s="214"/>
      <c r="AB28" s="214"/>
      <c r="AC28" s="214"/>
      <c r="AD28" s="214"/>
      <c r="AE28" s="214"/>
      <c r="AF28" s="214"/>
      <c r="AG28" s="214"/>
      <c r="AH28" s="214"/>
      <c r="AI28" s="214"/>
      <c r="AJ28" s="1"/>
      <c r="AK28" s="1"/>
      <c r="AL28" s="1"/>
      <c r="AM28" s="8" t="s">
        <v>572</v>
      </c>
      <c r="AN28" s="8"/>
      <c r="AO28" s="535">
        <f ca="1">(AO22-$AN22)/($W$37*1000000)</f>
        <v>3.2378346250109151E-2</v>
      </c>
      <c r="AP28" s="536">
        <f ca="1">(AP22-$AN22)/($W$37*1000000)</f>
        <v>4.4652393535883135E-2</v>
      </c>
      <c r="AQ28" s="1"/>
      <c r="AR28" s="1"/>
      <c r="AS28" s="1"/>
      <c r="AT28" s="1"/>
      <c r="AU28" s="1"/>
      <c r="AV28" s="1"/>
      <c r="AW28" s="1"/>
      <c r="AX28" s="1"/>
      <c r="AY28" s="1"/>
      <c r="AZ28" s="1"/>
      <c r="BA28" s="1"/>
      <c r="BB28" s="1"/>
      <c r="BC28" s="1"/>
      <c r="BD28" s="1"/>
      <c r="BE28" s="1"/>
      <c r="BF28" s="1"/>
      <c r="BG28" s="1"/>
      <c r="BH28" s="1"/>
      <c r="BI28" s="1"/>
      <c r="BJ28" s="1"/>
      <c r="BK28" s="1"/>
      <c r="BL28" s="1"/>
      <c r="BM28" s="1"/>
      <c r="BN28" s="1"/>
    </row>
    <row r="29" spans="1:66" ht="12" customHeight="1" thickBot="1" x14ac:dyDescent="0.35">
      <c r="A29" s="214"/>
      <c r="B29" s="216" t="s">
        <v>154</v>
      </c>
      <c r="C29" s="217"/>
      <c r="D29" s="217"/>
      <c r="E29" s="217"/>
      <c r="F29" s="217"/>
      <c r="G29" s="217"/>
      <c r="H29" s="217"/>
      <c r="I29" s="217"/>
      <c r="J29" s="217"/>
      <c r="K29" s="217"/>
      <c r="L29" s="217"/>
      <c r="M29" s="217"/>
      <c r="N29" s="217"/>
      <c r="O29" s="217"/>
      <c r="P29" s="217"/>
      <c r="Q29" s="217"/>
      <c r="R29" s="217"/>
      <c r="S29" s="217"/>
      <c r="T29" s="218"/>
      <c r="U29" s="218"/>
      <c r="V29" s="219"/>
      <c r="W29" s="215"/>
      <c r="X29" s="215"/>
      <c r="Y29" s="215"/>
      <c r="Z29" s="215"/>
      <c r="AA29" s="214"/>
      <c r="AB29" s="214"/>
      <c r="AC29" s="214"/>
      <c r="AD29" s="214"/>
      <c r="AE29" s="214"/>
      <c r="AF29" s="214"/>
      <c r="AG29" s="214"/>
      <c r="AH29" s="214"/>
      <c r="AI29" s="214"/>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row>
    <row r="30" spans="1:66" ht="21.6" customHeight="1" thickBot="1" x14ac:dyDescent="0.35">
      <c r="A30" s="214"/>
      <c r="B30" s="220"/>
      <c r="C30" s="214"/>
      <c r="D30" s="214"/>
      <c r="E30" s="214"/>
      <c r="F30" s="214"/>
      <c r="G30" s="214"/>
      <c r="H30" s="214"/>
      <c r="I30" s="214"/>
      <c r="J30" s="214"/>
      <c r="K30" s="214"/>
      <c r="L30" s="214"/>
      <c r="M30" s="214"/>
      <c r="N30" s="214"/>
      <c r="O30" s="214"/>
      <c r="P30" s="214"/>
      <c r="Q30" s="214"/>
      <c r="R30" s="214"/>
      <c r="S30" s="214"/>
      <c r="T30" s="214"/>
      <c r="U30" s="214"/>
      <c r="V30" s="214"/>
      <c r="W30" s="214"/>
      <c r="X30" s="214"/>
      <c r="Y30" s="214"/>
      <c r="Z30" s="214"/>
      <c r="AA30" s="214"/>
      <c r="AB30" s="214"/>
      <c r="AC30" s="216" t="s">
        <v>158</v>
      </c>
      <c r="AD30" s="221"/>
      <c r="AE30" s="214"/>
      <c r="AF30" s="214"/>
      <c r="AG30" s="214"/>
      <c r="AH30" s="214"/>
      <c r="AI30" s="214"/>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row>
    <row r="31" spans="1:66" ht="21" customHeight="1" thickBot="1" x14ac:dyDescent="0.35">
      <c r="A31" s="214"/>
      <c r="B31" s="216" t="s">
        <v>159</v>
      </c>
      <c r="C31" s="221"/>
      <c r="D31" s="223"/>
      <c r="E31" s="222" t="s">
        <v>160</v>
      </c>
      <c r="F31" s="222" t="s">
        <v>160</v>
      </c>
      <c r="G31" s="223"/>
      <c r="H31" s="224" t="s">
        <v>161</v>
      </c>
      <c r="I31" s="222"/>
      <c r="J31" s="222"/>
      <c r="K31" s="222"/>
      <c r="L31" s="222"/>
      <c r="M31" s="223"/>
      <c r="N31" s="216" t="s">
        <v>162</v>
      </c>
      <c r="O31" s="221"/>
      <c r="P31" s="222" t="s">
        <v>163</v>
      </c>
      <c r="Q31" s="222"/>
      <c r="R31" s="222"/>
      <c r="S31" s="223"/>
      <c r="T31" s="224" t="s">
        <v>164</v>
      </c>
      <c r="U31" s="222"/>
      <c r="V31" s="222"/>
      <c r="W31" s="223"/>
      <c r="X31" s="225" t="s">
        <v>165</v>
      </c>
      <c r="Y31" s="222"/>
      <c r="Z31" s="222"/>
      <c r="AA31" s="223"/>
      <c r="AB31" s="214"/>
      <c r="AC31" s="347" t="s">
        <v>163</v>
      </c>
      <c r="AD31" s="348"/>
      <c r="AE31" s="223"/>
      <c r="AF31" s="224" t="s">
        <v>164</v>
      </c>
      <c r="AG31" s="222"/>
      <c r="AH31" s="223"/>
      <c r="AI31" s="214"/>
      <c r="AJ31" s="1"/>
      <c r="AK31" s="1"/>
      <c r="AL31" s="1"/>
      <c r="AM31" s="1"/>
      <c r="AN31" s="1"/>
      <c r="AO31" s="8" t="s">
        <v>567</v>
      </c>
      <c r="AP31" s="10">
        <v>0.05</v>
      </c>
      <c r="AQ31" s="1"/>
      <c r="AR31" s="1"/>
      <c r="AS31" s="1"/>
      <c r="AT31" s="1"/>
      <c r="AU31" s="1"/>
      <c r="AV31" s="1"/>
      <c r="AW31" s="1"/>
      <c r="AX31" s="1"/>
      <c r="AY31" s="1"/>
      <c r="AZ31" s="1"/>
      <c r="BA31" s="1"/>
      <c r="BB31" s="1"/>
      <c r="BC31" s="1"/>
      <c r="BD31" s="1"/>
      <c r="BE31" s="1"/>
      <c r="BF31" s="1"/>
      <c r="BG31" s="1"/>
      <c r="BH31" s="1"/>
      <c r="BI31" s="1"/>
      <c r="BJ31" s="1"/>
      <c r="BK31" s="1"/>
      <c r="BL31" s="1"/>
      <c r="BM31" s="1"/>
      <c r="BN31" s="1"/>
    </row>
    <row r="32" spans="1:66" ht="51" customHeight="1" x14ac:dyDescent="0.3">
      <c r="A32" s="214"/>
      <c r="B32" s="226"/>
      <c r="C32" s="227" t="s">
        <v>166</v>
      </c>
      <c r="D32" s="228" t="s">
        <v>167</v>
      </c>
      <c r="E32" s="228" t="s">
        <v>168</v>
      </c>
      <c r="F32" s="410" t="s">
        <v>169</v>
      </c>
      <c r="G32" s="228" t="s">
        <v>170</v>
      </c>
      <c r="H32" s="228" t="s">
        <v>171</v>
      </c>
      <c r="I32" s="229" t="s">
        <v>172</v>
      </c>
      <c r="J32" s="229" t="s">
        <v>173</v>
      </c>
      <c r="K32" s="230" t="s">
        <v>174</v>
      </c>
      <c r="L32" s="229" t="s">
        <v>175</v>
      </c>
      <c r="M32" s="411" t="s">
        <v>176</v>
      </c>
      <c r="N32" s="227"/>
      <c r="O32" s="227" t="s">
        <v>177</v>
      </c>
      <c r="P32" s="231" t="s">
        <v>178</v>
      </c>
      <c r="Q32" s="231" t="s">
        <v>179</v>
      </c>
      <c r="R32" s="231" t="s">
        <v>180</v>
      </c>
      <c r="S32" s="231" t="s">
        <v>181</v>
      </c>
      <c r="T32" s="231" t="s">
        <v>182</v>
      </c>
      <c r="U32" s="231" t="s">
        <v>183</v>
      </c>
      <c r="V32" s="231" t="s">
        <v>184</v>
      </c>
      <c r="W32" s="231" t="s">
        <v>185</v>
      </c>
      <c r="X32" s="231" t="s">
        <v>186</v>
      </c>
      <c r="Y32" s="231" t="s">
        <v>187</v>
      </c>
      <c r="Z32" s="231" t="s">
        <v>188</v>
      </c>
      <c r="AA32" s="231" t="s">
        <v>189</v>
      </c>
      <c r="AB32" s="214"/>
      <c r="AC32" s="231" t="s">
        <v>178</v>
      </c>
      <c r="AD32" s="231" t="s">
        <v>179</v>
      </c>
      <c r="AE32" s="231" t="s">
        <v>180</v>
      </c>
      <c r="AF32" s="231" t="s">
        <v>182</v>
      </c>
      <c r="AG32" s="231" t="s">
        <v>183</v>
      </c>
      <c r="AH32" s="231" t="s">
        <v>184</v>
      </c>
      <c r="AI32" s="214"/>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row>
    <row r="33" spans="1:66" ht="15.6" customHeight="1" x14ac:dyDescent="0.3">
      <c r="A33" s="214"/>
      <c r="B33" s="232">
        <v>2019</v>
      </c>
      <c r="C33" s="233">
        <f>C22</f>
        <v>935160559.02359962</v>
      </c>
      <c r="D33" s="129">
        <v>14594.158853999999</v>
      </c>
      <c r="E33" s="259">
        <f>(F33/1000000/D33)*100</f>
        <v>6.7411096720287418</v>
      </c>
      <c r="F33" s="129">
        <v>983808254.05823278</v>
      </c>
      <c r="G33" s="234">
        <f>F33/C33</f>
        <v>1.0520206873196472</v>
      </c>
      <c r="H33" s="235">
        <f>C33*G33</f>
        <v>983808254.05823278</v>
      </c>
      <c r="I33" s="235" t="s">
        <v>113</v>
      </c>
      <c r="J33" s="235" t="s">
        <v>113</v>
      </c>
      <c r="K33" s="235" t="s">
        <v>113</v>
      </c>
      <c r="L33" s="235" t="s">
        <v>113</v>
      </c>
      <c r="M33" s="214"/>
      <c r="N33" s="232">
        <v>2019</v>
      </c>
      <c r="O33" s="236">
        <f>G33</f>
        <v>1.0520206873196472</v>
      </c>
      <c r="P33" s="237"/>
      <c r="Q33" s="237"/>
      <c r="R33" s="237"/>
      <c r="S33" s="237"/>
      <c r="T33" s="237"/>
      <c r="U33" s="237"/>
      <c r="V33" s="238"/>
      <c r="W33" s="238"/>
      <c r="X33" s="238"/>
      <c r="Y33" s="238"/>
      <c r="Z33" s="238"/>
      <c r="AA33" s="238"/>
      <c r="AB33" s="214"/>
      <c r="AC33" s="237"/>
      <c r="AD33" s="237"/>
      <c r="AE33" s="237"/>
      <c r="AF33" s="237"/>
      <c r="AG33" s="237"/>
      <c r="AH33" s="238"/>
      <c r="AI33" s="214"/>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row>
    <row r="34" spans="1:66" s="51" customFormat="1" ht="15.6" customHeight="1" x14ac:dyDescent="0.3">
      <c r="A34" s="239"/>
      <c r="B34" s="240">
        <v>2020</v>
      </c>
      <c r="C34" s="241">
        <f>D22</f>
        <v>899972031.57599878</v>
      </c>
      <c r="D34" s="129">
        <v>14369.884781999999</v>
      </c>
      <c r="E34" s="259">
        <f t="shared" ref="E34:E36" si="7">(F34/1000000/D34)*100</f>
        <v>7.0832948874979982</v>
      </c>
      <c r="F34" s="129">
        <v>1017861314.1027589</v>
      </c>
      <c r="G34" s="234">
        <f>F34/C34</f>
        <v>1.1309921624123325</v>
      </c>
      <c r="H34" s="242">
        <f>C34*G34</f>
        <v>1017861314.1027588</v>
      </c>
      <c r="I34" s="243"/>
      <c r="J34" s="243"/>
      <c r="K34" s="243"/>
      <c r="L34" s="243"/>
      <c r="M34" s="214"/>
      <c r="N34" s="240">
        <v>2020</v>
      </c>
      <c r="O34" s="244"/>
      <c r="P34" s="245"/>
      <c r="Q34" s="245"/>
      <c r="R34" s="245"/>
      <c r="S34" s="245"/>
      <c r="T34" s="245"/>
      <c r="U34" s="245"/>
      <c r="V34" s="245"/>
      <c r="W34" s="245"/>
      <c r="X34" s="245"/>
      <c r="Y34" s="245"/>
      <c r="Z34" s="245"/>
      <c r="AA34" s="245"/>
      <c r="AB34" s="239"/>
      <c r="AC34" s="245"/>
      <c r="AD34" s="245"/>
      <c r="AE34" s="245"/>
      <c r="AF34" s="245"/>
      <c r="AG34" s="245"/>
      <c r="AH34" s="245"/>
      <c r="AI34" s="239"/>
      <c r="AJ34" s="47"/>
      <c r="AK34" s="47"/>
      <c r="AL34" s="47"/>
      <c r="AM34" s="47"/>
      <c r="AN34" s="47"/>
      <c r="AO34" s="47"/>
      <c r="AP34" s="47"/>
      <c r="AQ34" s="47"/>
      <c r="AR34" s="47"/>
      <c r="AS34" s="47"/>
      <c r="AT34" s="47"/>
      <c r="AU34" s="47"/>
      <c r="AV34" s="47"/>
      <c r="AW34" s="47"/>
      <c r="AX34" s="47"/>
      <c r="AY34" s="47"/>
      <c r="AZ34" s="47"/>
      <c r="BA34" s="47"/>
      <c r="BB34" s="47"/>
      <c r="BC34" s="47"/>
      <c r="BD34" s="47"/>
      <c r="BE34" s="47"/>
      <c r="BF34" s="47"/>
      <c r="BG34" s="47"/>
      <c r="BH34" s="47"/>
      <c r="BI34" s="47"/>
      <c r="BJ34" s="47"/>
      <c r="BK34" s="47"/>
      <c r="BL34" s="47"/>
      <c r="BM34" s="47"/>
      <c r="BN34" s="47"/>
    </row>
    <row r="35" spans="1:66" ht="15.6" customHeight="1" x14ac:dyDescent="0.3">
      <c r="A35" s="214"/>
      <c r="B35" s="232">
        <v>2021</v>
      </c>
      <c r="C35" s="241">
        <f>E22</f>
        <v>961721593.53119922</v>
      </c>
      <c r="D35" s="129">
        <v>16670.298924999999</v>
      </c>
      <c r="E35" s="259">
        <f t="shared" si="7"/>
        <v>7.2147970304612645</v>
      </c>
      <c r="F35" s="129">
        <v>1202728231.809916</v>
      </c>
      <c r="G35" s="234">
        <f>F35/C35</f>
        <v>1.2505991753744461</v>
      </c>
      <c r="H35" s="242">
        <f>C35*G35</f>
        <v>1202728231.809916</v>
      </c>
      <c r="I35" s="243"/>
      <c r="J35" s="243"/>
      <c r="K35" s="243"/>
      <c r="L35" s="243"/>
      <c r="M35" s="214"/>
      <c r="N35" s="232">
        <v>2021</v>
      </c>
      <c r="O35" s="244"/>
      <c r="P35" s="246"/>
      <c r="Q35" s="246"/>
      <c r="R35" s="246"/>
      <c r="S35" s="246"/>
      <c r="T35" s="246"/>
      <c r="U35" s="246"/>
      <c r="V35" s="247"/>
      <c r="W35" s="247"/>
      <c r="X35" s="247"/>
      <c r="Y35" s="247"/>
      <c r="Z35" s="247"/>
      <c r="AA35" s="247"/>
      <c r="AB35" s="214"/>
      <c r="AC35" s="246"/>
      <c r="AD35" s="246"/>
      <c r="AE35" s="246"/>
      <c r="AF35" s="246"/>
      <c r="AG35" s="246"/>
      <c r="AH35" s="247"/>
      <c r="AI35" s="214"/>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row>
    <row r="36" spans="1:66" ht="15.6" customHeight="1" x14ac:dyDescent="0.3">
      <c r="A36" s="214"/>
      <c r="B36" s="240">
        <v>2022</v>
      </c>
      <c r="C36" s="248">
        <f>F22</f>
        <v>1007219227.8479993</v>
      </c>
      <c r="D36" s="129">
        <v>18266.246747000001</v>
      </c>
      <c r="E36" s="259">
        <f t="shared" si="7"/>
        <v>7.5145092323432738</v>
      </c>
      <c r="F36" s="129">
        <v>1372618798.2059181</v>
      </c>
      <c r="G36" s="234">
        <f>F36/C36</f>
        <v>1.3627805747301138</v>
      </c>
      <c r="H36" s="242">
        <f>C36*G36</f>
        <v>1372618798.2059181</v>
      </c>
      <c r="I36" s="249"/>
      <c r="J36" s="249"/>
      <c r="K36" s="249"/>
      <c r="L36" s="249"/>
      <c r="M36" s="214"/>
      <c r="N36" s="240">
        <v>2022</v>
      </c>
      <c r="O36" s="250"/>
      <c r="P36" s="225"/>
      <c r="Q36" s="225"/>
      <c r="R36" s="225"/>
      <c r="S36" s="225"/>
      <c r="T36" s="225"/>
      <c r="U36" s="225"/>
      <c r="V36" s="225"/>
      <c r="W36" s="225"/>
      <c r="X36" s="225"/>
      <c r="Y36" s="225"/>
      <c r="Z36" s="225"/>
      <c r="AA36" s="225"/>
      <c r="AB36" s="214"/>
      <c r="AC36" s="225"/>
      <c r="AD36" s="225"/>
      <c r="AE36" s="225"/>
      <c r="AF36" s="225"/>
      <c r="AG36" s="225"/>
      <c r="AH36" s="225"/>
      <c r="AI36" s="214"/>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row>
    <row r="37" spans="1:66" ht="15.6" customHeight="1" x14ac:dyDescent="0.3">
      <c r="A37" s="214"/>
      <c r="B37" s="232">
        <v>2023</v>
      </c>
      <c r="C37" s="251">
        <f>G22</f>
        <v>1074120757.8251975</v>
      </c>
      <c r="D37" s="129">
        <v>20542.229835999999</v>
      </c>
      <c r="E37" s="259">
        <f>(F37/1000000/D37)*100</f>
        <v>7.3545880566166693</v>
      </c>
      <c r="F37" s="129">
        <v>1510796382.081202</v>
      </c>
      <c r="G37" s="234">
        <f>F37/C37</f>
        <v>1.4065423939298538</v>
      </c>
      <c r="H37" s="242">
        <f>C37*G37</f>
        <v>1510796382.081202</v>
      </c>
      <c r="I37" s="235">
        <f>H22*$G37</f>
        <v>1558307691.2185402</v>
      </c>
      <c r="J37" s="235">
        <f>I22*$G37</f>
        <v>1442459516.1115887</v>
      </c>
      <c r="K37" s="235">
        <f>J22*$G37</f>
        <v>1455365930.5862551</v>
      </c>
      <c r="L37" s="235">
        <f>K22*$G37</f>
        <v>1411139840.6113343</v>
      </c>
      <c r="M37" s="412">
        <f>AK22*$G37</f>
        <v>1522779486.1745429</v>
      </c>
      <c r="N37" s="232">
        <v>2023</v>
      </c>
      <c r="O37" s="252">
        <f>G37</f>
        <v>1.4065423939298538</v>
      </c>
      <c r="P37" s="253">
        <f>($H37-J37)/1000000</f>
        <v>68.336865969613314</v>
      </c>
      <c r="Q37" s="253">
        <f>($H37-K37)/1000000</f>
        <v>55.430451494946958</v>
      </c>
      <c r="R37" s="253">
        <f>($H37-L37)/1000000</f>
        <v>99.656541469867705</v>
      </c>
      <c r="S37" s="253">
        <f>AVERAGE(P37:R37)</f>
        <v>74.474619644809323</v>
      </c>
      <c r="T37" s="253">
        <f>($I37-J37)/1000000</f>
        <v>115.84817510695147</v>
      </c>
      <c r="U37" s="253">
        <f t="shared" ref="U37:V37" si="8">($I37-K37)/1000000</f>
        <v>102.94176063228512</v>
      </c>
      <c r="V37" s="253">
        <f t="shared" si="8"/>
        <v>147.16785060720588</v>
      </c>
      <c r="W37" s="253">
        <f>AVERAGE(T37:V37)</f>
        <v>121.9859287821475</v>
      </c>
      <c r="X37" s="254">
        <f>(T37-P37)/T37</f>
        <v>0.41011702681958984</v>
      </c>
      <c r="Y37" s="254">
        <f>(U37-Q37)/U37</f>
        <v>0.46153581253629178</v>
      </c>
      <c r="Z37" s="254">
        <f>(V37-R37)/V37</f>
        <v>0.32283755549401116</v>
      </c>
      <c r="AA37" s="254">
        <f>AVERAGE(X37:Z37)</f>
        <v>0.3981634649499643</v>
      </c>
      <c r="AB37" s="214"/>
      <c r="AC37" s="351">
        <f>P37/$D37</f>
        <v>3.3266527789429083E-3</v>
      </c>
      <c r="AD37" s="351">
        <f>Q37/$D37</f>
        <v>2.6983658511018018E-3</v>
      </c>
      <c r="AE37" s="351">
        <f>R37/$D37</f>
        <v>4.851301064464816E-3</v>
      </c>
      <c r="AF37" s="351">
        <f>T37/$D37</f>
        <v>5.6395131410675297E-3</v>
      </c>
      <c r="AG37" s="351">
        <f>U37/$D37</f>
        <v>5.0112262132264232E-3</v>
      </c>
      <c r="AH37" s="351">
        <f>V37/$D37</f>
        <v>7.1641614265894387E-3</v>
      </c>
      <c r="AI37" s="214"/>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row>
    <row r="38" spans="1:66" ht="15.6" customHeight="1" x14ac:dyDescent="0.3">
      <c r="A38" s="214"/>
      <c r="B38" s="240">
        <v>2024</v>
      </c>
      <c r="C38" s="255"/>
      <c r="D38" s="256"/>
      <c r="E38" s="256"/>
      <c r="F38" s="256"/>
      <c r="G38" s="257"/>
      <c r="H38" s="256"/>
      <c r="I38" s="249"/>
      <c r="J38" s="249"/>
      <c r="K38" s="249"/>
      <c r="L38" s="249"/>
      <c r="M38" s="214"/>
      <c r="N38" s="240">
        <v>2024</v>
      </c>
      <c r="O38" s="250"/>
      <c r="P38" s="225"/>
      <c r="Q38" s="225"/>
      <c r="R38" s="225"/>
      <c r="S38" s="225"/>
      <c r="T38" s="258"/>
      <c r="U38" s="258"/>
      <c r="V38" s="258"/>
      <c r="W38" s="258"/>
      <c r="X38" s="225"/>
      <c r="Y38" s="225"/>
      <c r="Z38" s="225"/>
      <c r="AA38" s="225"/>
      <c r="AB38" s="214"/>
      <c r="AC38" s="353"/>
      <c r="AD38" s="353"/>
      <c r="AE38" s="353"/>
      <c r="AF38" s="354"/>
      <c r="AG38" s="354"/>
      <c r="AH38" s="354"/>
      <c r="AI38" s="214"/>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row>
    <row r="39" spans="1:66" ht="15.6" customHeight="1" x14ac:dyDescent="0.3">
      <c r="A39" s="214"/>
      <c r="B39" s="232">
        <v>2025</v>
      </c>
      <c r="C39" s="255"/>
      <c r="D39" s="256"/>
      <c r="E39" s="256"/>
      <c r="F39" s="256"/>
      <c r="G39" s="257"/>
      <c r="H39" s="256"/>
      <c r="I39" s="249"/>
      <c r="J39" s="249"/>
      <c r="K39" s="249"/>
      <c r="L39" s="249"/>
      <c r="M39" s="214"/>
      <c r="N39" s="232">
        <v>2025</v>
      </c>
      <c r="O39" s="250"/>
      <c r="P39" s="225"/>
      <c r="Q39" s="225"/>
      <c r="R39" s="225"/>
      <c r="S39" s="225"/>
      <c r="T39" s="258"/>
      <c r="U39" s="258"/>
      <c r="V39" s="258"/>
      <c r="W39" s="258"/>
      <c r="X39" s="225"/>
      <c r="Y39" s="225"/>
      <c r="Z39" s="225"/>
      <c r="AA39" s="225"/>
      <c r="AB39" s="214"/>
      <c r="AC39" s="353"/>
      <c r="AD39" s="353"/>
      <c r="AE39" s="353"/>
      <c r="AF39" s="354"/>
      <c r="AG39" s="354"/>
      <c r="AH39" s="354"/>
      <c r="AI39" s="214"/>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row>
    <row r="40" spans="1:66" ht="15.6" customHeight="1" x14ac:dyDescent="0.3">
      <c r="A40" s="214"/>
      <c r="B40" s="240">
        <v>2026</v>
      </c>
      <c r="C40" s="251"/>
      <c r="D40" s="256"/>
      <c r="E40" s="256"/>
      <c r="F40" s="256"/>
      <c r="G40" s="259"/>
      <c r="H40" s="256"/>
      <c r="I40" s="235"/>
      <c r="J40" s="235"/>
      <c r="K40" s="235"/>
      <c r="L40" s="235"/>
      <c r="M40" s="214"/>
      <c r="N40" s="240">
        <v>2026</v>
      </c>
      <c r="O40" s="252"/>
      <c r="P40" s="225"/>
      <c r="Q40" s="225"/>
      <c r="R40" s="225"/>
      <c r="S40" s="225"/>
      <c r="T40" s="253"/>
      <c r="U40" s="253"/>
      <c r="V40" s="253"/>
      <c r="W40" s="253"/>
      <c r="X40" s="225"/>
      <c r="Y40" s="225"/>
      <c r="Z40" s="225"/>
      <c r="AA40" s="225"/>
      <c r="AB40" s="214"/>
      <c r="AC40" s="353"/>
      <c r="AD40" s="353"/>
      <c r="AE40" s="353"/>
      <c r="AF40" s="351"/>
      <c r="AG40" s="351"/>
      <c r="AH40" s="351"/>
      <c r="AI40" s="214"/>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row>
    <row r="41" spans="1:66" ht="12.6" customHeight="1" x14ac:dyDescent="0.3">
      <c r="A41" s="214"/>
      <c r="B41" s="214"/>
      <c r="C41" s="214"/>
      <c r="D41" s="214"/>
      <c r="E41" s="214"/>
      <c r="F41" s="214"/>
      <c r="G41" s="214"/>
      <c r="H41" s="214"/>
      <c r="I41" s="260"/>
      <c r="J41" s="214"/>
      <c r="K41" s="214"/>
      <c r="L41" s="214"/>
      <c r="M41" s="214"/>
      <c r="N41" s="214"/>
      <c r="O41" s="214"/>
      <c r="P41" s="214"/>
      <c r="Q41" s="214"/>
      <c r="R41" s="214"/>
      <c r="S41" s="214"/>
      <c r="T41" s="260"/>
      <c r="U41" s="214"/>
      <c r="V41" s="214"/>
      <c r="W41" s="214"/>
      <c r="X41" s="413" t="s">
        <v>190</v>
      </c>
      <c r="Y41" s="414"/>
      <c r="Z41" s="414"/>
      <c r="AA41" s="415"/>
      <c r="AB41" s="214"/>
      <c r="AC41" s="214"/>
      <c r="AD41" s="214"/>
      <c r="AE41" s="214"/>
      <c r="AF41" s="260"/>
      <c r="AG41" s="214"/>
      <c r="AH41" s="214"/>
      <c r="AI41" s="214"/>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row>
    <row r="42" spans="1:66" ht="12.6" customHeight="1" x14ac:dyDescent="0.3">
      <c r="A42" s="214"/>
      <c r="B42" s="214"/>
      <c r="C42" s="214"/>
      <c r="D42" s="214"/>
      <c r="E42" s="214"/>
      <c r="F42" s="214"/>
      <c r="G42" s="214"/>
      <c r="H42" s="214"/>
      <c r="I42" s="214"/>
      <c r="J42" s="214"/>
      <c r="K42" s="214"/>
      <c r="L42" s="214"/>
      <c r="M42" s="214"/>
      <c r="N42" s="214"/>
      <c r="O42" s="214"/>
      <c r="P42" s="214"/>
      <c r="Q42" s="214"/>
      <c r="R42" s="214"/>
      <c r="S42" s="214"/>
      <c r="T42" s="214"/>
      <c r="U42" s="214"/>
      <c r="V42" s="214"/>
      <c r="W42" s="416">
        <v>2023</v>
      </c>
      <c r="X42" s="417">
        <f>(($M37-$H37)/1000000)/T37</f>
        <v>0.10343800480480618</v>
      </c>
      <c r="Y42" s="417">
        <f t="shared" ref="Y42:Z42" si="9">(($M37-$H37)/1000000)/U37</f>
        <v>0.11640663633241445</v>
      </c>
      <c r="Z42" s="417">
        <f t="shared" si="9"/>
        <v>8.1424740824162969E-2</v>
      </c>
      <c r="AA42" s="417">
        <f>AVERAGE(X42:Z42)</f>
        <v>0.1004231273204612</v>
      </c>
      <c r="AB42" s="214"/>
      <c r="AC42" s="214"/>
      <c r="AD42" s="214"/>
      <c r="AE42" s="214"/>
      <c r="AF42" s="214"/>
      <c r="AG42" s="214"/>
      <c r="AH42" s="214"/>
      <c r="AI42" s="214"/>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row>
    <row r="43" spans="1:66" ht="12.6" customHeight="1" thickBot="1" x14ac:dyDescent="0.35">
      <c r="A43" s="214"/>
      <c r="B43" s="214"/>
      <c r="C43" s="214"/>
      <c r="D43" s="214"/>
      <c r="E43" s="214"/>
      <c r="F43" s="214"/>
      <c r="G43" s="214"/>
      <c r="H43" s="214"/>
      <c r="I43" s="214"/>
      <c r="J43" s="214"/>
      <c r="K43" s="214"/>
      <c r="L43" s="214"/>
      <c r="M43" s="214"/>
      <c r="N43" s="214"/>
      <c r="O43" s="214"/>
      <c r="P43" s="214"/>
      <c r="Q43" s="214"/>
      <c r="R43" s="214"/>
      <c r="S43" s="214"/>
      <c r="T43" s="214"/>
      <c r="U43" s="214"/>
      <c r="V43" s="214"/>
      <c r="W43" s="214"/>
      <c r="X43" s="214"/>
      <c r="Y43" s="214"/>
      <c r="Z43" s="214"/>
      <c r="AA43" s="214"/>
      <c r="AB43" s="214"/>
      <c r="AC43" s="214"/>
      <c r="AD43" s="214"/>
      <c r="AE43" s="214"/>
      <c r="AF43" s="214"/>
      <c r="AG43" s="214"/>
      <c r="AH43" s="214"/>
      <c r="AI43" s="214"/>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row>
    <row r="44" spans="1:66" ht="18" customHeight="1" thickBot="1" x14ac:dyDescent="0.35">
      <c r="A44" s="214"/>
      <c r="B44" s="216" t="s">
        <v>191</v>
      </c>
      <c r="C44" s="221"/>
      <c r="D44" s="222" t="s">
        <v>160</v>
      </c>
      <c r="E44" s="223"/>
      <c r="F44" s="224" t="s">
        <v>161</v>
      </c>
      <c r="G44" s="222"/>
      <c r="H44" s="222"/>
      <c r="I44" s="222"/>
      <c r="J44" s="223"/>
      <c r="K44" s="214"/>
      <c r="L44" s="214"/>
      <c r="M44" s="214"/>
      <c r="N44" s="214"/>
      <c r="O44" s="214"/>
      <c r="P44" s="214"/>
      <c r="Q44" s="214"/>
      <c r="R44" s="214"/>
      <c r="S44" s="214"/>
      <c r="T44" s="214"/>
      <c r="U44" s="216" t="s">
        <v>192</v>
      </c>
      <c r="V44" s="221"/>
      <c r="W44" s="222" t="s">
        <v>160</v>
      </c>
      <c r="X44" s="223"/>
      <c r="Y44" s="224" t="s">
        <v>161</v>
      </c>
      <c r="Z44" s="222"/>
      <c r="AA44" s="222"/>
      <c r="AB44" s="222"/>
      <c r="AC44" s="223"/>
      <c r="AD44" s="214"/>
      <c r="AE44" s="214"/>
      <c r="AF44" s="214"/>
      <c r="AG44" s="214"/>
      <c r="AH44" s="214"/>
      <c r="AI44" s="214"/>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row>
    <row r="45" spans="1:66" ht="42" customHeight="1" x14ac:dyDescent="0.3">
      <c r="A45" s="214"/>
      <c r="B45" s="227"/>
      <c r="C45" s="231" t="s">
        <v>193</v>
      </c>
      <c r="D45" s="228" t="s">
        <v>194</v>
      </c>
      <c r="E45" s="228" t="s">
        <v>170</v>
      </c>
      <c r="F45" s="229" t="s">
        <v>195</v>
      </c>
      <c r="G45" s="229" t="s">
        <v>196</v>
      </c>
      <c r="H45" s="261" t="s">
        <v>197</v>
      </c>
      <c r="I45" s="261" t="s">
        <v>198</v>
      </c>
      <c r="J45" s="261" t="s">
        <v>199</v>
      </c>
      <c r="K45" s="411" t="s">
        <v>176</v>
      </c>
      <c r="L45" s="214"/>
      <c r="M45" s="214"/>
      <c r="N45" s="214"/>
      <c r="O45" s="214"/>
      <c r="P45" s="214"/>
      <c r="Q45" s="214"/>
      <c r="R45" s="214"/>
      <c r="S45" s="214"/>
      <c r="T45" s="214"/>
      <c r="U45" s="227"/>
      <c r="V45" s="231" t="s">
        <v>193</v>
      </c>
      <c r="W45" s="228" t="s">
        <v>194</v>
      </c>
      <c r="X45" s="228" t="s">
        <v>170</v>
      </c>
      <c r="Y45" s="229" t="s">
        <v>195</v>
      </c>
      <c r="Z45" s="229" t="s">
        <v>196</v>
      </c>
      <c r="AA45" s="261" t="s">
        <v>197</v>
      </c>
      <c r="AB45" s="261" t="s">
        <v>198</v>
      </c>
      <c r="AC45" s="261" t="s">
        <v>199</v>
      </c>
      <c r="AD45" s="214"/>
      <c r="AE45" s="214"/>
      <c r="AF45" s="214"/>
      <c r="AG45" s="214"/>
      <c r="AH45" s="214"/>
      <c r="AI45" s="214"/>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row>
    <row r="46" spans="1:66" ht="15" customHeight="1" x14ac:dyDescent="0.3">
      <c r="A46" s="214"/>
      <c r="B46" s="232">
        <v>2019</v>
      </c>
      <c r="C46" s="262">
        <f>C33/1000000</f>
        <v>935.1605590235996</v>
      </c>
      <c r="D46" s="263">
        <f>F33/1000000</f>
        <v>983.80825405823282</v>
      </c>
      <c r="E46" s="264"/>
      <c r="F46" s="262">
        <f>H33/1000000</f>
        <v>983.80825405823282</v>
      </c>
      <c r="G46" s="264"/>
      <c r="H46" s="264"/>
      <c r="I46" s="264"/>
      <c r="J46" s="264"/>
      <c r="K46" s="214"/>
      <c r="L46" s="214"/>
      <c r="M46" s="214"/>
      <c r="N46" s="214"/>
      <c r="O46" s="214"/>
      <c r="P46" s="214"/>
      <c r="Q46" s="214"/>
      <c r="R46" s="214"/>
      <c r="S46" s="214"/>
      <c r="T46" s="214"/>
      <c r="U46" s="232">
        <v>2019</v>
      </c>
      <c r="V46" s="355">
        <f>C33/1000000/D33</f>
        <v>6.4077729205153117E-2</v>
      </c>
      <c r="W46" s="355">
        <f>F33/(D33*1000000)</f>
        <v>6.7411096720287403E-2</v>
      </c>
      <c r="X46" s="264"/>
      <c r="Y46" s="355">
        <f>H33/($D33*1000000)</f>
        <v>6.7411096720287403E-2</v>
      </c>
      <c r="Z46" s="355"/>
      <c r="AA46" s="355"/>
      <c r="AB46" s="355"/>
      <c r="AC46" s="355"/>
      <c r="AD46" s="214"/>
      <c r="AE46" s="214"/>
      <c r="AF46" s="214"/>
      <c r="AG46" s="214"/>
      <c r="AH46" s="214"/>
      <c r="AI46" s="214"/>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row>
    <row r="47" spans="1:66" ht="15" customHeight="1" x14ac:dyDescent="0.3">
      <c r="A47" s="214"/>
      <c r="B47" s="240">
        <v>2020</v>
      </c>
      <c r="C47" s="262">
        <f t="shared" ref="C47:C49" si="10">C34/1000000</f>
        <v>899.97203157599881</v>
      </c>
      <c r="D47" s="263">
        <f>F34/1000000</f>
        <v>1017.8613141027589</v>
      </c>
      <c r="E47" s="264"/>
      <c r="F47" s="264"/>
      <c r="G47" s="264"/>
      <c r="H47" s="264"/>
      <c r="I47" s="264"/>
      <c r="J47" s="264"/>
      <c r="K47" s="214"/>
      <c r="L47" s="214"/>
      <c r="M47" s="214"/>
      <c r="N47" s="214"/>
      <c r="O47" s="214"/>
      <c r="P47" s="214"/>
      <c r="Q47" s="214"/>
      <c r="R47" s="214"/>
      <c r="S47" s="214"/>
      <c r="T47" s="214"/>
      <c r="U47" s="240">
        <v>2020</v>
      </c>
      <c r="V47" s="355">
        <f t="shared" ref="V47:V50" si="11">C34/1000000/D34</f>
        <v>6.2629036017277012E-2</v>
      </c>
      <c r="W47" s="355">
        <f t="shared" ref="W47:W50" si="12">F34/(D34*1000000)</f>
        <v>7.0832948874979984E-2</v>
      </c>
      <c r="X47" s="264"/>
      <c r="Y47" s="355"/>
      <c r="Z47" s="355"/>
      <c r="AA47" s="355"/>
      <c r="AB47" s="355"/>
      <c r="AC47" s="355"/>
      <c r="AD47" s="214"/>
      <c r="AE47" s="214"/>
      <c r="AF47" s="214"/>
      <c r="AG47" s="214"/>
      <c r="AH47" s="214"/>
      <c r="AI47" s="214"/>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row>
    <row r="48" spans="1:66" ht="15" customHeight="1" x14ac:dyDescent="0.3">
      <c r="A48" s="214"/>
      <c r="B48" s="232">
        <v>2021</v>
      </c>
      <c r="C48" s="262">
        <f t="shared" si="10"/>
        <v>961.72159353119923</v>
      </c>
      <c r="D48" s="263">
        <f>F35/1000000</f>
        <v>1202.728231809916</v>
      </c>
      <c r="E48" s="264"/>
      <c r="F48" s="264"/>
      <c r="G48" s="264"/>
      <c r="H48" s="264"/>
      <c r="I48" s="264"/>
      <c r="J48" s="264"/>
      <c r="K48" s="214"/>
      <c r="L48" s="214"/>
      <c r="M48" s="214"/>
      <c r="N48" s="214"/>
      <c r="O48" s="214"/>
      <c r="P48" s="214"/>
      <c r="Q48" s="214"/>
      <c r="R48" s="214"/>
      <c r="S48" s="214"/>
      <c r="T48" s="214"/>
      <c r="U48" s="232">
        <v>2021</v>
      </c>
      <c r="V48" s="355">
        <f t="shared" si="11"/>
        <v>5.7690722755362904E-2</v>
      </c>
      <c r="W48" s="355">
        <f t="shared" si="12"/>
        <v>7.2147970304612646E-2</v>
      </c>
      <c r="X48" s="264"/>
      <c r="Y48" s="355"/>
      <c r="Z48" s="355"/>
      <c r="AA48" s="355"/>
      <c r="AB48" s="355"/>
      <c r="AC48" s="355"/>
      <c r="AD48" s="214"/>
      <c r="AE48" s="214"/>
      <c r="AF48" s="214"/>
      <c r="AG48" s="214"/>
      <c r="AH48" s="214"/>
      <c r="AI48" s="214"/>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row>
    <row r="49" spans="1:66" ht="15" customHeight="1" x14ac:dyDescent="0.3">
      <c r="A49" s="214"/>
      <c r="B49" s="240">
        <v>2022</v>
      </c>
      <c r="C49" s="262">
        <f t="shared" si="10"/>
        <v>1007.2192278479994</v>
      </c>
      <c r="D49" s="263">
        <f>F36/1000000</f>
        <v>1372.618798205918</v>
      </c>
      <c r="E49" s="264"/>
      <c r="F49" s="264"/>
      <c r="G49" s="264"/>
      <c r="H49" s="264"/>
      <c r="I49" s="264"/>
      <c r="J49" s="264"/>
      <c r="K49" s="214"/>
      <c r="L49" s="214"/>
      <c r="M49" s="214"/>
      <c r="N49" s="214"/>
      <c r="O49" s="214"/>
      <c r="P49" s="214"/>
      <c r="Q49" s="214"/>
      <c r="R49" s="214"/>
      <c r="S49" s="214"/>
      <c r="T49" s="214"/>
      <c r="U49" s="240">
        <v>2022</v>
      </c>
      <c r="V49" s="355">
        <f t="shared" si="11"/>
        <v>5.5141006348960131E-2</v>
      </c>
      <c r="W49" s="355">
        <f t="shared" si="12"/>
        <v>7.5145092323432749E-2</v>
      </c>
      <c r="X49" s="264"/>
      <c r="Y49" s="355"/>
      <c r="Z49" s="355"/>
      <c r="AA49" s="355"/>
      <c r="AB49" s="355"/>
      <c r="AC49" s="355"/>
      <c r="AD49" s="214"/>
      <c r="AE49" s="214"/>
      <c r="AF49" s="214"/>
      <c r="AG49" s="214"/>
      <c r="AH49" s="214"/>
      <c r="AI49" s="214"/>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row>
    <row r="50" spans="1:66" ht="15" customHeight="1" x14ac:dyDescent="0.3">
      <c r="A50" s="214"/>
      <c r="B50" s="232">
        <v>2023</v>
      </c>
      <c r="C50" s="262">
        <f>C37/1000000</f>
        <v>1074.1207578251974</v>
      </c>
      <c r="D50" s="263">
        <f>F37/1000000</f>
        <v>1510.796382081202</v>
      </c>
      <c r="E50" s="264"/>
      <c r="F50" s="262">
        <f t="shared" ref="F50:J50" si="13">H37/1000000</f>
        <v>1510.796382081202</v>
      </c>
      <c r="G50" s="262">
        <f t="shared" si="13"/>
        <v>1558.3076912185402</v>
      </c>
      <c r="H50" s="262">
        <f t="shared" si="13"/>
        <v>1442.4595161115888</v>
      </c>
      <c r="I50" s="262">
        <f t="shared" si="13"/>
        <v>1455.365930586255</v>
      </c>
      <c r="J50" s="262">
        <f t="shared" si="13"/>
        <v>1411.1398406113344</v>
      </c>
      <c r="K50" s="418">
        <f>M37/1000000</f>
        <v>1522.7794861745429</v>
      </c>
      <c r="L50" s="214"/>
      <c r="M50" s="214"/>
      <c r="N50" s="214"/>
      <c r="O50" s="214"/>
      <c r="P50" s="214"/>
      <c r="Q50" s="214"/>
      <c r="R50" s="214"/>
      <c r="S50" s="214"/>
      <c r="T50" s="214"/>
      <c r="U50" s="232">
        <v>2023</v>
      </c>
      <c r="V50" s="355">
        <f t="shared" si="11"/>
        <v>5.2288420799518773E-2</v>
      </c>
      <c r="W50" s="355">
        <f t="shared" si="12"/>
        <v>7.3545880566166691E-2</v>
      </c>
      <c r="X50" s="264"/>
      <c r="Y50" s="355">
        <f>H37/($D37*1000000)</f>
        <v>7.3545880566166691E-2</v>
      </c>
      <c r="Z50" s="355">
        <f t="shared" ref="Z50:AC50" si="14">I37/($D37*1000000)</f>
        <v>7.5858740928291313E-2</v>
      </c>
      <c r="AA50" s="355">
        <f t="shared" si="14"/>
        <v>7.0219227787223781E-2</v>
      </c>
      <c r="AB50" s="355">
        <f t="shared" si="14"/>
        <v>7.0847514715064897E-2</v>
      </c>
      <c r="AC50" s="355">
        <f t="shared" si="14"/>
        <v>6.869457950170188E-2</v>
      </c>
      <c r="AD50" s="214"/>
      <c r="AE50" s="214"/>
      <c r="AF50" s="214"/>
      <c r="AG50" s="214"/>
      <c r="AH50" s="214"/>
      <c r="AI50" s="214"/>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row>
    <row r="51" spans="1:66" ht="15" customHeight="1" x14ac:dyDescent="0.3">
      <c r="A51" s="214"/>
      <c r="B51" s="240">
        <v>2024</v>
      </c>
      <c r="C51" s="264"/>
      <c r="D51" s="264"/>
      <c r="E51" s="264"/>
      <c r="F51" s="264"/>
      <c r="G51" s="264"/>
      <c r="H51" s="264"/>
      <c r="I51" s="264"/>
      <c r="J51" s="264"/>
      <c r="K51" s="214"/>
      <c r="L51" s="214"/>
      <c r="M51" s="214"/>
      <c r="N51" s="214"/>
      <c r="O51" s="214"/>
      <c r="P51" s="214"/>
      <c r="Q51" s="214"/>
      <c r="R51" s="214"/>
      <c r="S51" s="214"/>
      <c r="T51" s="214"/>
      <c r="U51" s="240">
        <v>2024</v>
      </c>
      <c r="V51" s="264"/>
      <c r="W51" s="264"/>
      <c r="X51" s="264"/>
      <c r="Y51" s="355"/>
      <c r="Z51" s="355"/>
      <c r="AA51" s="355"/>
      <c r="AB51" s="355"/>
      <c r="AC51" s="355"/>
      <c r="AD51" s="214"/>
      <c r="AE51" s="214"/>
      <c r="AF51" s="214"/>
      <c r="AG51" s="214"/>
      <c r="AH51" s="214"/>
      <c r="AI51" s="214"/>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row>
    <row r="52" spans="1:66" ht="15" customHeight="1" x14ac:dyDescent="0.3">
      <c r="A52" s="214"/>
      <c r="B52" s="232">
        <v>2025</v>
      </c>
      <c r="C52" s="264"/>
      <c r="D52" s="264"/>
      <c r="E52" s="264"/>
      <c r="F52" s="264"/>
      <c r="G52" s="264"/>
      <c r="H52" s="264"/>
      <c r="I52" s="264"/>
      <c r="J52" s="264"/>
      <c r="K52" s="214"/>
      <c r="L52" s="214"/>
      <c r="M52" s="214"/>
      <c r="N52" s="214"/>
      <c r="O52" s="214"/>
      <c r="P52" s="214"/>
      <c r="Q52" s="214"/>
      <c r="R52" s="214"/>
      <c r="S52" s="214"/>
      <c r="T52" s="214"/>
      <c r="U52" s="232">
        <v>2025</v>
      </c>
      <c r="V52" s="264"/>
      <c r="W52" s="264"/>
      <c r="X52" s="264"/>
      <c r="Y52" s="355"/>
      <c r="Z52" s="355"/>
      <c r="AA52" s="355"/>
      <c r="AB52" s="355"/>
      <c r="AC52" s="355"/>
      <c r="AD52" s="214"/>
      <c r="AE52" s="214"/>
      <c r="AF52" s="214"/>
      <c r="AG52" s="214"/>
      <c r="AH52" s="214"/>
      <c r="AI52" s="214"/>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row>
    <row r="53" spans="1:66" ht="15" customHeight="1" x14ac:dyDescent="0.3">
      <c r="A53" s="214"/>
      <c r="B53" s="240">
        <v>2026</v>
      </c>
      <c r="C53" s="262"/>
      <c r="D53" s="264"/>
      <c r="E53" s="264"/>
      <c r="F53" s="264"/>
      <c r="G53" s="262"/>
      <c r="H53" s="262"/>
      <c r="I53" s="262"/>
      <c r="J53" s="262"/>
      <c r="K53" s="214"/>
      <c r="L53" s="214"/>
      <c r="M53" s="214"/>
      <c r="N53" s="214"/>
      <c r="O53" s="214"/>
      <c r="P53" s="214"/>
      <c r="Q53" s="214"/>
      <c r="R53" s="214"/>
      <c r="S53" s="214"/>
      <c r="T53" s="214"/>
      <c r="U53" s="240">
        <v>2026</v>
      </c>
      <c r="V53" s="262"/>
      <c r="W53" s="264"/>
      <c r="X53" s="264"/>
      <c r="Y53" s="355"/>
      <c r="Z53" s="355"/>
      <c r="AA53" s="355"/>
      <c r="AB53" s="355"/>
      <c r="AC53" s="355"/>
      <c r="AD53" s="214"/>
      <c r="AE53" s="214"/>
      <c r="AF53" s="214"/>
      <c r="AG53" s="214"/>
      <c r="AH53" s="214"/>
      <c r="AI53" s="214"/>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row>
    <row r="54" spans="1:66" ht="12.6" customHeight="1" x14ac:dyDescent="0.3">
      <c r="A54" s="214"/>
      <c r="B54" s="214"/>
      <c r="C54" s="214"/>
      <c r="D54" s="214"/>
      <c r="E54" s="214"/>
      <c r="F54" s="214"/>
      <c r="G54" s="214"/>
      <c r="H54" s="214"/>
      <c r="I54" s="214"/>
      <c r="J54" s="214"/>
      <c r="K54" s="214"/>
      <c r="L54" s="214"/>
      <c r="M54" s="214"/>
      <c r="N54" s="214"/>
      <c r="O54" s="214"/>
      <c r="P54" s="214"/>
      <c r="Q54" s="214"/>
      <c r="R54" s="214"/>
      <c r="S54" s="214"/>
      <c r="T54" s="214"/>
      <c r="U54" s="214"/>
      <c r="V54" s="214"/>
      <c r="W54" s="214"/>
      <c r="X54" s="214"/>
      <c r="Y54" s="214"/>
      <c r="Z54" s="214"/>
      <c r="AA54" s="214"/>
      <c r="AB54" s="214"/>
      <c r="AC54" s="214"/>
      <c r="AD54" s="214"/>
      <c r="AE54" s="214"/>
      <c r="AF54" s="214"/>
      <c r="AG54" s="214"/>
      <c r="AH54" s="214"/>
      <c r="AI54" s="214"/>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row>
    <row r="55" spans="1:66" ht="12.6" customHeight="1" x14ac:dyDescent="0.3">
      <c r="A55" s="214"/>
      <c r="B55" s="214"/>
      <c r="C55" s="214"/>
      <c r="D55" s="214"/>
      <c r="E55" s="214"/>
      <c r="F55" s="214"/>
      <c r="G55" s="214"/>
      <c r="H55" s="214"/>
      <c r="I55" s="214"/>
      <c r="J55" s="214"/>
      <c r="K55" s="214"/>
      <c r="L55" s="214"/>
      <c r="M55" s="214"/>
      <c r="N55" s="214"/>
      <c r="O55" s="214"/>
      <c r="P55" s="214"/>
      <c r="Q55" s="214"/>
      <c r="R55" s="214"/>
      <c r="S55" s="214"/>
      <c r="T55" s="214"/>
      <c r="U55" s="214"/>
      <c r="V55" s="214"/>
      <c r="W55" s="214"/>
      <c r="X55" s="214"/>
      <c r="Y55" s="214"/>
      <c r="Z55" s="214"/>
      <c r="AA55" s="214"/>
      <c r="AB55" s="214"/>
      <c r="AC55" s="214"/>
      <c r="AD55" s="214"/>
      <c r="AE55" s="214"/>
      <c r="AF55" s="214"/>
      <c r="AG55" s="214"/>
      <c r="AH55" s="214"/>
      <c r="AI55" s="214"/>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row>
    <row r="56" spans="1:66" ht="12.6" customHeight="1" x14ac:dyDescent="0.3">
      <c r="A56" s="214"/>
      <c r="B56" s="214"/>
      <c r="C56" s="214"/>
      <c r="D56" s="214"/>
      <c r="E56" s="214"/>
      <c r="F56" s="214"/>
      <c r="G56" s="214"/>
      <c r="H56" s="214"/>
      <c r="I56" s="214"/>
      <c r="J56" s="214"/>
      <c r="K56" s="214"/>
      <c r="L56" s="214"/>
      <c r="M56" s="214"/>
      <c r="N56" s="214"/>
      <c r="O56" s="214"/>
      <c r="P56" s="214"/>
      <c r="Q56" s="214"/>
      <c r="R56" s="214"/>
      <c r="S56" s="214"/>
      <c r="T56" s="214"/>
      <c r="U56" s="214"/>
      <c r="V56" s="214"/>
      <c r="W56" s="214"/>
      <c r="X56" s="214"/>
      <c r="Y56" s="214"/>
      <c r="Z56" s="214"/>
      <c r="AA56" s="214"/>
      <c r="AB56" s="214"/>
      <c r="AC56" s="214"/>
      <c r="AD56" s="214"/>
      <c r="AE56" s="214"/>
      <c r="AF56" s="214"/>
      <c r="AG56" s="214"/>
      <c r="AH56" s="214"/>
      <c r="AI56" s="214"/>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row>
    <row r="57" spans="1:66" ht="12.6" customHeight="1" x14ac:dyDescent="0.3">
      <c r="A57" s="214"/>
      <c r="B57" s="214"/>
      <c r="C57" s="214"/>
      <c r="D57" s="214"/>
      <c r="E57" s="214"/>
      <c r="F57" s="214"/>
      <c r="G57" s="214"/>
      <c r="H57" s="214"/>
      <c r="I57" s="214"/>
      <c r="J57" s="214"/>
      <c r="K57" s="214"/>
      <c r="L57" s="214"/>
      <c r="M57" s="214"/>
      <c r="N57" s="214"/>
      <c r="O57" s="214"/>
      <c r="P57" s="214"/>
      <c r="Q57" s="214"/>
      <c r="R57" s="214"/>
      <c r="S57" s="214"/>
      <c r="T57" s="214"/>
      <c r="U57" s="214"/>
      <c r="V57" s="214"/>
      <c r="W57" s="214"/>
      <c r="X57" s="214"/>
      <c r="Y57" s="214"/>
      <c r="Z57" s="214"/>
      <c r="AA57" s="214"/>
      <c r="AB57" s="214"/>
      <c r="AC57" s="214"/>
      <c r="AD57" s="214"/>
      <c r="AE57" s="214"/>
      <c r="AF57" s="214"/>
      <c r="AG57" s="214"/>
      <c r="AH57" s="214"/>
      <c r="AI57" s="214"/>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row>
    <row r="58" spans="1:66" ht="12.6" customHeight="1" x14ac:dyDescent="0.3">
      <c r="A58" s="214"/>
      <c r="B58" s="214"/>
      <c r="C58" s="214"/>
      <c r="D58" s="214"/>
      <c r="E58" s="214"/>
      <c r="F58" s="214"/>
      <c r="G58" s="214"/>
      <c r="H58" s="214"/>
      <c r="I58" s="214"/>
      <c r="J58" s="214"/>
      <c r="K58" s="214"/>
      <c r="L58" s="214"/>
      <c r="M58" s="214"/>
      <c r="N58" s="214"/>
      <c r="O58" s="214"/>
      <c r="P58" s="214"/>
      <c r="Q58" s="214"/>
      <c r="R58" s="214"/>
      <c r="S58" s="214"/>
      <c r="T58" s="214"/>
      <c r="U58" s="214"/>
      <c r="V58" s="214"/>
      <c r="W58" s="214"/>
      <c r="X58" s="214"/>
      <c r="Y58" s="214"/>
      <c r="Z58" s="214"/>
      <c r="AA58" s="214"/>
      <c r="AB58" s="214"/>
      <c r="AC58" s="214"/>
      <c r="AD58" s="214"/>
      <c r="AE58" s="214"/>
      <c r="AF58" s="214"/>
      <c r="AG58" s="214"/>
      <c r="AH58" s="214"/>
      <c r="AI58" s="214"/>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row>
    <row r="59" spans="1:66" ht="12.6"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row>
    <row r="60" spans="1:66" ht="12" customHeight="1" thickBot="1" x14ac:dyDescent="0.35">
      <c r="A60" s="98"/>
      <c r="B60" s="98"/>
      <c r="C60" s="98"/>
      <c r="D60" s="98"/>
      <c r="E60" s="98"/>
      <c r="F60" s="98"/>
      <c r="G60" s="98"/>
      <c r="H60" s="98"/>
      <c r="I60" s="98"/>
      <c r="J60" s="98"/>
      <c r="K60" s="98"/>
      <c r="L60" s="98"/>
      <c r="M60" s="98"/>
      <c r="N60" s="98"/>
      <c r="O60" s="98"/>
      <c r="P60" s="98"/>
      <c r="Q60" s="98"/>
      <c r="R60" s="98"/>
      <c r="S60" s="98"/>
      <c r="T60" s="265"/>
      <c r="U60" s="265"/>
      <c r="V60" s="265"/>
      <c r="W60" s="265"/>
      <c r="X60" s="55"/>
      <c r="Y60" s="55"/>
      <c r="Z60" s="55"/>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row>
    <row r="61" spans="1:66" ht="12" customHeight="1" thickBot="1" x14ac:dyDescent="0.35">
      <c r="A61" s="98"/>
      <c r="B61" s="266" t="s">
        <v>200</v>
      </c>
      <c r="C61" s="267"/>
      <c r="D61" s="267"/>
      <c r="E61" s="267"/>
      <c r="F61" s="267"/>
      <c r="G61" s="267"/>
      <c r="H61" s="267"/>
      <c r="I61" s="267"/>
      <c r="J61" s="267"/>
      <c r="K61" s="267"/>
      <c r="L61" s="267"/>
      <c r="M61" s="267"/>
      <c r="N61" s="267"/>
      <c r="O61" s="267"/>
      <c r="P61" s="267"/>
      <c r="Q61" s="267"/>
      <c r="R61" s="267"/>
      <c r="S61" s="267"/>
      <c r="T61" s="268"/>
      <c r="U61" s="268"/>
      <c r="V61" s="269"/>
      <c r="W61" s="265"/>
      <c r="X61" s="55"/>
      <c r="Y61" s="55"/>
      <c r="Z61" s="55"/>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row>
    <row r="62" spans="1:66" ht="21.6" customHeight="1" x14ac:dyDescent="0.3">
      <c r="A62" s="98"/>
      <c r="B62" s="270"/>
      <c r="C62" s="98"/>
      <c r="D62" s="98"/>
      <c r="E62" s="98"/>
      <c r="F62" s="98"/>
      <c r="G62" s="98"/>
      <c r="H62" s="98"/>
      <c r="I62" s="98"/>
      <c r="J62" s="98"/>
      <c r="K62" s="98"/>
      <c r="L62" s="98"/>
      <c r="M62" s="98"/>
      <c r="N62" s="98"/>
      <c r="O62" s="98"/>
      <c r="P62" s="98"/>
      <c r="Q62" s="98"/>
      <c r="R62" s="98"/>
      <c r="S62" s="98"/>
      <c r="T62" s="98"/>
      <c r="U62" s="98"/>
      <c r="V62" s="98"/>
      <c r="W62" s="98"/>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row>
    <row r="63" spans="1:66" ht="21" customHeight="1" x14ac:dyDescent="0.3">
      <c r="A63" s="98"/>
      <c r="B63" s="98"/>
      <c r="C63" s="98"/>
      <c r="D63" s="98"/>
      <c r="E63" s="98"/>
      <c r="F63" s="98"/>
      <c r="G63" s="98"/>
      <c r="H63" s="98"/>
      <c r="I63" s="98"/>
      <c r="J63" s="98"/>
      <c r="K63" s="98"/>
      <c r="L63" s="98"/>
      <c r="M63" s="98"/>
      <c r="N63" s="98"/>
      <c r="O63" s="98"/>
      <c r="P63" s="98"/>
      <c r="Q63" s="98"/>
      <c r="R63" s="98"/>
      <c r="S63" s="98"/>
      <c r="T63" s="98"/>
      <c r="U63" s="98"/>
      <c r="V63" s="98"/>
      <c r="W63" s="98"/>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row>
    <row r="64" spans="1:66" ht="42.6" customHeight="1" x14ac:dyDescent="0.3">
      <c r="A64" s="98"/>
      <c r="B64" s="356" t="s">
        <v>201</v>
      </c>
      <c r="C64" s="271" t="s">
        <v>202</v>
      </c>
      <c r="D64" s="272" t="s">
        <v>172</v>
      </c>
      <c r="E64" s="272" t="s">
        <v>173</v>
      </c>
      <c r="F64" s="273" t="s">
        <v>174</v>
      </c>
      <c r="G64" s="272" t="s">
        <v>175</v>
      </c>
      <c r="H64" s="274"/>
      <c r="I64" s="274"/>
      <c r="J64" s="274"/>
      <c r="K64" s="274"/>
      <c r="L64" s="274"/>
      <c r="M64" s="274"/>
      <c r="N64" s="274"/>
      <c r="O64" s="274"/>
      <c r="P64" s="274"/>
      <c r="Q64" s="274"/>
      <c r="R64" s="274"/>
      <c r="S64" s="274"/>
      <c r="T64" s="274"/>
      <c r="U64" s="274"/>
      <c r="V64" s="274"/>
      <c r="W64" s="98"/>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row>
    <row r="65" spans="1:66" ht="15.6" customHeight="1" x14ac:dyDescent="0.3">
      <c r="A65" s="98"/>
      <c r="B65" s="275">
        <v>2019</v>
      </c>
      <c r="C65" s="357">
        <f>C22/P22*100</f>
        <v>12.373339020775758</v>
      </c>
      <c r="D65" s="276"/>
      <c r="E65" s="276"/>
      <c r="F65" s="276"/>
      <c r="G65" s="276"/>
      <c r="H65" s="277"/>
      <c r="I65" s="277"/>
      <c r="J65" s="277"/>
      <c r="K65" s="277"/>
      <c r="L65" s="277"/>
      <c r="M65" s="277"/>
      <c r="N65" s="277"/>
      <c r="O65" s="277"/>
      <c r="P65" s="277"/>
      <c r="Q65" s="277"/>
      <c r="R65" s="277"/>
      <c r="S65" s="277"/>
      <c r="T65" s="277"/>
      <c r="U65" s="277"/>
      <c r="V65" s="277"/>
      <c r="W65" s="278"/>
      <c r="X65" s="44"/>
      <c r="Y65" s="44"/>
      <c r="Z65" s="44"/>
      <c r="AA65" s="46"/>
      <c r="AB65" s="46"/>
      <c r="AC65" s="46"/>
      <c r="AD65" s="46"/>
      <c r="AE65" s="46"/>
      <c r="AF65" s="46"/>
      <c r="AG65" s="44"/>
      <c r="AH65" s="44"/>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row>
    <row r="66" spans="1:66" s="51" customFormat="1" ht="15.6" customHeight="1" x14ac:dyDescent="0.3">
      <c r="A66" s="279"/>
      <c r="B66" s="280">
        <v>2020</v>
      </c>
      <c r="C66" s="357">
        <f>D22/Q22*100</f>
        <v>12.07451630491955</v>
      </c>
      <c r="D66" s="276"/>
      <c r="E66" s="276"/>
      <c r="F66" s="276"/>
      <c r="G66" s="276"/>
      <c r="H66" s="281"/>
      <c r="I66" s="281"/>
      <c r="J66" s="281"/>
      <c r="K66" s="281"/>
      <c r="L66" s="281"/>
      <c r="M66" s="281"/>
      <c r="N66" s="281"/>
      <c r="O66" s="281"/>
      <c r="P66" s="281"/>
      <c r="Q66" s="281"/>
      <c r="R66" s="281"/>
      <c r="S66" s="281"/>
      <c r="T66" s="281"/>
      <c r="U66" s="281"/>
      <c r="V66" s="281"/>
      <c r="W66" s="282"/>
      <c r="X66" s="48"/>
      <c r="Y66" s="48"/>
      <c r="Z66" s="48"/>
      <c r="AA66" s="48"/>
      <c r="AB66" s="48"/>
      <c r="AC66" s="48"/>
      <c r="AD66" s="48"/>
      <c r="AE66" s="48"/>
      <c r="AF66" s="48"/>
      <c r="AG66" s="48"/>
      <c r="AH66" s="48"/>
      <c r="AI66" s="47"/>
      <c r="AJ66" s="47"/>
      <c r="AK66" s="47"/>
      <c r="AL66" s="47"/>
      <c r="AM66" s="47"/>
      <c r="AN66" s="47"/>
      <c r="AO66" s="47"/>
      <c r="AP66" s="47"/>
      <c r="AQ66" s="47"/>
      <c r="AR66" s="47"/>
      <c r="AS66" s="47"/>
      <c r="AT66" s="47"/>
      <c r="AU66" s="47"/>
      <c r="AV66" s="47"/>
      <c r="AW66" s="47"/>
      <c r="AX66" s="47"/>
      <c r="AY66" s="47"/>
      <c r="AZ66" s="47"/>
      <c r="BA66" s="47"/>
      <c r="BB66" s="47"/>
      <c r="BC66" s="47"/>
      <c r="BD66" s="47"/>
      <c r="BE66" s="47"/>
      <c r="BF66" s="47"/>
      <c r="BG66" s="47"/>
      <c r="BH66" s="47"/>
      <c r="BI66" s="47"/>
      <c r="BJ66" s="47"/>
      <c r="BK66" s="47"/>
      <c r="BL66" s="47"/>
      <c r="BM66" s="47"/>
      <c r="BN66" s="47"/>
    </row>
    <row r="67" spans="1:66" ht="15.6" customHeight="1" x14ac:dyDescent="0.3">
      <c r="A67" s="98"/>
      <c r="B67" s="275">
        <v>2021</v>
      </c>
      <c r="C67" s="357">
        <f>E22/R22*100</f>
        <v>12.397052787745759</v>
      </c>
      <c r="D67" s="276"/>
      <c r="E67" s="276"/>
      <c r="F67" s="276"/>
      <c r="G67" s="276"/>
      <c r="H67" s="281"/>
      <c r="I67" s="281"/>
      <c r="J67" s="281"/>
      <c r="K67" s="281"/>
      <c r="L67" s="281"/>
      <c r="M67" s="281"/>
      <c r="N67" s="281"/>
      <c r="O67" s="281"/>
      <c r="P67" s="281"/>
      <c r="Q67" s="281"/>
      <c r="R67" s="281"/>
      <c r="S67" s="281"/>
      <c r="T67" s="281"/>
      <c r="U67" s="281"/>
      <c r="V67" s="281"/>
      <c r="W67" s="283"/>
      <c r="X67" s="52"/>
      <c r="Y67" s="52"/>
      <c r="Z67" s="52"/>
      <c r="AA67" s="43"/>
      <c r="AB67" s="43"/>
      <c r="AC67" s="43"/>
      <c r="AD67" s="43"/>
      <c r="AE67" s="43"/>
      <c r="AF67" s="43"/>
      <c r="AG67" s="43"/>
      <c r="AH67" s="43"/>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row>
    <row r="68" spans="1:66" ht="15.6" customHeight="1" x14ac:dyDescent="0.3">
      <c r="A68" s="98"/>
      <c r="B68" s="280">
        <v>2022</v>
      </c>
      <c r="C68" s="357">
        <f>F22/S22*100</f>
        <v>12.557362505323489</v>
      </c>
      <c r="D68" s="276"/>
      <c r="E68" s="276"/>
      <c r="F68" s="276"/>
      <c r="G68" s="276"/>
      <c r="H68" s="284"/>
      <c r="I68" s="284"/>
      <c r="J68" s="284"/>
      <c r="K68" s="284"/>
      <c r="L68" s="284"/>
      <c r="M68" s="284"/>
      <c r="N68" s="284"/>
      <c r="O68" s="284"/>
      <c r="P68" s="284"/>
      <c r="Q68" s="284"/>
      <c r="R68" s="284"/>
      <c r="S68" s="284"/>
      <c r="T68" s="284"/>
      <c r="U68" s="284"/>
      <c r="V68" s="284"/>
      <c r="W68" s="98"/>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row>
    <row r="69" spans="1:66" ht="15.6" customHeight="1" x14ac:dyDescent="0.3">
      <c r="A69" s="98"/>
      <c r="B69" s="275">
        <v>2023</v>
      </c>
      <c r="C69" s="357">
        <f>G22/$T22*100</f>
        <v>12.848019466449855</v>
      </c>
      <c r="D69" s="357">
        <f>H22/$T22*100</f>
        <v>13.25206215010531</v>
      </c>
      <c r="E69" s="357">
        <f>I22/$T22*100</f>
        <v>12.266873393645337</v>
      </c>
      <c r="F69" s="357">
        <f>J22/$T22*100</f>
        <v>12.37663131097908</v>
      </c>
      <c r="G69" s="357">
        <f>K22/$T22*100</f>
        <v>12.000526581273549</v>
      </c>
      <c r="H69" s="277"/>
      <c r="I69" s="277"/>
      <c r="J69" s="277"/>
      <c r="K69" s="277"/>
      <c r="L69" s="277"/>
      <c r="M69" s="277"/>
      <c r="N69" s="277"/>
      <c r="O69" s="277"/>
      <c r="P69" s="277"/>
      <c r="Q69" s="277"/>
      <c r="R69" s="277"/>
      <c r="S69" s="277"/>
      <c r="T69" s="277"/>
      <c r="U69" s="277"/>
      <c r="V69" s="277"/>
      <c r="W69" s="98"/>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row>
    <row r="70" spans="1:66" ht="15.6" customHeight="1" x14ac:dyDescent="0.3">
      <c r="A70" s="98"/>
      <c r="B70" s="280">
        <v>2024</v>
      </c>
      <c r="C70" s="276"/>
      <c r="D70" s="358"/>
      <c r="E70" s="357"/>
      <c r="F70" s="357"/>
      <c r="G70" s="357"/>
      <c r="H70" s="284"/>
      <c r="I70" s="284"/>
      <c r="J70" s="284"/>
      <c r="K70" s="284"/>
      <c r="L70" s="284"/>
      <c r="M70" s="284"/>
      <c r="N70" s="284"/>
      <c r="O70" s="284"/>
      <c r="P70" s="284"/>
      <c r="Q70" s="284"/>
      <c r="R70" s="284"/>
      <c r="S70" s="284"/>
      <c r="T70" s="284"/>
      <c r="U70" s="284"/>
      <c r="V70" s="284"/>
      <c r="W70" s="98"/>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row>
    <row r="71" spans="1:66" ht="15.6" customHeight="1" x14ac:dyDescent="0.3">
      <c r="A71" s="98"/>
      <c r="B71" s="275">
        <v>2025</v>
      </c>
      <c r="C71" s="276"/>
      <c r="D71" s="358"/>
      <c r="E71" s="357"/>
      <c r="F71" s="357"/>
      <c r="G71" s="357"/>
      <c r="H71" s="284"/>
      <c r="I71" s="284"/>
      <c r="J71" s="284"/>
      <c r="K71" s="284"/>
      <c r="L71" s="284"/>
      <c r="M71" s="284"/>
      <c r="N71" s="284"/>
      <c r="O71" s="284"/>
      <c r="P71" s="284"/>
      <c r="Q71" s="284"/>
      <c r="R71" s="284"/>
      <c r="S71" s="284"/>
      <c r="T71" s="284"/>
      <c r="U71" s="284"/>
      <c r="V71" s="284"/>
      <c r="W71" s="98"/>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row>
    <row r="72" spans="1:66" ht="15.6" customHeight="1" x14ac:dyDescent="0.3">
      <c r="A72" s="98"/>
      <c r="B72" s="280">
        <v>2026</v>
      </c>
      <c r="C72" s="276"/>
      <c r="D72" s="357"/>
      <c r="E72" s="357"/>
      <c r="F72" s="357"/>
      <c r="G72" s="357"/>
      <c r="H72" s="277"/>
      <c r="I72" s="277"/>
      <c r="J72" s="277"/>
      <c r="K72" s="277"/>
      <c r="L72" s="277"/>
      <c r="M72" s="277"/>
      <c r="N72" s="277"/>
      <c r="O72" s="277"/>
      <c r="P72" s="277"/>
      <c r="Q72" s="277"/>
      <c r="R72" s="277"/>
      <c r="S72" s="277"/>
      <c r="T72" s="277"/>
      <c r="U72" s="277"/>
      <c r="V72" s="277"/>
      <c r="W72" s="98"/>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row>
    <row r="73" spans="1:66" ht="12.6" customHeight="1" x14ac:dyDescent="0.3">
      <c r="A73" s="98"/>
      <c r="B73" s="98"/>
      <c r="C73" s="98"/>
      <c r="D73" s="98"/>
      <c r="E73" s="98"/>
      <c r="F73" s="98"/>
      <c r="G73" s="98"/>
      <c r="H73" s="98"/>
      <c r="I73" s="98"/>
      <c r="J73" s="98"/>
      <c r="K73" s="98"/>
      <c r="L73" s="98"/>
      <c r="M73" s="98"/>
      <c r="N73" s="98"/>
      <c r="O73" s="98"/>
      <c r="P73" s="98"/>
      <c r="Q73" s="98"/>
      <c r="R73" s="98"/>
      <c r="S73" s="98"/>
      <c r="T73" s="98"/>
      <c r="U73" s="98"/>
      <c r="V73" s="98"/>
      <c r="W73" s="98"/>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row>
    <row r="74" spans="1:66" ht="12.6" customHeight="1" x14ac:dyDescent="0.3">
      <c r="A74" s="98"/>
      <c r="B74" s="98"/>
      <c r="C74" s="285"/>
      <c r="D74" s="98"/>
      <c r="E74" s="98"/>
      <c r="F74" s="98"/>
      <c r="G74" s="98"/>
      <c r="H74" s="98"/>
      <c r="I74" s="98"/>
      <c r="J74" s="98"/>
      <c r="K74" s="98"/>
      <c r="L74" s="98"/>
      <c r="M74" s="98"/>
      <c r="N74" s="98"/>
      <c r="O74" s="98"/>
      <c r="P74" s="98"/>
      <c r="Q74" s="98"/>
      <c r="R74" s="98"/>
      <c r="S74" s="98"/>
      <c r="T74" s="98"/>
      <c r="U74" s="98"/>
      <c r="V74" s="98"/>
      <c r="W74" s="98"/>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row>
    <row r="75" spans="1:66" ht="12.6" customHeight="1" x14ac:dyDescent="0.3">
      <c r="A75" s="98"/>
      <c r="B75" s="98"/>
      <c r="C75" s="98"/>
      <c r="D75" s="98"/>
      <c r="E75" s="98"/>
      <c r="F75" s="98"/>
      <c r="G75" s="98"/>
      <c r="H75" s="98"/>
      <c r="I75" s="98"/>
      <c r="J75" s="98"/>
      <c r="K75" s="98"/>
      <c r="L75" s="98"/>
      <c r="M75" s="98"/>
      <c r="N75" s="98"/>
      <c r="O75" s="98"/>
      <c r="P75" s="98"/>
      <c r="Q75" s="98"/>
      <c r="R75" s="98"/>
      <c r="S75" s="98"/>
      <c r="T75" s="98"/>
      <c r="U75" s="98"/>
      <c r="V75" s="98"/>
      <c r="W75" s="98"/>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row>
    <row r="76" spans="1:66" ht="18" customHeight="1" x14ac:dyDescent="0.3">
      <c r="A76" s="98"/>
      <c r="B76" s="98"/>
      <c r="C76" s="98"/>
      <c r="D76" s="98"/>
      <c r="E76" s="98"/>
      <c r="F76" s="98"/>
      <c r="G76" s="98"/>
      <c r="H76" s="98"/>
      <c r="I76" s="98"/>
      <c r="J76" s="98"/>
      <c r="K76" s="98"/>
      <c r="L76" s="98"/>
      <c r="M76" s="98"/>
      <c r="N76" s="98"/>
      <c r="O76" s="98"/>
      <c r="P76" s="98"/>
      <c r="Q76" s="98"/>
      <c r="R76" s="98"/>
      <c r="S76" s="98"/>
      <c r="T76" s="98"/>
      <c r="U76" s="98"/>
      <c r="V76" s="98"/>
      <c r="W76" s="98"/>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row>
    <row r="77" spans="1:66" ht="42" customHeight="1" x14ac:dyDescent="0.3">
      <c r="A77" s="98"/>
      <c r="B77" s="356" t="s">
        <v>203</v>
      </c>
      <c r="C77" s="271" t="s">
        <v>202</v>
      </c>
      <c r="D77" s="272" t="s">
        <v>172</v>
      </c>
      <c r="E77" s="272" t="s">
        <v>173</v>
      </c>
      <c r="F77" s="273" t="s">
        <v>174</v>
      </c>
      <c r="G77" s="272" t="s">
        <v>175</v>
      </c>
      <c r="H77" s="98"/>
      <c r="I77" s="98"/>
      <c r="J77" s="98"/>
      <c r="K77" s="98"/>
      <c r="L77" s="98"/>
      <c r="M77" s="98"/>
      <c r="N77" s="98"/>
      <c r="O77" s="98"/>
      <c r="P77" s="98"/>
      <c r="Q77" s="98"/>
      <c r="R77" s="98"/>
      <c r="S77" s="98"/>
      <c r="T77" s="98"/>
      <c r="U77" s="98"/>
      <c r="V77" s="98"/>
      <c r="W77" s="98"/>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row>
    <row r="78" spans="1:66" ht="15.6" customHeight="1" x14ac:dyDescent="0.3">
      <c r="A78" s="98"/>
      <c r="B78" s="275">
        <v>2019</v>
      </c>
      <c r="C78" s="357">
        <f>C65</f>
        <v>12.373339020775758</v>
      </c>
      <c r="D78" s="276"/>
      <c r="E78" s="276"/>
      <c r="F78" s="276"/>
      <c r="G78" s="276"/>
      <c r="H78" s="98"/>
      <c r="I78" s="98"/>
      <c r="J78" s="98"/>
      <c r="K78" s="98"/>
      <c r="L78" s="98"/>
      <c r="M78" s="98"/>
      <c r="N78" s="98"/>
      <c r="O78" s="98"/>
      <c r="P78" s="98"/>
      <c r="Q78" s="98"/>
      <c r="R78" s="98"/>
      <c r="S78" s="98"/>
      <c r="T78" s="98"/>
      <c r="U78" s="98"/>
      <c r="V78" s="98"/>
      <c r="W78" s="98"/>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row>
    <row r="79" spans="1:66" s="1" customFormat="1" ht="15" customHeight="1" x14ac:dyDescent="0.3">
      <c r="A79" s="98"/>
      <c r="B79" s="280">
        <v>2020</v>
      </c>
      <c r="C79" s="357">
        <f>C66</f>
        <v>12.07451630491955</v>
      </c>
      <c r="D79" s="276"/>
      <c r="E79" s="276"/>
      <c r="F79" s="276"/>
      <c r="G79" s="276"/>
      <c r="H79" s="98"/>
      <c r="I79" s="98"/>
      <c r="J79" s="98"/>
      <c r="K79" s="98"/>
      <c r="L79" s="98"/>
      <c r="M79" s="98"/>
      <c r="N79" s="98"/>
      <c r="O79" s="98"/>
      <c r="P79" s="98"/>
      <c r="Q79" s="98"/>
      <c r="R79" s="98"/>
      <c r="S79" s="98"/>
      <c r="T79" s="98"/>
      <c r="U79" s="98"/>
      <c r="V79" s="98"/>
      <c r="W79" s="98"/>
    </row>
    <row r="80" spans="1:66" s="1" customFormat="1" ht="15" customHeight="1" x14ac:dyDescent="0.3">
      <c r="A80" s="98"/>
      <c r="B80" s="275">
        <v>2021</v>
      </c>
      <c r="C80" s="357">
        <f>C67</f>
        <v>12.397052787745759</v>
      </c>
      <c r="D80" s="276"/>
      <c r="E80" s="276"/>
      <c r="F80" s="276"/>
      <c r="G80" s="276"/>
      <c r="H80" s="98"/>
      <c r="I80" s="98"/>
      <c r="J80" s="98"/>
      <c r="K80" s="98"/>
      <c r="L80" s="98"/>
      <c r="M80" s="98"/>
      <c r="N80" s="98"/>
      <c r="O80" s="98"/>
      <c r="P80" s="98"/>
      <c r="Q80" s="98"/>
      <c r="R80" s="98"/>
      <c r="S80" s="98"/>
      <c r="T80" s="98"/>
      <c r="U80" s="98"/>
      <c r="V80" s="98"/>
      <c r="W80" s="98"/>
    </row>
    <row r="81" spans="1:23" s="1" customFormat="1" ht="15" customHeight="1" x14ac:dyDescent="0.3">
      <c r="A81" s="98"/>
      <c r="B81" s="280">
        <v>2022</v>
      </c>
      <c r="C81" s="357">
        <f>C68</f>
        <v>12.557362505323489</v>
      </c>
      <c r="D81" s="276"/>
      <c r="E81" s="276"/>
      <c r="F81" s="276"/>
      <c r="G81" s="276"/>
      <c r="H81" s="98"/>
      <c r="I81" s="98"/>
      <c r="J81" s="98"/>
      <c r="K81" s="98"/>
      <c r="L81" s="98"/>
      <c r="M81" s="98"/>
      <c r="N81" s="98"/>
      <c r="O81" s="98"/>
      <c r="P81" s="98"/>
      <c r="Q81" s="98"/>
      <c r="R81" s="98"/>
      <c r="S81" s="98"/>
      <c r="T81" s="98"/>
      <c r="U81" s="98"/>
      <c r="V81" s="98"/>
      <c r="W81" s="98"/>
    </row>
    <row r="82" spans="1:23" s="1" customFormat="1" ht="15" customHeight="1" x14ac:dyDescent="0.3">
      <c r="A82" s="98"/>
      <c r="B82" s="275">
        <v>2023</v>
      </c>
      <c r="C82" s="357">
        <f>C69</f>
        <v>12.848019466449855</v>
      </c>
      <c r="D82" s="357">
        <f>D69</f>
        <v>13.25206215010531</v>
      </c>
      <c r="E82" s="357">
        <f>E69</f>
        <v>12.266873393645337</v>
      </c>
      <c r="F82" s="357">
        <f>F69</f>
        <v>12.37663131097908</v>
      </c>
      <c r="G82" s="357">
        <f>G69</f>
        <v>12.000526581273549</v>
      </c>
      <c r="H82" s="98"/>
      <c r="I82" s="98"/>
      <c r="J82" s="98"/>
      <c r="K82" s="98"/>
      <c r="L82" s="98"/>
      <c r="M82" s="98"/>
      <c r="N82" s="98"/>
      <c r="O82" s="98"/>
      <c r="P82" s="98"/>
      <c r="Q82" s="98"/>
      <c r="R82" s="98"/>
      <c r="S82" s="98"/>
      <c r="T82" s="98"/>
      <c r="U82" s="98"/>
      <c r="V82" s="98"/>
      <c r="W82" s="98"/>
    </row>
    <row r="83" spans="1:23" s="1" customFormat="1" ht="15" customHeight="1" x14ac:dyDescent="0.3">
      <c r="A83" s="98"/>
      <c r="B83" s="280">
        <v>2024</v>
      </c>
      <c r="C83" s="357"/>
      <c r="D83" s="358"/>
      <c r="E83" s="358"/>
      <c r="F83" s="358"/>
      <c r="G83" s="358"/>
      <c r="H83" s="98"/>
      <c r="I83" s="98"/>
      <c r="J83" s="98"/>
      <c r="K83" s="98"/>
      <c r="L83" s="98"/>
      <c r="M83" s="98"/>
      <c r="N83" s="98"/>
      <c r="O83" s="98"/>
      <c r="P83" s="98"/>
      <c r="Q83" s="98"/>
      <c r="R83" s="98"/>
      <c r="S83" s="98"/>
      <c r="T83" s="98"/>
      <c r="U83" s="98"/>
      <c r="V83" s="98"/>
      <c r="W83" s="98"/>
    </row>
    <row r="84" spans="1:23" s="1" customFormat="1" ht="15" customHeight="1" x14ac:dyDescent="0.3">
      <c r="A84" s="98"/>
      <c r="B84" s="275">
        <v>2025</v>
      </c>
      <c r="C84" s="357"/>
      <c r="D84" s="358"/>
      <c r="E84" s="358"/>
      <c r="F84" s="358"/>
      <c r="G84" s="358"/>
      <c r="H84" s="98"/>
      <c r="I84" s="98"/>
      <c r="J84" s="98"/>
      <c r="K84" s="98"/>
      <c r="L84" s="98"/>
      <c r="M84" s="98"/>
      <c r="N84" s="98"/>
      <c r="O84" s="98"/>
      <c r="P84" s="98"/>
      <c r="Q84" s="98"/>
      <c r="R84" s="98"/>
      <c r="S84" s="98"/>
      <c r="T84" s="98"/>
      <c r="U84" s="98"/>
      <c r="V84" s="98"/>
      <c r="W84" s="98"/>
    </row>
    <row r="85" spans="1:23" s="1" customFormat="1" ht="15" customHeight="1" x14ac:dyDescent="0.3">
      <c r="A85" s="98"/>
      <c r="B85" s="280">
        <v>2026</v>
      </c>
      <c r="C85" s="357"/>
      <c r="D85" s="357"/>
      <c r="E85" s="357"/>
      <c r="F85" s="357"/>
      <c r="G85" s="357"/>
      <c r="H85" s="98"/>
      <c r="I85" s="98"/>
      <c r="J85" s="98"/>
      <c r="K85" s="98"/>
      <c r="L85" s="98"/>
      <c r="M85" s="98"/>
      <c r="N85" s="98"/>
      <c r="O85" s="98"/>
      <c r="P85" s="98"/>
      <c r="Q85" s="98"/>
      <c r="R85" s="98"/>
      <c r="S85" s="98"/>
      <c r="T85" s="98"/>
      <c r="U85" s="98"/>
      <c r="V85" s="98"/>
      <c r="W85" s="98"/>
    </row>
    <row r="86" spans="1:23" s="1" customFormat="1" ht="12.6" customHeight="1" x14ac:dyDescent="0.3">
      <c r="A86" s="98"/>
      <c r="B86" s="98"/>
      <c r="C86" s="98"/>
      <c r="D86" s="285"/>
      <c r="E86" s="98"/>
      <c r="F86" s="98"/>
      <c r="G86" s="98"/>
      <c r="H86" s="98"/>
      <c r="I86" s="98"/>
      <c r="J86" s="98"/>
      <c r="K86" s="98"/>
      <c r="L86" s="98"/>
      <c r="M86" s="98"/>
      <c r="N86" s="98"/>
      <c r="O86" s="98"/>
      <c r="P86" s="98"/>
      <c r="Q86" s="98"/>
      <c r="R86" s="98"/>
      <c r="S86" s="98"/>
      <c r="T86" s="98"/>
      <c r="U86" s="98"/>
      <c r="V86" s="98"/>
      <c r="W86" s="98"/>
    </row>
    <row r="87" spans="1:23" s="1" customFormat="1" ht="12.6" customHeight="1" x14ac:dyDescent="0.3">
      <c r="A87" s="98"/>
      <c r="B87" s="98"/>
      <c r="C87" s="98"/>
      <c r="D87" s="98"/>
      <c r="E87" s="98"/>
      <c r="F87" s="98"/>
      <c r="G87" s="98"/>
      <c r="H87" s="98"/>
      <c r="I87" s="98"/>
      <c r="J87" s="98"/>
      <c r="K87" s="98"/>
      <c r="L87" s="98"/>
      <c r="M87" s="98"/>
      <c r="N87" s="98"/>
      <c r="O87" s="98"/>
      <c r="P87" s="98"/>
      <c r="Q87" s="98"/>
      <c r="R87" s="98"/>
      <c r="S87" s="98"/>
      <c r="T87" s="98"/>
      <c r="U87" s="98"/>
      <c r="V87" s="98"/>
      <c r="W87" s="98"/>
    </row>
    <row r="88" spans="1:23" s="1" customFormat="1" ht="12.6" customHeight="1" x14ac:dyDescent="0.3">
      <c r="A88" s="98"/>
      <c r="B88" s="98"/>
      <c r="C88" s="98"/>
      <c r="D88" s="98"/>
      <c r="E88" s="98"/>
      <c r="F88" s="98"/>
      <c r="G88" s="98"/>
      <c r="H88" s="98"/>
      <c r="I88" s="98"/>
      <c r="J88" s="98"/>
      <c r="K88" s="98"/>
      <c r="L88" s="98"/>
      <c r="M88" s="98"/>
      <c r="N88" s="98"/>
      <c r="O88" s="98"/>
      <c r="P88" s="98"/>
      <c r="Q88" s="98"/>
      <c r="R88" s="98"/>
      <c r="S88" s="98"/>
      <c r="T88" s="98"/>
      <c r="U88" s="98"/>
      <c r="V88" s="98"/>
      <c r="W88" s="98"/>
    </row>
    <row r="89" spans="1:23" s="1" customFormat="1" ht="12.6" customHeight="1" x14ac:dyDescent="0.3"/>
    <row r="90" spans="1:23" s="1" customFormat="1" ht="12.6" customHeight="1" x14ac:dyDescent="0.3"/>
    <row r="91" spans="1:23" s="1" customFormat="1" x14ac:dyDescent="0.3"/>
    <row r="92" spans="1:23" s="1" customFormat="1" x14ac:dyDescent="0.3"/>
    <row r="93" spans="1:23" s="1" customFormat="1" x14ac:dyDescent="0.3"/>
    <row r="94" spans="1:23" s="1" customFormat="1" x14ac:dyDescent="0.3"/>
    <row r="95" spans="1:23" s="1" customFormat="1" x14ac:dyDescent="0.3"/>
    <row r="96" spans="1:23" s="1" customFormat="1" x14ac:dyDescent="0.3"/>
    <row r="97" s="1" customFormat="1" x14ac:dyDescent="0.3"/>
    <row r="98" s="1" customFormat="1" x14ac:dyDescent="0.3"/>
    <row r="99" s="1" customFormat="1" x14ac:dyDescent="0.3"/>
    <row r="100" s="1" customFormat="1" x14ac:dyDescent="0.3"/>
    <row r="101" s="1" customFormat="1" x14ac:dyDescent="0.3"/>
    <row r="102" s="1" customFormat="1" x14ac:dyDescent="0.3"/>
    <row r="103" s="1" customFormat="1" x14ac:dyDescent="0.3"/>
    <row r="104" s="1" customFormat="1" x14ac:dyDescent="0.3"/>
    <row r="105" s="1" customFormat="1" x14ac:dyDescent="0.3"/>
    <row r="106" s="1" customFormat="1" x14ac:dyDescent="0.3"/>
    <row r="107" s="1" customFormat="1" x14ac:dyDescent="0.3"/>
    <row r="108" s="1" customFormat="1" x14ac:dyDescent="0.3"/>
    <row r="109" s="1" customFormat="1" x14ac:dyDescent="0.3"/>
    <row r="110" s="1" customFormat="1" x14ac:dyDescent="0.3"/>
    <row r="111" s="1" customFormat="1" x14ac:dyDescent="0.3"/>
    <row r="112" s="1" customFormat="1" x14ac:dyDescent="0.3"/>
    <row r="113" s="1" customFormat="1" x14ac:dyDescent="0.3"/>
    <row r="114" s="1" customFormat="1" x14ac:dyDescent="0.3"/>
    <row r="115" s="1" customFormat="1" x14ac:dyDescent="0.3"/>
    <row r="116" s="1" customFormat="1" x14ac:dyDescent="0.3"/>
    <row r="117" s="1" customFormat="1" x14ac:dyDescent="0.3"/>
    <row r="118" s="1" customFormat="1" x14ac:dyDescent="0.3"/>
    <row r="119" s="1" customFormat="1" x14ac:dyDescent="0.3"/>
    <row r="120" s="1" customFormat="1" x14ac:dyDescent="0.3"/>
    <row r="121" s="1" customFormat="1" x14ac:dyDescent="0.3"/>
  </sheetData>
  <pageMargins left="0.7" right="0.7" top="0.75" bottom="0.75" header="0.3" footer="0.3"/>
  <pageSetup paperSize="9" orientation="portrait" r:id="rId1"/>
  <headerFooter>
    <oddFooter>&amp;L_x000D_&amp;1#&amp;"Arial"&amp;9&amp;K000000 Document Classification: Restricted</oddFooter>
  </headerFooter>
  <drawing r:id="rId2"/>
  <legacyDrawing r:id="rId3"/>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8C009F-01C0-4E48-A890-7DCB6EBB20EA}">
  <dimension ref="A1:FQ27"/>
  <sheetViews>
    <sheetView zoomScale="89" zoomScaleNormal="80" workbookViewId="0">
      <selection activeCell="D8" sqref="D8"/>
    </sheetView>
  </sheetViews>
  <sheetFormatPr baseColWidth="10" defaultColWidth="8.6640625" defaultRowHeight="14.4" x14ac:dyDescent="0.3"/>
  <cols>
    <col min="1" max="1" width="4.33203125" customWidth="1"/>
    <col min="3" max="3" width="15.6640625" customWidth="1"/>
    <col min="4" max="7" width="14.5546875" customWidth="1"/>
    <col min="8" max="15" width="18" customWidth="1"/>
    <col min="16" max="17" width="18.6640625" customWidth="1"/>
    <col min="18" max="18" width="15.33203125" customWidth="1"/>
    <col min="19" max="22" width="18" customWidth="1"/>
    <col min="23" max="31" width="14.6640625" customWidth="1"/>
    <col min="32" max="32" width="15.33203125" customWidth="1"/>
    <col min="33" max="33" width="14.6640625" customWidth="1"/>
    <col min="34" max="41" width="13.5546875" customWidth="1"/>
    <col min="42" max="42" width="15.5546875" customWidth="1"/>
    <col min="43" max="43" width="13" customWidth="1"/>
    <col min="44" max="44" width="11.33203125" customWidth="1"/>
    <col min="45" max="45" width="12.33203125" customWidth="1"/>
    <col min="46" max="50" width="11.33203125" customWidth="1"/>
    <col min="51" max="51" width="13.44140625" customWidth="1"/>
    <col min="56" max="56" width="9.6640625" customWidth="1"/>
    <col min="60" max="61" width="17.33203125" bestFit="1" customWidth="1"/>
    <col min="62" max="63" width="16.33203125" bestFit="1" customWidth="1"/>
    <col min="68" max="68" width="11.44140625" bestFit="1" customWidth="1"/>
    <col min="69" max="69" width="13.5546875" customWidth="1"/>
    <col min="70" max="70" width="13.6640625" customWidth="1"/>
    <col min="71" max="71" width="12.44140625" customWidth="1"/>
    <col min="72" max="77" width="12.6640625" customWidth="1"/>
    <col min="78" max="80" width="11.33203125" customWidth="1"/>
    <col min="81" max="85" width="11.6640625" hidden="1" customWidth="1"/>
    <col min="86" max="86" width="13.33203125" hidden="1" customWidth="1"/>
    <col min="87" max="88" width="11.6640625" hidden="1" customWidth="1"/>
    <col min="89" max="94" width="12.6640625" customWidth="1"/>
    <col min="95" max="96" width="11.33203125" customWidth="1"/>
    <col min="97" max="104" width="11.6640625" customWidth="1"/>
    <col min="105" max="108" width="13.44140625" customWidth="1"/>
    <col min="110" max="130" width="0.5546875" customWidth="1"/>
    <col min="131" max="132" width="15.5546875" customWidth="1"/>
    <col min="133" max="133" width="15.33203125" customWidth="1"/>
    <col min="134" max="134" width="14.5546875" customWidth="1"/>
    <col min="135" max="135" width="16.5546875" customWidth="1"/>
    <col min="136" max="138" width="18" customWidth="1"/>
    <col min="139" max="142" width="15.33203125" customWidth="1"/>
    <col min="143" max="143" width="11" customWidth="1"/>
    <col min="144" max="145" width="16" customWidth="1"/>
    <col min="146" max="146" width="9.33203125" customWidth="1"/>
    <col min="147" max="150" width="17" customWidth="1"/>
    <col min="152" max="152" width="8.6640625" customWidth="1"/>
    <col min="153" max="153" width="10.6640625" customWidth="1"/>
    <col min="156" max="157" width="11.33203125" customWidth="1"/>
    <col min="158" max="161" width="9.6640625" customWidth="1"/>
    <col min="162" max="165" width="11.5546875" customWidth="1"/>
  </cols>
  <sheetData>
    <row r="1" spans="1:173" ht="15" thickBot="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ht="18" customHeight="1" thickBot="1" x14ac:dyDescent="0.35">
      <c r="A2" s="1"/>
      <c r="B2" s="2" t="s">
        <v>579</v>
      </c>
      <c r="C2" s="3"/>
      <c r="D2" s="3"/>
      <c r="E2" s="3"/>
      <c r="F2" s="3"/>
      <c r="G2" s="3"/>
      <c r="H2" s="4"/>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18" customHeight="1" x14ac:dyDescent="0.3">
      <c r="A3" s="1"/>
      <c r="B3" s="5" t="s">
        <v>0</v>
      </c>
      <c r="C3" s="6"/>
      <c r="D3" s="6"/>
      <c r="E3" s="6"/>
      <c r="F3" s="6"/>
      <c r="G3" s="6"/>
      <c r="H3" s="7"/>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18" customHeight="1" x14ac:dyDescent="0.3">
      <c r="A4" s="1"/>
      <c r="B4" s="8" t="s">
        <v>1</v>
      </c>
      <c r="C4" s="9"/>
      <c r="D4" s="9"/>
      <c r="E4" s="9"/>
      <c r="F4" s="9"/>
      <c r="G4" s="9"/>
      <c r="H4" s="10"/>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12.6" customHeight="1" x14ac:dyDescent="0.3">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row>
    <row r="6" spans="1:173" ht="12.6" customHeight="1" x14ac:dyDescent="0.3">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row>
    <row r="7" spans="1:173" ht="12.6" customHeight="1" x14ac:dyDescent="0.3">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c r="EU7" s="1"/>
      <c r="EV7" s="1"/>
      <c r="EW7" s="1"/>
      <c r="EX7" s="1"/>
      <c r="EY7" s="1"/>
      <c r="EZ7" s="1"/>
      <c r="FA7" s="1"/>
      <c r="FB7" s="1"/>
      <c r="FC7" s="1"/>
      <c r="FD7" s="1"/>
      <c r="FE7" s="1"/>
      <c r="FF7" s="1"/>
      <c r="FG7" s="1"/>
      <c r="FH7" s="1"/>
      <c r="FI7" s="1"/>
      <c r="FJ7" s="1"/>
      <c r="FK7" s="1"/>
      <c r="FL7" s="1"/>
      <c r="FM7" s="1"/>
      <c r="FN7" s="1"/>
      <c r="FO7" s="1"/>
      <c r="FP7" s="1"/>
      <c r="FQ7" s="1"/>
    </row>
    <row r="8" spans="1:173" ht="17.7" customHeight="1" x14ac:dyDescent="0.3">
      <c r="A8" s="1"/>
      <c r="B8" s="11" t="s">
        <v>2</v>
      </c>
      <c r="C8" s="12" t="s">
        <v>247</v>
      </c>
      <c r="D8" s="12" t="s">
        <v>248</v>
      </c>
      <c r="E8" s="124" t="s">
        <v>524</v>
      </c>
      <c r="F8" s="125"/>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56"/>
      <c r="CD8" s="56"/>
      <c r="CE8" s="56"/>
      <c r="CF8" s="56"/>
      <c r="CG8" s="56"/>
      <c r="CH8" s="56"/>
      <c r="CI8" s="56"/>
      <c r="CJ8" s="56"/>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row>
    <row r="9" spans="1:173" ht="10.35" customHeight="1" x14ac:dyDescent="0.3">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56"/>
      <c r="CD9" s="56"/>
      <c r="CE9" s="56"/>
      <c r="CF9" s="56"/>
      <c r="CG9" s="56"/>
      <c r="CH9" s="56"/>
      <c r="CI9" s="56"/>
      <c r="CJ9" s="56"/>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row>
    <row r="10" spans="1:173" x14ac:dyDescent="0.3">
      <c r="A10" s="1"/>
      <c r="B10" s="1"/>
      <c r="C10" s="13" t="s">
        <v>6</v>
      </c>
      <c r="D10" s="14"/>
      <c r="E10" s="14"/>
      <c r="F10" s="14"/>
      <c r="G10" s="14"/>
      <c r="H10" s="14"/>
      <c r="I10" s="14"/>
      <c r="J10" s="14"/>
      <c r="K10" s="14"/>
      <c r="L10" s="14"/>
      <c r="M10" s="14"/>
      <c r="N10" s="14"/>
      <c r="O10" s="14"/>
      <c r="P10" s="15" t="s">
        <v>580</v>
      </c>
      <c r="Q10" s="16"/>
      <c r="R10" s="16"/>
      <c r="S10" s="16"/>
      <c r="T10" s="16"/>
      <c r="U10" s="16"/>
      <c r="V10" s="16"/>
      <c r="W10" s="13" t="s">
        <v>628</v>
      </c>
      <c r="X10" s="17"/>
      <c r="Y10" s="17"/>
      <c r="Z10" s="17"/>
      <c r="AA10" s="17"/>
      <c r="AB10" s="17"/>
      <c r="AC10" s="17"/>
      <c r="AD10" s="13" t="s">
        <v>629</v>
      </c>
      <c r="AE10" s="17"/>
      <c r="AF10" s="17"/>
      <c r="AG10" s="18"/>
      <c r="AH10" s="19" t="s">
        <v>630</v>
      </c>
      <c r="AI10" s="20"/>
      <c r="AJ10" s="16"/>
      <c r="AK10" s="16"/>
      <c r="AL10" s="16"/>
      <c r="AM10" s="16"/>
      <c r="AN10" s="16"/>
      <c r="AO10" s="16"/>
      <c r="AP10" s="21"/>
      <c r="AQ10" s="19" t="s">
        <v>9</v>
      </c>
      <c r="AR10" s="16"/>
      <c r="AS10" s="16"/>
      <c r="AT10" s="16"/>
      <c r="AU10" s="16"/>
      <c r="AV10" s="16"/>
      <c r="AW10" s="16"/>
      <c r="AX10" s="16"/>
      <c r="AY10" s="21"/>
      <c r="AZ10" s="22" t="s">
        <v>10</v>
      </c>
      <c r="BA10" s="23"/>
      <c r="BB10" s="23"/>
      <c r="BC10" s="23"/>
      <c r="BD10" s="23"/>
      <c r="BE10" s="23"/>
      <c r="BF10" s="23"/>
      <c r="BG10" s="23"/>
      <c r="BH10" s="23"/>
      <c r="BI10" s="23"/>
      <c r="BJ10" s="23"/>
      <c r="BK10" s="23"/>
      <c r="BL10" s="23"/>
      <c r="BM10" s="23"/>
      <c r="BN10" s="23"/>
      <c r="BO10" s="23"/>
      <c r="BP10" s="23"/>
      <c r="BQ10" s="23"/>
      <c r="BR10" s="24"/>
      <c r="BS10" s="11"/>
      <c r="BT10" s="19"/>
      <c r="BU10" s="16"/>
      <c r="BV10" s="16"/>
      <c r="BW10" s="16"/>
      <c r="BX10" s="16"/>
      <c r="BY10" s="16"/>
      <c r="BZ10" s="16"/>
      <c r="CA10" s="16"/>
      <c r="CB10" s="16"/>
      <c r="CC10" s="58" t="s">
        <v>12</v>
      </c>
      <c r="CD10" s="59"/>
      <c r="CE10" s="59"/>
      <c r="CF10" s="59"/>
      <c r="CG10" s="59"/>
      <c r="CH10" s="59"/>
      <c r="CI10" s="59"/>
      <c r="CJ10" s="59"/>
      <c r="CK10" s="19" t="s">
        <v>581</v>
      </c>
      <c r="CL10" s="16"/>
      <c r="CM10" s="16"/>
      <c r="CN10" s="16"/>
      <c r="CO10" s="16"/>
      <c r="CP10" s="16"/>
      <c r="CQ10" s="16"/>
      <c r="CR10" s="16"/>
      <c r="CS10" s="19" t="s">
        <v>582</v>
      </c>
      <c r="CT10" s="127"/>
      <c r="CU10" s="59"/>
      <c r="CV10" s="59"/>
      <c r="CW10" s="59"/>
      <c r="CX10" s="59"/>
      <c r="CY10" s="59"/>
      <c r="CZ10" s="59"/>
      <c r="DA10" s="15" t="s">
        <v>15</v>
      </c>
      <c r="DB10" s="60"/>
      <c r="DC10" s="60"/>
      <c r="DD10" s="8" t="s">
        <v>16</v>
      </c>
      <c r="DE10" s="10"/>
      <c r="DF10" s="1"/>
      <c r="DG10" s="1"/>
      <c r="DH10" s="1"/>
      <c r="DI10" s="1"/>
      <c r="DJ10" s="1"/>
      <c r="DK10" s="1"/>
      <c r="DL10" s="1"/>
      <c r="DM10" s="1"/>
      <c r="DN10" s="1"/>
      <c r="DO10" s="1"/>
      <c r="DP10" s="1"/>
      <c r="DQ10" s="1"/>
      <c r="DR10" s="1"/>
      <c r="DS10" s="1"/>
      <c r="DT10" s="1"/>
      <c r="DU10" s="1"/>
      <c r="DV10" s="1"/>
      <c r="DW10" s="1"/>
      <c r="DX10" s="1"/>
      <c r="DY10" s="1"/>
      <c r="DZ10" s="1"/>
      <c r="EA10" s="13" t="s">
        <v>17</v>
      </c>
      <c r="EB10" s="14"/>
      <c r="EC10" s="14"/>
      <c r="ED10" s="14"/>
      <c r="EE10" s="14"/>
      <c r="EF10" s="14"/>
      <c r="EG10" s="14"/>
      <c r="EH10" s="14"/>
      <c r="EI10" s="14"/>
      <c r="EJ10" s="14"/>
      <c r="EK10" s="14"/>
      <c r="EL10" s="14"/>
      <c r="EM10" s="14"/>
      <c r="EN10" s="15" t="s">
        <v>583</v>
      </c>
      <c r="EO10" s="16"/>
      <c r="EP10" s="16"/>
      <c r="EQ10" s="16"/>
      <c r="ER10" s="16"/>
      <c r="ES10" s="16"/>
      <c r="ET10" s="16"/>
      <c r="EU10" s="16"/>
      <c r="EV10" s="13" t="s">
        <v>631</v>
      </c>
      <c r="EW10" s="14"/>
      <c r="EX10" s="14"/>
      <c r="EY10" s="61"/>
      <c r="EZ10" s="62" t="s">
        <v>19</v>
      </c>
      <c r="FA10" s="10"/>
      <c r="FB10" s="14" t="s">
        <v>632</v>
      </c>
      <c r="FC10" s="17"/>
      <c r="FD10" s="17"/>
      <c r="FE10" s="17"/>
      <c r="FF10" s="17"/>
      <c r="FG10" s="17"/>
      <c r="FH10" s="17"/>
      <c r="FI10" s="18"/>
      <c r="FJ10" s="1"/>
      <c r="FK10" s="1"/>
      <c r="FL10" s="1"/>
      <c r="FM10" s="1"/>
      <c r="FN10" s="1"/>
      <c r="FO10" s="1"/>
      <c r="FP10" s="1"/>
      <c r="FQ10" s="1"/>
    </row>
    <row r="11" spans="1:173" ht="78.75" customHeight="1" x14ac:dyDescent="0.3">
      <c r="A11" s="1"/>
      <c r="B11" s="25" t="s">
        <v>20</v>
      </c>
      <c r="C11" s="26" t="s">
        <v>21</v>
      </c>
      <c r="D11" s="27" t="s">
        <v>22</v>
      </c>
      <c r="E11" s="27" t="s">
        <v>23</v>
      </c>
      <c r="F11" s="27" t="s">
        <v>24</v>
      </c>
      <c r="G11" s="27" t="s">
        <v>25</v>
      </c>
      <c r="H11" s="27" t="s">
        <v>26</v>
      </c>
      <c r="I11" s="27" t="s">
        <v>27</v>
      </c>
      <c r="J11" s="121"/>
      <c r="K11" s="27" t="s">
        <v>29</v>
      </c>
      <c r="L11" s="27" t="s">
        <v>30</v>
      </c>
      <c r="M11" s="27" t="s">
        <v>31</v>
      </c>
      <c r="N11" s="27" t="s">
        <v>32</v>
      </c>
      <c r="O11" s="27" t="s">
        <v>33</v>
      </c>
      <c r="P11" s="26" t="s">
        <v>21</v>
      </c>
      <c r="Q11" s="27" t="s">
        <v>22</v>
      </c>
      <c r="R11" s="27" t="s">
        <v>34</v>
      </c>
      <c r="S11" s="27" t="s">
        <v>29</v>
      </c>
      <c r="T11" s="27" t="s">
        <v>30</v>
      </c>
      <c r="U11" s="27" t="s">
        <v>31</v>
      </c>
      <c r="V11" s="27" t="s">
        <v>32</v>
      </c>
      <c r="W11" s="27" t="s">
        <v>22</v>
      </c>
      <c r="X11" s="27" t="s">
        <v>23</v>
      </c>
      <c r="Y11" s="27" t="s">
        <v>35</v>
      </c>
      <c r="Z11" s="27" t="s">
        <v>36</v>
      </c>
      <c r="AA11" s="27" t="s">
        <v>26</v>
      </c>
      <c r="AB11" s="27" t="s">
        <v>27</v>
      </c>
      <c r="AC11" s="27" t="s">
        <v>28</v>
      </c>
      <c r="AD11" s="27" t="s">
        <v>29</v>
      </c>
      <c r="AE11" s="27" t="s">
        <v>30</v>
      </c>
      <c r="AF11" s="27" t="s">
        <v>31</v>
      </c>
      <c r="AG11" s="27" t="s">
        <v>32</v>
      </c>
      <c r="AH11" s="27" t="s">
        <v>37</v>
      </c>
      <c r="AI11" s="27" t="s">
        <v>38</v>
      </c>
      <c r="AJ11" s="27" t="s">
        <v>39</v>
      </c>
      <c r="AK11" s="27" t="s">
        <v>40</v>
      </c>
      <c r="AL11" s="27" t="s">
        <v>41</v>
      </c>
      <c r="AM11" s="27" t="s">
        <v>42</v>
      </c>
      <c r="AN11" s="121" t="s">
        <v>43</v>
      </c>
      <c r="AO11" s="27" t="s">
        <v>44</v>
      </c>
      <c r="AP11" s="27" t="s">
        <v>45</v>
      </c>
      <c r="AQ11" s="27" t="s">
        <v>37</v>
      </c>
      <c r="AR11" s="27" t="s">
        <v>38</v>
      </c>
      <c r="AS11" s="27" t="s">
        <v>39</v>
      </c>
      <c r="AT11" s="27" t="s">
        <v>40</v>
      </c>
      <c r="AU11" s="27" t="s">
        <v>41</v>
      </c>
      <c r="AV11" s="27" t="s">
        <v>42</v>
      </c>
      <c r="AW11" s="121"/>
      <c r="AX11" s="27" t="s">
        <v>44</v>
      </c>
      <c r="AY11" s="27" t="s">
        <v>45</v>
      </c>
      <c r="AZ11" s="27" t="s">
        <v>633</v>
      </c>
      <c r="BA11" s="27" t="s">
        <v>634</v>
      </c>
      <c r="BB11" s="27" t="s">
        <v>635</v>
      </c>
      <c r="BC11" s="27" t="s">
        <v>636</v>
      </c>
      <c r="BD11" s="27" t="s">
        <v>46</v>
      </c>
      <c r="BE11" s="27" t="s">
        <v>47</v>
      </c>
      <c r="BF11" s="27" t="s">
        <v>48</v>
      </c>
      <c r="BG11" s="27" t="s">
        <v>49</v>
      </c>
      <c r="BH11" s="27" t="s">
        <v>50</v>
      </c>
      <c r="BI11" s="27" t="s">
        <v>51</v>
      </c>
      <c r="BJ11" s="27" t="s">
        <v>52</v>
      </c>
      <c r="BK11" s="27" t="s">
        <v>53</v>
      </c>
      <c r="BL11" s="27" t="s">
        <v>54</v>
      </c>
      <c r="BM11" s="27" t="s">
        <v>55</v>
      </c>
      <c r="BN11" s="27" t="s">
        <v>56</v>
      </c>
      <c r="BO11" s="27" t="s">
        <v>57</v>
      </c>
      <c r="BP11" s="27" t="s">
        <v>637</v>
      </c>
      <c r="BQ11" s="27" t="s">
        <v>638</v>
      </c>
      <c r="BR11" s="27" t="s">
        <v>273</v>
      </c>
      <c r="BS11" s="27" t="s">
        <v>584</v>
      </c>
      <c r="BT11" s="27"/>
      <c r="BU11" s="27"/>
      <c r="BV11" s="27"/>
      <c r="BW11" s="27"/>
      <c r="BX11" s="27"/>
      <c r="BY11" s="27"/>
      <c r="BZ11" s="27"/>
      <c r="CA11" s="27"/>
      <c r="CB11" s="27"/>
      <c r="CC11" s="63" t="s">
        <v>68</v>
      </c>
      <c r="CD11" s="63" t="s">
        <v>69</v>
      </c>
      <c r="CE11" s="63" t="s">
        <v>70</v>
      </c>
      <c r="CF11" s="63" t="s">
        <v>71</v>
      </c>
      <c r="CG11" s="63" t="s">
        <v>72</v>
      </c>
      <c r="CH11" s="63" t="s">
        <v>73</v>
      </c>
      <c r="CI11" s="63" t="s">
        <v>74</v>
      </c>
      <c r="CJ11" s="63" t="s">
        <v>75</v>
      </c>
      <c r="CK11" s="27" t="s">
        <v>585</v>
      </c>
      <c r="CL11" s="27" t="s">
        <v>586</v>
      </c>
      <c r="CM11" s="27" t="s">
        <v>587</v>
      </c>
      <c r="CN11" s="27" t="s">
        <v>588</v>
      </c>
      <c r="CO11" s="27" t="s">
        <v>80</v>
      </c>
      <c r="CP11" s="27" t="s">
        <v>81</v>
      </c>
      <c r="CQ11" s="27" t="s">
        <v>82</v>
      </c>
      <c r="CR11" s="27" t="s">
        <v>589</v>
      </c>
      <c r="CS11" s="128" t="s">
        <v>590</v>
      </c>
      <c r="CT11" s="128" t="s">
        <v>591</v>
      </c>
      <c r="CU11" s="128" t="s">
        <v>592</v>
      </c>
      <c r="CV11" s="128" t="s">
        <v>593</v>
      </c>
      <c r="CW11" s="128" t="s">
        <v>88</v>
      </c>
      <c r="CX11" s="128" t="s">
        <v>89</v>
      </c>
      <c r="CY11" s="128" t="s">
        <v>90</v>
      </c>
      <c r="CZ11" s="128" t="s">
        <v>91</v>
      </c>
      <c r="DA11" s="64" t="s">
        <v>92</v>
      </c>
      <c r="DB11" s="64" t="s">
        <v>93</v>
      </c>
      <c r="DC11" s="64" t="s">
        <v>94</v>
      </c>
      <c r="DD11" s="64" t="s">
        <v>95</v>
      </c>
      <c r="DE11" s="64" t="s">
        <v>96</v>
      </c>
      <c r="DF11" s="1"/>
      <c r="DG11" s="1"/>
      <c r="DH11" s="1"/>
      <c r="DI11" s="1"/>
      <c r="DJ11" s="1"/>
      <c r="DK11" s="1"/>
      <c r="DL11" s="1"/>
      <c r="DM11" s="1"/>
      <c r="DN11" s="1"/>
      <c r="DO11" s="1"/>
      <c r="DP11" s="1"/>
      <c r="DQ11" s="1"/>
      <c r="DR11" s="1"/>
      <c r="DS11" s="1"/>
      <c r="DT11" s="1"/>
      <c r="DU11" s="1"/>
      <c r="DV11" s="1"/>
      <c r="DW11" s="1"/>
      <c r="DX11" s="1"/>
      <c r="DY11" s="1"/>
      <c r="DZ11" s="1"/>
      <c r="EA11" s="26" t="s">
        <v>97</v>
      </c>
      <c r="EB11" s="27" t="s">
        <v>98</v>
      </c>
      <c r="EC11" s="27" t="s">
        <v>99</v>
      </c>
      <c r="ED11" s="27" t="s">
        <v>100</v>
      </c>
      <c r="EE11" s="27" t="s">
        <v>101</v>
      </c>
      <c r="EF11" s="27" t="s">
        <v>102</v>
      </c>
      <c r="EG11" s="27" t="s">
        <v>103</v>
      </c>
      <c r="EH11" s="121"/>
      <c r="EI11" s="27" t="s">
        <v>104</v>
      </c>
      <c r="EJ11" s="27" t="s">
        <v>105</v>
      </c>
      <c r="EK11" s="27" t="s">
        <v>106</v>
      </c>
      <c r="EL11" s="27" t="s">
        <v>107</v>
      </c>
      <c r="EM11" s="27" t="s">
        <v>33</v>
      </c>
      <c r="EN11" s="27" t="s">
        <v>97</v>
      </c>
      <c r="EO11" s="27" t="s">
        <v>98</v>
      </c>
      <c r="EP11" s="27" t="s">
        <v>108</v>
      </c>
      <c r="EQ11" s="27" t="s">
        <v>104</v>
      </c>
      <c r="ER11" s="27" t="s">
        <v>105</v>
      </c>
      <c r="ES11" s="27" t="s">
        <v>106</v>
      </c>
      <c r="ET11" s="27" t="s">
        <v>107</v>
      </c>
      <c r="EU11" s="27" t="s">
        <v>594</v>
      </c>
      <c r="EV11" s="64" t="s">
        <v>639</v>
      </c>
      <c r="EW11" s="27" t="s">
        <v>99</v>
      </c>
      <c r="EX11" s="64" t="s">
        <v>110</v>
      </c>
      <c r="EY11" s="64" t="s">
        <v>640</v>
      </c>
      <c r="EZ11" s="64" t="s">
        <v>111</v>
      </c>
      <c r="FA11" s="64" t="s">
        <v>112</v>
      </c>
      <c r="FB11" s="27" t="s">
        <v>641</v>
      </c>
      <c r="FC11" s="27" t="s">
        <v>642</v>
      </c>
      <c r="FD11" s="27" t="s">
        <v>643</v>
      </c>
      <c r="FE11" s="27" t="s">
        <v>644</v>
      </c>
      <c r="FF11" s="27" t="s">
        <v>645</v>
      </c>
      <c r="FG11" s="27" t="s">
        <v>646</v>
      </c>
      <c r="FH11" s="27" t="s">
        <v>647</v>
      </c>
      <c r="FI11" s="27" t="s">
        <v>648</v>
      </c>
      <c r="FJ11" s="1"/>
      <c r="FK11" s="1"/>
      <c r="FL11" s="1"/>
      <c r="FM11" s="1"/>
      <c r="FN11" s="1"/>
      <c r="FO11" s="1"/>
      <c r="FP11" s="1"/>
      <c r="FQ11" s="1"/>
    </row>
    <row r="12" spans="1:173" x14ac:dyDescent="0.3">
      <c r="A12" s="1"/>
      <c r="B12" s="28">
        <v>1</v>
      </c>
      <c r="C12" s="29">
        <f>'[84]2. Distributional by deciles o'!B64</f>
        <v>397847393.99640006</v>
      </c>
      <c r="D12" s="29">
        <f>'[84]2. Distributional by deciles o'!C64</f>
        <v>401008389.45959997</v>
      </c>
      <c r="E12" s="29">
        <f>'[84]2. Distributional by deciles o'!D64</f>
        <v>394813246.25999999</v>
      </c>
      <c r="F12" s="29">
        <f>'[84]2. Distributional by deciles o'!E64</f>
        <v>400391680.2432</v>
      </c>
      <c r="G12" s="29">
        <f>'[84]2. Distributional by deciles o'!F64</f>
        <v>394908605.95560002</v>
      </c>
      <c r="H12" s="29">
        <f>'[84]2. Distributional by deciles o'!G64</f>
        <v>394816064.81039995</v>
      </c>
      <c r="I12" s="29"/>
      <c r="J12" s="122"/>
      <c r="K12" s="130" t="s">
        <v>113</v>
      </c>
      <c r="L12" s="130" t="s">
        <v>113</v>
      </c>
      <c r="M12" s="130" t="s">
        <v>113</v>
      </c>
      <c r="N12" s="130" t="s">
        <v>113</v>
      </c>
      <c r="O12" s="131">
        <f>C12/C$22*100</f>
        <v>0.57039887567944703</v>
      </c>
      <c r="P12" s="29">
        <f>'[84]2. Distributional by deciles o'!B82</f>
        <v>8670886036.6044006</v>
      </c>
      <c r="Q12" s="29">
        <f>'[84]2. Distributional by deciles o'!C82</f>
        <v>8757391065.6887989</v>
      </c>
      <c r="R12" s="131">
        <f t="shared" ref="R12:R21" si="0">(Q12/P12-1)*100</f>
        <v>0.99764924506231534</v>
      </c>
      <c r="S12" s="130" t="s">
        <v>113</v>
      </c>
      <c r="T12" s="130" t="s">
        <v>113</v>
      </c>
      <c r="U12" s="130" t="s">
        <v>113</v>
      </c>
      <c r="V12" s="130" t="s">
        <v>113</v>
      </c>
      <c r="W12" s="132">
        <f>IF(D12&lt;&gt;0,((D12-$C12)/ABS($C12)) / ($Q12/$P12-1),0)</f>
        <v>0.79639674550592165</v>
      </c>
      <c r="X12" s="132">
        <f>IF(E12&lt;&gt;0,((E12-$C12)/ABS($C12)) / ($Q12/$P12-1),0)</f>
        <v>-0.76443810526922973</v>
      </c>
      <c r="Y12" s="132">
        <f t="shared" ref="Y12:AA22" si="1">IF(F12&lt;&gt;0,MAX(((F12-$C12)/ABS($C12)) / ($Q12/$P12-1),0),0)</f>
        <v>0.64101999201724391</v>
      </c>
      <c r="Z12" s="132">
        <f t="shared" si="1"/>
        <v>0</v>
      </c>
      <c r="AA12" s="132">
        <f t="shared" si="1"/>
        <v>0</v>
      </c>
      <c r="AB12" s="132">
        <f>IF(I12&lt;&gt;0,MAX(((I12-$C12)/ABS($C12)) / ($Q12/$P12-1),0),AA12)</f>
        <v>0</v>
      </c>
      <c r="AC12" s="132">
        <f>IF(J12&lt;&gt;0,MAX(((J12-$C12)/ABS($C12)) / ($Q12/$P12-1),0),AB12)</f>
        <v>0</v>
      </c>
      <c r="AD12" s="130" t="s">
        <v>113</v>
      </c>
      <c r="AE12" s="130" t="s">
        <v>113</v>
      </c>
      <c r="AF12" s="130" t="s">
        <v>113</v>
      </c>
      <c r="AG12" s="130" t="s">
        <v>113</v>
      </c>
      <c r="AH12" s="133">
        <f>MIN(W12,1)</f>
        <v>0.79639674550592165</v>
      </c>
      <c r="AI12" s="134">
        <f>IF(W12&gt;1,W12-SUM(AH12,AJ12:AO12),0)</f>
        <v>0</v>
      </c>
      <c r="AJ12" s="134">
        <f>IF(W12&gt;1,MIN($W12-Y12,W12-AH12),0)</f>
        <v>0</v>
      </c>
      <c r="AK12" s="134">
        <f>IF(W12&gt;1,MIN(Y12-Z12,W12-AH12-AJ12),0)</f>
        <v>0</v>
      </c>
      <c r="AL12" s="134">
        <f>IF(W12&gt;1,MIN(Z12-AA12,W12-AH12-AJ12-AK12),0)</f>
        <v>0</v>
      </c>
      <c r="AM12" s="134">
        <f>IF(I12&lt;&gt;0,IF(W12&gt;1,MIN(AA12-AB12,W12-AJ12-AK12-AL12),0),0)</f>
        <v>0</v>
      </c>
      <c r="AN12" s="135">
        <f>IF(J12&lt;&gt;0,IF(W12&gt;1,MIN(AB12-AC12,W12-AH12-AJ12-AK12-AL12-AM12),0),0)</f>
        <v>0</v>
      </c>
      <c r="AO12" s="134">
        <f>IF(W12&gt;1,MIN(AC12-X12,W12-AH12-AJ12-AK12-AL12-AM12-AN12),0)</f>
        <v>0</v>
      </c>
      <c r="AP12" s="134">
        <f t="shared" ref="AP12:AP21" si="2">AI12+AO12</f>
        <v>0</v>
      </c>
      <c r="AQ12" s="136" t="s">
        <v>113</v>
      </c>
      <c r="AR12" s="137">
        <f t="shared" ref="AR12:AY22" si="3">AI12/($W12-1)*100</f>
        <v>0</v>
      </c>
      <c r="AS12" s="137">
        <f t="shared" si="3"/>
        <v>0</v>
      </c>
      <c r="AT12" s="137">
        <f t="shared" si="3"/>
        <v>0</v>
      </c>
      <c r="AU12" s="137">
        <f t="shared" si="3"/>
        <v>0</v>
      </c>
      <c r="AV12" s="137">
        <f t="shared" si="3"/>
        <v>0</v>
      </c>
      <c r="AW12" s="138">
        <f t="shared" si="3"/>
        <v>0</v>
      </c>
      <c r="AX12" s="137">
        <f t="shared" si="3"/>
        <v>0</v>
      </c>
      <c r="AY12" s="137">
        <f t="shared" si="3"/>
        <v>0</v>
      </c>
      <c r="AZ12" s="139" t="s">
        <v>113</v>
      </c>
      <c r="BA12" s="139" t="s">
        <v>113</v>
      </c>
      <c r="BB12" s="139" t="s">
        <v>113</v>
      </c>
      <c r="BC12" s="139" t="s">
        <v>113</v>
      </c>
      <c r="BD12" s="139" t="s">
        <v>113</v>
      </c>
      <c r="BE12" s="139" t="s">
        <v>113</v>
      </c>
      <c r="BF12" s="139" t="s">
        <v>113</v>
      </c>
      <c r="BG12" s="139" t="s">
        <v>113</v>
      </c>
      <c r="BH12" s="140">
        <f>'[84]2. Distributional by deciles o'!B100</f>
        <v>4736027474.1647997</v>
      </c>
      <c r="BI12" s="140">
        <f>'[84]2. Distributional by deciles o'!B118</f>
        <v>2622009446.4203987</v>
      </c>
      <c r="BJ12" s="140">
        <f>'[84]2. Distributional by deciles o'!B136</f>
        <v>1072158774.4752004</v>
      </c>
      <c r="BK12" s="140">
        <f>'[84]2. Distributional by deciles o'!B154</f>
        <v>240692422.01040003</v>
      </c>
      <c r="BL12" s="141">
        <f>BH12/SUM($BH12:$BK12)</f>
        <v>0.54619866041642862</v>
      </c>
      <c r="BM12" s="141">
        <f t="shared" ref="BM12:BO22" si="4">BI12/SUM($BH12:$BK12)</f>
        <v>0.30239225913413892</v>
      </c>
      <c r="BN12" s="141">
        <f t="shared" si="4"/>
        <v>0.12365039889793865</v>
      </c>
      <c r="BO12" s="141">
        <f t="shared" si="4"/>
        <v>2.7758681551493802E-2</v>
      </c>
      <c r="BP12" s="139" t="s">
        <v>113</v>
      </c>
      <c r="BQ12" s="139" t="s">
        <v>113</v>
      </c>
      <c r="BR12" s="139" t="s">
        <v>113</v>
      </c>
      <c r="BS12" s="131">
        <f>P12/P$22*100</f>
        <v>1.7630692051616572</v>
      </c>
      <c r="BT12" s="139"/>
      <c r="BU12" s="139"/>
      <c r="BV12" s="139"/>
      <c r="BW12" s="139"/>
      <c r="BX12" s="139"/>
      <c r="BY12" s="139"/>
      <c r="BZ12" s="139"/>
      <c r="CA12" s="139"/>
      <c r="CB12" s="139"/>
      <c r="CC12" s="142" t="s">
        <v>113</v>
      </c>
      <c r="CD12" s="142" t="s">
        <v>113</v>
      </c>
      <c r="CE12" s="142" t="s">
        <v>113</v>
      </c>
      <c r="CF12" s="142" t="s">
        <v>113</v>
      </c>
      <c r="CG12" s="142" t="s">
        <v>113</v>
      </c>
      <c r="CH12" s="142" t="s">
        <v>113</v>
      </c>
      <c r="CI12" s="142" t="s">
        <v>113</v>
      </c>
      <c r="CJ12" s="142"/>
      <c r="CK12" s="139" t="s">
        <v>113</v>
      </c>
      <c r="CL12" s="139" t="s">
        <v>113</v>
      </c>
      <c r="CM12" s="139" t="s">
        <v>113</v>
      </c>
      <c r="CN12" s="139" t="s">
        <v>113</v>
      </c>
      <c r="CO12" s="139" t="s">
        <v>113</v>
      </c>
      <c r="CP12" s="139" t="s">
        <v>113</v>
      </c>
      <c r="CQ12" s="139" t="s">
        <v>113</v>
      </c>
      <c r="CR12" s="139"/>
      <c r="CS12" s="143" t="s">
        <v>113</v>
      </c>
      <c r="CT12" s="143" t="s">
        <v>113</v>
      </c>
      <c r="CU12" s="143" t="s">
        <v>113</v>
      </c>
      <c r="CV12" s="143" t="s">
        <v>113</v>
      </c>
      <c r="CW12" s="143" t="s">
        <v>113</v>
      </c>
      <c r="CX12" s="143" t="s">
        <v>113</v>
      </c>
      <c r="CY12" s="143" t="s">
        <v>113</v>
      </c>
      <c r="CZ12" s="143"/>
      <c r="DA12" s="139" t="s">
        <v>113</v>
      </c>
      <c r="DB12" s="139" t="s">
        <v>113</v>
      </c>
      <c r="DC12" s="139" t="s">
        <v>113</v>
      </c>
      <c r="DD12" s="144">
        <f>(1-DE12)*100</f>
        <v>5.4387663520872875</v>
      </c>
      <c r="DE12" s="145">
        <f>'[84]2. Distributional by deciles o'!I28</f>
        <v>0.94561233647912712</v>
      </c>
      <c r="DF12" s="1"/>
      <c r="DG12" s="1"/>
      <c r="DH12" s="1"/>
      <c r="DI12" s="1"/>
      <c r="DJ12" s="1"/>
      <c r="DK12" s="1"/>
      <c r="DL12" s="1"/>
      <c r="DM12" s="1"/>
      <c r="DN12" s="1"/>
      <c r="DO12" s="1"/>
      <c r="DP12" s="1"/>
      <c r="DQ12" s="1"/>
      <c r="DR12" s="1"/>
      <c r="DS12" s="1"/>
      <c r="DT12" s="1"/>
      <c r="DU12" s="1"/>
      <c r="DV12" s="1"/>
      <c r="DW12" s="1"/>
      <c r="DX12" s="1"/>
      <c r="DY12" s="1"/>
      <c r="DZ12" s="1"/>
      <c r="EA12" s="146">
        <f>'[85]2. Distributional by deciles o'!B64</f>
        <v>385044145.62720001</v>
      </c>
      <c r="EB12" s="146">
        <f>'[85]2. Distributional by deciles o'!C64</f>
        <v>388267131.08880001</v>
      </c>
      <c r="EC12" s="146">
        <f>'[85]2. Distributional by deciles o'!D64</f>
        <v>380687728.51559961</v>
      </c>
      <c r="ED12" s="146"/>
      <c r="EE12" s="146"/>
      <c r="EF12" s="146"/>
      <c r="EG12" s="129"/>
      <c r="EH12" s="122"/>
      <c r="EI12" s="130" t="s">
        <v>113</v>
      </c>
      <c r="EJ12" s="130" t="s">
        <v>113</v>
      </c>
      <c r="EK12" s="130" t="s">
        <v>113</v>
      </c>
      <c r="EL12" s="130" t="s">
        <v>113</v>
      </c>
      <c r="EM12" s="131">
        <f t="shared" ref="EM12:EM21" si="5">EA12/EA$22*100</f>
        <v>0.46963963725325658</v>
      </c>
      <c r="EN12" s="146">
        <f>'[85]2. Distributional by deciles o'!B82</f>
        <v>10031277934.654819</v>
      </c>
      <c r="EO12" s="146">
        <f>'[85]2. Distributional by deciles o'!C82</f>
        <v>10131355658.725206</v>
      </c>
      <c r="EP12" s="131">
        <f t="shared" ref="EP12:EP21" si="6">(EO12/EN12-1)*100</f>
        <v>0.99765677635799133</v>
      </c>
      <c r="EQ12" s="130" t="s">
        <v>113</v>
      </c>
      <c r="ER12" s="130" t="s">
        <v>113</v>
      </c>
      <c r="ES12" s="130" t="s">
        <v>113</v>
      </c>
      <c r="ET12" s="130" t="s">
        <v>113</v>
      </c>
      <c r="EU12" s="131">
        <f>EN12/EN$22*100</f>
        <v>1.770747361862542</v>
      </c>
      <c r="EV12" s="132">
        <f>((EB12-$EA12)/ABS($EA12)) / ($EO12/$EN12-1)</f>
        <v>0.8390090881839114</v>
      </c>
      <c r="EW12" s="132">
        <f>IF(EC12&lt;&gt;0,((EC12-$EA12)/ABS($EA12)) / ($EO12/$EN12-1),0)</f>
        <v>-1.1340645473275359</v>
      </c>
      <c r="EX12" s="132"/>
      <c r="EY12" s="148">
        <f t="shared" ref="EY12:EY22" si="7">EV12-W12</f>
        <v>4.2612342677989745E-2</v>
      </c>
      <c r="EZ12" s="144">
        <f>(1-FA12)*100</f>
        <v>5.1248250382223137</v>
      </c>
      <c r="FA12" s="145">
        <f>'[85]2. Distributional by deciles o'!I28</f>
        <v>0.94875174961777686</v>
      </c>
      <c r="FB12" s="130" t="s">
        <v>113</v>
      </c>
      <c r="FC12" s="130" t="s">
        <v>113</v>
      </c>
      <c r="FD12" s="130" t="s">
        <v>113</v>
      </c>
      <c r="FE12" s="130" t="s">
        <v>113</v>
      </c>
      <c r="FF12" s="130" t="s">
        <v>113</v>
      </c>
      <c r="FG12" s="130" t="s">
        <v>113</v>
      </c>
      <c r="FH12" s="130" t="s">
        <v>113</v>
      </c>
      <c r="FI12" s="130" t="s">
        <v>113</v>
      </c>
      <c r="FJ12" s="1"/>
      <c r="FK12" s="1"/>
      <c r="FL12" s="1"/>
      <c r="FM12" s="1"/>
      <c r="FN12" s="1"/>
      <c r="FO12" s="1"/>
      <c r="FP12" s="1"/>
      <c r="FQ12" s="1"/>
    </row>
    <row r="13" spans="1:173" x14ac:dyDescent="0.3">
      <c r="A13" s="1"/>
      <c r="B13" s="28">
        <v>2</v>
      </c>
      <c r="C13" s="29">
        <f>'[84]2. Distributional by deciles o'!B65</f>
        <v>556766320.14479959</v>
      </c>
      <c r="D13" s="29">
        <f>'[84]2. Distributional by deciles o'!C65</f>
        <v>574756431.14279997</v>
      </c>
      <c r="E13" s="29">
        <f>'[84]2. Distributional by deciles o'!D65</f>
        <v>562419745.75560093</v>
      </c>
      <c r="F13" s="29">
        <f>'[84]2. Distributional by deciles o'!E65</f>
        <v>569905082.53079987</v>
      </c>
      <c r="G13" s="29">
        <f>'[84]2. Distributional by deciles o'!F65</f>
        <v>562688018.66640127</v>
      </c>
      <c r="H13" s="29">
        <f>'[84]2. Distributional by deciles o'!G65</f>
        <v>562440739.73880112</v>
      </c>
      <c r="I13" s="29"/>
      <c r="J13" s="122"/>
      <c r="K13" s="130" t="s">
        <v>113</v>
      </c>
      <c r="L13" s="130" t="s">
        <v>113</v>
      </c>
      <c r="M13" s="130" t="s">
        <v>113</v>
      </c>
      <c r="N13" s="130" t="s">
        <v>113</v>
      </c>
      <c r="O13" s="131">
        <f t="shared" ref="O13:O21" si="8">C13/C$22*100</f>
        <v>0.79824296405885309</v>
      </c>
      <c r="P13" s="29">
        <f>'[84]2. Distributional by deciles o'!B83</f>
        <v>23646266616.452366</v>
      </c>
      <c r="Q13" s="29">
        <f>'[84]2. Distributional by deciles o'!C83</f>
        <v>23882626761.807613</v>
      </c>
      <c r="R13" s="131">
        <f t="shared" si="0"/>
        <v>0.99956643976431003</v>
      </c>
      <c r="S13" s="130" t="s">
        <v>113</v>
      </c>
      <c r="T13" s="130" t="s">
        <v>113</v>
      </c>
      <c r="U13" s="130" t="s">
        <v>113</v>
      </c>
      <c r="V13" s="130" t="s">
        <v>113</v>
      </c>
      <c r="W13" s="132">
        <f t="shared" ref="W13:X22" si="9">IF(D13&lt;&gt;0,((D13-$C13)/ABS($C13)) / ($Q13/$P13-1),0)</f>
        <v>3.2325795449036003</v>
      </c>
      <c r="X13" s="132">
        <f t="shared" si="9"/>
        <v>1.0158440929098131</v>
      </c>
      <c r="Y13" s="132">
        <f t="shared" si="1"/>
        <v>2.3608578367890076</v>
      </c>
      <c r="Z13" s="132">
        <f t="shared" si="1"/>
        <v>1.0640491053192036</v>
      </c>
      <c r="AA13" s="132">
        <f t="shared" si="1"/>
        <v>1.0196164276478554</v>
      </c>
      <c r="AB13" s="132">
        <f t="shared" ref="AB13:AC22" si="10">IF(I13&lt;&gt;0,MAX(((I13-$C13)/ABS($C13)) / ($Q13/$P13-1),0),AA13)</f>
        <v>1.0196164276478554</v>
      </c>
      <c r="AC13" s="132">
        <f t="shared" si="10"/>
        <v>1.0196164276478554</v>
      </c>
      <c r="AD13" s="130" t="s">
        <v>113</v>
      </c>
      <c r="AE13" s="130" t="s">
        <v>113</v>
      </c>
      <c r="AF13" s="130" t="s">
        <v>113</v>
      </c>
      <c r="AG13" s="130" t="s">
        <v>113</v>
      </c>
      <c r="AH13" s="133">
        <f t="shared" ref="AH13:AH22" si="11">MIN(W13,1)</f>
        <v>1</v>
      </c>
      <c r="AI13" s="134">
        <f t="shared" ref="AI13:AI21" si="12">IF(W13&gt;1,W13-SUM(AH13,AJ13:AO13),0)</f>
        <v>1.5844092909813146E-2</v>
      </c>
      <c r="AJ13" s="134">
        <f t="shared" ref="AJ13:AJ21" si="13">IF(W13&gt;1,MIN($W13-Y13,W13-AH13),0)</f>
        <v>0.87172170811459271</v>
      </c>
      <c r="AK13" s="134">
        <f t="shared" ref="AK13:AK22" si="14">IF(W13&gt;1,MIN(Y13-Z13,W13-AH13-AJ13),0)</f>
        <v>1.296808731469804</v>
      </c>
      <c r="AL13" s="134">
        <f t="shared" ref="AL13:AL22" si="15">IF(W13&gt;1,MIN(Z13-AA13,W13-AH13-AJ13-AK13),0)</f>
        <v>4.4432677671348175E-2</v>
      </c>
      <c r="AM13" s="134">
        <f t="shared" ref="AM13:AM22" si="16">IF(I13&lt;&gt;0,IF(W13&gt;1,MIN(AA13-AB13,W13-AJ13-AK13-AL13),0),0)</f>
        <v>0</v>
      </c>
      <c r="AN13" s="135">
        <f t="shared" ref="AN13:AN22" si="17">IF(J13&lt;&gt;0,IF(W13&gt;1,MIN(AB13-AC13,W13-AH13-AJ13-AK13-AL13-AM13),0),0)</f>
        <v>0</v>
      </c>
      <c r="AO13" s="134">
        <f t="shared" ref="AO13:AO22" si="18">IF(W13&gt;1,MIN(AC13-X13,W13-AH13-AJ13-AK13-AL13-AM13-AN13),0)</f>
        <v>3.7723347380422823E-3</v>
      </c>
      <c r="AP13" s="134">
        <f>AI13+AO13</f>
        <v>1.9616427647855428E-2</v>
      </c>
      <c r="AQ13" s="136" t="s">
        <v>113</v>
      </c>
      <c r="AR13" s="137">
        <f t="shared" si="3"/>
        <v>0.70967652400028025</v>
      </c>
      <c r="AS13" s="137">
        <f t="shared" si="3"/>
        <v>39.045493814744795</v>
      </c>
      <c r="AT13" s="137">
        <f t="shared" si="3"/>
        <v>58.08566751541202</v>
      </c>
      <c r="AU13" s="137">
        <f t="shared" si="3"/>
        <v>1.9901946057320308</v>
      </c>
      <c r="AV13" s="137">
        <f t="shared" si="3"/>
        <v>0</v>
      </c>
      <c r="AW13" s="138">
        <f t="shared" si="3"/>
        <v>0</v>
      </c>
      <c r="AX13" s="137">
        <f t="shared" si="3"/>
        <v>0.1689675401108795</v>
      </c>
      <c r="AY13" s="137">
        <f t="shared" si="3"/>
        <v>0.87864406411115969</v>
      </c>
      <c r="AZ13" s="139" t="s">
        <v>113</v>
      </c>
      <c r="BA13" s="139" t="s">
        <v>113</v>
      </c>
      <c r="BB13" s="139" t="s">
        <v>113</v>
      </c>
      <c r="BC13" s="139" t="s">
        <v>113</v>
      </c>
      <c r="BD13" s="139" t="s">
        <v>113</v>
      </c>
      <c r="BE13" s="139" t="s">
        <v>113</v>
      </c>
      <c r="BF13" s="139" t="s">
        <v>113</v>
      </c>
      <c r="BG13" s="139" t="s">
        <v>113</v>
      </c>
      <c r="BH13" s="140">
        <f>'[84]2. Distributional by deciles o'!B101</f>
        <v>7155580071.7020016</v>
      </c>
      <c r="BI13" s="140">
        <f>'[84]2. Distributional by deciles o'!B119</f>
        <v>14398953443.226006</v>
      </c>
      <c r="BJ13" s="140">
        <f>'[84]2. Distributional by deciles o'!B137</f>
        <v>1576642729.8336</v>
      </c>
      <c r="BK13" s="140">
        <f>'[84]2. Distributional by deciles o'!B155</f>
        <v>515092353.52320075</v>
      </c>
      <c r="BL13" s="141">
        <f t="shared" ref="BL13:BL22" si="19">BH13/SUM($BH13:$BK13)</f>
        <v>0.30260926970190277</v>
      </c>
      <c r="BM13" s="141">
        <f t="shared" si="4"/>
        <v>0.60893131545796786</v>
      </c>
      <c r="BN13" s="141">
        <f t="shared" si="4"/>
        <v>6.6676174436585842E-2</v>
      </c>
      <c r="BO13" s="141">
        <f t="shared" si="4"/>
        <v>2.1783240403543548E-2</v>
      </c>
      <c r="BP13" s="139" t="s">
        <v>113</v>
      </c>
      <c r="BQ13" s="139" t="s">
        <v>113</v>
      </c>
      <c r="BR13" s="139" t="s">
        <v>113</v>
      </c>
      <c r="BS13" s="131">
        <f t="shared" ref="BS13:BS21" si="20">P13/P$22*100</f>
        <v>4.8080443350902922</v>
      </c>
      <c r="BT13" s="139"/>
      <c r="BU13" s="139"/>
      <c r="BV13" s="139"/>
      <c r="BW13" s="139"/>
      <c r="BX13" s="139"/>
      <c r="BY13" s="139"/>
      <c r="BZ13" s="139"/>
      <c r="CA13" s="139"/>
      <c r="CB13" s="139"/>
      <c r="CC13" s="142" t="s">
        <v>113</v>
      </c>
      <c r="CD13" s="142" t="s">
        <v>113</v>
      </c>
      <c r="CE13" s="142" t="s">
        <v>113</v>
      </c>
      <c r="CF13" s="142" t="s">
        <v>113</v>
      </c>
      <c r="CG13" s="142" t="s">
        <v>113</v>
      </c>
      <c r="CH13" s="142" t="s">
        <v>113</v>
      </c>
      <c r="CI13" s="142" t="s">
        <v>113</v>
      </c>
      <c r="CJ13" s="142"/>
      <c r="CK13" s="139" t="s">
        <v>113</v>
      </c>
      <c r="CL13" s="139" t="s">
        <v>113</v>
      </c>
      <c r="CM13" s="139" t="s">
        <v>113</v>
      </c>
      <c r="CN13" s="139" t="s">
        <v>113</v>
      </c>
      <c r="CO13" s="139" t="s">
        <v>113</v>
      </c>
      <c r="CP13" s="139" t="s">
        <v>113</v>
      </c>
      <c r="CQ13" s="139" t="s">
        <v>113</v>
      </c>
      <c r="CR13" s="139"/>
      <c r="CS13" s="143" t="s">
        <v>113</v>
      </c>
      <c r="CT13" s="143" t="s">
        <v>113</v>
      </c>
      <c r="CU13" s="143" t="s">
        <v>113</v>
      </c>
      <c r="CV13" s="143" t="s">
        <v>113</v>
      </c>
      <c r="CW13" s="143" t="s">
        <v>113</v>
      </c>
      <c r="CX13" s="143" t="s">
        <v>113</v>
      </c>
      <c r="CY13" s="143" t="s">
        <v>113</v>
      </c>
      <c r="CZ13" s="143"/>
      <c r="DA13" s="139" t="s">
        <v>113</v>
      </c>
      <c r="DB13" s="139" t="s">
        <v>113</v>
      </c>
      <c r="DC13" s="139" t="s">
        <v>113</v>
      </c>
      <c r="DD13" s="144">
        <f t="shared" ref="DD13:DD22" si="21">(1-DE13)*100</f>
        <v>4.8479981667615135E-2</v>
      </c>
      <c r="DE13" s="145">
        <f>'[84]2. Distributional by deciles o'!I29</f>
        <v>0.99951520018332385</v>
      </c>
      <c r="DF13" s="1"/>
      <c r="DG13" s="1"/>
      <c r="DH13" s="1"/>
      <c r="DI13" s="1"/>
      <c r="DJ13" s="1"/>
      <c r="DK13" s="1"/>
      <c r="DL13" s="1"/>
      <c r="DM13" s="1"/>
      <c r="DN13" s="1"/>
      <c r="DO13" s="1"/>
      <c r="DP13" s="1"/>
      <c r="DQ13" s="1"/>
      <c r="DR13" s="1"/>
      <c r="DS13" s="1"/>
      <c r="DT13" s="1"/>
      <c r="DU13" s="1"/>
      <c r="DV13" s="1"/>
      <c r="DW13" s="1"/>
      <c r="DX13" s="1"/>
      <c r="DY13" s="1"/>
      <c r="DZ13" s="1"/>
      <c r="EA13" s="146">
        <f>'[85]2. Distributional by deciles o'!B65</f>
        <v>553769009.19959998</v>
      </c>
      <c r="EB13" s="146">
        <f>'[85]2. Distributional by deciles o'!C65</f>
        <v>573673621.46520042</v>
      </c>
      <c r="EC13" s="146">
        <f>'[85]2. Distributional by deciles o'!D65</f>
        <v>559303172.12159991</v>
      </c>
      <c r="ED13" s="146"/>
      <c r="EE13" s="146"/>
      <c r="EF13" s="146"/>
      <c r="EG13" s="129"/>
      <c r="EH13" s="122"/>
      <c r="EI13" s="130" t="s">
        <v>113</v>
      </c>
      <c r="EJ13" s="130" t="s">
        <v>113</v>
      </c>
      <c r="EK13" s="130" t="s">
        <v>113</v>
      </c>
      <c r="EL13" s="130" t="s">
        <v>113</v>
      </c>
      <c r="EM13" s="131">
        <f t="shared" si="5"/>
        <v>0.67543391986641765</v>
      </c>
      <c r="EN13" s="146">
        <f>'[85]2. Distributional by deciles o'!B83</f>
        <v>27375154440.794441</v>
      </c>
      <c r="EO13" s="146">
        <f>'[85]2. Distributional by deciles o'!C83</f>
        <v>27648764495.846436</v>
      </c>
      <c r="EP13" s="131">
        <f t="shared" si="6"/>
        <v>0.99948314682112294</v>
      </c>
      <c r="EQ13" s="130" t="s">
        <v>113</v>
      </c>
      <c r="ER13" s="130" t="s">
        <v>113</v>
      </c>
      <c r="ES13" s="130" t="s">
        <v>113</v>
      </c>
      <c r="ET13" s="130" t="s">
        <v>113</v>
      </c>
      <c r="EU13" s="131">
        <f t="shared" ref="EU13:EU21" si="22">EN13/EN$22*100</f>
        <v>4.8323337088640272</v>
      </c>
      <c r="EV13" s="132">
        <f t="shared" ref="EV13:EV22" si="23">((EB13-$EA13)/ABS($EA13)) / ($EO13/$EN13-1)</f>
        <v>3.5962477164478424</v>
      </c>
      <c r="EW13" s="132">
        <f t="shared" ref="EW13:EW22" si="24">IF(EC13&lt;&gt;0,((EC13-$EA13)/ABS($EA13)) / ($EO13/$EN13-1),0)</f>
        <v>0.99987985222339626</v>
      </c>
      <c r="EX13" s="132"/>
      <c r="EY13" s="148">
        <f t="shared" si="7"/>
        <v>0.36366817154424202</v>
      </c>
      <c r="EZ13" s="144">
        <f t="shared" ref="EZ13:EZ22" si="25">(1-FA13)*100</f>
        <v>4.7928084600601384E-2</v>
      </c>
      <c r="FA13" s="145">
        <f>'[85]2. Distributional by deciles o'!I29</f>
        <v>0.99952071915399399</v>
      </c>
      <c r="FB13" s="130" t="s">
        <v>113</v>
      </c>
      <c r="FC13" s="130" t="s">
        <v>113</v>
      </c>
      <c r="FD13" s="130" t="s">
        <v>113</v>
      </c>
      <c r="FE13" s="130" t="s">
        <v>113</v>
      </c>
      <c r="FF13" s="130" t="s">
        <v>113</v>
      </c>
      <c r="FG13" s="130" t="s">
        <v>113</v>
      </c>
      <c r="FH13" s="130" t="s">
        <v>113</v>
      </c>
      <c r="FI13" s="130" t="s">
        <v>113</v>
      </c>
      <c r="FJ13" s="1"/>
      <c r="FK13" s="1"/>
      <c r="FL13" s="1"/>
      <c r="FM13" s="1"/>
      <c r="FN13" s="1"/>
      <c r="FO13" s="1"/>
      <c r="FP13" s="1"/>
      <c r="FQ13" s="1"/>
    </row>
    <row r="14" spans="1:173" x14ac:dyDescent="0.3">
      <c r="A14" s="1"/>
      <c r="B14" s="28">
        <v>3</v>
      </c>
      <c r="C14" s="29">
        <f>'[84]2. Distributional by deciles o'!B66</f>
        <v>1097591364.3491998</v>
      </c>
      <c r="D14" s="29">
        <f>'[84]2. Distributional by deciles o'!C66</f>
        <v>1138805340.4488006</v>
      </c>
      <c r="E14" s="29">
        <f>'[84]2. Distributional by deciles o'!D66</f>
        <v>1110164138.6267998</v>
      </c>
      <c r="F14" s="29">
        <f>'[84]2. Distributional by deciles o'!E66</f>
        <v>1126536454.507199</v>
      </c>
      <c r="G14" s="29">
        <f>'[84]2. Distributional by deciles o'!F66</f>
        <v>1110526027.0631998</v>
      </c>
      <c r="H14" s="29">
        <f>'[84]2. Distributional by deciles o'!G66</f>
        <v>1110096896.8379998</v>
      </c>
      <c r="I14" s="29"/>
      <c r="J14" s="122"/>
      <c r="K14" s="130" t="s">
        <v>113</v>
      </c>
      <c r="L14" s="130" t="s">
        <v>113</v>
      </c>
      <c r="M14" s="130" t="s">
        <v>113</v>
      </c>
      <c r="N14" s="130" t="s">
        <v>113</v>
      </c>
      <c r="O14" s="131">
        <f t="shared" si="8"/>
        <v>1.5736307177769748</v>
      </c>
      <c r="P14" s="29">
        <f>'[84]2. Distributional by deciles o'!B84</f>
        <v>28442063878.322418</v>
      </c>
      <c r="Q14" s="29">
        <f>'[84]2. Distributional by deciles o'!C84</f>
        <v>28726252926.044388</v>
      </c>
      <c r="R14" s="131">
        <f t="shared" si="0"/>
        <v>0.9991857445287966</v>
      </c>
      <c r="S14" s="130" t="s">
        <v>113</v>
      </c>
      <c r="T14" s="130" t="s">
        <v>113</v>
      </c>
      <c r="U14" s="130" t="s">
        <v>113</v>
      </c>
      <c r="V14" s="130" t="s">
        <v>113</v>
      </c>
      <c r="W14" s="132">
        <f t="shared" si="9"/>
        <v>3.7580071684706264</v>
      </c>
      <c r="X14" s="132">
        <f t="shared" si="9"/>
        <v>1.1464211982022707</v>
      </c>
      <c r="Y14" s="132">
        <f t="shared" si="1"/>
        <v>2.6392953701655464</v>
      </c>
      <c r="Z14" s="132">
        <f t="shared" si="1"/>
        <v>1.1794192116647662</v>
      </c>
      <c r="AA14" s="132">
        <f t="shared" si="1"/>
        <v>1.1402899012917151</v>
      </c>
      <c r="AB14" s="132">
        <f t="shared" si="10"/>
        <v>1.1402899012917151</v>
      </c>
      <c r="AC14" s="132">
        <f t="shared" si="10"/>
        <v>1.1402899012917151</v>
      </c>
      <c r="AD14" s="130" t="s">
        <v>113</v>
      </c>
      <c r="AE14" s="130" t="s">
        <v>113</v>
      </c>
      <c r="AF14" s="130" t="s">
        <v>113</v>
      </c>
      <c r="AG14" s="130" t="s">
        <v>113</v>
      </c>
      <c r="AH14" s="133">
        <f t="shared" si="11"/>
        <v>1</v>
      </c>
      <c r="AI14" s="134">
        <f t="shared" si="12"/>
        <v>0.14642119820227117</v>
      </c>
      <c r="AJ14" s="134">
        <f t="shared" si="13"/>
        <v>1.1187117983050801</v>
      </c>
      <c r="AK14" s="134">
        <f t="shared" si="14"/>
        <v>1.4598761585007802</v>
      </c>
      <c r="AL14" s="134">
        <f t="shared" si="15"/>
        <v>3.9129310373051007E-2</v>
      </c>
      <c r="AM14" s="134">
        <f t="shared" si="16"/>
        <v>0</v>
      </c>
      <c r="AN14" s="135">
        <f t="shared" si="17"/>
        <v>0</v>
      </c>
      <c r="AO14" s="134">
        <f t="shared" si="18"/>
        <v>-6.1312969105555837E-3</v>
      </c>
      <c r="AP14" s="134">
        <f t="shared" si="2"/>
        <v>0.14028990129171559</v>
      </c>
      <c r="AQ14" s="136" t="s">
        <v>113</v>
      </c>
      <c r="AR14" s="137">
        <f t="shared" si="3"/>
        <v>5.3089491527124943</v>
      </c>
      <c r="AS14" s="137">
        <f t="shared" si="3"/>
        <v>40.562323807353607</v>
      </c>
      <c r="AT14" s="137">
        <f t="shared" si="3"/>
        <v>52.932282961045118</v>
      </c>
      <c r="AU14" s="137">
        <f t="shared" si="3"/>
        <v>1.4187530337257623</v>
      </c>
      <c r="AV14" s="137">
        <f t="shared" si="3"/>
        <v>0</v>
      </c>
      <c r="AW14" s="138">
        <f t="shared" si="3"/>
        <v>0</v>
      </c>
      <c r="AX14" s="137">
        <f t="shared" si="3"/>
        <v>-0.22230895483696358</v>
      </c>
      <c r="AY14" s="137">
        <f t="shared" si="3"/>
        <v>5.0866401978755302</v>
      </c>
      <c r="AZ14" s="139" t="s">
        <v>113</v>
      </c>
      <c r="BA14" s="139" t="s">
        <v>113</v>
      </c>
      <c r="BB14" s="139" t="s">
        <v>113</v>
      </c>
      <c r="BC14" s="139" t="s">
        <v>113</v>
      </c>
      <c r="BD14" s="139" t="s">
        <v>113</v>
      </c>
      <c r="BE14" s="139" t="s">
        <v>113</v>
      </c>
      <c r="BF14" s="139" t="s">
        <v>113</v>
      </c>
      <c r="BG14" s="139" t="s">
        <v>113</v>
      </c>
      <c r="BH14" s="140">
        <f>'[84]2. Distributional by deciles o'!B102</f>
        <v>12864847728.976797</v>
      </c>
      <c r="BI14" s="140">
        <f>'[84]2. Distributional by deciles o'!B120</f>
        <v>12903441826.863596</v>
      </c>
      <c r="BJ14" s="140">
        <f>'[84]2. Distributional by deciles o'!B138</f>
        <v>1927133606.9471998</v>
      </c>
      <c r="BK14" s="140">
        <f>'[84]2. Distributional by deciles o'!B156</f>
        <v>746641250.19600034</v>
      </c>
      <c r="BL14" s="141">
        <f t="shared" si="19"/>
        <v>0.45231764973797361</v>
      </c>
      <c r="BM14" s="141">
        <f t="shared" si="4"/>
        <v>0.45367458703079477</v>
      </c>
      <c r="BN14" s="141">
        <f t="shared" si="4"/>
        <v>6.7756460254252068E-2</v>
      </c>
      <c r="BO14" s="141">
        <f t="shared" si="4"/>
        <v>2.625130297697955E-2</v>
      </c>
      <c r="BP14" s="139" t="s">
        <v>113</v>
      </c>
      <c r="BQ14" s="139" t="s">
        <v>113</v>
      </c>
      <c r="BR14" s="139" t="s">
        <v>113</v>
      </c>
      <c r="BS14" s="131">
        <f t="shared" si="20"/>
        <v>5.7831837188749811</v>
      </c>
      <c r="BT14" s="139"/>
      <c r="BU14" s="139"/>
      <c r="BV14" s="139"/>
      <c r="BW14" s="139"/>
      <c r="BX14" s="139"/>
      <c r="BY14" s="139"/>
      <c r="BZ14" s="139"/>
      <c r="CA14" s="139"/>
      <c r="CB14" s="139"/>
      <c r="CC14" s="142" t="s">
        <v>113</v>
      </c>
      <c r="CD14" s="142" t="s">
        <v>113</v>
      </c>
      <c r="CE14" s="142" t="s">
        <v>113</v>
      </c>
      <c r="CF14" s="142" t="s">
        <v>113</v>
      </c>
      <c r="CG14" s="142" t="s">
        <v>113</v>
      </c>
      <c r="CH14" s="142" t="s">
        <v>113</v>
      </c>
      <c r="CI14" s="142" t="s">
        <v>113</v>
      </c>
      <c r="CJ14" s="142"/>
      <c r="CK14" s="139" t="s">
        <v>113</v>
      </c>
      <c r="CL14" s="139" t="s">
        <v>113</v>
      </c>
      <c r="CM14" s="139" t="s">
        <v>113</v>
      </c>
      <c r="CN14" s="139" t="s">
        <v>113</v>
      </c>
      <c r="CO14" s="139" t="s">
        <v>113</v>
      </c>
      <c r="CP14" s="139" t="s">
        <v>113</v>
      </c>
      <c r="CQ14" s="139" t="s">
        <v>113</v>
      </c>
      <c r="CR14" s="139"/>
      <c r="CS14" s="143" t="s">
        <v>113</v>
      </c>
      <c r="CT14" s="143" t="s">
        <v>113</v>
      </c>
      <c r="CU14" s="143" t="s">
        <v>113</v>
      </c>
      <c r="CV14" s="143" t="s">
        <v>113</v>
      </c>
      <c r="CW14" s="143" t="s">
        <v>113</v>
      </c>
      <c r="CX14" s="143" t="s">
        <v>113</v>
      </c>
      <c r="CY14" s="143" t="s">
        <v>113</v>
      </c>
      <c r="CZ14" s="143"/>
      <c r="DA14" s="139" t="s">
        <v>113</v>
      </c>
      <c r="DB14" s="139" t="s">
        <v>113</v>
      </c>
      <c r="DC14" s="139" t="s">
        <v>113</v>
      </c>
      <c r="DD14" s="144">
        <f t="shared" si="21"/>
        <v>0</v>
      </c>
      <c r="DE14" s="145">
        <f>'[84]2. Distributional by deciles o'!I30</f>
        <v>1</v>
      </c>
      <c r="DF14" s="1"/>
      <c r="DG14" s="1"/>
      <c r="DH14" s="1"/>
      <c r="DI14" s="1"/>
      <c r="DJ14" s="1"/>
      <c r="DK14" s="1"/>
      <c r="DL14" s="1"/>
      <c r="DM14" s="1"/>
      <c r="DN14" s="1"/>
      <c r="DO14" s="1"/>
      <c r="DP14" s="1"/>
      <c r="DQ14" s="1"/>
      <c r="DR14" s="1"/>
      <c r="DS14" s="1"/>
      <c r="DT14" s="1"/>
      <c r="DU14" s="1"/>
      <c r="DV14" s="1"/>
      <c r="DW14" s="1"/>
      <c r="DX14" s="1"/>
      <c r="DY14" s="1"/>
      <c r="DZ14" s="1"/>
      <c r="EA14" s="146">
        <f>'[85]2. Distributional by deciles o'!B66</f>
        <v>1152229993.5192013</v>
      </c>
      <c r="EB14" s="146">
        <f>'[85]2. Distributional by deciles o'!C66</f>
        <v>1198578900.9744</v>
      </c>
      <c r="EC14" s="146">
        <f>'[85]2. Distributional by deciles o'!D66</f>
        <v>1165721825.1780014</v>
      </c>
      <c r="ED14" s="146"/>
      <c r="EE14" s="146"/>
      <c r="EF14" s="146"/>
      <c r="EG14" s="129"/>
      <c r="EH14" s="122"/>
      <c r="EI14" s="130" t="s">
        <v>113</v>
      </c>
      <c r="EJ14" s="130" t="s">
        <v>113</v>
      </c>
      <c r="EK14" s="130" t="s">
        <v>113</v>
      </c>
      <c r="EL14" s="130" t="s">
        <v>113</v>
      </c>
      <c r="EM14" s="131">
        <f t="shared" si="5"/>
        <v>1.4053787918453513</v>
      </c>
      <c r="EN14" s="146">
        <f>'[85]2. Distributional by deciles o'!B84</f>
        <v>32746179926.838051</v>
      </c>
      <c r="EO14" s="146">
        <f>'[85]2. Distributional by deciles o'!C84</f>
        <v>33073336275.286823</v>
      </c>
      <c r="EP14" s="131">
        <f t="shared" si="6"/>
        <v>0.99906721693860945</v>
      </c>
      <c r="EQ14" s="130" t="s">
        <v>113</v>
      </c>
      <c r="ER14" s="130" t="s">
        <v>113</v>
      </c>
      <c r="ES14" s="130" t="s">
        <v>113</v>
      </c>
      <c r="ET14" s="130" t="s">
        <v>113</v>
      </c>
      <c r="EU14" s="131">
        <f t="shared" si="22"/>
        <v>5.7804411456096192</v>
      </c>
      <c r="EV14" s="132">
        <f t="shared" si="23"/>
        <v>4.0262952324647694</v>
      </c>
      <c r="EW14" s="132">
        <f t="shared" si="24"/>
        <v>1.1720254147857179</v>
      </c>
      <c r="EX14" s="132"/>
      <c r="EY14" s="148">
        <f t="shared" si="7"/>
        <v>0.26828806399414296</v>
      </c>
      <c r="EZ14" s="144">
        <f t="shared" si="25"/>
        <v>0</v>
      </c>
      <c r="FA14" s="145">
        <f>'[85]2. Distributional by deciles o'!I30</f>
        <v>1</v>
      </c>
      <c r="FB14" s="130" t="s">
        <v>113</v>
      </c>
      <c r="FC14" s="130" t="s">
        <v>113</v>
      </c>
      <c r="FD14" s="130" t="s">
        <v>113</v>
      </c>
      <c r="FE14" s="130" t="s">
        <v>113</v>
      </c>
      <c r="FF14" s="130" t="s">
        <v>113</v>
      </c>
      <c r="FG14" s="130" t="s">
        <v>113</v>
      </c>
      <c r="FH14" s="130" t="s">
        <v>113</v>
      </c>
      <c r="FI14" s="130" t="s">
        <v>113</v>
      </c>
      <c r="FJ14" s="1"/>
      <c r="FK14" s="1"/>
      <c r="FL14" s="1"/>
      <c r="FM14" s="1"/>
      <c r="FN14" s="1"/>
      <c r="FO14" s="1"/>
      <c r="FP14" s="1"/>
      <c r="FQ14" s="1"/>
    </row>
    <row r="15" spans="1:173" x14ac:dyDescent="0.3">
      <c r="A15" s="1"/>
      <c r="B15" s="28">
        <v>4</v>
      </c>
      <c r="C15" s="29">
        <f>'[84]2. Distributional by deciles o'!B67</f>
        <v>1748794022.7275999</v>
      </c>
      <c r="D15" s="29">
        <f>'[84]2. Distributional by deciles o'!C67</f>
        <v>1806006252.0611987</v>
      </c>
      <c r="E15" s="29">
        <f>'[84]2. Distributional by deciles o'!D67</f>
        <v>1769270341.1087971</v>
      </c>
      <c r="F15" s="29">
        <f>'[84]2. Distributional by deciles o'!E67</f>
        <v>1786731436.6080012</v>
      </c>
      <c r="G15" s="29">
        <f>'[84]2. Distributional by deciles o'!F67</f>
        <v>1769847380.9363985</v>
      </c>
      <c r="H15" s="29">
        <f>'[84]2. Distributional by deciles o'!G67</f>
        <v>1769359518.7895973</v>
      </c>
      <c r="I15" s="29"/>
      <c r="J15" s="122"/>
      <c r="K15" s="130" t="s">
        <v>113</v>
      </c>
      <c r="L15" s="130" t="s">
        <v>113</v>
      </c>
      <c r="M15" s="130" t="s">
        <v>113</v>
      </c>
      <c r="N15" s="130" t="s">
        <v>113</v>
      </c>
      <c r="O15" s="131">
        <f t="shared" si="8"/>
        <v>2.5072682626841245</v>
      </c>
      <c r="P15" s="29">
        <f>'[84]2. Distributional by deciles o'!B85</f>
        <v>33362738789.713249</v>
      </c>
      <c r="Q15" s="29">
        <f>'[84]2. Distributional by deciles o'!C85</f>
        <v>33695998879.939201</v>
      </c>
      <c r="R15" s="131">
        <f t="shared" si="0"/>
        <v>0.99889907817971579</v>
      </c>
      <c r="S15" s="130" t="s">
        <v>113</v>
      </c>
      <c r="T15" s="130" t="s">
        <v>113</v>
      </c>
      <c r="U15" s="130" t="s">
        <v>113</v>
      </c>
      <c r="V15" s="130" t="s">
        <v>113</v>
      </c>
      <c r="W15" s="132">
        <f t="shared" si="9"/>
        <v>3.275130415600624</v>
      </c>
      <c r="X15" s="132">
        <f t="shared" si="9"/>
        <v>1.1721726964832233</v>
      </c>
      <c r="Y15" s="132">
        <f t="shared" si="1"/>
        <v>2.1717380975392953</v>
      </c>
      <c r="Z15" s="132">
        <f t="shared" si="1"/>
        <v>1.2052055062933547</v>
      </c>
      <c r="AA15" s="132">
        <f t="shared" si="1"/>
        <v>1.1772776983016007</v>
      </c>
      <c r="AB15" s="132">
        <f t="shared" si="10"/>
        <v>1.1772776983016007</v>
      </c>
      <c r="AC15" s="132">
        <f t="shared" si="10"/>
        <v>1.1772776983016007</v>
      </c>
      <c r="AD15" s="130" t="s">
        <v>113</v>
      </c>
      <c r="AE15" s="130" t="s">
        <v>113</v>
      </c>
      <c r="AF15" s="130" t="s">
        <v>113</v>
      </c>
      <c r="AG15" s="130" t="s">
        <v>113</v>
      </c>
      <c r="AH15" s="133">
        <f t="shared" si="11"/>
        <v>1</v>
      </c>
      <c r="AI15" s="134">
        <f t="shared" si="12"/>
        <v>0.17217269648322331</v>
      </c>
      <c r="AJ15" s="134">
        <f t="shared" si="13"/>
        <v>1.1033923180613288</v>
      </c>
      <c r="AK15" s="134">
        <f t="shared" si="14"/>
        <v>0.9665325912459406</v>
      </c>
      <c r="AL15" s="134">
        <f t="shared" si="15"/>
        <v>2.7927807991753983E-2</v>
      </c>
      <c r="AM15" s="134">
        <f t="shared" si="16"/>
        <v>0</v>
      </c>
      <c r="AN15" s="135">
        <f t="shared" si="17"/>
        <v>0</v>
      </c>
      <c r="AO15" s="134">
        <f t="shared" si="18"/>
        <v>5.1050018183773638E-3</v>
      </c>
      <c r="AP15" s="134">
        <f t="shared" si="2"/>
        <v>0.17727769830160067</v>
      </c>
      <c r="AQ15" s="136" t="s">
        <v>113</v>
      </c>
      <c r="AR15" s="137">
        <f t="shared" si="3"/>
        <v>7.5675967980837919</v>
      </c>
      <c r="AS15" s="137">
        <f t="shared" si="3"/>
        <v>48.497981060573103</v>
      </c>
      <c r="AT15" s="137">
        <f t="shared" si="3"/>
        <v>42.482513732769043</v>
      </c>
      <c r="AU15" s="137">
        <f t="shared" si="3"/>
        <v>1.2275255871159003</v>
      </c>
      <c r="AV15" s="137">
        <f t="shared" si="3"/>
        <v>0</v>
      </c>
      <c r="AW15" s="138">
        <f t="shared" si="3"/>
        <v>0</v>
      </c>
      <c r="AX15" s="137">
        <f t="shared" si="3"/>
        <v>0.22438282145815658</v>
      </c>
      <c r="AY15" s="137">
        <f t="shared" si="3"/>
        <v>7.7919796195419497</v>
      </c>
      <c r="AZ15" s="139" t="s">
        <v>113</v>
      </c>
      <c r="BA15" s="139" t="s">
        <v>113</v>
      </c>
      <c r="BB15" s="139" t="s">
        <v>113</v>
      </c>
      <c r="BC15" s="139" t="s">
        <v>113</v>
      </c>
      <c r="BD15" s="139" t="s">
        <v>113</v>
      </c>
      <c r="BE15" s="139" t="s">
        <v>113</v>
      </c>
      <c r="BF15" s="139" t="s">
        <v>113</v>
      </c>
      <c r="BG15" s="139" t="s">
        <v>113</v>
      </c>
      <c r="BH15" s="140">
        <f>'[84]2. Distributional by deciles o'!B103</f>
        <v>18178821422.959221</v>
      </c>
      <c r="BI15" s="140">
        <f>'[84]2. Distributional by deciles o'!B121</f>
        <v>12023241585.089993</v>
      </c>
      <c r="BJ15" s="140">
        <f>'[84]2. Distributional by deciles o'!B139</f>
        <v>2213620718.1228004</v>
      </c>
      <c r="BK15" s="140">
        <f>'[84]2. Distributional by deciles o'!B157</f>
        <v>947055337.60080028</v>
      </c>
      <c r="BL15" s="141">
        <f t="shared" si="19"/>
        <v>0.54488396136211836</v>
      </c>
      <c r="BM15" s="141">
        <f t="shared" si="4"/>
        <v>0.36037933102877401</v>
      </c>
      <c r="BN15" s="141">
        <f t="shared" si="4"/>
        <v>6.6350089358414743E-2</v>
      </c>
      <c r="BO15" s="141">
        <f t="shared" si="4"/>
        <v>2.8386618250692962E-2</v>
      </c>
      <c r="BP15" s="139" t="s">
        <v>113</v>
      </c>
      <c r="BQ15" s="139" t="s">
        <v>113</v>
      </c>
      <c r="BR15" s="139" t="s">
        <v>113</v>
      </c>
      <c r="BS15" s="131">
        <f t="shared" si="20"/>
        <v>6.7837147336133716</v>
      </c>
      <c r="BT15" s="139"/>
      <c r="BU15" s="139"/>
      <c r="BV15" s="139"/>
      <c r="BW15" s="139"/>
      <c r="BX15" s="139"/>
      <c r="BY15" s="139"/>
      <c r="BZ15" s="139"/>
      <c r="CA15" s="139"/>
      <c r="CB15" s="139"/>
      <c r="CC15" s="142" t="s">
        <v>113</v>
      </c>
      <c r="CD15" s="142" t="s">
        <v>113</v>
      </c>
      <c r="CE15" s="142" t="s">
        <v>113</v>
      </c>
      <c r="CF15" s="142" t="s">
        <v>113</v>
      </c>
      <c r="CG15" s="142" t="s">
        <v>113</v>
      </c>
      <c r="CH15" s="142" t="s">
        <v>113</v>
      </c>
      <c r="CI15" s="142" t="s">
        <v>113</v>
      </c>
      <c r="CJ15" s="142"/>
      <c r="CK15" s="139" t="s">
        <v>113</v>
      </c>
      <c r="CL15" s="139" t="s">
        <v>113</v>
      </c>
      <c r="CM15" s="139" t="s">
        <v>113</v>
      </c>
      <c r="CN15" s="139" t="s">
        <v>113</v>
      </c>
      <c r="CO15" s="139" t="s">
        <v>113</v>
      </c>
      <c r="CP15" s="139" t="s">
        <v>113</v>
      </c>
      <c r="CQ15" s="139" t="s">
        <v>113</v>
      </c>
      <c r="CR15" s="139"/>
      <c r="CS15" s="143" t="s">
        <v>113</v>
      </c>
      <c r="CT15" s="143" t="s">
        <v>113</v>
      </c>
      <c r="CU15" s="143" t="s">
        <v>113</v>
      </c>
      <c r="CV15" s="143" t="s">
        <v>113</v>
      </c>
      <c r="CW15" s="143" t="s">
        <v>113</v>
      </c>
      <c r="CX15" s="143" t="s">
        <v>113</v>
      </c>
      <c r="CY15" s="143" t="s">
        <v>113</v>
      </c>
      <c r="CZ15" s="143"/>
      <c r="DA15" s="139" t="s">
        <v>113</v>
      </c>
      <c r="DB15" s="139" t="s">
        <v>113</v>
      </c>
      <c r="DC15" s="139" t="s">
        <v>113</v>
      </c>
      <c r="DD15" s="144">
        <f t="shared" si="21"/>
        <v>0.14839996514711684</v>
      </c>
      <c r="DE15" s="145">
        <f>'[84]2. Distributional by deciles o'!I31</f>
        <v>0.99851600034852883</v>
      </c>
      <c r="DF15" s="1"/>
      <c r="DG15" s="1"/>
      <c r="DH15" s="1"/>
      <c r="DI15" s="1"/>
      <c r="DJ15" s="1"/>
      <c r="DK15" s="1"/>
      <c r="DL15" s="1"/>
      <c r="DM15" s="1"/>
      <c r="DN15" s="1"/>
      <c r="DO15" s="1"/>
      <c r="DP15" s="1"/>
      <c r="DQ15" s="1"/>
      <c r="DR15" s="1"/>
      <c r="DS15" s="1"/>
      <c r="DT15" s="1"/>
      <c r="DU15" s="1"/>
      <c r="DV15" s="1"/>
      <c r="DW15" s="1"/>
      <c r="DX15" s="1"/>
      <c r="DY15" s="1"/>
      <c r="DZ15" s="1"/>
      <c r="EA15" s="146">
        <f>'[85]2. Distributional by deciles o'!B67</f>
        <v>1888751951.0196011</v>
      </c>
      <c r="EB15" s="146">
        <f>'[85]2. Distributional by deciles o'!C67</f>
        <v>1955544482.7048001</v>
      </c>
      <c r="EC15" s="146">
        <f>'[85]2. Distributional by deciles o'!D67</f>
        <v>1911546020.7803988</v>
      </c>
      <c r="ED15" s="146"/>
      <c r="EE15" s="146"/>
      <c r="EF15" s="146"/>
      <c r="EG15" s="129"/>
      <c r="EH15" s="122"/>
      <c r="EI15" s="130" t="s">
        <v>113</v>
      </c>
      <c r="EJ15" s="130" t="s">
        <v>113</v>
      </c>
      <c r="EK15" s="130" t="s">
        <v>113</v>
      </c>
      <c r="EL15" s="130" t="s">
        <v>113</v>
      </c>
      <c r="EM15" s="131">
        <f t="shared" si="5"/>
        <v>2.3037170963691311</v>
      </c>
      <c r="EN15" s="146">
        <f>'[85]2. Distributional by deciles o'!B85</f>
        <v>38148397408.263626</v>
      </c>
      <c r="EO15" s="146">
        <f>'[85]2. Distributional by deciles o'!C85</f>
        <v>38529641331.201584</v>
      </c>
      <c r="EP15" s="131">
        <f t="shared" si="6"/>
        <v>0.9993707438293864</v>
      </c>
      <c r="EQ15" s="130" t="s">
        <v>113</v>
      </c>
      <c r="ER15" s="130" t="s">
        <v>113</v>
      </c>
      <c r="ES15" s="130" t="s">
        <v>113</v>
      </c>
      <c r="ET15" s="130" t="s">
        <v>113</v>
      </c>
      <c r="EU15" s="131">
        <f t="shared" si="22"/>
        <v>6.7340546747886627</v>
      </c>
      <c r="EV15" s="132">
        <f t="shared" si="23"/>
        <v>3.5385582381995411</v>
      </c>
      <c r="EW15" s="132">
        <f t="shared" si="24"/>
        <v>1.207592245706707</v>
      </c>
      <c r="EX15" s="132"/>
      <c r="EY15" s="148">
        <f t="shared" si="7"/>
        <v>0.26342782259891706</v>
      </c>
      <c r="EZ15" s="144">
        <f t="shared" si="25"/>
        <v>0.14750233292843973</v>
      </c>
      <c r="FA15" s="145">
        <f>'[85]2. Distributional by deciles o'!I31</f>
        <v>0.9985249766707156</v>
      </c>
      <c r="FB15" s="130" t="s">
        <v>113</v>
      </c>
      <c r="FC15" s="130" t="s">
        <v>113</v>
      </c>
      <c r="FD15" s="130" t="s">
        <v>113</v>
      </c>
      <c r="FE15" s="130" t="s">
        <v>113</v>
      </c>
      <c r="FF15" s="130" t="s">
        <v>113</v>
      </c>
      <c r="FG15" s="130" t="s">
        <v>113</v>
      </c>
      <c r="FH15" s="130" t="s">
        <v>113</v>
      </c>
      <c r="FI15" s="130" t="s">
        <v>113</v>
      </c>
      <c r="FJ15" s="1"/>
      <c r="FK15" s="1"/>
      <c r="FL15" s="1"/>
      <c r="FM15" s="1"/>
      <c r="FN15" s="1"/>
      <c r="FO15" s="1"/>
      <c r="FP15" s="1"/>
      <c r="FQ15" s="1"/>
    </row>
    <row r="16" spans="1:173" x14ac:dyDescent="0.3">
      <c r="A16" s="1"/>
      <c r="B16" s="28">
        <v>5</v>
      </c>
      <c r="C16" s="29">
        <f>'[84]2. Distributional by deciles o'!B68</f>
        <v>2640427348.656004</v>
      </c>
      <c r="D16" s="29">
        <f>'[84]2. Distributional by deciles o'!C68</f>
        <v>2722838913.268805</v>
      </c>
      <c r="E16" s="29">
        <f>'[84]2. Distributional by deciles o'!D68</f>
        <v>2671898231.7696004</v>
      </c>
      <c r="F16" s="29">
        <f>'[84]2. Distributional by deciles o'!E68</f>
        <v>2690171372.3507934</v>
      </c>
      <c r="G16" s="29">
        <f>'[84]2. Distributional by deciles o'!F68</f>
        <v>2672660913.279604</v>
      </c>
      <c r="H16" s="29">
        <f>'[84]2. Distributional by deciles o'!G68</f>
        <v>2672089341.282001</v>
      </c>
      <c r="I16" s="29"/>
      <c r="J16" s="122"/>
      <c r="K16" s="130" t="s">
        <v>113</v>
      </c>
      <c r="L16" s="130" t="s">
        <v>113</v>
      </c>
      <c r="M16" s="130" t="s">
        <v>113</v>
      </c>
      <c r="N16" s="130" t="s">
        <v>113</v>
      </c>
      <c r="O16" s="131">
        <f t="shared" si="8"/>
        <v>3.7856143177357997</v>
      </c>
      <c r="P16" s="29">
        <f>'[84]2. Distributional by deciles o'!B86</f>
        <v>37992011894.285995</v>
      </c>
      <c r="Q16" s="29">
        <f>'[84]2. Distributional by deciles o'!C86</f>
        <v>38371782571.290001</v>
      </c>
      <c r="R16" s="131">
        <f t="shared" si="0"/>
        <v>0.99960664905225372</v>
      </c>
      <c r="S16" s="130" t="s">
        <v>113</v>
      </c>
      <c r="T16" s="130" t="s">
        <v>113</v>
      </c>
      <c r="U16" s="130" t="s">
        <v>113</v>
      </c>
      <c r="V16" s="130" t="s">
        <v>113</v>
      </c>
      <c r="W16" s="132">
        <f t="shared" si="9"/>
        <v>3.1223731294086048</v>
      </c>
      <c r="X16" s="132">
        <f t="shared" si="9"/>
        <v>1.1923549838463945</v>
      </c>
      <c r="Y16" s="132">
        <f t="shared" si="1"/>
        <v>1.8846797007558507</v>
      </c>
      <c r="Z16" s="132">
        <f t="shared" si="1"/>
        <v>1.2212511255993206</v>
      </c>
      <c r="AA16" s="132">
        <f t="shared" si="1"/>
        <v>1.1995956570346502</v>
      </c>
      <c r="AB16" s="132">
        <f t="shared" si="10"/>
        <v>1.1995956570346502</v>
      </c>
      <c r="AC16" s="132">
        <f t="shared" si="10"/>
        <v>1.1995956570346502</v>
      </c>
      <c r="AD16" s="130" t="s">
        <v>113</v>
      </c>
      <c r="AE16" s="130" t="s">
        <v>113</v>
      </c>
      <c r="AF16" s="130" t="s">
        <v>113</v>
      </c>
      <c r="AG16" s="130" t="s">
        <v>113</v>
      </c>
      <c r="AH16" s="133">
        <f t="shared" si="11"/>
        <v>1</v>
      </c>
      <c r="AI16" s="134">
        <f t="shared" si="12"/>
        <v>0.19235498384639405</v>
      </c>
      <c r="AJ16" s="134">
        <f t="shared" si="13"/>
        <v>1.2376934286527541</v>
      </c>
      <c r="AK16" s="134">
        <f t="shared" si="14"/>
        <v>0.66342857515653009</v>
      </c>
      <c r="AL16" s="134">
        <f t="shared" si="15"/>
        <v>2.1655468564670377E-2</v>
      </c>
      <c r="AM16" s="134">
        <f t="shared" si="16"/>
        <v>0</v>
      </c>
      <c r="AN16" s="135">
        <f t="shared" si="17"/>
        <v>0</v>
      </c>
      <c r="AO16" s="134">
        <f t="shared" si="18"/>
        <v>7.2406731882557196E-3</v>
      </c>
      <c r="AP16" s="134">
        <f t="shared" si="2"/>
        <v>0.19959565703464976</v>
      </c>
      <c r="AQ16" s="136" t="s">
        <v>113</v>
      </c>
      <c r="AR16" s="137">
        <f t="shared" si="3"/>
        <v>9.0632029392491127</v>
      </c>
      <c r="AS16" s="137">
        <f t="shared" si="3"/>
        <v>58.316485989324363</v>
      </c>
      <c r="AT16" s="137">
        <f t="shared" si="3"/>
        <v>31.258809582714285</v>
      </c>
      <c r="AU16" s="137">
        <f t="shared" si="3"/>
        <v>1.0203421945275302</v>
      </c>
      <c r="AV16" s="137">
        <f t="shared" si="3"/>
        <v>0</v>
      </c>
      <c r="AW16" s="138">
        <f t="shared" si="3"/>
        <v>0</v>
      </c>
      <c r="AX16" s="137">
        <f t="shared" si="3"/>
        <v>0.34115929418468088</v>
      </c>
      <c r="AY16" s="137">
        <f t="shared" si="3"/>
        <v>9.404362233433794</v>
      </c>
      <c r="AZ16" s="139" t="s">
        <v>113</v>
      </c>
      <c r="BA16" s="139" t="s">
        <v>113</v>
      </c>
      <c r="BB16" s="139" t="s">
        <v>113</v>
      </c>
      <c r="BC16" s="139" t="s">
        <v>113</v>
      </c>
      <c r="BD16" s="139" t="s">
        <v>113</v>
      </c>
      <c r="BE16" s="139" t="s">
        <v>113</v>
      </c>
      <c r="BF16" s="139" t="s">
        <v>113</v>
      </c>
      <c r="BG16" s="139" t="s">
        <v>113</v>
      </c>
      <c r="BH16" s="140">
        <f>'[84]2. Distributional by deciles o'!B104</f>
        <v>23732349003.625183</v>
      </c>
      <c r="BI16" s="140">
        <f>'[84]2. Distributional by deciles o'!B122</f>
        <v>10284303411.307199</v>
      </c>
      <c r="BJ16" s="140">
        <f>'[84]2. Distributional by deciles o'!B140</f>
        <v>2915925815.5344014</v>
      </c>
      <c r="BK16" s="140">
        <f>'[84]2. Distributional by deciles o'!B158</f>
        <v>1059434693.7371991</v>
      </c>
      <c r="BL16" s="141">
        <f t="shared" si="19"/>
        <v>0.6246667964388315</v>
      </c>
      <c r="BM16" s="141">
        <f t="shared" si="4"/>
        <v>0.27069646011715448</v>
      </c>
      <c r="BN16" s="141">
        <f t="shared" si="4"/>
        <v>7.6751021888517026E-2</v>
      </c>
      <c r="BO16" s="141">
        <f t="shared" si="4"/>
        <v>2.7885721555497095E-2</v>
      </c>
      <c r="BP16" s="139" t="s">
        <v>113</v>
      </c>
      <c r="BQ16" s="139" t="s">
        <v>113</v>
      </c>
      <c r="BR16" s="139" t="s">
        <v>113</v>
      </c>
      <c r="BS16" s="131">
        <f t="shared" si="20"/>
        <v>7.7249944158165897</v>
      </c>
      <c r="BT16" s="139"/>
      <c r="BU16" s="139"/>
      <c r="BV16" s="139"/>
      <c r="BW16" s="139"/>
      <c r="BX16" s="139"/>
      <c r="BY16" s="139"/>
      <c r="BZ16" s="139"/>
      <c r="CA16" s="139"/>
      <c r="CB16" s="139"/>
      <c r="CC16" s="142" t="s">
        <v>113</v>
      </c>
      <c r="CD16" s="142" t="s">
        <v>113</v>
      </c>
      <c r="CE16" s="142" t="s">
        <v>113</v>
      </c>
      <c r="CF16" s="142" t="s">
        <v>113</v>
      </c>
      <c r="CG16" s="142" t="s">
        <v>113</v>
      </c>
      <c r="CH16" s="142" t="s">
        <v>113</v>
      </c>
      <c r="CI16" s="142" t="s">
        <v>113</v>
      </c>
      <c r="CJ16" s="142"/>
      <c r="CK16" s="139" t="s">
        <v>113</v>
      </c>
      <c r="CL16" s="139" t="s">
        <v>113</v>
      </c>
      <c r="CM16" s="139" t="s">
        <v>113</v>
      </c>
      <c r="CN16" s="139" t="s">
        <v>113</v>
      </c>
      <c r="CO16" s="139" t="s">
        <v>113</v>
      </c>
      <c r="CP16" s="139" t="s">
        <v>113</v>
      </c>
      <c r="CQ16" s="139" t="s">
        <v>113</v>
      </c>
      <c r="CR16" s="139"/>
      <c r="CS16" s="143" t="s">
        <v>113</v>
      </c>
      <c r="CT16" s="143" t="s">
        <v>113</v>
      </c>
      <c r="CU16" s="143" t="s">
        <v>113</v>
      </c>
      <c r="CV16" s="143" t="s">
        <v>113</v>
      </c>
      <c r="CW16" s="143" t="s">
        <v>113</v>
      </c>
      <c r="CX16" s="143" t="s">
        <v>113</v>
      </c>
      <c r="CY16" s="143" t="s">
        <v>113</v>
      </c>
      <c r="CZ16" s="143"/>
      <c r="DA16" s="139" t="s">
        <v>113</v>
      </c>
      <c r="DB16" s="139" t="s">
        <v>113</v>
      </c>
      <c r="DC16" s="139" t="s">
        <v>113</v>
      </c>
      <c r="DD16" s="144">
        <f t="shared" si="21"/>
        <v>0</v>
      </c>
      <c r="DE16" s="145">
        <f>'[84]2. Distributional by deciles o'!I32</f>
        <v>1</v>
      </c>
      <c r="DF16" s="1"/>
      <c r="DG16" s="1"/>
      <c r="DH16" s="1"/>
      <c r="DI16" s="1"/>
      <c r="DJ16" s="1"/>
      <c r="DK16" s="1"/>
      <c r="DL16" s="1"/>
      <c r="DM16" s="1"/>
      <c r="DN16" s="1"/>
      <c r="DO16" s="1"/>
      <c r="DP16" s="1"/>
      <c r="DQ16" s="1"/>
      <c r="DR16" s="1"/>
      <c r="DS16" s="1"/>
      <c r="DT16" s="1"/>
      <c r="DU16" s="1"/>
      <c r="DV16" s="1"/>
      <c r="DW16" s="1"/>
      <c r="DX16" s="1"/>
      <c r="DY16" s="1"/>
      <c r="DZ16" s="1"/>
      <c r="EA16" s="146">
        <f>'[85]2. Distributional by deciles o'!B68</f>
        <v>2945032650.4776006</v>
      </c>
      <c r="EB16" s="146">
        <f>'[85]2. Distributional by deciles o'!C68</f>
        <v>3045573997.6452017</v>
      </c>
      <c r="EC16" s="146">
        <f>'[85]2. Distributional by deciles o'!D68</f>
        <v>2980705066.2564001</v>
      </c>
      <c r="ED16" s="146"/>
      <c r="EE16" s="146"/>
      <c r="EF16" s="146"/>
      <c r="EG16" s="129"/>
      <c r="EH16" s="122"/>
      <c r="EI16" s="130" t="s">
        <v>113</v>
      </c>
      <c r="EJ16" s="130" t="s">
        <v>113</v>
      </c>
      <c r="EK16" s="130" t="s">
        <v>113</v>
      </c>
      <c r="EL16" s="130" t="s">
        <v>113</v>
      </c>
      <c r="EM16" s="131">
        <f t="shared" si="5"/>
        <v>3.5920662120868063</v>
      </c>
      <c r="EN16" s="146">
        <f>'[85]2. Distributional by deciles o'!B86</f>
        <v>43339355139.950378</v>
      </c>
      <c r="EO16" s="146">
        <f>'[85]2. Distributional by deciles o'!C86</f>
        <v>43772626010.189964</v>
      </c>
      <c r="EP16" s="131">
        <f t="shared" si="6"/>
        <v>0.99971692896785314</v>
      </c>
      <c r="EQ16" s="130" t="s">
        <v>113</v>
      </c>
      <c r="ER16" s="130" t="s">
        <v>113</v>
      </c>
      <c r="ES16" s="130" t="s">
        <v>113</v>
      </c>
      <c r="ET16" s="130" t="s">
        <v>113</v>
      </c>
      <c r="EU16" s="131">
        <f t="shared" si="22"/>
        <v>7.65037608157267</v>
      </c>
      <c r="EV16" s="132">
        <f t="shared" si="23"/>
        <v>3.4148964546382023</v>
      </c>
      <c r="EW16" s="132">
        <f t="shared" si="24"/>
        <v>1.2116170073624939</v>
      </c>
      <c r="EX16" s="132"/>
      <c r="EY16" s="148">
        <f t="shared" si="7"/>
        <v>0.29252332522959756</v>
      </c>
      <c r="EZ16" s="144">
        <f t="shared" si="25"/>
        <v>0</v>
      </c>
      <c r="FA16" s="145">
        <f>'[85]2. Distributional by deciles o'!I32</f>
        <v>1</v>
      </c>
      <c r="FB16" s="130" t="s">
        <v>113</v>
      </c>
      <c r="FC16" s="130" t="s">
        <v>113</v>
      </c>
      <c r="FD16" s="130" t="s">
        <v>113</v>
      </c>
      <c r="FE16" s="130" t="s">
        <v>113</v>
      </c>
      <c r="FF16" s="130" t="s">
        <v>113</v>
      </c>
      <c r="FG16" s="130" t="s">
        <v>113</v>
      </c>
      <c r="FH16" s="130" t="s">
        <v>113</v>
      </c>
      <c r="FI16" s="130" t="s">
        <v>113</v>
      </c>
      <c r="FJ16" s="1"/>
      <c r="FK16" s="1"/>
      <c r="FL16" s="1"/>
      <c r="FM16" s="1"/>
      <c r="FN16" s="1"/>
      <c r="FO16" s="1"/>
      <c r="FP16" s="1"/>
      <c r="FQ16" s="1"/>
    </row>
    <row r="17" spans="1:173" x14ac:dyDescent="0.3">
      <c r="A17" s="1"/>
      <c r="B17" s="28">
        <v>6</v>
      </c>
      <c r="C17" s="29">
        <f>'[84]2. Distributional by deciles o'!B69</f>
        <v>3839283052.7807961</v>
      </c>
      <c r="D17" s="29">
        <f>'[84]2. Distributional by deciles o'!C69</f>
        <v>3965682294.0732021</v>
      </c>
      <c r="E17" s="29">
        <f>'[84]2. Distributional by deciles o'!D69</f>
        <v>3884611806.6360035</v>
      </c>
      <c r="F17" s="29">
        <f>'[84]2. Distributional by deciles o'!E69</f>
        <v>3907360574.528399</v>
      </c>
      <c r="G17" s="29">
        <f>'[84]2. Distributional by deciles o'!F69</f>
        <v>3886170224.3652062</v>
      </c>
      <c r="H17" s="29">
        <f>'[84]2. Distributional by deciles o'!G69</f>
        <v>3885392778.3228054</v>
      </c>
      <c r="I17" s="29"/>
      <c r="J17" s="122"/>
      <c r="K17" s="130" t="s">
        <v>113</v>
      </c>
      <c r="L17" s="130" t="s">
        <v>113</v>
      </c>
      <c r="M17" s="130" t="s">
        <v>113</v>
      </c>
      <c r="N17" s="130" t="s">
        <v>113</v>
      </c>
      <c r="O17" s="131">
        <f t="shared" si="8"/>
        <v>5.5044290091319201</v>
      </c>
      <c r="P17" s="29">
        <f>'[84]2. Distributional by deciles o'!B87</f>
        <v>44355787035.81842</v>
      </c>
      <c r="Q17" s="29">
        <f>'[84]2. Distributional by deciles o'!C87</f>
        <v>44799295131.373238</v>
      </c>
      <c r="R17" s="131">
        <f t="shared" si="0"/>
        <v>0.99988778284256785</v>
      </c>
      <c r="S17" s="130" t="s">
        <v>113</v>
      </c>
      <c r="T17" s="130" t="s">
        <v>113</v>
      </c>
      <c r="U17" s="130" t="s">
        <v>113</v>
      </c>
      <c r="V17" s="130" t="s">
        <v>113</v>
      </c>
      <c r="W17" s="132">
        <f t="shared" si="9"/>
        <v>3.2926310800733822</v>
      </c>
      <c r="X17" s="132">
        <f t="shared" si="9"/>
        <v>1.1807892376456772</v>
      </c>
      <c r="Y17" s="132">
        <f t="shared" si="1"/>
        <v>1.7733821949293296</v>
      </c>
      <c r="Z17" s="132">
        <f t="shared" si="1"/>
        <v>1.2213851668493965</v>
      </c>
      <c r="AA17" s="132">
        <f t="shared" si="1"/>
        <v>1.2011331228013848</v>
      </c>
      <c r="AB17" s="132">
        <f t="shared" si="10"/>
        <v>1.2011331228013848</v>
      </c>
      <c r="AC17" s="132">
        <f t="shared" si="10"/>
        <v>1.2011331228013848</v>
      </c>
      <c r="AD17" s="130" t="s">
        <v>113</v>
      </c>
      <c r="AE17" s="130" t="s">
        <v>113</v>
      </c>
      <c r="AF17" s="130" t="s">
        <v>113</v>
      </c>
      <c r="AG17" s="130" t="s">
        <v>113</v>
      </c>
      <c r="AH17" s="133">
        <f t="shared" si="11"/>
        <v>1</v>
      </c>
      <c r="AI17" s="134">
        <f t="shared" si="12"/>
        <v>0.18078923764567767</v>
      </c>
      <c r="AJ17" s="134">
        <f t="shared" si="13"/>
        <v>1.5192488851440527</v>
      </c>
      <c r="AK17" s="134">
        <f t="shared" si="14"/>
        <v>0.55199702807993312</v>
      </c>
      <c r="AL17" s="134">
        <f t="shared" si="15"/>
        <v>2.0252044048011619E-2</v>
      </c>
      <c r="AM17" s="134">
        <f t="shared" si="16"/>
        <v>0</v>
      </c>
      <c r="AN17" s="135">
        <f t="shared" si="17"/>
        <v>0</v>
      </c>
      <c r="AO17" s="134">
        <f t="shared" si="18"/>
        <v>2.0343885155707619E-2</v>
      </c>
      <c r="AP17" s="134">
        <f t="shared" si="2"/>
        <v>0.20113312280138529</v>
      </c>
      <c r="AQ17" s="136" t="s">
        <v>113</v>
      </c>
      <c r="AR17" s="137">
        <f t="shared" si="3"/>
        <v>7.8856663515130831</v>
      </c>
      <c r="AS17" s="137">
        <f t="shared" si="3"/>
        <v>66.266609501578628</v>
      </c>
      <c r="AT17" s="137">
        <f t="shared" si="3"/>
        <v>24.077010596151599</v>
      </c>
      <c r="AU17" s="137">
        <f t="shared" si="3"/>
        <v>0.88335381230910448</v>
      </c>
      <c r="AV17" s="137">
        <f t="shared" si="3"/>
        <v>0</v>
      </c>
      <c r="AW17" s="138">
        <f t="shared" si="3"/>
        <v>0</v>
      </c>
      <c r="AX17" s="137">
        <f t="shared" si="3"/>
        <v>0.88735973844760296</v>
      </c>
      <c r="AY17" s="137">
        <f t="shared" si="3"/>
        <v>8.7730260899606858</v>
      </c>
      <c r="AZ17" s="139" t="s">
        <v>113</v>
      </c>
      <c r="BA17" s="139" t="s">
        <v>113</v>
      </c>
      <c r="BB17" s="139" t="s">
        <v>113</v>
      </c>
      <c r="BC17" s="139" t="s">
        <v>113</v>
      </c>
      <c r="BD17" s="139" t="s">
        <v>113</v>
      </c>
      <c r="BE17" s="139" t="s">
        <v>113</v>
      </c>
      <c r="BF17" s="139" t="s">
        <v>113</v>
      </c>
      <c r="BG17" s="139" t="s">
        <v>113</v>
      </c>
      <c r="BH17" s="140">
        <f>'[84]2. Distributional by deciles o'!B105</f>
        <v>29559053853.260387</v>
      </c>
      <c r="BI17" s="140">
        <f>'[84]2. Distributional by deciles o'!B123</f>
        <v>10571444650.4088</v>
      </c>
      <c r="BJ17" s="140">
        <f>'[84]2. Distributional by deciles o'!B141</f>
        <v>2935104333.0024009</v>
      </c>
      <c r="BK17" s="140">
        <f>'[84]2. Distributional by deciles o'!B159</f>
        <v>1290184016.1359992</v>
      </c>
      <c r="BL17" s="141">
        <f t="shared" si="19"/>
        <v>0.66640805970482708</v>
      </c>
      <c r="BM17" s="141">
        <f t="shared" si="4"/>
        <v>0.23833293016511234</v>
      </c>
      <c r="BN17" s="141">
        <f t="shared" si="4"/>
        <v>6.6171846815442456E-2</v>
      </c>
      <c r="BO17" s="141">
        <f t="shared" si="4"/>
        <v>2.9087163314617973E-2</v>
      </c>
      <c r="BP17" s="139" t="s">
        <v>113</v>
      </c>
      <c r="BQ17" s="139" t="s">
        <v>113</v>
      </c>
      <c r="BR17" s="139" t="s">
        <v>113</v>
      </c>
      <c r="BS17" s="131">
        <f t="shared" si="20"/>
        <v>9.0189539873349407</v>
      </c>
      <c r="BT17" s="139"/>
      <c r="BU17" s="139"/>
      <c r="BV17" s="139"/>
      <c r="BW17" s="139"/>
      <c r="BX17" s="139"/>
      <c r="BY17" s="139"/>
      <c r="BZ17" s="139"/>
      <c r="CA17" s="139"/>
      <c r="CB17" s="139"/>
      <c r="CC17" s="142" t="s">
        <v>113</v>
      </c>
      <c r="CD17" s="142" t="s">
        <v>113</v>
      </c>
      <c r="CE17" s="142" t="s">
        <v>113</v>
      </c>
      <c r="CF17" s="142" t="s">
        <v>113</v>
      </c>
      <c r="CG17" s="142" t="s">
        <v>113</v>
      </c>
      <c r="CH17" s="142" t="s">
        <v>113</v>
      </c>
      <c r="CI17" s="142" t="s">
        <v>113</v>
      </c>
      <c r="CJ17" s="142"/>
      <c r="CK17" s="139" t="s">
        <v>113</v>
      </c>
      <c r="CL17" s="139" t="s">
        <v>113</v>
      </c>
      <c r="CM17" s="139" t="s">
        <v>113</v>
      </c>
      <c r="CN17" s="139" t="s">
        <v>113</v>
      </c>
      <c r="CO17" s="139" t="s">
        <v>113</v>
      </c>
      <c r="CP17" s="139" t="s">
        <v>113</v>
      </c>
      <c r="CQ17" s="139" t="s">
        <v>113</v>
      </c>
      <c r="CR17" s="139"/>
      <c r="CS17" s="143" t="s">
        <v>113</v>
      </c>
      <c r="CT17" s="143" t="s">
        <v>113</v>
      </c>
      <c r="CU17" s="143" t="s">
        <v>113</v>
      </c>
      <c r="CV17" s="143" t="s">
        <v>113</v>
      </c>
      <c r="CW17" s="143" t="s">
        <v>113</v>
      </c>
      <c r="CX17" s="143" t="s">
        <v>113</v>
      </c>
      <c r="CY17" s="143" t="s">
        <v>113</v>
      </c>
      <c r="CZ17" s="143"/>
      <c r="DA17" s="139" t="s">
        <v>113</v>
      </c>
      <c r="DB17" s="139" t="s">
        <v>113</v>
      </c>
      <c r="DC17" s="139" t="s">
        <v>113</v>
      </c>
      <c r="DD17" s="144">
        <f t="shared" si="21"/>
        <v>0</v>
      </c>
      <c r="DE17" s="145">
        <f>'[84]2. Distributional by deciles o'!I33</f>
        <v>1</v>
      </c>
      <c r="DF17" s="1"/>
      <c r="DG17" s="1"/>
      <c r="DH17" s="1"/>
      <c r="DI17" s="1"/>
      <c r="DJ17" s="1"/>
      <c r="DK17" s="1"/>
      <c r="DL17" s="1"/>
      <c r="DM17" s="1"/>
      <c r="DN17" s="1"/>
      <c r="DO17" s="1"/>
      <c r="DP17" s="1"/>
      <c r="DQ17" s="1"/>
      <c r="DR17" s="1"/>
      <c r="DS17" s="1"/>
      <c r="DT17" s="1"/>
      <c r="DU17" s="1"/>
      <c r="DV17" s="1"/>
      <c r="DW17" s="1"/>
      <c r="DX17" s="1"/>
      <c r="DY17" s="1"/>
      <c r="DZ17" s="1"/>
      <c r="EA17" s="146">
        <f>'[85]2. Distributional by deciles o'!B69</f>
        <v>4456436099.9027958</v>
      </c>
      <c r="EB17" s="146">
        <f>'[85]2. Distributional by deciles o'!C69</f>
        <v>4609763118.4115992</v>
      </c>
      <c r="EC17" s="146">
        <f>'[85]2. Distributional by deciles o'!D69</f>
        <v>4510398653.2800016</v>
      </c>
      <c r="ED17" s="146"/>
      <c r="EE17" s="146"/>
      <c r="EF17" s="146"/>
      <c r="EG17" s="129"/>
      <c r="EH17" s="122"/>
      <c r="EI17" s="130" t="s">
        <v>113</v>
      </c>
      <c r="EJ17" s="130" t="s">
        <v>113</v>
      </c>
      <c r="EK17" s="130" t="s">
        <v>113</v>
      </c>
      <c r="EL17" s="130" t="s">
        <v>113</v>
      </c>
      <c r="EM17" s="131">
        <f t="shared" si="5"/>
        <v>5.4355300740685255</v>
      </c>
      <c r="EN17" s="146">
        <f>'[85]2. Distributional by deciles o'!B87</f>
        <v>50854121337.265182</v>
      </c>
      <c r="EO17" s="146">
        <f>'[85]2. Distributional by deciles o'!C87</f>
        <v>51362490815.062752</v>
      </c>
      <c r="EP17" s="131">
        <f t="shared" si="6"/>
        <v>0.99966229762589176</v>
      </c>
      <c r="EQ17" s="130" t="s">
        <v>113</v>
      </c>
      <c r="ER17" s="130" t="s">
        <v>113</v>
      </c>
      <c r="ES17" s="130" t="s">
        <v>113</v>
      </c>
      <c r="ET17" s="130" t="s">
        <v>113</v>
      </c>
      <c r="EU17" s="131">
        <f t="shared" si="22"/>
        <v>8.9769022236645437</v>
      </c>
      <c r="EV17" s="132">
        <f t="shared" si="23"/>
        <v>3.4417371069693581</v>
      </c>
      <c r="EW17" s="132">
        <f t="shared" si="24"/>
        <v>1.2112993792707221</v>
      </c>
      <c r="EX17" s="132"/>
      <c r="EY17" s="148">
        <f t="shared" si="7"/>
        <v>0.14910602689597585</v>
      </c>
      <c r="EZ17" s="144">
        <f t="shared" si="25"/>
        <v>0</v>
      </c>
      <c r="FA17" s="145">
        <f>'[85]2. Distributional by deciles o'!I33</f>
        <v>1</v>
      </c>
      <c r="FB17" s="130" t="s">
        <v>113</v>
      </c>
      <c r="FC17" s="130" t="s">
        <v>113</v>
      </c>
      <c r="FD17" s="130" t="s">
        <v>113</v>
      </c>
      <c r="FE17" s="130" t="s">
        <v>113</v>
      </c>
      <c r="FF17" s="130" t="s">
        <v>113</v>
      </c>
      <c r="FG17" s="130" t="s">
        <v>113</v>
      </c>
      <c r="FH17" s="130" t="s">
        <v>113</v>
      </c>
      <c r="FI17" s="130" t="s">
        <v>113</v>
      </c>
      <c r="FJ17" s="1"/>
      <c r="FK17" s="1"/>
      <c r="FL17" s="1"/>
      <c r="FM17" s="1"/>
      <c r="FN17" s="1"/>
      <c r="FO17" s="1"/>
      <c r="FP17" s="1"/>
      <c r="FQ17" s="1"/>
    </row>
    <row r="18" spans="1:173" x14ac:dyDescent="0.3">
      <c r="A18" s="1"/>
      <c r="B18" s="28">
        <v>7</v>
      </c>
      <c r="C18" s="29">
        <f>'[84]2. Distributional by deciles o'!B70</f>
        <v>5380300034.1011963</v>
      </c>
      <c r="D18" s="29">
        <f>'[84]2. Distributional by deciles o'!C70</f>
        <v>5539366039.8420038</v>
      </c>
      <c r="E18" s="29">
        <f>'[84]2. Distributional by deciles o'!D70</f>
        <v>5444363210.1215982</v>
      </c>
      <c r="F18" s="29">
        <f>'[84]2. Distributional by deciles o'!E70</f>
        <v>5468228498.5691957</v>
      </c>
      <c r="G18" s="29">
        <f>'[84]2. Distributional by deciles o'!F70</f>
        <v>5445965762.2308035</v>
      </c>
      <c r="H18" s="29">
        <f>'[84]2. Distributional by deciles o'!G70</f>
        <v>5445256367.4911995</v>
      </c>
      <c r="I18" s="29"/>
      <c r="J18" s="122"/>
      <c r="K18" s="130" t="s">
        <v>113</v>
      </c>
      <c r="L18" s="130" t="s">
        <v>113</v>
      </c>
      <c r="M18" s="130" t="s">
        <v>113</v>
      </c>
      <c r="N18" s="130" t="s">
        <v>113</v>
      </c>
      <c r="O18" s="131">
        <f t="shared" si="8"/>
        <v>7.7138046813426717</v>
      </c>
      <c r="P18" s="29">
        <f>'[84]2. Distributional by deciles o'!B88</f>
        <v>50444333537.089249</v>
      </c>
      <c r="Q18" s="29">
        <f>'[84]2. Distributional by deciles o'!C88</f>
        <v>50948621744.357986</v>
      </c>
      <c r="R18" s="131">
        <f t="shared" si="0"/>
        <v>0.99969247665441241</v>
      </c>
      <c r="S18" s="130" t="s">
        <v>113</v>
      </c>
      <c r="T18" s="130" t="s">
        <v>113</v>
      </c>
      <c r="U18" s="130" t="s">
        <v>113</v>
      </c>
      <c r="V18" s="130" t="s">
        <v>113</v>
      </c>
      <c r="W18" s="132">
        <f t="shared" si="9"/>
        <v>2.9573617881932761</v>
      </c>
      <c r="X18" s="132">
        <f t="shared" si="9"/>
        <v>1.1910652305040692</v>
      </c>
      <c r="Y18" s="132">
        <f t="shared" si="1"/>
        <v>1.6347696649646926</v>
      </c>
      <c r="Z18" s="132">
        <f t="shared" si="1"/>
        <v>1.2208599459071499</v>
      </c>
      <c r="AA18" s="132">
        <f t="shared" si="1"/>
        <v>1.2076708494318873</v>
      </c>
      <c r="AB18" s="132">
        <f t="shared" si="10"/>
        <v>1.2076708494318873</v>
      </c>
      <c r="AC18" s="132">
        <f t="shared" si="10"/>
        <v>1.2076708494318873</v>
      </c>
      <c r="AD18" s="130" t="s">
        <v>113</v>
      </c>
      <c r="AE18" s="130" t="s">
        <v>113</v>
      </c>
      <c r="AF18" s="130" t="s">
        <v>113</v>
      </c>
      <c r="AG18" s="130" t="s">
        <v>113</v>
      </c>
      <c r="AH18" s="133">
        <f t="shared" si="11"/>
        <v>1</v>
      </c>
      <c r="AI18" s="134">
        <f t="shared" si="12"/>
        <v>0.19106523050406921</v>
      </c>
      <c r="AJ18" s="134">
        <f t="shared" si="13"/>
        <v>1.3225921232285835</v>
      </c>
      <c r="AK18" s="134">
        <f t="shared" si="14"/>
        <v>0.4139097190575427</v>
      </c>
      <c r="AL18" s="134">
        <f t="shared" si="15"/>
        <v>1.3189096475262563E-2</v>
      </c>
      <c r="AM18" s="134">
        <f t="shared" si="16"/>
        <v>0</v>
      </c>
      <c r="AN18" s="135">
        <f t="shared" si="17"/>
        <v>0</v>
      </c>
      <c r="AO18" s="134">
        <f t="shared" si="18"/>
        <v>1.6605618927818089E-2</v>
      </c>
      <c r="AP18" s="134">
        <f t="shared" si="2"/>
        <v>0.20767084943188729</v>
      </c>
      <c r="AQ18" s="136" t="s">
        <v>113</v>
      </c>
      <c r="AR18" s="137">
        <f t="shared" si="3"/>
        <v>9.7613651015651079</v>
      </c>
      <c r="AS18" s="137">
        <f t="shared" si="3"/>
        <v>67.57014115665298</v>
      </c>
      <c r="AT18" s="137">
        <f t="shared" si="3"/>
        <v>21.146306296272293</v>
      </c>
      <c r="AU18" s="137">
        <f t="shared" si="3"/>
        <v>0.67382006509060499</v>
      </c>
      <c r="AV18" s="137">
        <f t="shared" si="3"/>
        <v>0</v>
      </c>
      <c r="AW18" s="138">
        <f t="shared" si="3"/>
        <v>0</v>
      </c>
      <c r="AX18" s="137">
        <f t="shared" si="3"/>
        <v>0.84836738041901527</v>
      </c>
      <c r="AY18" s="137">
        <f t="shared" si="3"/>
        <v>10.609732481984123</v>
      </c>
      <c r="AZ18" s="139" t="s">
        <v>113</v>
      </c>
      <c r="BA18" s="139" t="s">
        <v>113</v>
      </c>
      <c r="BB18" s="139" t="s">
        <v>113</v>
      </c>
      <c r="BC18" s="139" t="s">
        <v>113</v>
      </c>
      <c r="BD18" s="139" t="s">
        <v>113</v>
      </c>
      <c r="BE18" s="139" t="s">
        <v>113</v>
      </c>
      <c r="BF18" s="139" t="s">
        <v>113</v>
      </c>
      <c r="BG18" s="139" t="s">
        <v>113</v>
      </c>
      <c r="BH18" s="140">
        <f>'[84]2. Distributional by deciles o'!B106</f>
        <v>36678903844.310379</v>
      </c>
      <c r="BI18" s="140">
        <f>'[84]2. Distributional by deciles o'!B124</f>
        <v>9362738201.5235996</v>
      </c>
      <c r="BJ18" s="140">
        <f>'[84]2. Distributional by deciles o'!B142</f>
        <v>2952756297.922801</v>
      </c>
      <c r="BK18" s="140">
        <f>'[84]2. Distributional by deciles o'!B160</f>
        <v>1449937950.1703973</v>
      </c>
      <c r="BL18" s="141">
        <f t="shared" si="19"/>
        <v>0.7271163928214085</v>
      </c>
      <c r="BM18" s="141">
        <f t="shared" si="4"/>
        <v>0.1856053402500758</v>
      </c>
      <c r="BN18" s="141">
        <f t="shared" si="4"/>
        <v>5.8534941974809448E-2</v>
      </c>
      <c r="BO18" s="141">
        <f t="shared" si="4"/>
        <v>2.8743324953706462E-2</v>
      </c>
      <c r="BP18" s="139" t="s">
        <v>113</v>
      </c>
      <c r="BQ18" s="139" t="s">
        <v>113</v>
      </c>
      <c r="BR18" s="139" t="s">
        <v>113</v>
      </c>
      <c r="BS18" s="131">
        <f t="shared" si="20"/>
        <v>10.256950749749901</v>
      </c>
      <c r="BT18" s="139"/>
      <c r="BU18" s="139"/>
      <c r="BV18" s="139"/>
      <c r="BW18" s="139"/>
      <c r="BX18" s="139"/>
      <c r="BY18" s="139"/>
      <c r="BZ18" s="139"/>
      <c r="CA18" s="139"/>
      <c r="CB18" s="139"/>
      <c r="CC18" s="142" t="s">
        <v>113</v>
      </c>
      <c r="CD18" s="142" t="s">
        <v>113</v>
      </c>
      <c r="CE18" s="142" t="s">
        <v>113</v>
      </c>
      <c r="CF18" s="142" t="s">
        <v>113</v>
      </c>
      <c r="CG18" s="142" t="s">
        <v>113</v>
      </c>
      <c r="CH18" s="142" t="s">
        <v>113</v>
      </c>
      <c r="CI18" s="142" t="s">
        <v>113</v>
      </c>
      <c r="CJ18" s="142"/>
      <c r="CK18" s="139" t="s">
        <v>113</v>
      </c>
      <c r="CL18" s="139" t="s">
        <v>113</v>
      </c>
      <c r="CM18" s="139" t="s">
        <v>113</v>
      </c>
      <c r="CN18" s="139" t="s">
        <v>113</v>
      </c>
      <c r="CO18" s="139" t="s">
        <v>113</v>
      </c>
      <c r="CP18" s="139" t="s">
        <v>113</v>
      </c>
      <c r="CQ18" s="139" t="s">
        <v>113</v>
      </c>
      <c r="CR18" s="139"/>
      <c r="CS18" s="143" t="s">
        <v>113</v>
      </c>
      <c r="CT18" s="143" t="s">
        <v>113</v>
      </c>
      <c r="CU18" s="143" t="s">
        <v>113</v>
      </c>
      <c r="CV18" s="143" t="s">
        <v>113</v>
      </c>
      <c r="CW18" s="143" t="s">
        <v>113</v>
      </c>
      <c r="CX18" s="143" t="s">
        <v>113</v>
      </c>
      <c r="CY18" s="143" t="s">
        <v>113</v>
      </c>
      <c r="CZ18" s="143"/>
      <c r="DA18" s="139" t="s">
        <v>113</v>
      </c>
      <c r="DB18" s="139" t="s">
        <v>113</v>
      </c>
      <c r="DC18" s="139" t="s">
        <v>113</v>
      </c>
      <c r="DD18" s="144">
        <f t="shared" si="21"/>
        <v>3.0200948759584456E-2</v>
      </c>
      <c r="DE18" s="145">
        <f>'[84]2. Distributional by deciles o'!I34</f>
        <v>0.99969799051240416</v>
      </c>
      <c r="DF18" s="1"/>
      <c r="DG18" s="1"/>
      <c r="DH18" s="1"/>
      <c r="DI18" s="1"/>
      <c r="DJ18" s="1"/>
      <c r="DK18" s="1"/>
      <c r="DL18" s="1"/>
      <c r="DM18" s="1"/>
      <c r="DN18" s="1"/>
      <c r="DO18" s="1"/>
      <c r="DP18" s="1"/>
      <c r="DQ18" s="1"/>
      <c r="DR18" s="1"/>
      <c r="DS18" s="1"/>
      <c r="DT18" s="1"/>
      <c r="DU18" s="1"/>
      <c r="DV18" s="1"/>
      <c r="DW18" s="1"/>
      <c r="DX18" s="1"/>
      <c r="DY18" s="1"/>
      <c r="DZ18" s="1"/>
      <c r="EA18" s="146">
        <f>'[85]2. Distributional by deciles o'!B70</f>
        <v>6263559362.2379971</v>
      </c>
      <c r="EB18" s="146">
        <f>'[85]2. Distributional by deciles o'!C70</f>
        <v>6449581603.1507931</v>
      </c>
      <c r="EC18" s="146">
        <f>'[85]2. Distributional by deciles o'!D70</f>
        <v>6339201780.9179964</v>
      </c>
      <c r="ED18" s="146"/>
      <c r="EE18" s="146"/>
      <c r="EF18" s="146"/>
      <c r="EG18" s="129"/>
      <c r="EH18" s="122"/>
      <c r="EI18" s="130" t="s">
        <v>113</v>
      </c>
      <c r="EJ18" s="130" t="s">
        <v>113</v>
      </c>
      <c r="EK18" s="130" t="s">
        <v>113</v>
      </c>
      <c r="EL18" s="130" t="s">
        <v>113</v>
      </c>
      <c r="EM18" s="131">
        <f t="shared" si="5"/>
        <v>7.6396843847712104</v>
      </c>
      <c r="EN18" s="146">
        <f>'[85]2. Distributional by deciles o'!B88</f>
        <v>57827590338.142685</v>
      </c>
      <c r="EO18" s="146">
        <f>'[85]2. Distributional by deciles o'!C88</f>
        <v>58405866891.223183</v>
      </c>
      <c r="EP18" s="131">
        <f t="shared" si="6"/>
        <v>1.0000011235105299</v>
      </c>
      <c r="EQ18" s="130" t="s">
        <v>113</v>
      </c>
      <c r="ER18" s="130" t="s">
        <v>113</v>
      </c>
      <c r="ES18" s="130" t="s">
        <v>113</v>
      </c>
      <c r="ET18" s="130" t="s">
        <v>113</v>
      </c>
      <c r="EU18" s="131">
        <f t="shared" si="22"/>
        <v>10.207877171898689</v>
      </c>
      <c r="EV18" s="132">
        <f t="shared" si="23"/>
        <v>2.9699092984826105</v>
      </c>
      <c r="EW18" s="132">
        <f t="shared" si="24"/>
        <v>1.2076573290113053</v>
      </c>
      <c r="EX18" s="132"/>
      <c r="EY18" s="148">
        <f t="shared" si="7"/>
        <v>1.2547510289334429E-2</v>
      </c>
      <c r="EZ18" s="144">
        <f t="shared" si="25"/>
        <v>3.0576594256437328E-2</v>
      </c>
      <c r="FA18" s="145">
        <f>'[85]2. Distributional by deciles o'!I34</f>
        <v>0.99969423405743563</v>
      </c>
      <c r="FB18" s="130" t="s">
        <v>113</v>
      </c>
      <c r="FC18" s="130" t="s">
        <v>113</v>
      </c>
      <c r="FD18" s="130" t="s">
        <v>113</v>
      </c>
      <c r="FE18" s="130" t="s">
        <v>113</v>
      </c>
      <c r="FF18" s="130" t="s">
        <v>113</v>
      </c>
      <c r="FG18" s="130" t="s">
        <v>113</v>
      </c>
      <c r="FH18" s="130" t="s">
        <v>113</v>
      </c>
      <c r="FI18" s="130" t="s">
        <v>113</v>
      </c>
      <c r="FJ18" s="1"/>
      <c r="FK18" s="1"/>
      <c r="FL18" s="1"/>
      <c r="FM18" s="1"/>
      <c r="FN18" s="1"/>
      <c r="FO18" s="1"/>
      <c r="FP18" s="1"/>
      <c r="FQ18" s="1"/>
    </row>
    <row r="19" spans="1:173" x14ac:dyDescent="0.3">
      <c r="A19" s="1"/>
      <c r="B19" s="28">
        <v>8</v>
      </c>
      <c r="C19" s="29">
        <f>'[84]2. Distributional by deciles o'!B71</f>
        <v>7645432182.9323988</v>
      </c>
      <c r="D19" s="29">
        <f>'[84]2. Distributional by deciles o'!C71</f>
        <v>7848234124.9223986</v>
      </c>
      <c r="E19" s="29">
        <f>'[84]2. Distributional by deciles o'!D71</f>
        <v>7735119110.9676075</v>
      </c>
      <c r="F19" s="29">
        <f>'[84]2. Distributional by deciles o'!E71</f>
        <v>7760262093.7164116</v>
      </c>
      <c r="G19" s="29">
        <f>'[84]2. Distributional by deciles o'!F71</f>
        <v>7737012703.3296118</v>
      </c>
      <c r="H19" s="29">
        <f>'[84]2. Distributional by deciles o'!G71</f>
        <v>7735981454.256012</v>
      </c>
      <c r="I19" s="29"/>
      <c r="J19" s="122"/>
      <c r="K19" s="130" t="s">
        <v>113</v>
      </c>
      <c r="L19" s="130" t="s">
        <v>113</v>
      </c>
      <c r="M19" s="130" t="s">
        <v>113</v>
      </c>
      <c r="N19" s="130" t="s">
        <v>113</v>
      </c>
      <c r="O19" s="131">
        <f t="shared" si="8"/>
        <v>10.961353491403191</v>
      </c>
      <c r="P19" s="29">
        <f>'[84]2. Distributional by deciles o'!B89</f>
        <v>59095704862.990883</v>
      </c>
      <c r="Q19" s="29">
        <f>'[84]2. Distributional by deciles o'!C89</f>
        <v>59686546491.54129</v>
      </c>
      <c r="R19" s="131">
        <f t="shared" si="0"/>
        <v>0.9998046895628665</v>
      </c>
      <c r="S19" s="130" t="s">
        <v>113</v>
      </c>
      <c r="T19" s="130" t="s">
        <v>113</v>
      </c>
      <c r="U19" s="130" t="s">
        <v>113</v>
      </c>
      <c r="V19" s="130" t="s">
        <v>113</v>
      </c>
      <c r="W19" s="132">
        <f t="shared" si="9"/>
        <v>2.6531078192857587</v>
      </c>
      <c r="X19" s="132">
        <f t="shared" si="9"/>
        <v>1.1733077490434716</v>
      </c>
      <c r="Y19" s="132">
        <f t="shared" si="1"/>
        <v>1.5022347971597485</v>
      </c>
      <c r="Z19" s="132">
        <f t="shared" si="1"/>
        <v>1.1980802174571175</v>
      </c>
      <c r="AA19" s="132">
        <f t="shared" si="1"/>
        <v>1.1845891485159048</v>
      </c>
      <c r="AB19" s="132">
        <f t="shared" si="10"/>
        <v>1.1845891485159048</v>
      </c>
      <c r="AC19" s="132">
        <f t="shared" si="10"/>
        <v>1.1845891485159048</v>
      </c>
      <c r="AD19" s="130" t="s">
        <v>113</v>
      </c>
      <c r="AE19" s="130" t="s">
        <v>113</v>
      </c>
      <c r="AF19" s="130" t="s">
        <v>113</v>
      </c>
      <c r="AG19" s="130" t="s">
        <v>113</v>
      </c>
      <c r="AH19" s="133">
        <f t="shared" si="11"/>
        <v>1</v>
      </c>
      <c r="AI19" s="134">
        <f t="shared" si="12"/>
        <v>0.17330774904347113</v>
      </c>
      <c r="AJ19" s="134">
        <f t="shared" si="13"/>
        <v>1.1508730221260102</v>
      </c>
      <c r="AK19" s="134">
        <f t="shared" si="14"/>
        <v>0.30415457970263104</v>
      </c>
      <c r="AL19" s="134">
        <f t="shared" si="15"/>
        <v>1.3491068941212658E-2</v>
      </c>
      <c r="AM19" s="134">
        <f t="shared" si="16"/>
        <v>0</v>
      </c>
      <c r="AN19" s="135">
        <f t="shared" si="17"/>
        <v>0</v>
      </c>
      <c r="AO19" s="134">
        <f t="shared" si="18"/>
        <v>1.1281399472433229E-2</v>
      </c>
      <c r="AP19" s="134">
        <f t="shared" si="2"/>
        <v>0.18458914851590436</v>
      </c>
      <c r="AQ19" s="136" t="s">
        <v>113</v>
      </c>
      <c r="AR19" s="137">
        <f t="shared" si="3"/>
        <v>10.483753510908347</v>
      </c>
      <c r="AS19" s="137">
        <f t="shared" si="3"/>
        <v>69.618751342139078</v>
      </c>
      <c r="AT19" s="137">
        <f t="shared" si="3"/>
        <v>18.398955963685658</v>
      </c>
      <c r="AU19" s="137">
        <f t="shared" si="3"/>
        <v>0.8161033892539209</v>
      </c>
      <c r="AV19" s="137">
        <f t="shared" si="3"/>
        <v>0</v>
      </c>
      <c r="AW19" s="138">
        <f t="shared" si="3"/>
        <v>0</v>
      </c>
      <c r="AX19" s="137">
        <f t="shared" si="3"/>
        <v>0.68243579401296817</v>
      </c>
      <c r="AY19" s="137">
        <f t="shared" si="3"/>
        <v>11.166189304921314</v>
      </c>
      <c r="AZ19" s="139" t="s">
        <v>113</v>
      </c>
      <c r="BA19" s="139" t="s">
        <v>113</v>
      </c>
      <c r="BB19" s="139" t="s">
        <v>113</v>
      </c>
      <c r="BC19" s="139" t="s">
        <v>113</v>
      </c>
      <c r="BD19" s="139" t="s">
        <v>113</v>
      </c>
      <c r="BE19" s="139" t="s">
        <v>113</v>
      </c>
      <c r="BF19" s="139" t="s">
        <v>113</v>
      </c>
      <c r="BG19" s="139" t="s">
        <v>113</v>
      </c>
      <c r="BH19" s="140">
        <f>'[84]2. Distributional by deciles o'!B107</f>
        <v>41483636324.365204</v>
      </c>
      <c r="BI19" s="140">
        <f>'[84]2. Distributional by deciles o'!B125</f>
        <v>10726809497.405996</v>
      </c>
      <c r="BJ19" s="140">
        <f>'[84]2. Distributional by deciles o'!B143</f>
        <v>4811485921.1784</v>
      </c>
      <c r="BK19" s="140">
        <f>'[84]2. Distributional by deciles o'!B161</f>
        <v>2073773153.1827979</v>
      </c>
      <c r="BL19" s="141">
        <f t="shared" si="19"/>
        <v>0.70197379652679559</v>
      </c>
      <c r="BM19" s="141">
        <f t="shared" si="4"/>
        <v>0.18151589047392896</v>
      </c>
      <c r="BN19" s="141">
        <f t="shared" si="4"/>
        <v>8.1418538447678185E-2</v>
      </c>
      <c r="BO19" s="141">
        <f t="shared" si="4"/>
        <v>3.5091774551597212E-2</v>
      </c>
      <c r="BP19" s="139" t="s">
        <v>113</v>
      </c>
      <c r="BQ19" s="139" t="s">
        <v>113</v>
      </c>
      <c r="BR19" s="139" t="s">
        <v>113</v>
      </c>
      <c r="BS19" s="131">
        <f t="shared" si="20"/>
        <v>12.016051988392054</v>
      </c>
      <c r="BT19" s="139"/>
      <c r="BU19" s="139"/>
      <c r="BV19" s="139"/>
      <c r="BW19" s="139"/>
      <c r="BX19" s="139"/>
      <c r="BY19" s="139"/>
      <c r="BZ19" s="139"/>
      <c r="CA19" s="139"/>
      <c r="CB19" s="139"/>
      <c r="CC19" s="142" t="s">
        <v>113</v>
      </c>
      <c r="CD19" s="142" t="s">
        <v>113</v>
      </c>
      <c r="CE19" s="142" t="s">
        <v>113</v>
      </c>
      <c r="CF19" s="142" t="s">
        <v>113</v>
      </c>
      <c r="CG19" s="142" t="s">
        <v>113</v>
      </c>
      <c r="CH19" s="142" t="s">
        <v>113</v>
      </c>
      <c r="CI19" s="142" t="s">
        <v>113</v>
      </c>
      <c r="CJ19" s="142"/>
      <c r="CK19" s="139" t="s">
        <v>113</v>
      </c>
      <c r="CL19" s="139" t="s">
        <v>113</v>
      </c>
      <c r="CM19" s="139" t="s">
        <v>113</v>
      </c>
      <c r="CN19" s="139" t="s">
        <v>113</v>
      </c>
      <c r="CO19" s="139" t="s">
        <v>113</v>
      </c>
      <c r="CP19" s="139" t="s">
        <v>113</v>
      </c>
      <c r="CQ19" s="139" t="s">
        <v>113</v>
      </c>
      <c r="CR19" s="139"/>
      <c r="CS19" s="143" t="s">
        <v>113</v>
      </c>
      <c r="CT19" s="143" t="s">
        <v>113</v>
      </c>
      <c r="CU19" s="143" t="s">
        <v>113</v>
      </c>
      <c r="CV19" s="143" t="s">
        <v>113</v>
      </c>
      <c r="CW19" s="143" t="s">
        <v>113</v>
      </c>
      <c r="CX19" s="143" t="s">
        <v>113</v>
      </c>
      <c r="CY19" s="143" t="s">
        <v>113</v>
      </c>
      <c r="CZ19" s="143"/>
      <c r="DA19" s="139" t="s">
        <v>113</v>
      </c>
      <c r="DB19" s="139" t="s">
        <v>113</v>
      </c>
      <c r="DC19" s="139" t="s">
        <v>113</v>
      </c>
      <c r="DD19" s="144">
        <f t="shared" si="21"/>
        <v>0</v>
      </c>
      <c r="DE19" s="145">
        <f>'[84]2. Distributional by deciles o'!I35</f>
        <v>1</v>
      </c>
      <c r="DF19" s="1"/>
      <c r="DG19" s="1"/>
      <c r="DH19" s="1"/>
      <c r="DI19" s="1"/>
      <c r="DJ19" s="1"/>
      <c r="DK19" s="1"/>
      <c r="DL19" s="1"/>
      <c r="DM19" s="1"/>
      <c r="DN19" s="1"/>
      <c r="DO19" s="1"/>
      <c r="DP19" s="1"/>
      <c r="DQ19" s="1"/>
      <c r="DR19" s="1"/>
      <c r="DS19" s="1"/>
      <c r="DT19" s="1"/>
      <c r="DU19" s="1"/>
      <c r="DV19" s="1"/>
      <c r="DW19" s="1"/>
      <c r="DX19" s="1"/>
      <c r="DY19" s="1"/>
      <c r="DZ19" s="1"/>
      <c r="EA19" s="146">
        <f>'[85]2. Distributional by deciles o'!B71</f>
        <v>9017178512.1060143</v>
      </c>
      <c r="EB19" s="146">
        <f>'[85]2. Distributional by deciles o'!C71</f>
        <v>9258905320.6920109</v>
      </c>
      <c r="EC19" s="146">
        <f>'[85]2. Distributional by deciles o'!D71</f>
        <v>9124577380.4148121</v>
      </c>
      <c r="ED19" s="146"/>
      <c r="EE19" s="146"/>
      <c r="EF19" s="146"/>
      <c r="EG19" s="129"/>
      <c r="EH19" s="122"/>
      <c r="EI19" s="130" t="s">
        <v>113</v>
      </c>
      <c r="EJ19" s="130" t="s">
        <v>113</v>
      </c>
      <c r="EK19" s="130" t="s">
        <v>113</v>
      </c>
      <c r="EL19" s="130" t="s">
        <v>113</v>
      </c>
      <c r="EM19" s="131">
        <f t="shared" si="5"/>
        <v>10.998282907470793</v>
      </c>
      <c r="EN19" s="146">
        <f>'[85]2. Distributional by deciles o'!B89</f>
        <v>67952696311.773582</v>
      </c>
      <c r="EO19" s="146">
        <f>'[85]2. Distributional by deciles o'!C89</f>
        <v>68632225786.815651</v>
      </c>
      <c r="EP19" s="131">
        <f t="shared" si="6"/>
        <v>1.0000036965778669</v>
      </c>
      <c r="EQ19" s="130" t="s">
        <v>113</v>
      </c>
      <c r="ER19" s="130" t="s">
        <v>113</v>
      </c>
      <c r="ES19" s="130" t="s">
        <v>113</v>
      </c>
      <c r="ET19" s="130" t="s">
        <v>113</v>
      </c>
      <c r="EU19" s="131">
        <f t="shared" si="22"/>
        <v>11.995187304085006</v>
      </c>
      <c r="EV19" s="132">
        <f t="shared" si="23"/>
        <v>2.680726734008871</v>
      </c>
      <c r="EW19" s="132">
        <f t="shared" si="24"/>
        <v>1.1910429760018397</v>
      </c>
      <c r="EX19" s="132"/>
      <c r="EY19" s="148">
        <f t="shared" si="7"/>
        <v>2.7618914723112287E-2</v>
      </c>
      <c r="EZ19" s="144">
        <f t="shared" si="25"/>
        <v>0</v>
      </c>
      <c r="FA19" s="145">
        <f>'[85]2. Distributional by deciles o'!I35</f>
        <v>1</v>
      </c>
      <c r="FB19" s="130" t="s">
        <v>113</v>
      </c>
      <c r="FC19" s="130" t="s">
        <v>113</v>
      </c>
      <c r="FD19" s="130" t="s">
        <v>113</v>
      </c>
      <c r="FE19" s="130" t="s">
        <v>113</v>
      </c>
      <c r="FF19" s="130" t="s">
        <v>113</v>
      </c>
      <c r="FG19" s="130" t="s">
        <v>113</v>
      </c>
      <c r="FH19" s="130" t="s">
        <v>113</v>
      </c>
      <c r="FI19" s="130" t="s">
        <v>113</v>
      </c>
      <c r="FJ19" s="1"/>
      <c r="FK19" s="1"/>
      <c r="FL19" s="1"/>
      <c r="FM19" s="1"/>
      <c r="FN19" s="1"/>
      <c r="FO19" s="1"/>
      <c r="FP19" s="1"/>
      <c r="FQ19" s="1"/>
    </row>
    <row r="20" spans="1:173" x14ac:dyDescent="0.3">
      <c r="A20" s="1"/>
      <c r="B20" s="28">
        <v>9</v>
      </c>
      <c r="C20" s="29">
        <f>'[84]2. Distributional by deciles o'!B72</f>
        <v>12098600137.576807</v>
      </c>
      <c r="D20" s="29">
        <f>'[84]2. Distributional by deciles o'!C72</f>
        <v>12374240725.225204</v>
      </c>
      <c r="E20" s="29">
        <f>'[84]2. Distributional by deciles o'!D72</f>
        <v>12237502914.6252</v>
      </c>
      <c r="F20" s="29">
        <f>'[84]2. Distributional by deciles o'!E72</f>
        <v>12260772704.995184</v>
      </c>
      <c r="G20" s="29">
        <f>'[84]2. Distributional by deciles o'!F72</f>
        <v>12239204203.797588</v>
      </c>
      <c r="H20" s="29">
        <f>'[84]2. Distributional by deciles o'!G72</f>
        <v>12237921459.329988</v>
      </c>
      <c r="I20" s="29"/>
      <c r="J20" s="122"/>
      <c r="K20" s="130" t="s">
        <v>113</v>
      </c>
      <c r="L20" s="130" t="s">
        <v>113</v>
      </c>
      <c r="M20" s="130" t="s">
        <v>113</v>
      </c>
      <c r="N20" s="130" t="s">
        <v>113</v>
      </c>
      <c r="O20" s="131">
        <f t="shared" si="8"/>
        <v>17.345917102655342</v>
      </c>
      <c r="P20" s="29">
        <f>'[84]2. Distributional by deciles o'!B90</f>
        <v>71936439658.412354</v>
      </c>
      <c r="Q20" s="29">
        <f>'[84]2. Distributional by deciles o'!C90</f>
        <v>72655804562.416748</v>
      </c>
      <c r="R20" s="131">
        <f t="shared" si="0"/>
        <v>1.000000705373072</v>
      </c>
      <c r="S20" s="130" t="s">
        <v>113</v>
      </c>
      <c r="T20" s="130" t="s">
        <v>113</v>
      </c>
      <c r="U20" s="130" t="s">
        <v>113</v>
      </c>
      <c r="V20" s="130" t="s">
        <v>113</v>
      </c>
      <c r="W20" s="132">
        <f t="shared" si="9"/>
        <v>2.2782833557989934</v>
      </c>
      <c r="X20" s="132">
        <f t="shared" si="9"/>
        <v>1.1480888490460039</v>
      </c>
      <c r="Y20" s="132">
        <f t="shared" si="1"/>
        <v>1.3404232818853752</v>
      </c>
      <c r="Z20" s="132">
        <f t="shared" si="1"/>
        <v>1.1621507070543644</v>
      </c>
      <c r="AA20" s="132">
        <f t="shared" si="1"/>
        <v>1.1515482939801192</v>
      </c>
      <c r="AB20" s="132">
        <f t="shared" si="10"/>
        <v>1.1515482939801192</v>
      </c>
      <c r="AC20" s="132">
        <f t="shared" si="10"/>
        <v>1.1515482939801192</v>
      </c>
      <c r="AD20" s="130" t="s">
        <v>113</v>
      </c>
      <c r="AE20" s="130" t="s">
        <v>113</v>
      </c>
      <c r="AF20" s="130" t="s">
        <v>113</v>
      </c>
      <c r="AG20" s="130" t="s">
        <v>113</v>
      </c>
      <c r="AH20" s="133">
        <f t="shared" si="11"/>
        <v>1</v>
      </c>
      <c r="AI20" s="134">
        <f t="shared" si="12"/>
        <v>0.14808884904600372</v>
      </c>
      <c r="AJ20" s="134">
        <f t="shared" si="13"/>
        <v>0.93786007391361825</v>
      </c>
      <c r="AK20" s="134">
        <f t="shared" si="14"/>
        <v>0.17827257483101078</v>
      </c>
      <c r="AL20" s="134">
        <f t="shared" si="15"/>
        <v>1.0602413074245254E-2</v>
      </c>
      <c r="AM20" s="134">
        <f t="shared" si="16"/>
        <v>0</v>
      </c>
      <c r="AN20" s="135">
        <f t="shared" si="17"/>
        <v>0</v>
      </c>
      <c r="AO20" s="134">
        <f t="shared" si="18"/>
        <v>3.4594449341152078E-3</v>
      </c>
      <c r="AP20" s="134">
        <f t="shared" si="2"/>
        <v>0.15154829398011893</v>
      </c>
      <c r="AQ20" s="136" t="s">
        <v>113</v>
      </c>
      <c r="AR20" s="137">
        <f t="shared" si="3"/>
        <v>11.584978273728716</v>
      </c>
      <c r="AS20" s="137">
        <f t="shared" si="3"/>
        <v>73.368715133383475</v>
      </c>
      <c r="AT20" s="137">
        <f t="shared" si="3"/>
        <v>13.946248617121448</v>
      </c>
      <c r="AU20" s="137">
        <f t="shared" si="3"/>
        <v>0.82942588794158201</v>
      </c>
      <c r="AV20" s="137">
        <f t="shared" si="3"/>
        <v>0</v>
      </c>
      <c r="AW20" s="138">
        <f t="shared" si="3"/>
        <v>0</v>
      </c>
      <c r="AX20" s="137">
        <f t="shared" si="3"/>
        <v>0.27063208782475895</v>
      </c>
      <c r="AY20" s="137">
        <f t="shared" si="3"/>
        <v>11.855610361553474</v>
      </c>
      <c r="AZ20" s="139" t="s">
        <v>113</v>
      </c>
      <c r="BA20" s="139" t="s">
        <v>113</v>
      </c>
      <c r="BB20" s="139" t="s">
        <v>113</v>
      </c>
      <c r="BC20" s="139" t="s">
        <v>113</v>
      </c>
      <c r="BD20" s="139" t="s">
        <v>113</v>
      </c>
      <c r="BE20" s="139" t="s">
        <v>113</v>
      </c>
      <c r="BF20" s="139" t="s">
        <v>113</v>
      </c>
      <c r="BG20" s="139" t="s">
        <v>113</v>
      </c>
      <c r="BH20" s="140">
        <f>'[84]2. Distributional by deciles o'!B108</f>
        <v>50964488448.822037</v>
      </c>
      <c r="BI20" s="140">
        <f>'[84]2. Distributional by deciles o'!B126</f>
        <v>10391115111.889204</v>
      </c>
      <c r="BJ20" s="140">
        <f>'[84]2. Distributional by deciles o'!B144</f>
        <v>8232276801.3948059</v>
      </c>
      <c r="BK20" s="140">
        <f>'[84]2. Distributional by deciles o'!B162</f>
        <v>2348562041.177999</v>
      </c>
      <c r="BL20" s="141">
        <f t="shared" si="19"/>
        <v>0.70846551130662261</v>
      </c>
      <c r="BM20" s="141">
        <f t="shared" si="4"/>
        <v>0.14444855437297563</v>
      </c>
      <c r="BN20" s="141">
        <f t="shared" si="4"/>
        <v>0.11443819747498364</v>
      </c>
      <c r="BO20" s="141">
        <f t="shared" si="4"/>
        <v>3.2647736845418177E-2</v>
      </c>
      <c r="BP20" s="139" t="s">
        <v>113</v>
      </c>
      <c r="BQ20" s="139" t="s">
        <v>113</v>
      </c>
      <c r="BR20" s="139" t="s">
        <v>113</v>
      </c>
      <c r="BS20" s="131">
        <f t="shared" si="20"/>
        <v>14.626985172599957</v>
      </c>
      <c r="BT20" s="139"/>
      <c r="BU20" s="139"/>
      <c r="BV20" s="139"/>
      <c r="BW20" s="139"/>
      <c r="BX20" s="139"/>
      <c r="BY20" s="139"/>
      <c r="BZ20" s="139"/>
      <c r="CA20" s="139"/>
      <c r="CB20" s="139"/>
      <c r="CC20" s="142" t="s">
        <v>113</v>
      </c>
      <c r="CD20" s="142" t="s">
        <v>113</v>
      </c>
      <c r="CE20" s="142" t="s">
        <v>113</v>
      </c>
      <c r="CF20" s="142" t="s">
        <v>113</v>
      </c>
      <c r="CG20" s="142" t="s">
        <v>113</v>
      </c>
      <c r="CH20" s="142" t="s">
        <v>113</v>
      </c>
      <c r="CI20" s="142" t="s">
        <v>113</v>
      </c>
      <c r="CJ20" s="142"/>
      <c r="CK20" s="139" t="s">
        <v>113</v>
      </c>
      <c r="CL20" s="139" t="s">
        <v>113</v>
      </c>
      <c r="CM20" s="139" t="s">
        <v>113</v>
      </c>
      <c r="CN20" s="139" t="s">
        <v>113</v>
      </c>
      <c r="CO20" s="139" t="s">
        <v>113</v>
      </c>
      <c r="CP20" s="139" t="s">
        <v>113</v>
      </c>
      <c r="CQ20" s="139" t="s">
        <v>113</v>
      </c>
      <c r="CR20" s="139"/>
      <c r="CS20" s="143" t="s">
        <v>113</v>
      </c>
      <c r="CT20" s="143" t="s">
        <v>113</v>
      </c>
      <c r="CU20" s="143" t="s">
        <v>113</v>
      </c>
      <c r="CV20" s="143" t="s">
        <v>113</v>
      </c>
      <c r="CW20" s="143" t="s">
        <v>113</v>
      </c>
      <c r="CX20" s="143" t="s">
        <v>113</v>
      </c>
      <c r="CY20" s="143" t="s">
        <v>113</v>
      </c>
      <c r="CZ20" s="143"/>
      <c r="DA20" s="139" t="s">
        <v>113</v>
      </c>
      <c r="DB20" s="139" t="s">
        <v>113</v>
      </c>
      <c r="DC20" s="139" t="s">
        <v>113</v>
      </c>
      <c r="DD20" s="144">
        <f t="shared" si="21"/>
        <v>0</v>
      </c>
      <c r="DE20" s="145">
        <f>'[84]2. Distributional by deciles o'!I36</f>
        <v>1</v>
      </c>
      <c r="DF20" s="1"/>
      <c r="DG20" s="1"/>
      <c r="DH20" s="1"/>
      <c r="DI20" s="1"/>
      <c r="DJ20" s="1"/>
      <c r="DK20" s="1"/>
      <c r="DL20" s="1"/>
      <c r="DM20" s="1"/>
      <c r="DN20" s="1"/>
      <c r="DO20" s="1"/>
      <c r="DP20" s="1"/>
      <c r="DQ20" s="1"/>
      <c r="DR20" s="1"/>
      <c r="DS20" s="1"/>
      <c r="DT20" s="1"/>
      <c r="DU20" s="1"/>
      <c r="DV20" s="1"/>
      <c r="DW20" s="1"/>
      <c r="DX20" s="1"/>
      <c r="DY20" s="1"/>
      <c r="DZ20" s="1"/>
      <c r="EA20" s="146">
        <f>'[85]2. Distributional by deciles o'!B72</f>
        <v>14252662281.213593</v>
      </c>
      <c r="EB20" s="146">
        <f>'[85]2. Distributional by deciles o'!C72</f>
        <v>14578870058.332787</v>
      </c>
      <c r="EC20" s="146">
        <f>'[85]2. Distributional by deciles o'!D72</f>
        <v>14417224719.261627</v>
      </c>
      <c r="ED20" s="146"/>
      <c r="EE20" s="146"/>
      <c r="EF20" s="146"/>
      <c r="EG20" s="129"/>
      <c r="EH20" s="122"/>
      <c r="EI20" s="130" t="s">
        <v>113</v>
      </c>
      <c r="EJ20" s="130" t="s">
        <v>113</v>
      </c>
      <c r="EK20" s="130" t="s">
        <v>113</v>
      </c>
      <c r="EL20" s="130" t="s">
        <v>113</v>
      </c>
      <c r="EM20" s="131">
        <f t="shared" si="5"/>
        <v>17.384020039414093</v>
      </c>
      <c r="EN20" s="146">
        <f>'[85]2. Distributional by deciles o'!B90</f>
        <v>82732009732.681061</v>
      </c>
      <c r="EO20" s="146">
        <f>'[85]2. Distributional by deciles o'!C90</f>
        <v>83559290719.830002</v>
      </c>
      <c r="EP20" s="131">
        <f t="shared" si="6"/>
        <v>0.99995272666770774</v>
      </c>
      <c r="EQ20" s="130" t="s">
        <v>113</v>
      </c>
      <c r="ER20" s="130" t="s">
        <v>113</v>
      </c>
      <c r="ES20" s="130" t="s">
        <v>113</v>
      </c>
      <c r="ET20" s="130" t="s">
        <v>113</v>
      </c>
      <c r="EU20" s="131">
        <f t="shared" si="22"/>
        <v>14.604070281975709</v>
      </c>
      <c r="EV20" s="132">
        <f t="shared" si="23"/>
        <v>2.2888579855488853</v>
      </c>
      <c r="EW20" s="132">
        <f t="shared" si="24"/>
        <v>1.1546629996807494</v>
      </c>
      <c r="EX20" s="132"/>
      <c r="EY20" s="148">
        <f t="shared" si="7"/>
        <v>1.0574629749891873E-2</v>
      </c>
      <c r="EZ20" s="144">
        <f t="shared" si="25"/>
        <v>0</v>
      </c>
      <c r="FA20" s="145">
        <f>'[85]2. Distributional by deciles o'!I36</f>
        <v>1</v>
      </c>
      <c r="FB20" s="130" t="s">
        <v>113</v>
      </c>
      <c r="FC20" s="130" t="s">
        <v>113</v>
      </c>
      <c r="FD20" s="130" t="s">
        <v>113</v>
      </c>
      <c r="FE20" s="130" t="s">
        <v>113</v>
      </c>
      <c r="FF20" s="130" t="s">
        <v>113</v>
      </c>
      <c r="FG20" s="130" t="s">
        <v>113</v>
      </c>
      <c r="FH20" s="130" t="s">
        <v>113</v>
      </c>
      <c r="FI20" s="130" t="s">
        <v>113</v>
      </c>
      <c r="FJ20" s="1"/>
      <c r="FK20" s="1"/>
      <c r="FL20" s="1"/>
      <c r="FM20" s="1"/>
      <c r="FN20" s="1"/>
      <c r="FO20" s="1"/>
      <c r="FP20" s="1"/>
      <c r="FQ20" s="1"/>
    </row>
    <row r="21" spans="1:173" x14ac:dyDescent="0.3">
      <c r="A21" s="1"/>
      <c r="B21" s="33">
        <v>10</v>
      </c>
      <c r="C21" s="29">
        <f>'[84]2. Distributional by deciles o'!B73</f>
        <v>34343937490.299557</v>
      </c>
      <c r="D21" s="29">
        <f>'[84]2. Distributional by deciles o'!C73</f>
        <v>34898900841.651527</v>
      </c>
      <c r="E21" s="29">
        <f>'[84]2. Distributional by deciles o'!D73</f>
        <v>34711424588.000381</v>
      </c>
      <c r="F21" s="29">
        <f>'[84]2. Distributional by deciles o'!E73</f>
        <v>34733466538.394363</v>
      </c>
      <c r="G21" s="29">
        <f>'[84]2. Distributional by deciles o'!F73</f>
        <v>34717784097.171524</v>
      </c>
      <c r="H21" s="29">
        <f>'[84]2. Distributional by deciles o'!G73</f>
        <v>34712926393.523979</v>
      </c>
      <c r="I21" s="29"/>
      <c r="J21" s="122"/>
      <c r="K21" s="130" t="s">
        <v>113</v>
      </c>
      <c r="L21" s="130" t="s">
        <v>113</v>
      </c>
      <c r="M21" s="130" t="s">
        <v>113</v>
      </c>
      <c r="N21" s="130" t="s">
        <v>113</v>
      </c>
      <c r="O21" s="131">
        <f t="shared" si="8"/>
        <v>49.239340577531429</v>
      </c>
      <c r="P21" s="29">
        <f>'[84]2. Distributional by deciles o'!B91</f>
        <v>133860102417.21976</v>
      </c>
      <c r="Q21" s="29">
        <f>'[84]2. Distributional by deciles o'!C91</f>
        <v>135198669140.95802</v>
      </c>
      <c r="R21" s="131">
        <f t="shared" si="0"/>
        <v>0.99997437590939597</v>
      </c>
      <c r="S21" s="130" t="s">
        <v>113</v>
      </c>
      <c r="T21" s="130" t="s">
        <v>113</v>
      </c>
      <c r="U21" s="130" t="s">
        <v>113</v>
      </c>
      <c r="V21" s="130" t="s">
        <v>113</v>
      </c>
      <c r="W21" s="132">
        <f t="shared" si="9"/>
        <v>1.6159404328764455</v>
      </c>
      <c r="X21" s="132">
        <f t="shared" si="9"/>
        <v>1.0700477036699925</v>
      </c>
      <c r="Y21" s="132">
        <f t="shared" si="1"/>
        <v>1.1342293812065731</v>
      </c>
      <c r="Z21" s="132">
        <f t="shared" si="1"/>
        <v>1.0885653012336201</v>
      </c>
      <c r="AA21" s="132">
        <f t="shared" si="1"/>
        <v>1.0744206559775396</v>
      </c>
      <c r="AB21" s="132">
        <f t="shared" si="10"/>
        <v>1.0744206559775396</v>
      </c>
      <c r="AC21" s="132">
        <f t="shared" si="10"/>
        <v>1.0744206559775396</v>
      </c>
      <c r="AD21" s="130" t="s">
        <v>113</v>
      </c>
      <c r="AE21" s="130" t="s">
        <v>113</v>
      </c>
      <c r="AF21" s="130" t="s">
        <v>113</v>
      </c>
      <c r="AG21" s="130" t="s">
        <v>113</v>
      </c>
      <c r="AH21" s="133">
        <f t="shared" si="11"/>
        <v>1</v>
      </c>
      <c r="AI21" s="134">
        <f t="shared" si="12"/>
        <v>7.0047703669992467E-2</v>
      </c>
      <c r="AJ21" s="134">
        <f t="shared" si="13"/>
        <v>0.48171105166987238</v>
      </c>
      <c r="AK21" s="134">
        <f t="shared" si="14"/>
        <v>4.5664079972953076E-2</v>
      </c>
      <c r="AL21" s="134">
        <f t="shared" si="15"/>
        <v>1.4144645256080501E-2</v>
      </c>
      <c r="AM21" s="134">
        <f t="shared" si="16"/>
        <v>0</v>
      </c>
      <c r="AN21" s="135">
        <f t="shared" si="17"/>
        <v>0</v>
      </c>
      <c r="AO21" s="134">
        <f t="shared" si="18"/>
        <v>4.3729523075470844E-3</v>
      </c>
      <c r="AP21" s="134">
        <f t="shared" si="2"/>
        <v>7.4420655977539552E-2</v>
      </c>
      <c r="AQ21" s="136" t="s">
        <v>113</v>
      </c>
      <c r="AR21" s="137">
        <f t="shared" si="3"/>
        <v>11.372480183330273</v>
      </c>
      <c r="AS21" s="137">
        <f t="shared" si="3"/>
        <v>78.207408697019432</v>
      </c>
      <c r="AT21" s="137">
        <f t="shared" si="3"/>
        <v>7.4137169011135624</v>
      </c>
      <c r="AU21" s="137">
        <f t="shared" si="3"/>
        <v>2.2964307100322872</v>
      </c>
      <c r="AV21" s="137">
        <f t="shared" si="3"/>
        <v>0</v>
      </c>
      <c r="AW21" s="138">
        <f t="shared" si="3"/>
        <v>0</v>
      </c>
      <c r="AX21" s="137">
        <f t="shared" si="3"/>
        <v>0.70996350850444589</v>
      </c>
      <c r="AY21" s="137">
        <f t="shared" si="3"/>
        <v>12.082443691834719</v>
      </c>
      <c r="AZ21" s="139" t="s">
        <v>113</v>
      </c>
      <c r="BA21" s="139" t="s">
        <v>113</v>
      </c>
      <c r="BB21" s="139" t="s">
        <v>113</v>
      </c>
      <c r="BC21" s="139" t="s">
        <v>113</v>
      </c>
      <c r="BD21" s="139" t="s">
        <v>113</v>
      </c>
      <c r="BE21" s="139" t="s">
        <v>113</v>
      </c>
      <c r="BF21" s="139" t="s">
        <v>113</v>
      </c>
      <c r="BG21" s="139" t="s">
        <v>113</v>
      </c>
      <c r="BH21" s="140">
        <f>'[84]2. Distributional by deciles o'!B109</f>
        <v>76842996826.636841</v>
      </c>
      <c r="BI21" s="140">
        <f>'[84]2. Distributional by deciles o'!B127</f>
        <v>14512693205.683205</v>
      </c>
      <c r="BJ21" s="140">
        <f>'[84]2. Distributional by deciles o'!B145</f>
        <v>16902861807.884388</v>
      </c>
      <c r="BK21" s="140">
        <f>'[84]2. Distributional by deciles o'!B163</f>
        <v>25601549038.642784</v>
      </c>
      <c r="BL21" s="141">
        <f t="shared" si="19"/>
        <v>0.57405452649542787</v>
      </c>
      <c r="BM21" s="141">
        <f t="shared" si="4"/>
        <v>0.10841687037736668</v>
      </c>
      <c r="BN21" s="141">
        <f t="shared" si="4"/>
        <v>0.12627259128679924</v>
      </c>
      <c r="BO21" s="141">
        <f t="shared" si="4"/>
        <v>0.19125601184040633</v>
      </c>
      <c r="BP21" s="139" t="s">
        <v>113</v>
      </c>
      <c r="BQ21" s="139" t="s">
        <v>113</v>
      </c>
      <c r="BR21" s="139" t="s">
        <v>113</v>
      </c>
      <c r="BS21" s="131">
        <f t="shared" si="20"/>
        <v>27.218051693366192</v>
      </c>
      <c r="BT21" s="139"/>
      <c r="BU21" s="139"/>
      <c r="BV21" s="139"/>
      <c r="BW21" s="139"/>
      <c r="BX21" s="139"/>
      <c r="BY21" s="139"/>
      <c r="BZ21" s="139"/>
      <c r="CA21" s="139"/>
      <c r="CB21" s="139"/>
      <c r="CC21" s="142" t="s">
        <v>113</v>
      </c>
      <c r="CD21" s="142" t="s">
        <v>113</v>
      </c>
      <c r="CE21" s="142" t="s">
        <v>113</v>
      </c>
      <c r="CF21" s="142" t="s">
        <v>113</v>
      </c>
      <c r="CG21" s="142" t="s">
        <v>113</v>
      </c>
      <c r="CH21" s="142" t="s">
        <v>113</v>
      </c>
      <c r="CI21" s="142" t="s">
        <v>113</v>
      </c>
      <c r="CJ21" s="142"/>
      <c r="CK21" s="139" t="s">
        <v>113</v>
      </c>
      <c r="CL21" s="139" t="s">
        <v>113</v>
      </c>
      <c r="CM21" s="139" t="s">
        <v>113</v>
      </c>
      <c r="CN21" s="139" t="s">
        <v>113</v>
      </c>
      <c r="CO21" s="139" t="s">
        <v>113</v>
      </c>
      <c r="CP21" s="139" t="s">
        <v>113</v>
      </c>
      <c r="CQ21" s="139" t="s">
        <v>113</v>
      </c>
      <c r="CR21" s="139"/>
      <c r="CS21" s="143" t="s">
        <v>113</v>
      </c>
      <c r="CT21" s="143" t="s">
        <v>113</v>
      </c>
      <c r="CU21" s="143" t="s">
        <v>113</v>
      </c>
      <c r="CV21" s="143" t="s">
        <v>113</v>
      </c>
      <c r="CW21" s="143" t="s">
        <v>113</v>
      </c>
      <c r="CX21" s="143" t="s">
        <v>113</v>
      </c>
      <c r="CY21" s="143" t="s">
        <v>113</v>
      </c>
      <c r="CZ21" s="143"/>
      <c r="DA21" s="139" t="s">
        <v>113</v>
      </c>
      <c r="DB21" s="139" t="s">
        <v>113</v>
      </c>
      <c r="DC21" s="139" t="s">
        <v>113</v>
      </c>
      <c r="DD21" s="144">
        <f t="shared" si="21"/>
        <v>3.147517406301148E-2</v>
      </c>
      <c r="DE21" s="145">
        <f>'[84]2. Distributional by deciles o'!I37</f>
        <v>0.99968524825936989</v>
      </c>
      <c r="DF21" s="1"/>
      <c r="DG21" s="1"/>
      <c r="DH21" s="1"/>
      <c r="DI21" s="1"/>
      <c r="DJ21" s="1"/>
      <c r="DK21" s="1"/>
      <c r="DL21" s="1"/>
      <c r="DM21" s="1"/>
      <c r="DN21" s="1"/>
      <c r="DO21" s="1"/>
      <c r="DP21" s="1"/>
      <c r="DQ21" s="1"/>
      <c r="DR21" s="1"/>
      <c r="DS21" s="1"/>
      <c r="DT21" s="1"/>
      <c r="DU21" s="1"/>
      <c r="DV21" s="1"/>
      <c r="DW21" s="1"/>
      <c r="DX21" s="1"/>
      <c r="DY21" s="1"/>
      <c r="DZ21" s="1"/>
      <c r="EA21" s="146">
        <f>'[85]2. Distributional by deciles o'!B73</f>
        <v>41072484242.910004</v>
      </c>
      <c r="EB21" s="146">
        <f>'[85]2. Distributional by deciles o'!C73</f>
        <v>41720455923.708008</v>
      </c>
      <c r="EC21" s="146">
        <f>'[85]2. Distributional by deciles o'!D73</f>
        <v>41508274436.320831</v>
      </c>
      <c r="ED21" s="146"/>
      <c r="EE21" s="146"/>
      <c r="EF21" s="146"/>
      <c r="EG21" s="129"/>
      <c r="EH21" s="122"/>
      <c r="EI21" s="130" t="s">
        <v>113</v>
      </c>
      <c r="EJ21" s="130" t="s">
        <v>113</v>
      </c>
      <c r="EK21" s="130" t="s">
        <v>113</v>
      </c>
      <c r="EL21" s="130" t="s">
        <v>113</v>
      </c>
      <c r="EM21" s="131">
        <f t="shared" si="5"/>
        <v>50.096246936854428</v>
      </c>
      <c r="EN21" s="146">
        <f>'[85]2. Distributional by deciles o'!B91</f>
        <v>155492885914.44501</v>
      </c>
      <c r="EO21" s="146">
        <f>'[85]2. Distributional by deciles o'!C91</f>
        <v>157047813695.33783</v>
      </c>
      <c r="EP21" s="131">
        <f t="shared" si="6"/>
        <v>0.99999930655887415</v>
      </c>
      <c r="EQ21" s="130" t="s">
        <v>113</v>
      </c>
      <c r="ER21" s="130" t="s">
        <v>113</v>
      </c>
      <c r="ES21" s="130" t="s">
        <v>113</v>
      </c>
      <c r="ET21" s="130" t="s">
        <v>113</v>
      </c>
      <c r="EU21" s="131">
        <f t="shared" si="22"/>
        <v>27.448010045678313</v>
      </c>
      <c r="EV21" s="132">
        <f t="shared" si="23"/>
        <v>1.5776307230317621</v>
      </c>
      <c r="EW21" s="132">
        <f t="shared" si="24"/>
        <v>1.0610278478129951</v>
      </c>
      <c r="EX21" s="132"/>
      <c r="EY21" s="148">
        <f t="shared" si="7"/>
        <v>-3.8309709844683404E-2</v>
      </c>
      <c r="EZ21" s="144">
        <f t="shared" si="25"/>
        <v>3.1969024309252969E-2</v>
      </c>
      <c r="FA21" s="145">
        <f>'[85]2. Distributional by deciles o'!I37</f>
        <v>0.99968030975690747</v>
      </c>
      <c r="FB21" s="130" t="s">
        <v>113</v>
      </c>
      <c r="FC21" s="130" t="s">
        <v>113</v>
      </c>
      <c r="FD21" s="130" t="s">
        <v>113</v>
      </c>
      <c r="FE21" s="130" t="s">
        <v>113</v>
      </c>
      <c r="FF21" s="130" t="s">
        <v>113</v>
      </c>
      <c r="FG21" s="130" t="s">
        <v>113</v>
      </c>
      <c r="FH21" s="130" t="s">
        <v>113</v>
      </c>
      <c r="FI21" s="130" t="s">
        <v>113</v>
      </c>
      <c r="FJ21" s="1"/>
      <c r="FK21" s="1"/>
      <c r="FL21" s="1"/>
      <c r="FM21" s="1"/>
      <c r="FN21" s="1"/>
      <c r="FO21" s="1"/>
      <c r="FP21" s="1"/>
      <c r="FQ21" s="1"/>
    </row>
    <row r="22" spans="1:173" ht="13.2" customHeight="1" x14ac:dyDescent="0.3">
      <c r="A22" s="1"/>
      <c r="B22" s="34" t="s">
        <v>114</v>
      </c>
      <c r="C22" s="35">
        <f>'[84]2. Distributional by deciles o'!B74</f>
        <v>69748979347.564926</v>
      </c>
      <c r="D22" s="35">
        <f>'[84]2. Distributional by deciles o'!C74</f>
        <v>71269839352.095505</v>
      </c>
      <c r="E22" s="35">
        <f>'[84]2. Distributional by deciles o'!D74</f>
        <v>70521587333.87207</v>
      </c>
      <c r="F22" s="35">
        <f>'[84]2. Distributional by deciles o'!E74</f>
        <v>70703826436.443512</v>
      </c>
      <c r="G22" s="35">
        <f>'[84]2. Distributional by deciles o'!F74</f>
        <v>70536767936.796326</v>
      </c>
      <c r="H22" s="35">
        <f>'[84]2. Distributional by deciles o'!G74</f>
        <v>70526281014.38327</v>
      </c>
      <c r="I22" s="29"/>
      <c r="J22" s="122"/>
      <c r="K22" s="35">
        <f>'[86]2. Distributional by deciles o'!D56</f>
        <v>70806875677.969604</v>
      </c>
      <c r="L22" s="35">
        <f>'[86]2. Distributional by deciles o'!E56</f>
        <v>70007913058.126373</v>
      </c>
      <c r="M22" s="35">
        <f>'[86]2. Distributional by deciles o'!F56</f>
        <v>69881046272.790558</v>
      </c>
      <c r="N22" s="35">
        <f>'[86]2. Distributional by deciles o'!G56</f>
        <v>69823621700.053253</v>
      </c>
      <c r="O22" s="152" t="s">
        <v>113</v>
      </c>
      <c r="P22" s="35">
        <f>'[84]2. Distributional by deciles o'!B92</f>
        <v>491806334726.90942</v>
      </c>
      <c r="Q22" s="35">
        <f>'[84]2. Distributional by deciles o'!C92</f>
        <v>496722989275.41895</v>
      </c>
      <c r="R22" s="153">
        <f>(Q22/P22-1)*100</f>
        <v>0.99971354603223261</v>
      </c>
      <c r="S22" s="35">
        <f>'[86]1. Fiscal'!D112</f>
        <v>494827488038.97632</v>
      </c>
      <c r="T22" s="35">
        <f>'[86]1. Fiscal'!E112</f>
        <v>492883984499.81628</v>
      </c>
      <c r="U22" s="35">
        <f>'[86]1. Fiscal'!F112</f>
        <v>492261458398.78217</v>
      </c>
      <c r="V22" s="35">
        <f>'[86]1. Fiscal'!G112</f>
        <v>492169055344.01788</v>
      </c>
      <c r="W22" s="154">
        <f t="shared" si="9"/>
        <v>2.1811011429483584</v>
      </c>
      <c r="X22" s="154">
        <f t="shared" si="9"/>
        <v>1.1080153051336685</v>
      </c>
      <c r="Y22" s="154">
        <f t="shared" si="1"/>
        <v>1.3693686931669999</v>
      </c>
      <c r="Z22" s="154">
        <f t="shared" si="1"/>
        <v>1.1297861652326284</v>
      </c>
      <c r="AA22" s="154">
        <f t="shared" si="1"/>
        <v>1.1147466228730503</v>
      </c>
      <c r="AB22" s="154">
        <f t="shared" si="10"/>
        <v>1.1147466228730503</v>
      </c>
      <c r="AC22" s="154">
        <f t="shared" si="10"/>
        <v>1.1147466228730503</v>
      </c>
      <c r="AD22" s="155">
        <f>(K22/$C22-1) / (S22/$P22-1)</f>
        <v>2.4690313683534573</v>
      </c>
      <c r="AE22" s="155">
        <f>(L22/$C22-1) / (T22/$P22-1)</f>
        <v>1.6942098979905715</v>
      </c>
      <c r="AF22" s="155">
        <f>(M22/$C22-1) / (U22/$P22-1)</f>
        <v>2.0460719597729513</v>
      </c>
      <c r="AG22" s="155">
        <f>(N22/$C22-1) / (V22/$P22-1)</f>
        <v>1.4510064346989677</v>
      </c>
      <c r="AH22" s="156">
        <f t="shared" si="11"/>
        <v>1</v>
      </c>
      <c r="AI22" s="155">
        <f>IF(W22&gt;1,W22-SUM(AH22,AJ22:AO22),0)</f>
        <v>0.10801530513366808</v>
      </c>
      <c r="AJ22" s="155">
        <f>IF(W22&gt;1,MIN($W22-Y22,W22-AH22),0)</f>
        <v>0.8117324497813585</v>
      </c>
      <c r="AK22" s="155">
        <f t="shared" si="14"/>
        <v>0.23958252793437151</v>
      </c>
      <c r="AL22" s="155">
        <f t="shared" si="15"/>
        <v>1.5039542359578162E-2</v>
      </c>
      <c r="AM22" s="155">
        <f t="shared" si="16"/>
        <v>0</v>
      </c>
      <c r="AN22" s="157">
        <f t="shared" si="17"/>
        <v>0</v>
      </c>
      <c r="AO22" s="155">
        <f t="shared" si="18"/>
        <v>6.7313177393817369E-3</v>
      </c>
      <c r="AP22" s="155">
        <f>AI22+AO22</f>
        <v>0.11474662287304982</v>
      </c>
      <c r="AQ22" s="136" t="s">
        <v>113</v>
      </c>
      <c r="AR22" s="137">
        <f>AI22/($W22-1)*100</f>
        <v>9.1453052753832509</v>
      </c>
      <c r="AS22" s="137">
        <f t="shared" si="3"/>
        <v>68.726751695036683</v>
      </c>
      <c r="AT22" s="137">
        <f t="shared" si="3"/>
        <v>20.284674971722286</v>
      </c>
      <c r="AU22" s="137">
        <f t="shared" si="3"/>
        <v>1.2733492342607731</v>
      </c>
      <c r="AV22" s="137">
        <f t="shared" si="3"/>
        <v>0</v>
      </c>
      <c r="AW22" s="138">
        <f t="shared" si="3"/>
        <v>0</v>
      </c>
      <c r="AX22" s="137">
        <f t="shared" si="3"/>
        <v>0.56991882359697721</v>
      </c>
      <c r="AY22" s="137">
        <f t="shared" si="3"/>
        <v>9.7152240989802277</v>
      </c>
      <c r="AZ22" s="39">
        <v>2</v>
      </c>
      <c r="BA22" s="39">
        <v>2.15</v>
      </c>
      <c r="BB22" s="39">
        <v>1.84</v>
      </c>
      <c r="BC22" s="39">
        <v>1.2</v>
      </c>
      <c r="BD22" s="159">
        <f>W22-AZ22</f>
        <v>0.18110114294835844</v>
      </c>
      <c r="BE22" s="159">
        <f>AD22-BA22</f>
        <v>0.31903136835345736</v>
      </c>
      <c r="BF22" s="159">
        <f>AF22-BB22</f>
        <v>0.20607195977295123</v>
      </c>
      <c r="BG22" s="159">
        <f>AG22-BC22</f>
        <v>0.25100643469896777</v>
      </c>
      <c r="BH22" s="160">
        <f>'[84]2. Distributional by deciles o'!B110</f>
        <v>302196704998.82257</v>
      </c>
      <c r="BI22" s="160">
        <f>'[84]2. Distributional by deciles o'!B128</f>
        <v>107796750379.81827</v>
      </c>
      <c r="BJ22" s="160">
        <f>'[84]2. Distributional by deciles o'!B146</f>
        <v>45539966806.296013</v>
      </c>
      <c r="BK22" s="160">
        <f>'[84]2. Distributional by deciles o'!B164</f>
        <v>36272922256.377625</v>
      </c>
      <c r="BL22" s="141">
        <f t="shared" si="19"/>
        <v>0.61446280312246482</v>
      </c>
      <c r="BM22" s="141">
        <f t="shared" si="4"/>
        <v>0.21918535943710515</v>
      </c>
      <c r="BN22" s="141">
        <f t="shared" si="4"/>
        <v>9.2597355282247953E-2</v>
      </c>
      <c r="BO22" s="141">
        <f t="shared" si="4"/>
        <v>7.3754482158181964E-2</v>
      </c>
      <c r="BP22" s="159">
        <f>(AD22*BL22+AF22*BN22+AG22*BO22)/(BL22+BN22+BO22)</f>
        <v>2.3227113347668173</v>
      </c>
      <c r="BQ22" s="159">
        <f>W22-BP22</f>
        <v>-0.14161019181845891</v>
      </c>
      <c r="BR22" s="159">
        <f>BP22-AZ22</f>
        <v>0.32271133476681735</v>
      </c>
      <c r="BS22" s="152" t="s">
        <v>113</v>
      </c>
      <c r="BT22" s="161"/>
      <c r="BU22" s="161"/>
      <c r="BV22" s="161"/>
      <c r="BW22" s="161"/>
      <c r="BX22" s="162"/>
      <c r="BY22" s="162"/>
      <c r="BZ22" s="163"/>
      <c r="CA22" s="164"/>
      <c r="CB22" s="165"/>
      <c r="CC22" s="166"/>
      <c r="CD22" s="166"/>
      <c r="CE22" s="166"/>
      <c r="CF22" s="166"/>
      <c r="CG22" s="167"/>
      <c r="CH22" s="167"/>
      <c r="CI22" s="168"/>
      <c r="CJ22" s="169"/>
      <c r="CK22" s="161">
        <f>'[84]3. Inequality and Poverty'!$B$7</f>
        <v>0.35991038103255901</v>
      </c>
      <c r="CL22" s="161">
        <f>'[84]3. Inequality and Poverty'!$B$8</f>
        <v>0.31471624279733201</v>
      </c>
      <c r="CM22" s="161">
        <f>'[84]3. Inequality and Poverty'!$C$7</f>
        <v>0.35991211626472802</v>
      </c>
      <c r="CN22" s="161">
        <f>'[84]3. Inequality and Poverty'!$C$8</f>
        <v>0.314505255798052</v>
      </c>
      <c r="CO22" s="162">
        <f t="shared" ref="CO22" si="26">(CK22-CL22)/CK22</f>
        <v>0.1255705326019439</v>
      </c>
      <c r="CP22" s="162">
        <f>(CM22-CN22)/CM22</f>
        <v>0.1261609665657315</v>
      </c>
      <c r="CQ22" s="163">
        <f>(CP22-CO22)*100</f>
        <v>5.904339637876066E-2</v>
      </c>
      <c r="CR22" s="165">
        <f>CN22-CL22</f>
        <v>-2.1098699928001619E-4</v>
      </c>
      <c r="CS22" s="170">
        <f>(SUM(P20:P21))/(SUM(P12:P13))</f>
        <v>6.3680282816056364</v>
      </c>
      <c r="CT22" s="170">
        <f>(SUM(P20:P21)-SUM(C20:C21))/(SUM(P12:P13)-SUM(C12:C13))</f>
        <v>5.0810301027645624</v>
      </c>
      <c r="CU22" s="170">
        <f>(SUM(Q20:Q21))/(SUM(Q12:Q13))</f>
        <v>6.3680870152060765</v>
      </c>
      <c r="CV22" s="170">
        <f>(SUM(Q20:Q21)-SUM(D20:D21))/(SUM(Q12:Q13)-SUM(D12:D13))</f>
        <v>5.0713759804008607</v>
      </c>
      <c r="CW22" s="162">
        <f>(CS22-CT22)/CS22</f>
        <v>0.2021030877891406</v>
      </c>
      <c r="CX22" s="162">
        <f>(CU22-CV22)/CU22</f>
        <v>0.20362646297213843</v>
      </c>
      <c r="CY22" s="163">
        <f>(CX22-CW22)*100</f>
        <v>0.15233751829978326</v>
      </c>
      <c r="CZ22" s="165">
        <f>CV22-CT22</f>
        <v>-9.6541223637016671E-3</v>
      </c>
      <c r="DA22" s="171">
        <f>'[84]3. Inequality and Poverty'!B34</f>
        <v>0.27451485472389597</v>
      </c>
      <c r="DB22" s="171">
        <f>'[84]3. Inequality and Poverty'!C34</f>
        <v>0.27223623013327503</v>
      </c>
      <c r="DC22" s="172">
        <f>DB22-DA22</f>
        <v>-2.2786245906209479E-3</v>
      </c>
      <c r="DD22" s="144">
        <f t="shared" si="21"/>
        <v>0.68093063335666892</v>
      </c>
      <c r="DE22" s="145">
        <f>'[84]2. Distributional by deciles o'!I38</f>
        <v>0.99319069366643331</v>
      </c>
      <c r="DF22" s="1"/>
      <c r="DG22" s="1"/>
      <c r="DH22" s="1"/>
      <c r="DI22" s="1"/>
      <c r="DJ22" s="1"/>
      <c r="DK22" s="1"/>
      <c r="DL22" s="1"/>
      <c r="DM22" s="1"/>
      <c r="DN22" s="1"/>
      <c r="DO22" s="1"/>
      <c r="DP22" s="1"/>
      <c r="DQ22" s="1"/>
      <c r="DR22" s="1"/>
      <c r="DS22" s="1"/>
      <c r="DT22" s="1"/>
      <c r="DU22" s="1"/>
      <c r="DV22" s="1"/>
      <c r="DW22" s="1"/>
      <c r="DX22" s="1"/>
      <c r="DY22" s="1"/>
      <c r="DZ22" s="1"/>
      <c r="EA22" s="151">
        <f>'[85]2. Distributional by deciles o'!B74</f>
        <v>81987148248.213593</v>
      </c>
      <c r="EB22" s="151">
        <f>'[85]2. Distributional by deciles o'!C74</f>
        <v>83779214158.173645</v>
      </c>
      <c r="EC22" s="151">
        <f>'[85]2. Distributional by deciles o'!D74</f>
        <v>82897640783.047043</v>
      </c>
      <c r="ED22" s="146"/>
      <c r="EE22" s="146"/>
      <c r="EF22" s="146"/>
      <c r="EG22" s="150"/>
      <c r="EH22" s="123"/>
      <c r="EI22" s="151">
        <f>'[87]2. Distributional by deciles o'!D56</f>
        <v>83256813268.591156</v>
      </c>
      <c r="EJ22" s="151">
        <f>'[87]2. Distributional by deciles o'!E56</f>
        <v>82251323554.232635</v>
      </c>
      <c r="EK22" s="151">
        <f>'[87]2. Distributional by deciles o'!F56</f>
        <v>82155311711.133698</v>
      </c>
      <c r="EL22" s="151">
        <f>'[87]2. Distributional by deciles o'!G56</f>
        <v>82079264256.213547</v>
      </c>
      <c r="EM22" s="152" t="s">
        <v>113</v>
      </c>
      <c r="EN22" s="151">
        <f>'[85]2. Distributional by deciles o'!B92</f>
        <v>566499668484.81006</v>
      </c>
      <c r="EO22" s="151">
        <f>'[85]2. Distributional by deciles o'!C92</f>
        <v>572163411679.52429</v>
      </c>
      <c r="EP22" s="153">
        <f>(EO22/EN22-1)*100</f>
        <v>0.99977873065006939</v>
      </c>
      <c r="EQ22" s="151">
        <f>'[87]2. Distributional by deciles o'!D74</f>
        <v>570046161207.20972</v>
      </c>
      <c r="ER22" s="151">
        <f>'[87]2. Distributional by deciles o'!E74</f>
        <v>567674584052.33057</v>
      </c>
      <c r="ES22" s="151">
        <f>'[87]2. Distributional by deciles o'!F74</f>
        <v>567033937825.67908</v>
      </c>
      <c r="ET22" s="151">
        <f>'[87]2. Distributional by deciles o'!G74</f>
        <v>566907751557.80591</v>
      </c>
      <c r="EU22" s="152" t="s">
        <v>113</v>
      </c>
      <c r="EV22" s="154">
        <f t="shared" si="23"/>
        <v>2.1862725625625448</v>
      </c>
      <c r="EW22" s="154">
        <f t="shared" si="24"/>
        <v>1.1107765826362757</v>
      </c>
      <c r="EX22" s="174">
        <f>EW22-X22</f>
        <v>2.761277502607129E-3</v>
      </c>
      <c r="EY22" s="175">
        <f t="shared" si="7"/>
        <v>5.1714196141863233E-3</v>
      </c>
      <c r="EZ22" s="144">
        <f t="shared" si="25"/>
        <v>0.64359287219314387</v>
      </c>
      <c r="FA22" s="176">
        <f>'[85]2. Distributional by deciles o'!I38</f>
        <v>0.99356407127806856</v>
      </c>
      <c r="FB22" s="155">
        <f>(EI22/$EA22-1) / (EQ22/$EN22-1)</f>
        <v>2.4736825259843007</v>
      </c>
      <c r="FC22" s="155">
        <f>(EJ22/$EA22-1) / (ER22/$EN22-1)</f>
        <v>1.5536008149687903</v>
      </c>
      <c r="FD22" s="155">
        <f>(EK22/$EA22-1) / (ES22/$EN22-1)</f>
        <v>2.1748297670200345</v>
      </c>
      <c r="FE22" s="155">
        <f>(EL22/$EA22-1) / (ET22/$EN22-1)</f>
        <v>1.5596976123548223</v>
      </c>
      <c r="FF22" s="75">
        <f>FB22-AD22</f>
        <v>4.6511576308434499E-3</v>
      </c>
      <c r="FG22" s="75">
        <f>FC22-AE22</f>
        <v>-0.14060908302178121</v>
      </c>
      <c r="FH22" s="75">
        <f>FD22-AF22</f>
        <v>0.12875780724708319</v>
      </c>
      <c r="FI22" s="75">
        <f>FE22-AG22</f>
        <v>0.10869117765585457</v>
      </c>
      <c r="FJ22" s="1"/>
      <c r="FK22" s="1"/>
      <c r="FL22" s="1"/>
      <c r="FM22" s="1"/>
      <c r="FN22" s="1"/>
      <c r="FO22" s="1"/>
      <c r="FP22" s="1"/>
      <c r="FQ22" s="1"/>
    </row>
    <row r="23" spans="1:173" x14ac:dyDescent="0.3">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c r="ET23" s="1"/>
      <c r="EU23" s="1"/>
      <c r="EV23" s="1"/>
      <c r="EW23" s="1"/>
      <c r="EX23" s="1"/>
      <c r="EY23" s="1"/>
      <c r="EZ23" s="1"/>
      <c r="FA23" s="1"/>
      <c r="FB23" s="1"/>
      <c r="FC23" s="1"/>
      <c r="FD23" s="1"/>
      <c r="FE23" s="1"/>
      <c r="FF23" s="1"/>
      <c r="FG23" s="1"/>
      <c r="FH23" s="1"/>
      <c r="FI23" s="1"/>
      <c r="FJ23" s="1"/>
      <c r="FK23" s="1"/>
      <c r="FL23" s="1"/>
      <c r="FM23" s="1"/>
      <c r="FN23" s="1"/>
      <c r="FO23" s="1"/>
      <c r="FP23" s="1"/>
      <c r="FQ23" s="1"/>
    </row>
    <row r="24" spans="1:173" x14ac:dyDescent="0.3">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c r="EJ24" s="1"/>
      <c r="EK24" s="1"/>
      <c r="EL24" s="1"/>
      <c r="EM24" s="1"/>
      <c r="EN24" s="1"/>
      <c r="EO24" s="1"/>
      <c r="EP24" s="1"/>
      <c r="EQ24" s="1"/>
      <c r="ER24" s="1"/>
      <c r="ES24" s="1"/>
      <c r="ET24" s="1"/>
      <c r="EU24" s="1"/>
      <c r="EV24" s="1"/>
      <c r="EW24" s="1"/>
      <c r="EX24" s="1"/>
      <c r="EY24" s="1"/>
      <c r="EZ24" s="1"/>
      <c r="FA24" s="1"/>
      <c r="FB24" s="1"/>
      <c r="FC24" s="1"/>
      <c r="FD24" s="1"/>
      <c r="FE24" s="1"/>
      <c r="FF24" s="1"/>
      <c r="FG24" s="1"/>
      <c r="FH24" s="1"/>
      <c r="FI24" s="1"/>
      <c r="FJ24" s="1"/>
      <c r="FK24" s="1"/>
      <c r="FL24" s="1"/>
      <c r="FM24" s="1"/>
      <c r="FN24" s="1"/>
      <c r="FO24" s="1"/>
      <c r="FP24" s="1"/>
      <c r="FQ24" s="1"/>
    </row>
    <row r="25" spans="1:173" x14ac:dyDescent="0.3">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Q25" s="1"/>
    </row>
    <row r="26" spans="1:173" x14ac:dyDescent="0.3">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c r="ER26" s="1"/>
      <c r="ES26" s="1"/>
      <c r="ET26" s="1"/>
      <c r="EU26" s="1"/>
      <c r="EV26" s="1"/>
      <c r="EW26" s="1"/>
      <c r="EX26" s="1"/>
      <c r="EY26" s="1"/>
      <c r="EZ26" s="1"/>
      <c r="FA26" s="1"/>
      <c r="FB26" s="1"/>
      <c r="FC26" s="1"/>
      <c r="FD26" s="1"/>
      <c r="FE26" s="1"/>
      <c r="FF26" s="1"/>
      <c r="FG26" s="1"/>
      <c r="FH26" s="1"/>
      <c r="FI26" s="1"/>
      <c r="FJ26" s="1"/>
      <c r="FK26" s="1"/>
      <c r="FL26" s="1"/>
      <c r="FM26" s="1"/>
      <c r="FN26" s="1"/>
      <c r="FO26" s="1"/>
      <c r="FP26" s="1"/>
      <c r="FQ26" s="1"/>
    </row>
    <row r="27" spans="1:173" x14ac:dyDescent="0.3">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c r="CW27" s="1"/>
      <c r="CX27" s="1"/>
      <c r="CY27" s="1"/>
      <c r="CZ27" s="1"/>
      <c r="DA27" s="1"/>
      <c r="DB27" s="1"/>
      <c r="DC27" s="1"/>
      <c r="DD27" s="1"/>
      <c r="DE27" s="1"/>
      <c r="DF27" s="1"/>
      <c r="DG27" s="1"/>
      <c r="DH27" s="1"/>
      <c r="DI27" s="1"/>
      <c r="DJ27" s="1"/>
      <c r="DK27" s="1"/>
      <c r="DL27" s="1"/>
      <c r="DM27" s="1"/>
      <c r="DN27" s="1"/>
      <c r="DO27" s="1"/>
      <c r="DP27" s="1"/>
      <c r="DQ27" s="1"/>
      <c r="DR27" s="1"/>
      <c r="DS27" s="1"/>
      <c r="DT27" s="1"/>
      <c r="DU27" s="1"/>
      <c r="DV27" s="1"/>
      <c r="DW27" s="1"/>
      <c r="DX27" s="1"/>
      <c r="DY27" s="1"/>
      <c r="DZ27" s="1"/>
      <c r="EA27" s="1"/>
      <c r="EB27" s="1"/>
      <c r="EC27" s="1"/>
      <c r="ED27" s="1"/>
      <c r="EE27" s="1"/>
      <c r="EF27" s="1"/>
      <c r="EG27" s="1"/>
      <c r="EH27" s="1"/>
      <c r="EI27" s="1"/>
      <c r="EJ27" s="1"/>
      <c r="EK27" s="1"/>
      <c r="EL27" s="1"/>
      <c r="EM27" s="1"/>
      <c r="EN27" s="1"/>
      <c r="EO27" s="1"/>
      <c r="EP27" s="1"/>
      <c r="EQ27" s="1"/>
      <c r="ER27" s="1"/>
      <c r="ES27" s="1"/>
      <c r="ET27" s="1"/>
      <c r="EU27" s="1"/>
      <c r="EV27" s="1"/>
      <c r="EW27" s="1"/>
      <c r="EX27" s="1"/>
      <c r="EY27" s="1"/>
      <c r="EZ27" s="1"/>
      <c r="FA27" s="1"/>
      <c r="FB27" s="1"/>
      <c r="FC27" s="1"/>
      <c r="FD27" s="1"/>
      <c r="FE27" s="1"/>
      <c r="FF27" s="1"/>
      <c r="FG27" s="1"/>
      <c r="FH27" s="1"/>
      <c r="FI27" s="1"/>
      <c r="FJ27" s="1"/>
      <c r="FK27" s="1"/>
      <c r="FL27" s="1"/>
      <c r="FM27" s="1"/>
      <c r="FN27" s="1"/>
      <c r="FO27" s="1"/>
      <c r="FP27" s="1"/>
      <c r="FQ27" s="1"/>
    </row>
  </sheetData>
  <pageMargins left="0.7" right="0.7" top="0.75" bottom="0.75" header="0.3" footer="0.3"/>
  <pageSetup paperSize="9" orientation="portrait" r:id="rId1"/>
  <headerFooter>
    <oddHeader>&amp;R&amp;"Arial"&amp;10&amp;K000000 ECB-RESTRICTED&amp;1#_x000D_</oddHeader>
  </headerFooter>
  <legacyDrawing r:id="rId2"/>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D99A3-90BB-45A3-ADE8-6496583B72F2}">
  <dimension ref="A1:BN121"/>
  <sheetViews>
    <sheetView zoomScale="55" zoomScaleNormal="55" workbookViewId="0">
      <selection activeCell="D8" sqref="D8"/>
    </sheetView>
  </sheetViews>
  <sheetFormatPr baseColWidth="10" defaultColWidth="8.6640625" defaultRowHeight="14.4" x14ac:dyDescent="0.3"/>
  <cols>
    <col min="1" max="1" width="4.33203125" customWidth="1"/>
    <col min="3" max="3" width="17.44140625" customWidth="1"/>
    <col min="4" max="4" width="15.5546875" customWidth="1"/>
    <col min="5" max="5" width="16.33203125" customWidth="1"/>
    <col min="6" max="6" width="21" bestFit="1" customWidth="1"/>
    <col min="7" max="7" width="16" customWidth="1"/>
    <col min="8" max="8" width="19" customWidth="1"/>
    <col min="9" max="12" width="17" customWidth="1"/>
    <col min="13" max="13" width="17.44140625" customWidth="1"/>
    <col min="14" max="17" width="16.44140625" customWidth="1"/>
    <col min="18" max="18" width="16.33203125" customWidth="1"/>
    <col min="19" max="19" width="17" customWidth="1"/>
    <col min="20" max="26" width="16.44140625" customWidth="1"/>
    <col min="27" max="33" width="16.33203125" customWidth="1"/>
    <col min="34" max="34" width="14.6640625" customWidth="1"/>
    <col min="35" max="36" width="12.5546875" customWidth="1"/>
    <col min="37" max="37" width="17.44140625" customWidth="1"/>
    <col min="38" max="38" width="12.33203125" customWidth="1"/>
    <col min="39" max="39" width="9.5546875" customWidth="1"/>
    <col min="40" max="42" width="16.44140625" customWidth="1"/>
    <col min="43" max="50" width="9.5546875" customWidth="1"/>
    <col min="51" max="59" width="0.5546875" customWidth="1"/>
  </cols>
  <sheetData>
    <row r="1" spans="1:66" ht="15" thickBot="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row>
    <row r="2" spans="1:66" ht="18" customHeight="1" thickBot="1" x14ac:dyDescent="0.35">
      <c r="A2" s="1"/>
      <c r="B2" s="2" t="s">
        <v>654</v>
      </c>
      <c r="C2" s="3"/>
      <c r="D2" s="3"/>
      <c r="E2" s="3"/>
      <c r="F2" s="3"/>
      <c r="G2" s="3"/>
      <c r="H2" s="3"/>
      <c r="I2" s="3"/>
      <c r="J2" s="3"/>
      <c r="K2" s="3"/>
      <c r="L2" s="3"/>
      <c r="M2" s="4"/>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row>
    <row r="3" spans="1:66" ht="18" customHeight="1" x14ac:dyDescent="0.3">
      <c r="A3" s="1"/>
      <c r="B3" s="5" t="s">
        <v>115</v>
      </c>
      <c r="C3" s="6"/>
      <c r="D3" s="6"/>
      <c r="E3" s="6"/>
      <c r="F3" s="6"/>
      <c r="G3" s="6"/>
      <c r="H3" s="6"/>
      <c r="I3" s="6"/>
      <c r="J3" s="6"/>
      <c r="K3" s="6"/>
      <c r="L3" s="6"/>
      <c r="M3" s="7"/>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row>
    <row r="4" spans="1:66" ht="18" customHeight="1" x14ac:dyDescent="0.3">
      <c r="A4" s="1"/>
      <c r="B4" s="99" t="s">
        <v>1</v>
      </c>
      <c r="C4" s="296"/>
      <c r="D4" s="296"/>
      <c r="E4" s="296"/>
      <c r="F4" s="296"/>
      <c r="G4" s="296"/>
      <c r="H4" s="296"/>
      <c r="I4" s="296"/>
      <c r="J4" s="296"/>
      <c r="K4" s="296"/>
      <c r="L4" s="296"/>
      <c r="M4" s="100"/>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row>
    <row r="5" spans="1:66" ht="14.25" customHeight="1" x14ac:dyDescent="0.3">
      <c r="A5" s="1"/>
      <c r="B5" s="293" t="s">
        <v>116</v>
      </c>
      <c r="C5" s="294"/>
      <c r="D5" s="294"/>
      <c r="E5" s="294"/>
      <c r="F5" s="294"/>
      <c r="G5" s="294"/>
      <c r="H5" s="294"/>
      <c r="I5" s="294"/>
      <c r="J5" s="294"/>
      <c r="K5" s="294"/>
      <c r="L5" s="294"/>
      <c r="M5" s="295"/>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row>
    <row r="6" spans="1:66" ht="12.6" customHeight="1" x14ac:dyDescent="0.3">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row>
    <row r="7" spans="1:66" ht="12.6" customHeight="1" x14ac:dyDescent="0.3">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row>
    <row r="8" spans="1:66" ht="17.7" customHeight="1" x14ac:dyDescent="0.3">
      <c r="A8" s="1"/>
      <c r="B8" s="11" t="s">
        <v>2</v>
      </c>
      <c r="C8" s="12" t="s">
        <v>247</v>
      </c>
      <c r="D8" s="12" t="s">
        <v>248</v>
      </c>
      <c r="E8" s="124" t="s">
        <v>525</v>
      </c>
      <c r="F8" s="125"/>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row>
    <row r="9" spans="1:66" ht="10.35" customHeight="1" x14ac:dyDescent="0.3">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row>
    <row r="10" spans="1:66" x14ac:dyDescent="0.3">
      <c r="A10" s="1"/>
      <c r="B10" s="1"/>
      <c r="C10" s="13" t="s">
        <v>6</v>
      </c>
      <c r="D10" s="14"/>
      <c r="E10" s="14"/>
      <c r="F10" s="14"/>
      <c r="G10" s="14"/>
      <c r="H10" s="14"/>
      <c r="I10" s="14"/>
      <c r="J10" s="14"/>
      <c r="K10" s="14"/>
      <c r="L10" s="14"/>
      <c r="M10" s="14"/>
      <c r="N10" s="14"/>
      <c r="O10" s="14"/>
      <c r="P10" s="15" t="s">
        <v>596</v>
      </c>
      <c r="Q10" s="16"/>
      <c r="R10" s="16"/>
      <c r="S10" s="16"/>
      <c r="T10" s="16"/>
      <c r="U10" s="16"/>
      <c r="V10" s="16"/>
      <c r="W10" s="16"/>
      <c r="X10" s="13"/>
      <c r="Y10" s="17"/>
      <c r="Z10" s="17"/>
      <c r="AA10" s="17"/>
      <c r="AB10" s="17"/>
      <c r="AC10" s="17"/>
      <c r="AD10" s="17"/>
      <c r="AE10" s="19"/>
      <c r="AF10" s="16"/>
      <c r="AG10" s="16"/>
      <c r="AH10" s="16"/>
      <c r="AI10" s="16"/>
      <c r="AJ10" s="16"/>
      <c r="AK10" s="1"/>
      <c r="AL10" s="1"/>
      <c r="AM10" s="99" t="s">
        <v>562</v>
      </c>
      <c r="AN10" s="9"/>
      <c r="AO10" s="9"/>
      <c r="AP10" s="9"/>
      <c r="AQ10" s="9"/>
      <c r="AR10" s="9"/>
      <c r="AS10" s="10"/>
      <c r="AT10" s="1"/>
      <c r="AU10" s="1"/>
      <c r="AV10" s="1"/>
      <c r="AW10" s="1"/>
      <c r="AX10" s="1"/>
      <c r="AY10" s="1"/>
      <c r="AZ10" s="1"/>
      <c r="BA10" s="1"/>
      <c r="BB10" s="1"/>
      <c r="BC10" s="1"/>
      <c r="BD10" s="1"/>
      <c r="BE10" s="1"/>
      <c r="BF10" s="1"/>
      <c r="BG10" s="1"/>
      <c r="BH10" s="1"/>
      <c r="BI10" s="1"/>
      <c r="BJ10" s="1"/>
      <c r="BK10" s="1"/>
      <c r="BL10" s="1"/>
      <c r="BM10" s="1"/>
      <c r="BN10" s="1"/>
    </row>
    <row r="11" spans="1:66" ht="78.75" customHeight="1" x14ac:dyDescent="0.3">
      <c r="A11" s="1"/>
      <c r="B11" s="25" t="s">
        <v>20</v>
      </c>
      <c r="C11" s="26" t="s">
        <v>119</v>
      </c>
      <c r="D11" s="27" t="s">
        <v>120</v>
      </c>
      <c r="E11" s="26" t="s">
        <v>121</v>
      </c>
      <c r="F11" s="27" t="s">
        <v>122</v>
      </c>
      <c r="G11" s="27" t="s">
        <v>123</v>
      </c>
      <c r="H11" s="27" t="s">
        <v>124</v>
      </c>
      <c r="I11" s="27" t="s">
        <v>125</v>
      </c>
      <c r="J11" s="27" t="s">
        <v>126</v>
      </c>
      <c r="K11" s="27" t="s">
        <v>127</v>
      </c>
      <c r="L11" s="27"/>
      <c r="M11" s="27"/>
      <c r="N11" s="27"/>
      <c r="O11" s="27"/>
      <c r="P11" s="26" t="s">
        <v>119</v>
      </c>
      <c r="Q11" s="27" t="s">
        <v>120</v>
      </c>
      <c r="R11" s="27" t="s">
        <v>121</v>
      </c>
      <c r="S11" s="27" t="s">
        <v>122</v>
      </c>
      <c r="T11" s="27" t="s">
        <v>123</v>
      </c>
      <c r="U11" s="27" t="s">
        <v>130</v>
      </c>
      <c r="V11" s="27"/>
      <c r="W11" s="27"/>
      <c r="X11" s="27"/>
      <c r="Y11" s="27"/>
      <c r="Z11" s="27"/>
      <c r="AA11" s="27"/>
      <c r="AB11" s="27"/>
      <c r="AC11" s="27"/>
      <c r="AD11" s="27"/>
      <c r="AE11" s="27"/>
      <c r="AF11" s="27"/>
      <c r="AG11" s="27"/>
      <c r="AH11" s="27"/>
      <c r="AI11" s="27"/>
      <c r="AJ11" s="27"/>
      <c r="AK11" s="27" t="s">
        <v>150</v>
      </c>
      <c r="AL11" s="1"/>
      <c r="AM11" s="522" t="s">
        <v>563</v>
      </c>
      <c r="AN11" s="523" t="s">
        <v>568</v>
      </c>
      <c r="AO11" s="523" t="s">
        <v>569</v>
      </c>
      <c r="AP11" s="523" t="s">
        <v>570</v>
      </c>
      <c r="AQ11" s="523" t="s">
        <v>564</v>
      </c>
      <c r="AR11" s="523" t="s">
        <v>565</v>
      </c>
      <c r="AS11" s="523" t="s">
        <v>566</v>
      </c>
      <c r="AT11" s="1"/>
      <c r="AU11" s="1"/>
      <c r="AV11" s="1"/>
      <c r="AW11" s="1"/>
      <c r="AX11" s="1"/>
      <c r="AY11" s="1"/>
      <c r="AZ11" s="1"/>
      <c r="BA11" s="1"/>
      <c r="BB11" s="1"/>
      <c r="BC11" s="1"/>
      <c r="BD11" s="1"/>
      <c r="BE11" s="1"/>
      <c r="BF11" s="1"/>
      <c r="BG11" s="1"/>
      <c r="BH11" s="1"/>
      <c r="BI11" s="1"/>
      <c r="BJ11" s="1"/>
      <c r="BK11" s="1"/>
      <c r="BL11" s="1"/>
      <c r="BM11" s="1"/>
      <c r="BN11" s="1"/>
    </row>
    <row r="12" spans="1:66" x14ac:dyDescent="0.3">
      <c r="A12" s="1"/>
      <c r="B12" s="28">
        <v>1</v>
      </c>
      <c r="C12" s="129">
        <f>'[88]2. Distributional by deciles o'!B46</f>
        <v>397847393.99640024</v>
      </c>
      <c r="D12" s="129">
        <f>'[88]2. Distributional by deciles o'!C46</f>
        <v>441191437.24079978</v>
      </c>
      <c r="E12" s="129">
        <f>'[88]2. Distributional by deciles o'!D46</f>
        <v>403387609.73040009</v>
      </c>
      <c r="F12" s="129">
        <f>'[88]2. Distributional by deciles o'!E46</f>
        <v>381254524.26479959</v>
      </c>
      <c r="G12" s="129">
        <f>'[88]2. Distributional by deciles o'!F46</f>
        <v>390099278.80559999</v>
      </c>
      <c r="H12" s="129">
        <f>'[88]2. Distributional by deciles o'!H46</f>
        <v>463126401.03599977</v>
      </c>
      <c r="I12" s="129">
        <f>'[88]2. Distributional by deciles o'!I46</f>
        <v>366099007.04640049</v>
      </c>
      <c r="J12" s="129">
        <f>'[88]2. Distributional by deciles o'!J46</f>
        <v>343389849.93599975</v>
      </c>
      <c r="K12" s="129">
        <f>'[88]2. Distributional by deciles o'!K46</f>
        <v>334313527.51919985</v>
      </c>
      <c r="L12" s="139"/>
      <c r="M12" s="139"/>
      <c r="N12" s="139"/>
      <c r="O12" s="139"/>
      <c r="P12" s="129">
        <f>'[88]2. Distributional by deciles o'!B64</f>
        <v>8670886036.6044044</v>
      </c>
      <c r="Q12" s="129">
        <f>'[88]2. Distributional by deciles o'!C64</f>
        <v>9013641025.5960007</v>
      </c>
      <c r="R12" s="129">
        <f>'[88]2. Distributional by deciles o'!D64</f>
        <v>9180930228.0096149</v>
      </c>
      <c r="S12" s="129">
        <f>'[88]2. Distributional by deciles o'!E64</f>
        <v>9452507880.1271877</v>
      </c>
      <c r="T12" s="129">
        <f>'[88]2. Distributional by deciles o'!F64</f>
        <v>10052747214.975628</v>
      </c>
      <c r="U12" s="209">
        <f t="shared" ref="U12:U22" si="0">T12/P12-1</f>
        <v>0.1593679322433319</v>
      </c>
      <c r="V12" s="139"/>
      <c r="W12" s="209"/>
      <c r="X12" s="132"/>
      <c r="Y12" s="132"/>
      <c r="Z12" s="132"/>
      <c r="AA12" s="132"/>
      <c r="AB12" s="132"/>
      <c r="AC12" s="132"/>
      <c r="AD12" s="132"/>
      <c r="AE12" s="139"/>
      <c r="AF12" s="139"/>
      <c r="AG12" s="139"/>
      <c r="AH12" s="139"/>
      <c r="AI12" s="139"/>
      <c r="AJ12" s="139"/>
      <c r="AK12" s="408">
        <f>'[88]2. Distributional by deciles o'!L46</f>
        <v>475683942.12840039</v>
      </c>
      <c r="AL12" s="1"/>
      <c r="AM12" s="32" cm="1">
        <f t="array" aca="1" ref="AM12" ca="1">INDIRECT("'1"&amp;$C$8&amp;"'!W12")</f>
        <v>0.79639674550592165</v>
      </c>
      <c r="AN12" s="524">
        <f t="shared" ref="AN12:AN21" ca="1" si="1">C12+C12*U12*AM12</f>
        <v>448342226.05225545</v>
      </c>
      <c r="AO12" s="524">
        <f t="shared" ref="AO12:AO21" ca="1" si="2">C12+C12*U$22*AM12</f>
        <v>445968291.57478577</v>
      </c>
      <c r="AP12" s="524">
        <f t="shared" ref="AP12:AP21" ca="1" si="3">C12+C12*AR12*AM12</f>
        <v>448342226.05225545</v>
      </c>
      <c r="AQ12" s="525">
        <f t="shared" ref="AQ12:AQ21" si="4">U12</f>
        <v>0.1593679322433319</v>
      </c>
      <c r="AR12" s="344">
        <f>AQ12</f>
        <v>0.1593679322433319</v>
      </c>
      <c r="AS12" s="41">
        <f>P12/P$22</f>
        <v>1.7630692051616603E-2</v>
      </c>
      <c r="AT12" s="1"/>
      <c r="AU12" s="1"/>
      <c r="AV12" s="1"/>
      <c r="AW12" s="1"/>
      <c r="AX12" s="1"/>
      <c r="AY12" s="1"/>
      <c r="AZ12" s="1"/>
      <c r="BA12" s="1"/>
      <c r="BB12" s="1"/>
      <c r="BC12" s="1"/>
      <c r="BD12" s="1"/>
      <c r="BE12" s="1"/>
      <c r="BF12" s="1"/>
      <c r="BG12" s="1"/>
      <c r="BH12" s="1"/>
      <c r="BI12" s="1"/>
      <c r="BJ12" s="1"/>
      <c r="BK12" s="1"/>
      <c r="BL12" s="1"/>
      <c r="BM12" s="1"/>
      <c r="BN12" s="1"/>
    </row>
    <row r="13" spans="1:66" x14ac:dyDescent="0.3">
      <c r="A13" s="1"/>
      <c r="B13" s="28">
        <v>2</v>
      </c>
      <c r="C13" s="129">
        <f>'[88]2. Distributional by deciles o'!B47</f>
        <v>556766320.14479983</v>
      </c>
      <c r="D13" s="129">
        <f>'[88]2. Distributional by deciles o'!C47</f>
        <v>592601597.2572006</v>
      </c>
      <c r="E13" s="129">
        <f>'[88]2. Distributional by deciles o'!D47</f>
        <v>555413935.86119974</v>
      </c>
      <c r="F13" s="129">
        <f>'[88]2. Distributional by deciles o'!E47</f>
        <v>597411824.92199945</v>
      </c>
      <c r="G13" s="129">
        <f>'[88]2. Distributional by deciles o'!F47</f>
        <v>603641954.31479955</v>
      </c>
      <c r="H13" s="129">
        <f>'[88]2. Distributional by deciles o'!H47</f>
        <v>837554077.40880156</v>
      </c>
      <c r="I13" s="129">
        <f>'[88]2. Distributional by deciles o'!I47</f>
        <v>643416522.1608007</v>
      </c>
      <c r="J13" s="129">
        <f>'[88]2. Distributional by deciles o'!J47</f>
        <v>606602276.04600024</v>
      </c>
      <c r="K13" s="129">
        <f>'[88]2. Distributional by deciles o'!K47</f>
        <v>592047289.22160053</v>
      </c>
      <c r="L13" s="139"/>
      <c r="M13" s="139"/>
      <c r="N13" s="139"/>
      <c r="O13" s="139"/>
      <c r="P13" s="129">
        <f>'[88]2. Distributional by deciles o'!B65</f>
        <v>23646266616.452473</v>
      </c>
      <c r="Q13" s="129">
        <f>'[88]2. Distributional by deciles o'!C65</f>
        <v>24409101296.402428</v>
      </c>
      <c r="R13" s="129">
        <f>'[88]2. Distributional by deciles o'!D65</f>
        <v>24870353096.272781</v>
      </c>
      <c r="S13" s="129">
        <f>'[88]2. Distributional by deciles o'!E65</f>
        <v>25495577965.625988</v>
      </c>
      <c r="T13" s="129">
        <f>'[88]2. Distributional by deciles o'!F65</f>
        <v>27168129098.341217</v>
      </c>
      <c r="U13" s="209">
        <f t="shared" si="0"/>
        <v>0.14893947273005548</v>
      </c>
      <c r="V13" s="139"/>
      <c r="W13" s="209"/>
      <c r="X13" s="132"/>
      <c r="Y13" s="132"/>
      <c r="Z13" s="132"/>
      <c r="AA13" s="132"/>
      <c r="AB13" s="132"/>
      <c r="AC13" s="132"/>
      <c r="AD13" s="132"/>
      <c r="AE13" s="139"/>
      <c r="AF13" s="139"/>
      <c r="AG13" s="139"/>
      <c r="AH13" s="139"/>
      <c r="AI13" s="139"/>
      <c r="AJ13" s="139"/>
      <c r="AK13" s="408">
        <f>'[88]2. Distributional by deciles o'!L47</f>
        <v>914015999.50439823</v>
      </c>
      <c r="AL13" s="1"/>
      <c r="AM13" s="32" cm="1">
        <f t="array" aca="1" ref="AM13" ca="1">INDIRECT("'1"&amp;$C$8&amp;"'!W13")</f>
        <v>3.2325795449036003</v>
      </c>
      <c r="AN13" s="524">
        <f t="shared" ca="1" si="1"/>
        <v>824826304.93471932</v>
      </c>
      <c r="AO13" s="524">
        <f t="shared" ca="1" si="2"/>
        <v>830110544.4284308</v>
      </c>
      <c r="AP13" s="524">
        <f t="shared" ca="1" si="3"/>
        <v>824826304.93471932</v>
      </c>
      <c r="AQ13" s="525">
        <f t="shared" si="4"/>
        <v>0.14893947273005548</v>
      </c>
      <c r="AR13" s="344">
        <f t="shared" ref="AR13:AR18" si="5">AQ13</f>
        <v>0.14893947273005548</v>
      </c>
      <c r="AS13" s="41">
        <f t="shared" ref="AS13:AS21" si="6">P13/P$22</f>
        <v>4.8080443350903203E-2</v>
      </c>
      <c r="AT13" s="1"/>
      <c r="AU13" s="1"/>
      <c r="AV13" s="1"/>
      <c r="AW13" s="1"/>
      <c r="AX13" s="1"/>
      <c r="AY13" s="1"/>
      <c r="AZ13" s="1"/>
      <c r="BA13" s="1"/>
      <c r="BB13" s="1"/>
      <c r="BC13" s="1"/>
      <c r="BD13" s="1"/>
      <c r="BE13" s="1"/>
      <c r="BF13" s="1"/>
      <c r="BG13" s="1"/>
      <c r="BH13" s="1"/>
      <c r="BI13" s="1"/>
      <c r="BJ13" s="1"/>
      <c r="BK13" s="1"/>
      <c r="BL13" s="1"/>
      <c r="BM13" s="1"/>
      <c r="BN13" s="1"/>
    </row>
    <row r="14" spans="1:66" x14ac:dyDescent="0.3">
      <c r="A14" s="1"/>
      <c r="B14" s="28">
        <v>3</v>
      </c>
      <c r="C14" s="129">
        <f>'[88]2. Distributional by deciles o'!B48</f>
        <v>1097591364.3491983</v>
      </c>
      <c r="D14" s="129">
        <f>'[88]2. Distributional by deciles o'!C48</f>
        <v>1161740384.0735998</v>
      </c>
      <c r="E14" s="129">
        <f>'[88]2. Distributional by deciles o'!D48</f>
        <v>1097113999.8732004</v>
      </c>
      <c r="F14" s="129">
        <f>'[88]2. Distributional by deciles o'!E48</f>
        <v>1179213616.2024016</v>
      </c>
      <c r="G14" s="129">
        <f>'[88]2. Distributional by deciles o'!F48</f>
        <v>1180745647.672801</v>
      </c>
      <c r="H14" s="129">
        <f>'[88]2. Distributional by deciles o'!H48</f>
        <v>1654118173.8132005</v>
      </c>
      <c r="I14" s="129">
        <f>'[88]2. Distributional by deciles o'!I48</f>
        <v>1184874688.8912013</v>
      </c>
      <c r="J14" s="129">
        <f>'[88]2. Distributional by deciles o'!J48</f>
        <v>1089881705.2715998</v>
      </c>
      <c r="K14" s="129">
        <f>'[88]2. Distributional by deciles o'!K48</f>
        <v>1053690362.1431992</v>
      </c>
      <c r="L14" s="139"/>
      <c r="M14" s="139"/>
      <c r="N14" s="139"/>
      <c r="O14" s="139"/>
      <c r="P14" s="129">
        <f>'[88]2. Distributional by deciles o'!B66</f>
        <v>28442063878.322365</v>
      </c>
      <c r="Q14" s="129">
        <f>'[88]2. Distributional by deciles o'!C66</f>
        <v>29404080965.052002</v>
      </c>
      <c r="R14" s="129">
        <f>'[88]2. Distributional by deciles o'!D66</f>
        <v>29903630386.174828</v>
      </c>
      <c r="S14" s="129">
        <f>'[88]2. Distributional by deciles o'!E66</f>
        <v>30723516531.273613</v>
      </c>
      <c r="T14" s="129">
        <f>'[88]2. Distributional by deciles o'!F66</f>
        <v>32416926219.954033</v>
      </c>
      <c r="U14" s="209">
        <f t="shared" si="0"/>
        <v>0.13975295037084789</v>
      </c>
      <c r="V14" s="139"/>
      <c r="W14" s="209"/>
      <c r="X14" s="132"/>
      <c r="Y14" s="132"/>
      <c r="Z14" s="132"/>
      <c r="AA14" s="132"/>
      <c r="AB14" s="132"/>
      <c r="AC14" s="132"/>
      <c r="AD14" s="132"/>
      <c r="AE14" s="139"/>
      <c r="AF14" s="139"/>
      <c r="AG14" s="139"/>
      <c r="AH14" s="139"/>
      <c r="AI14" s="139"/>
      <c r="AJ14" s="139"/>
      <c r="AK14" s="408">
        <f>'[88]2. Distributional by deciles o'!L48</f>
        <v>1726392149.671205</v>
      </c>
      <c r="AL14" s="1"/>
      <c r="AM14" s="32" cm="1">
        <f t="array" aca="1" ref="AM14" ca="1">INDIRECT("'1"&amp;$C$8&amp;"'!W14")</f>
        <v>3.7580071684706264</v>
      </c>
      <c r="AN14" s="524">
        <f t="shared" ca="1" si="1"/>
        <v>1674038214.9944754</v>
      </c>
      <c r="AO14" s="524">
        <f t="shared" ca="1" si="2"/>
        <v>1724040783.3642385</v>
      </c>
      <c r="AP14" s="524">
        <f t="shared" ca="1" si="3"/>
        <v>1674038214.9944754</v>
      </c>
      <c r="AQ14" s="525">
        <f t="shared" si="4"/>
        <v>0.13975295037084789</v>
      </c>
      <c r="AR14" s="344">
        <f t="shared" si="5"/>
        <v>0.13975295037084789</v>
      </c>
      <c r="AS14" s="41">
        <f t="shared" si="6"/>
        <v>5.7831837188749791E-2</v>
      </c>
      <c r="AT14" s="1"/>
      <c r="AU14" s="1"/>
      <c r="AV14" s="1"/>
      <c r="AW14" s="1"/>
      <c r="AX14" s="1"/>
      <c r="AY14" s="1"/>
      <c r="AZ14" s="1"/>
      <c r="BA14" s="1"/>
      <c r="BB14" s="1"/>
      <c r="BC14" s="1"/>
      <c r="BD14" s="1"/>
      <c r="BE14" s="1"/>
      <c r="BF14" s="1"/>
      <c r="BG14" s="1"/>
      <c r="BH14" s="1"/>
      <c r="BI14" s="1"/>
      <c r="BJ14" s="1"/>
      <c r="BK14" s="1"/>
      <c r="BL14" s="1"/>
      <c r="BM14" s="1"/>
      <c r="BN14" s="1"/>
    </row>
    <row r="15" spans="1:66" x14ac:dyDescent="0.3">
      <c r="A15" s="1"/>
      <c r="B15" s="28">
        <v>4</v>
      </c>
      <c r="C15" s="129">
        <f>'[88]2. Distributional by deciles o'!B49</f>
        <v>1748794022.7276011</v>
      </c>
      <c r="D15" s="129">
        <f>'[88]2. Distributional by deciles o'!C49</f>
        <v>1831892062.6823997</v>
      </c>
      <c r="E15" s="129">
        <f>'[88]2. Distributional by deciles o'!D49</f>
        <v>1762532449.2516007</v>
      </c>
      <c r="F15" s="129">
        <f>'[88]2. Distributional by deciles o'!E49</f>
        <v>1886274494.8776016</v>
      </c>
      <c r="G15" s="129">
        <f>'[88]2. Distributional by deciles o'!F49</f>
        <v>1893084029.8547983</v>
      </c>
      <c r="H15" s="129">
        <f>'[88]2. Distributional by deciles o'!H49</f>
        <v>2561850942.9096012</v>
      </c>
      <c r="I15" s="129">
        <f>'[88]2. Distributional by deciles o'!I49</f>
        <v>1942509343.0944035</v>
      </c>
      <c r="J15" s="129">
        <f>'[88]2. Distributional by deciles o'!J49</f>
        <v>1802379840.7871997</v>
      </c>
      <c r="K15" s="129">
        <f>'[88]2. Distributional by deciles o'!K49</f>
        <v>1747427403.4644034</v>
      </c>
      <c r="L15" s="139"/>
      <c r="M15" s="139"/>
      <c r="N15" s="139"/>
      <c r="O15" s="139"/>
      <c r="P15" s="129">
        <f>'[88]2. Distributional by deciles o'!B67</f>
        <v>33362738789.713135</v>
      </c>
      <c r="Q15" s="129">
        <f>'[88]2. Distributional by deciles o'!C67</f>
        <v>34545740865.12957</v>
      </c>
      <c r="R15" s="129">
        <f>'[88]2. Distributional by deciles o'!D67</f>
        <v>35127056108.867966</v>
      </c>
      <c r="S15" s="129">
        <f>'[88]2. Distributional by deciles o'!E67</f>
        <v>36160376763.971947</v>
      </c>
      <c r="T15" s="129">
        <f>'[88]2. Distributional by deciles o'!F67</f>
        <v>38016075934.772354</v>
      </c>
      <c r="U15" s="209">
        <f t="shared" si="0"/>
        <v>0.13947707274242127</v>
      </c>
      <c r="V15" s="139"/>
      <c r="W15" s="209"/>
      <c r="X15" s="132"/>
      <c r="Y15" s="132"/>
      <c r="Z15" s="132"/>
      <c r="AA15" s="132"/>
      <c r="AB15" s="132"/>
      <c r="AC15" s="132"/>
      <c r="AD15" s="132"/>
      <c r="AE15" s="139"/>
      <c r="AF15" s="139"/>
      <c r="AG15" s="139"/>
      <c r="AH15" s="139"/>
      <c r="AI15" s="139"/>
      <c r="AJ15" s="139"/>
      <c r="AK15" s="408">
        <f>'[88]2. Distributional by deciles o'!L49</f>
        <v>2545249644.0179973</v>
      </c>
      <c r="AL15" s="1"/>
      <c r="AM15" s="32" cm="1">
        <f t="array" aca="1" ref="AM15" ca="1">INDIRECT("'1"&amp;$C$8&amp;"'!W15")</f>
        <v>3.275130415600624</v>
      </c>
      <c r="AN15" s="524">
        <f t="shared" ca="1" si="1"/>
        <v>2547652931.183094</v>
      </c>
      <c r="AO15" s="524">
        <f t="shared" ca="1" si="2"/>
        <v>2618665285.5324073</v>
      </c>
      <c r="AP15" s="524">
        <f t="shared" ca="1" si="3"/>
        <v>2547652931.183094</v>
      </c>
      <c r="AQ15" s="525">
        <f t="shared" si="4"/>
        <v>0.13947707274242127</v>
      </c>
      <c r="AR15" s="344">
        <f t="shared" si="5"/>
        <v>0.13947707274242127</v>
      </c>
      <c r="AS15" s="41">
        <f t="shared" si="6"/>
        <v>6.783714733613358E-2</v>
      </c>
      <c r="AT15" s="1"/>
      <c r="AU15" s="1"/>
      <c r="AV15" s="1"/>
      <c r="AW15" s="1"/>
      <c r="AX15" s="1"/>
      <c r="AY15" s="1"/>
      <c r="AZ15" s="1"/>
      <c r="BA15" s="1"/>
      <c r="BB15" s="1"/>
      <c r="BC15" s="1"/>
      <c r="BD15" s="1"/>
      <c r="BE15" s="1"/>
      <c r="BF15" s="1"/>
      <c r="BG15" s="1"/>
      <c r="BH15" s="1"/>
      <c r="BI15" s="1"/>
      <c r="BJ15" s="1"/>
      <c r="BK15" s="1"/>
      <c r="BL15" s="1"/>
      <c r="BM15" s="1"/>
      <c r="BN15" s="1"/>
    </row>
    <row r="16" spans="1:66" x14ac:dyDescent="0.3">
      <c r="A16" s="1"/>
      <c r="B16" s="28">
        <v>5</v>
      </c>
      <c r="C16" s="129">
        <f>'[88]2. Distributional by deciles o'!B50</f>
        <v>2640427348.6559987</v>
      </c>
      <c r="D16" s="129">
        <f>'[88]2. Distributional by deciles o'!C50</f>
        <v>2775983282.8236022</v>
      </c>
      <c r="E16" s="129">
        <f>'[88]2. Distributional by deciles o'!D50</f>
        <v>2719047165.6107979</v>
      </c>
      <c r="F16" s="129">
        <f>'[88]2. Distributional by deciles o'!E50</f>
        <v>2913838484.6088052</v>
      </c>
      <c r="G16" s="129">
        <f>'[88]2. Distributional by deciles o'!F50</f>
        <v>2959190379.5376034</v>
      </c>
      <c r="H16" s="129">
        <f>'[88]2. Distributional by deciles o'!H50</f>
        <v>3897595690.3715987</v>
      </c>
      <c r="I16" s="129">
        <f>'[88]2. Distributional by deciles o'!I50</f>
        <v>3009388518.6516013</v>
      </c>
      <c r="J16" s="129">
        <f>'[88]2. Distributional by deciles o'!J50</f>
        <v>2823923780.4131966</v>
      </c>
      <c r="K16" s="129">
        <f>'[88]2. Distributional by deciles o'!K50</f>
        <v>2750227294.5923953</v>
      </c>
      <c r="L16" s="139"/>
      <c r="M16" s="139"/>
      <c r="N16" s="139"/>
      <c r="O16" s="139"/>
      <c r="P16" s="129">
        <f>'[88]2. Distributional by deciles o'!B68</f>
        <v>37992011894.285904</v>
      </c>
      <c r="Q16" s="129">
        <f>'[88]2. Distributional by deciles o'!C68</f>
        <v>39426066168.029976</v>
      </c>
      <c r="R16" s="129">
        <f>'[88]2. Distributional by deciles o'!D68</f>
        <v>40096525440.594055</v>
      </c>
      <c r="S16" s="129">
        <f>'[88]2. Distributional by deciles o'!E68</f>
        <v>41356318736.840408</v>
      </c>
      <c r="T16" s="129">
        <f>'[88]2. Distributional by deciles o'!F68</f>
        <v>43444343877.961182</v>
      </c>
      <c r="U16" s="209">
        <f t="shared" si="0"/>
        <v>0.14351258887911977</v>
      </c>
      <c r="V16" s="139"/>
      <c r="W16" s="209"/>
      <c r="X16" s="132"/>
      <c r="Y16" s="132"/>
      <c r="Z16" s="132"/>
      <c r="AA16" s="132"/>
      <c r="AB16" s="132"/>
      <c r="AC16" s="132"/>
      <c r="AD16" s="132"/>
      <c r="AE16" s="139"/>
      <c r="AF16" s="139"/>
      <c r="AG16" s="139"/>
      <c r="AH16" s="139"/>
      <c r="AI16" s="139"/>
      <c r="AJ16" s="139"/>
      <c r="AK16" s="408">
        <f>'[88]2. Distributional by deciles o'!L50</f>
        <v>3837368999.3627958</v>
      </c>
      <c r="AL16" s="1"/>
      <c r="AM16" s="32" cm="1">
        <f t="array" aca="1" ref="AM16" ca="1">INDIRECT("'1"&amp;$C$8&amp;"'!W16")</f>
        <v>3.1223731294086048</v>
      </c>
      <c r="AN16" s="524">
        <f t="shared" ca="1" si="1"/>
        <v>3823602450.8199759</v>
      </c>
      <c r="AO16" s="524">
        <f t="shared" ca="1" si="2"/>
        <v>3892549643.1531858</v>
      </c>
      <c r="AP16" s="524">
        <f t="shared" ca="1" si="3"/>
        <v>3823602450.8199759</v>
      </c>
      <c r="AQ16" s="525">
        <f t="shared" si="4"/>
        <v>0.14351258887911977</v>
      </c>
      <c r="AR16" s="344">
        <f t="shared" si="5"/>
        <v>0.14351258887911977</v>
      </c>
      <c r="AS16" s="41">
        <f t="shared" si="6"/>
        <v>7.7249944158165815E-2</v>
      </c>
      <c r="AT16" s="1"/>
      <c r="AU16" s="1"/>
      <c r="AV16" s="1"/>
      <c r="AW16" s="1"/>
      <c r="AX16" s="1"/>
      <c r="AY16" s="1"/>
      <c r="AZ16" s="1"/>
      <c r="BA16" s="1"/>
      <c r="BB16" s="1"/>
      <c r="BC16" s="1"/>
      <c r="BD16" s="1"/>
      <c r="BE16" s="1"/>
      <c r="BF16" s="1"/>
      <c r="BG16" s="1"/>
      <c r="BH16" s="1"/>
      <c r="BI16" s="1"/>
      <c r="BJ16" s="1"/>
      <c r="BK16" s="1"/>
      <c r="BL16" s="1"/>
      <c r="BM16" s="1"/>
      <c r="BN16" s="1"/>
    </row>
    <row r="17" spans="1:66" x14ac:dyDescent="0.3">
      <c r="A17" s="1"/>
      <c r="B17" s="28">
        <v>6</v>
      </c>
      <c r="C17" s="129">
        <f>'[88]2. Distributional by deciles o'!B51</f>
        <v>3839283052.7807989</v>
      </c>
      <c r="D17" s="129">
        <f>'[88]2. Distributional by deciles o'!C51</f>
        <v>4054819017.6048021</v>
      </c>
      <c r="E17" s="129">
        <f>'[88]2. Distributional by deciles o'!D51</f>
        <v>4014550799.5895877</v>
      </c>
      <c r="F17" s="129">
        <f>'[88]2. Distributional by deciles o'!E51</f>
        <v>4297172841.5603924</v>
      </c>
      <c r="G17" s="129">
        <f>'[88]2. Distributional by deciles o'!F51</f>
        <v>4392668466.6240025</v>
      </c>
      <c r="H17" s="129">
        <f>'[88]2. Distributional by deciles o'!H51</f>
        <v>5631944317.4964027</v>
      </c>
      <c r="I17" s="129">
        <f>'[88]2. Distributional by deciles o'!I51</f>
        <v>4331890629.374402</v>
      </c>
      <c r="J17" s="129">
        <f>'[88]2. Distributional by deciles o'!J51</f>
        <v>4051761446.9208012</v>
      </c>
      <c r="K17" s="129">
        <f>'[88]2. Distributional by deciles o'!K51</f>
        <v>3944107830.4116011</v>
      </c>
      <c r="L17" s="139"/>
      <c r="M17" s="139"/>
      <c r="N17" s="139"/>
      <c r="O17" s="139"/>
      <c r="P17" s="129">
        <f>'[88]2. Distributional by deciles o'!B69</f>
        <v>44355787035.818398</v>
      </c>
      <c r="Q17" s="129">
        <f>'[88]2. Distributional by deciles o'!C69</f>
        <v>46064827703.770782</v>
      </c>
      <c r="R17" s="129">
        <f>'[88]2. Distributional by deciles o'!D69</f>
        <v>46855777872.272423</v>
      </c>
      <c r="S17" s="129">
        <f>'[88]2. Distributional by deciles o'!E69</f>
        <v>48371212923.528015</v>
      </c>
      <c r="T17" s="129">
        <f>'[88]2. Distributional by deciles o'!F69</f>
        <v>50797265427.891685</v>
      </c>
      <c r="U17" s="209">
        <f t="shared" si="0"/>
        <v>0.14522295336280777</v>
      </c>
      <c r="V17" s="139"/>
      <c r="W17" s="209"/>
      <c r="X17" s="132"/>
      <c r="Y17" s="132"/>
      <c r="Z17" s="132"/>
      <c r="AA17" s="132"/>
      <c r="AB17" s="132"/>
      <c r="AC17" s="132"/>
      <c r="AD17" s="132"/>
      <c r="AE17" s="139"/>
      <c r="AF17" s="139"/>
      <c r="AG17" s="139"/>
      <c r="AH17" s="139"/>
      <c r="AI17" s="139"/>
      <c r="AJ17" s="139"/>
      <c r="AK17" s="408">
        <f>'[88]2. Distributional by deciles o'!L51</f>
        <v>5556406721.8163996</v>
      </c>
      <c r="AL17" s="1"/>
      <c r="AM17" s="32" cm="1">
        <f t="array" aca="1" ref="AM17" ca="1">INDIRECT("'1"&amp;$C$8&amp;"'!W17")</f>
        <v>3.2926310800733822</v>
      </c>
      <c r="AN17" s="524">
        <f t="shared" ca="1" si="1"/>
        <v>5675096174.8410721</v>
      </c>
      <c r="AO17" s="524">
        <f t="shared" ca="1" si="2"/>
        <v>5759193316.4842806</v>
      </c>
      <c r="AP17" s="524">
        <f t="shared" ca="1" si="3"/>
        <v>5675096174.8410721</v>
      </c>
      <c r="AQ17" s="525">
        <f t="shared" si="4"/>
        <v>0.14522295336280777</v>
      </c>
      <c r="AR17" s="344">
        <f t="shared" si="5"/>
        <v>0.14522295336280777</v>
      </c>
      <c r="AS17" s="41">
        <f t="shared" si="6"/>
        <v>9.0189539873349489E-2</v>
      </c>
      <c r="AT17" s="1"/>
      <c r="AU17" s="1"/>
      <c r="AV17" s="1"/>
      <c r="AW17" s="1"/>
      <c r="AX17" s="1"/>
      <c r="AY17" s="1"/>
      <c r="AZ17" s="1"/>
      <c r="BA17" s="1"/>
      <c r="BB17" s="1"/>
      <c r="BC17" s="1"/>
      <c r="BD17" s="1"/>
      <c r="BE17" s="1"/>
      <c r="BF17" s="1"/>
      <c r="BG17" s="1"/>
      <c r="BH17" s="1"/>
      <c r="BI17" s="1"/>
      <c r="BJ17" s="1"/>
      <c r="BK17" s="1"/>
      <c r="BL17" s="1"/>
      <c r="BM17" s="1"/>
      <c r="BN17" s="1"/>
    </row>
    <row r="18" spans="1:66" x14ac:dyDescent="0.3">
      <c r="A18" s="1"/>
      <c r="B18" s="28">
        <v>7</v>
      </c>
      <c r="C18" s="129">
        <f>'[88]2. Distributional by deciles o'!B52</f>
        <v>5380300034.1012115</v>
      </c>
      <c r="D18" s="129">
        <f>'[88]2. Distributional by deciles o'!C52</f>
        <v>5693423295.9096079</v>
      </c>
      <c r="E18" s="129">
        <f>'[88]2. Distributional by deciles o'!D52</f>
        <v>5677178179.5983973</v>
      </c>
      <c r="F18" s="129">
        <f>'[88]2. Distributional by deciles o'!E52</f>
        <v>6049391635.5000019</v>
      </c>
      <c r="G18" s="129">
        <f>'[88]2. Distributional by deciles o'!F52</f>
        <v>6216160595.8560095</v>
      </c>
      <c r="H18" s="129">
        <f>'[88]2. Distributional by deciles o'!H52</f>
        <v>7682182227.0288086</v>
      </c>
      <c r="I18" s="129">
        <f>'[88]2. Distributional by deciles o'!I52</f>
        <v>6133920899.1816006</v>
      </c>
      <c r="J18" s="129">
        <f>'[88]2. Distributional by deciles o'!J52</f>
        <v>5774213751.638422</v>
      </c>
      <c r="K18" s="129">
        <f>'[88]2. Distributional by deciles o'!K52</f>
        <v>5631333010.5383968</v>
      </c>
      <c r="L18" s="139"/>
      <c r="M18" s="139"/>
      <c r="N18" s="139"/>
      <c r="O18" s="139"/>
      <c r="P18" s="129">
        <f>'[88]2. Distributional by deciles o'!B70</f>
        <v>50444333537.089211</v>
      </c>
      <c r="Q18" s="129">
        <f>'[88]2. Distributional by deciles o'!C70</f>
        <v>52479751570.579239</v>
      </c>
      <c r="R18" s="129">
        <f>'[88]2. Distributional by deciles o'!D70</f>
        <v>53398479433.485657</v>
      </c>
      <c r="S18" s="129">
        <f>'[88]2. Distributional by deciles o'!E70</f>
        <v>55176502737.888016</v>
      </c>
      <c r="T18" s="129">
        <f>'[88]2. Distributional by deciles o'!F70</f>
        <v>57955696477.678787</v>
      </c>
      <c r="U18" s="209">
        <f t="shared" si="0"/>
        <v>0.14890399800934717</v>
      </c>
      <c r="V18" s="139"/>
      <c r="W18" s="209"/>
      <c r="X18" s="132"/>
      <c r="Y18" s="132"/>
      <c r="Z18" s="132"/>
      <c r="AA18" s="132"/>
      <c r="AB18" s="132"/>
      <c r="AC18" s="132"/>
      <c r="AD18" s="132"/>
      <c r="AE18" s="139"/>
      <c r="AF18" s="139"/>
      <c r="AG18" s="139"/>
      <c r="AH18" s="139"/>
      <c r="AI18" s="139"/>
      <c r="AJ18" s="139"/>
      <c r="AK18" s="408">
        <f>'[88]2. Distributional by deciles o'!L52</f>
        <v>7512697215.3347912</v>
      </c>
      <c r="AL18" s="1"/>
      <c r="AM18" s="32" cm="1">
        <f t="array" aca="1" ref="AM18" ca="1">INDIRECT("'1"&amp;$C$8&amp;"'!W18")</f>
        <v>2.9573617881932761</v>
      </c>
      <c r="AN18" s="524">
        <f t="shared" ca="1" si="1"/>
        <v>7749585064.778904</v>
      </c>
      <c r="AO18" s="524">
        <f t="shared" ca="1" si="2"/>
        <v>7796866124.921587</v>
      </c>
      <c r="AP18" s="524">
        <f t="shared" ca="1" si="3"/>
        <v>7749585064.778904</v>
      </c>
      <c r="AQ18" s="525">
        <f t="shared" si="4"/>
        <v>0.14890399800934717</v>
      </c>
      <c r="AR18" s="344">
        <f t="shared" si="5"/>
        <v>0.14890399800934717</v>
      </c>
      <c r="AS18" s="41">
        <f t="shared" si="6"/>
        <v>0.1025695074974991</v>
      </c>
      <c r="AT18" s="1"/>
      <c r="AU18" s="1"/>
      <c r="AV18" s="1"/>
      <c r="AW18" s="1"/>
      <c r="AX18" s="1"/>
      <c r="AY18" s="1"/>
      <c r="AZ18" s="1"/>
      <c r="BA18" s="1"/>
      <c r="BB18" s="1"/>
      <c r="BC18" s="1"/>
      <c r="BD18" s="1"/>
      <c r="BE18" s="1"/>
      <c r="BF18" s="1"/>
      <c r="BG18" s="1"/>
      <c r="BH18" s="1"/>
      <c r="BI18" s="1"/>
      <c r="BJ18" s="1"/>
      <c r="BK18" s="1"/>
      <c r="BL18" s="1"/>
      <c r="BM18" s="1"/>
      <c r="BN18" s="1"/>
    </row>
    <row r="19" spans="1:66" x14ac:dyDescent="0.3">
      <c r="A19" s="1"/>
      <c r="B19" s="28">
        <v>8</v>
      </c>
      <c r="C19" s="129">
        <f>'[88]2. Distributional by deciles o'!B53</f>
        <v>7645432182.9323864</v>
      </c>
      <c r="D19" s="129">
        <f>'[88]2. Distributional by deciles o'!C53</f>
        <v>8080465077.0995836</v>
      </c>
      <c r="E19" s="129">
        <f>'[88]2. Distributional by deciles o'!D53</f>
        <v>8116255427.4264069</v>
      </c>
      <c r="F19" s="129">
        <f>'[88]2. Distributional by deciles o'!E53</f>
        <v>8616435179.98559</v>
      </c>
      <c r="G19" s="129">
        <f>'[88]2. Distributional by deciles o'!F53</f>
        <v>8936605227.9180069</v>
      </c>
      <c r="H19" s="129">
        <f>'[88]2. Distributional by deciles o'!H53</f>
        <v>10602476674.021242</v>
      </c>
      <c r="I19" s="129">
        <f>'[88]2. Distributional by deciles o'!I53</f>
        <v>8742745753.5852127</v>
      </c>
      <c r="J19" s="129">
        <f>'[88]2. Distributional by deciles o'!J53</f>
        <v>8298891867.3804045</v>
      </c>
      <c r="K19" s="129">
        <f>'[88]2. Distributional by deciles o'!K53</f>
        <v>8121082016.2223911</v>
      </c>
      <c r="L19" s="139"/>
      <c r="M19" s="139"/>
      <c r="N19" s="139"/>
      <c r="O19" s="139"/>
      <c r="P19" s="129">
        <f>'[88]2. Distributional by deciles o'!B71</f>
        <v>59095704862.990791</v>
      </c>
      <c r="Q19" s="129">
        <f>'[88]2. Distributional by deciles o'!C71</f>
        <v>61479120312.730789</v>
      </c>
      <c r="R19" s="129">
        <f>'[88]2. Distributional by deciles o'!D71</f>
        <v>62551070238.642082</v>
      </c>
      <c r="S19" s="129">
        <f>'[88]2. Distributional by deciles o'!E71</f>
        <v>64644875158.102722</v>
      </c>
      <c r="T19" s="129">
        <f>'[88]2. Distributional by deciles o'!F71</f>
        <v>67884136211.83078</v>
      </c>
      <c r="U19" s="209">
        <f t="shared" si="0"/>
        <v>0.14871523013754295</v>
      </c>
      <c r="V19" s="139"/>
      <c r="W19" s="209"/>
      <c r="X19" s="132"/>
      <c r="Y19" s="132"/>
      <c r="Z19" s="132"/>
      <c r="AA19" s="132"/>
      <c r="AB19" s="132"/>
      <c r="AC19" s="132"/>
      <c r="AD19" s="132"/>
      <c r="AE19" s="139"/>
      <c r="AF19" s="139"/>
      <c r="AG19" s="139"/>
      <c r="AH19" s="139"/>
      <c r="AI19" s="139"/>
      <c r="AJ19" s="139"/>
      <c r="AK19" s="408">
        <f>'[88]2. Distributional by deciles o'!L53</f>
        <v>10366591345.537212</v>
      </c>
      <c r="AL19" s="1"/>
      <c r="AM19" s="32" cm="1">
        <f t="array" aca="1" ref="AM19" ca="1">INDIRECT("'1"&amp;$C$8&amp;"'!W19")</f>
        <v>2.6531078192857587</v>
      </c>
      <c r="AN19" s="524">
        <f t="shared" ca="1" si="1"/>
        <v>10661995096.692055</v>
      </c>
      <c r="AO19" s="524">
        <f t="shared" ca="1" si="2"/>
        <v>10726098534.967524</v>
      </c>
      <c r="AP19" s="524">
        <f t="shared" ca="1" si="3"/>
        <v>9625898497.2701187</v>
      </c>
      <c r="AQ19" s="525">
        <f t="shared" si="4"/>
        <v>0.14871523013754295</v>
      </c>
      <c r="AR19" s="526">
        <f>U19-AP31*AS21/SUM(AS19:AS20)</f>
        <v>9.7636121684366972E-2</v>
      </c>
      <c r="AS19" s="41">
        <f t="shared" si="6"/>
        <v>0.12016051988392054</v>
      </c>
      <c r="AT19" s="1"/>
      <c r="AU19" s="1"/>
      <c r="AV19" s="1"/>
      <c r="AW19" s="1"/>
      <c r="AX19" s="1"/>
      <c r="AY19" s="1"/>
      <c r="AZ19" s="1"/>
      <c r="BA19" s="1"/>
      <c r="BB19" s="1"/>
      <c r="BC19" s="1"/>
      <c r="BD19" s="1"/>
      <c r="BE19" s="1"/>
      <c r="BF19" s="1"/>
      <c r="BG19" s="1"/>
      <c r="BH19" s="1"/>
      <c r="BI19" s="1"/>
      <c r="BJ19" s="1"/>
      <c r="BK19" s="1"/>
      <c r="BL19" s="1"/>
      <c r="BM19" s="1"/>
      <c r="BN19" s="1"/>
    </row>
    <row r="20" spans="1:66" x14ac:dyDescent="0.3">
      <c r="A20" s="1"/>
      <c r="B20" s="28">
        <v>9</v>
      </c>
      <c r="C20" s="129">
        <f>'[88]2. Distributional by deciles o'!B54</f>
        <v>12098600137.57679</v>
      </c>
      <c r="D20" s="129">
        <f>'[88]2. Distributional by deciles o'!C54</f>
        <v>12720358872.821976</v>
      </c>
      <c r="E20" s="129">
        <f>'[88]2. Distributional by deciles o'!D54</f>
        <v>12870265496.386816</v>
      </c>
      <c r="F20" s="129">
        <f>'[88]2. Distributional by deciles o'!E54</f>
        <v>13620626361.085197</v>
      </c>
      <c r="G20" s="129">
        <f>'[88]2. Distributional by deciles o'!F54</f>
        <v>14253418448.504396</v>
      </c>
      <c r="H20" s="129">
        <f>'[88]2. Distributional by deciles o'!H54</f>
        <v>16237155555.128372</v>
      </c>
      <c r="I20" s="129">
        <f>'[88]2. Distributional by deciles o'!I54</f>
        <v>14011285385.923216</v>
      </c>
      <c r="J20" s="129">
        <f>'[88]2. Distributional by deciles o'!J54</f>
        <v>13471918840.066826</v>
      </c>
      <c r="K20" s="129">
        <f>'[88]2. Distributional by deciles o'!K54</f>
        <v>13252768511.080799</v>
      </c>
      <c r="L20" s="139"/>
      <c r="M20" s="139"/>
      <c r="N20" s="139"/>
      <c r="O20" s="139"/>
      <c r="P20" s="129">
        <f>'[88]2. Distributional by deciles o'!B72</f>
        <v>71936439658.412506</v>
      </c>
      <c r="Q20" s="129">
        <f>'[88]2. Distributional by deciles o'!C72</f>
        <v>74917299770.228333</v>
      </c>
      <c r="R20" s="129">
        <f>'[88]2. Distributional by deciles o'!D72</f>
        <v>76243133908.229858</v>
      </c>
      <c r="S20" s="129">
        <f>'[88]2. Distributional by deciles o'!E72</f>
        <v>78878807983.47467</v>
      </c>
      <c r="T20" s="129">
        <f>'[88]2. Distributional by deciles o'!F72</f>
        <v>82865245605.997284</v>
      </c>
      <c r="U20" s="209">
        <f t="shared" si="0"/>
        <v>0.15192308653972586</v>
      </c>
      <c r="V20" s="139"/>
      <c r="W20" s="209"/>
      <c r="X20" s="132"/>
      <c r="Y20" s="132"/>
      <c r="Z20" s="132"/>
      <c r="AA20" s="132"/>
      <c r="AB20" s="132"/>
      <c r="AC20" s="132"/>
      <c r="AD20" s="132"/>
      <c r="AE20" s="139"/>
      <c r="AF20" s="139"/>
      <c r="AG20" s="139"/>
      <c r="AH20" s="139"/>
      <c r="AI20" s="139"/>
      <c r="AJ20" s="139"/>
      <c r="AK20" s="408">
        <f>'[88]2. Distributional by deciles o'!L54</f>
        <v>15838699766.950802</v>
      </c>
      <c r="AL20" s="1"/>
      <c r="AM20" s="32" cm="1">
        <f t="array" aca="1" ref="AM20" ca="1">INDIRECT("'1"&amp;$C$8&amp;"'!W20")</f>
        <v>2.2782833557989934</v>
      </c>
      <c r="AN20" s="524">
        <f t="shared" ca="1" si="1"/>
        <v>16286214068.863518</v>
      </c>
      <c r="AO20" s="524">
        <f t="shared" ca="1" si="2"/>
        <v>16284902434.660069</v>
      </c>
      <c r="AP20" s="524">
        <f t="shared" ca="1" si="3"/>
        <v>14878267514.93214</v>
      </c>
      <c r="AQ20" s="525">
        <f t="shared" si="4"/>
        <v>0.15192308653972586</v>
      </c>
      <c r="AR20" s="526">
        <f>U20-AP31*AS21/SUM(AS19:AS20)</f>
        <v>0.10084397808654988</v>
      </c>
      <c r="AS20" s="41">
        <f t="shared" si="6"/>
        <v>0.1462698517260001</v>
      </c>
      <c r="AT20" s="1"/>
      <c r="AU20" s="1"/>
      <c r="AV20" s="1"/>
      <c r="AW20" s="1"/>
      <c r="AX20" s="1"/>
      <c r="AY20" s="1"/>
      <c r="AZ20" s="1"/>
      <c r="BA20" s="1"/>
      <c r="BB20" s="1"/>
      <c r="BC20" s="1"/>
      <c r="BD20" s="1"/>
      <c r="BE20" s="1"/>
      <c r="BF20" s="1"/>
      <c r="BG20" s="1"/>
      <c r="BH20" s="1"/>
      <c r="BI20" s="1"/>
      <c r="BJ20" s="1"/>
      <c r="BK20" s="1"/>
      <c r="BL20" s="1"/>
      <c r="BM20" s="1"/>
      <c r="BN20" s="1"/>
    </row>
    <row r="21" spans="1:66" x14ac:dyDescent="0.3">
      <c r="A21" s="1"/>
      <c r="B21" s="33">
        <v>10</v>
      </c>
      <c r="C21" s="129">
        <f>'[88]2. Distributional by deciles o'!B55</f>
        <v>34343937490.299545</v>
      </c>
      <c r="D21" s="129">
        <f>'[88]2. Distributional by deciles o'!C55</f>
        <v>35348260352.659164</v>
      </c>
      <c r="E21" s="129">
        <f>'[88]2. Distributional by deciles o'!D55</f>
        <v>36592363106.240417</v>
      </c>
      <c r="F21" s="129">
        <f>'[88]2. Distributional by deciles o'!E55</f>
        <v>38202804755.36161</v>
      </c>
      <c r="G21" s="129">
        <f>'[88]2. Distributional by deciles o'!F55</f>
        <v>41161534219.125603</v>
      </c>
      <c r="H21" s="129">
        <f>'[88]2. Distributional by deciles o'!H55</f>
        <v>42858308239.780762</v>
      </c>
      <c r="I21" s="129">
        <f>'[88]2. Distributional by deciles o'!I55</f>
        <v>39862590106.339172</v>
      </c>
      <c r="J21" s="129">
        <f>'[88]2. Distributional by deciles o'!J55</f>
        <v>39123365904.932426</v>
      </c>
      <c r="K21" s="129">
        <f>'[88]2. Distributional by deciles o'!K55</f>
        <v>38823718036.028381</v>
      </c>
      <c r="L21" s="139"/>
      <c r="M21" s="139"/>
      <c r="N21" s="139"/>
      <c r="O21" s="139"/>
      <c r="P21" s="129">
        <f>'[88]2. Distributional by deciles o'!B73</f>
        <v>133860102417.21977</v>
      </c>
      <c r="Q21" s="129">
        <f>'[88]2. Distributional by deciles o'!C73</f>
        <v>139360105205.48285</v>
      </c>
      <c r="R21" s="129">
        <f>'[88]2. Distributional by deciles o'!D73</f>
        <v>142461511974.58563</v>
      </c>
      <c r="S21" s="129">
        <f>'[88]2. Distributional by deciles o'!E73</f>
        <v>147449386527.43811</v>
      </c>
      <c r="T21" s="129">
        <f>'[88]2. Distributional by deciles o'!F73</f>
        <v>155899102415.40546</v>
      </c>
      <c r="U21" s="209">
        <f t="shared" si="0"/>
        <v>0.1646420374720301</v>
      </c>
      <c r="V21" s="139"/>
      <c r="W21" s="209"/>
      <c r="X21" s="132"/>
      <c r="Y21" s="132"/>
      <c r="Z21" s="132"/>
      <c r="AA21" s="132"/>
      <c r="AB21" s="132"/>
      <c r="AC21" s="132"/>
      <c r="AD21" s="132"/>
      <c r="AE21" s="139"/>
      <c r="AF21" s="139"/>
      <c r="AG21" s="139"/>
      <c r="AH21" s="139"/>
      <c r="AI21" s="139"/>
      <c r="AJ21" s="139"/>
      <c r="AK21" s="408">
        <f>'[88]2. Distributional by deciles o'!L55</f>
        <v>42999177051.661148</v>
      </c>
      <c r="AL21" s="1"/>
      <c r="AM21" s="32" cm="1">
        <f t="array" aca="1" ref="AM21" ca="1">INDIRECT("'1"&amp;$C$8&amp;"'!W21")</f>
        <v>1.6159404328764455</v>
      </c>
      <c r="AN21" s="524">
        <f t="shared" ca="1" si="1"/>
        <v>43481201313.265068</v>
      </c>
      <c r="AO21" s="524">
        <f t="shared" ca="1" si="2"/>
        <v>42772687202.844101</v>
      </c>
      <c r="AP21" s="524">
        <f t="shared" ca="1" si="3"/>
        <v>46256089174.002884</v>
      </c>
      <c r="AQ21" s="525">
        <f t="shared" si="4"/>
        <v>0.1646420374720301</v>
      </c>
      <c r="AR21" s="527">
        <f>U21+AP31</f>
        <v>0.21464203747203009</v>
      </c>
      <c r="AS21" s="41">
        <f t="shared" si="6"/>
        <v>0.2721805169336623</v>
      </c>
      <c r="AT21" s="1"/>
      <c r="AU21" s="1"/>
      <c r="AV21" s="1"/>
      <c r="AW21" s="1"/>
      <c r="AX21" s="1"/>
      <c r="AY21" s="1"/>
      <c r="AZ21" s="1"/>
      <c r="BA21" s="1"/>
      <c r="BB21" s="1"/>
      <c r="BC21" s="1"/>
      <c r="BD21" s="1"/>
      <c r="BE21" s="1"/>
      <c r="BF21" s="1"/>
      <c r="BG21" s="1"/>
      <c r="BH21" s="1"/>
      <c r="BI21" s="1"/>
      <c r="BJ21" s="1"/>
      <c r="BK21" s="1"/>
      <c r="BL21" s="1"/>
      <c r="BM21" s="1"/>
      <c r="BN21" s="1"/>
    </row>
    <row r="22" spans="1:66" ht="13.35" customHeight="1" x14ac:dyDescent="0.3">
      <c r="A22" s="1"/>
      <c r="B22" s="34" t="s">
        <v>114</v>
      </c>
      <c r="C22" s="129">
        <f>'[88]2. Distributional by deciles o'!B56</f>
        <v>69748979347.565369</v>
      </c>
      <c r="D22" s="129">
        <f>'[88]2. Distributional by deciles o'!C56</f>
        <v>72700735380.172913</v>
      </c>
      <c r="E22" s="129">
        <f>'[88]2. Distributional by deciles o'!D56</f>
        <v>73808108169.568817</v>
      </c>
      <c r="F22" s="129">
        <f>'[88]2. Distributional by deciles o'!E56</f>
        <v>77744423718.368759</v>
      </c>
      <c r="G22" s="129">
        <f>'[88]2. Distributional by deciles o'!F56</f>
        <v>81987148248.213913</v>
      </c>
      <c r="H22" s="129">
        <f>'[88]2. Distributional by deciles o'!H56</f>
        <v>92426312298.994629</v>
      </c>
      <c r="I22" s="129">
        <f>'[88]2. Distributional by deciles o'!I56</f>
        <v>80228720854.247986</v>
      </c>
      <c r="J22" s="129">
        <f>'[88]2. Distributional by deciles o'!J56</f>
        <v>77386329263.392792</v>
      </c>
      <c r="K22" s="129">
        <f>'[88]2. Distributional by deciles o'!K56</f>
        <v>76250715281.222382</v>
      </c>
      <c r="L22" s="139"/>
      <c r="M22" s="139"/>
      <c r="N22" s="139"/>
      <c r="O22" s="139"/>
      <c r="P22" s="129">
        <f>'[88]2. Distributional by deciles o'!B74</f>
        <v>491806334726.90869</v>
      </c>
      <c r="Q22" s="129">
        <f>'[88]2. Distributional by deciles o'!C74</f>
        <v>511099734883.00146</v>
      </c>
      <c r="R22" s="129">
        <f>'[88]2. Distributional by deciles o'!D74</f>
        <v>520688468687.13489</v>
      </c>
      <c r="S22" s="129">
        <f>'[88]2. Distributional by deciles o'!E74</f>
        <v>537709083208.2702</v>
      </c>
      <c r="T22" s="129">
        <f>'[88]2. Distributional by deciles o'!F74</f>
        <v>566499668484.8147</v>
      </c>
      <c r="U22" s="210">
        <f t="shared" si="0"/>
        <v>0.1518755015617721</v>
      </c>
      <c r="V22" s="139"/>
      <c r="W22" s="210"/>
      <c r="X22" s="154"/>
      <c r="Y22" s="154"/>
      <c r="Z22" s="154"/>
      <c r="AA22" s="154"/>
      <c r="AB22" s="154"/>
      <c r="AC22" s="154"/>
      <c r="AD22" s="154"/>
      <c r="AE22" s="161"/>
      <c r="AF22" s="161"/>
      <c r="AG22" s="161"/>
      <c r="AH22" s="161"/>
      <c r="AI22" s="162"/>
      <c r="AJ22" s="162"/>
      <c r="AK22" s="408">
        <f>'[88]2. Distributional by deciles o'!L56</f>
        <v>91772282835.984848</v>
      </c>
      <c r="AL22" s="1"/>
      <c r="AM22" s="534" cm="1">
        <f t="array" aca="1" ref="AM22" ca="1">INDIRECT("'1"&amp;$C$8&amp;"'!W22")</f>
        <v>2.1811011429483584</v>
      </c>
      <c r="AN22" s="528">
        <f ca="1">SUM(AN12:AN21)</f>
        <v>93172553846.42514</v>
      </c>
      <c r="AO22" s="528">
        <f ca="1">SUM(AO12:AO21)</f>
        <v>92851082161.930603</v>
      </c>
      <c r="AP22" s="528">
        <f ca="1">SUM(AP12:AP21)</f>
        <v>93503398553.809631</v>
      </c>
      <c r="AQ22" s="529">
        <f>SUMPRODUCT(AQ12:AQ21,AS12:AS21)</f>
        <v>0.15187550156175872</v>
      </c>
      <c r="AR22" s="529">
        <f>SUMPRODUCT(AR12:AR21,AS12:AS21)</f>
        <v>0.15187550156175872</v>
      </c>
      <c r="AS22" s="530"/>
      <c r="AT22" s="1"/>
      <c r="AU22" s="1"/>
      <c r="AV22" s="1"/>
      <c r="AW22" s="1"/>
      <c r="AX22" s="1"/>
      <c r="AY22" s="1"/>
      <c r="AZ22" s="1"/>
      <c r="BA22" s="1"/>
      <c r="BB22" s="1"/>
      <c r="BC22" s="1"/>
      <c r="BD22" s="1"/>
      <c r="BE22" s="1"/>
      <c r="BF22" s="1"/>
      <c r="BG22" s="1"/>
      <c r="BH22" s="1"/>
      <c r="BI22" s="1"/>
      <c r="BJ22" s="1"/>
      <c r="BK22" s="1"/>
      <c r="BL22" s="1"/>
      <c r="BM22" s="1"/>
      <c r="BN22" s="1"/>
    </row>
    <row r="23" spans="1:66" ht="12.6" customHeight="1" x14ac:dyDescent="0.3">
      <c r="A23" s="1"/>
      <c r="B23" s="1"/>
      <c r="C23" s="1"/>
      <c r="D23" s="1"/>
      <c r="E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531"/>
      <c r="AO23" s="531"/>
      <c r="AP23" s="1"/>
      <c r="AQ23" s="1"/>
      <c r="AR23" s="525">
        <f>U22</f>
        <v>0.1518755015617721</v>
      </c>
      <c r="AS23" s="1"/>
      <c r="AT23" s="1"/>
      <c r="AU23" s="1"/>
      <c r="AV23" s="1"/>
      <c r="AW23" s="1"/>
      <c r="AX23" s="1"/>
      <c r="AY23" s="1"/>
      <c r="AZ23" s="1"/>
      <c r="BA23" s="1"/>
      <c r="BB23" s="1"/>
      <c r="BC23" s="1"/>
      <c r="BD23" s="1"/>
      <c r="BE23" s="1"/>
      <c r="BF23" s="1"/>
      <c r="BG23" s="1"/>
      <c r="BH23" s="1"/>
      <c r="BI23" s="1"/>
      <c r="BJ23" s="1"/>
      <c r="BK23" s="1"/>
      <c r="BL23" s="1"/>
      <c r="BM23" s="1"/>
      <c r="BN23" s="1"/>
    </row>
    <row r="24" spans="1:66" ht="14.1" customHeight="1" x14ac:dyDescent="0.3">
      <c r="A24" s="1"/>
      <c r="B24" s="1"/>
      <c r="C24" s="1"/>
      <c r="D24" s="1"/>
      <c r="E24" s="1"/>
      <c r="F24" s="1"/>
      <c r="G24" s="11" t="s">
        <v>151</v>
      </c>
      <c r="H24" s="212">
        <f>U22</f>
        <v>0.1518755015617721</v>
      </c>
      <c r="I24" s="1"/>
      <c r="J24" s="1"/>
      <c r="K24" s="11" t="s">
        <v>151</v>
      </c>
      <c r="L24" s="212"/>
      <c r="M24" s="1"/>
      <c r="O24" s="1"/>
      <c r="P24" s="1"/>
      <c r="Q24" s="1"/>
      <c r="R24" s="1"/>
      <c r="S24" s="1"/>
      <c r="T24" s="1"/>
      <c r="U24" s="1"/>
      <c r="V24" s="1"/>
      <c r="W24" s="1"/>
      <c r="X24" s="1"/>
      <c r="Y24" s="55"/>
      <c r="Z24" s="55"/>
      <c r="AA24" s="55"/>
      <c r="AB24" s="55"/>
      <c r="AC24" s="55"/>
      <c r="AD24" s="55"/>
      <c r="AE24" s="55"/>
      <c r="AF24" s="55"/>
      <c r="AG24" s="55"/>
      <c r="AH24" s="1"/>
      <c r="AI24" s="1"/>
      <c r="AJ24" s="1"/>
      <c r="AK24" s="1"/>
      <c r="AL24" s="1"/>
      <c r="AM24" s="1"/>
      <c r="AN24" s="531">
        <f ca="1">AN22/G22-1</f>
        <v>0.13642876764474976</v>
      </c>
      <c r="AO24" s="531"/>
      <c r="AP24" s="1"/>
      <c r="AQ24" s="1"/>
      <c r="AR24" s="532" t="str">
        <f>IF(AR23-AR22&lt;0.0000000001,"ok","wrong")</f>
        <v>ok</v>
      </c>
      <c r="AS24" s="1"/>
      <c r="AT24" s="1"/>
      <c r="AU24" s="1"/>
      <c r="AV24" s="1"/>
      <c r="AW24" s="1"/>
      <c r="AX24" s="1"/>
      <c r="AY24" s="1"/>
      <c r="AZ24" s="1"/>
      <c r="BA24" s="1"/>
      <c r="BB24" s="1"/>
      <c r="BC24" s="1"/>
      <c r="BD24" s="1"/>
      <c r="BE24" s="1"/>
      <c r="BF24" s="1"/>
      <c r="BG24" s="1"/>
      <c r="BH24" s="1"/>
      <c r="BI24" s="1"/>
      <c r="BJ24" s="1"/>
      <c r="BK24" s="1"/>
      <c r="BL24" s="1"/>
      <c r="BM24" s="1"/>
      <c r="BN24" s="1"/>
    </row>
    <row r="25" spans="1:66" ht="14.1" customHeight="1" x14ac:dyDescent="0.3">
      <c r="A25" s="1"/>
      <c r="B25" s="1"/>
      <c r="C25" s="1"/>
      <c r="D25" s="1"/>
      <c r="E25" s="1"/>
      <c r="F25" s="1"/>
      <c r="G25" s="11" t="s">
        <v>152</v>
      </c>
      <c r="H25" s="213">
        <v>0.1918</v>
      </c>
      <c r="I25" s="1"/>
      <c r="J25" s="1"/>
      <c r="K25" s="11" t="s">
        <v>152</v>
      </c>
      <c r="L25" s="139"/>
      <c r="M25" s="1"/>
      <c r="N25" s="1"/>
      <c r="O25" s="1"/>
      <c r="P25" s="1"/>
      <c r="Q25" s="1"/>
      <c r="R25" s="1"/>
      <c r="S25" s="1"/>
      <c r="T25" s="1"/>
      <c r="U25" s="1"/>
      <c r="V25" s="1"/>
      <c r="W25" s="1"/>
      <c r="X25" s="1"/>
      <c r="Y25" s="55"/>
      <c r="Z25" s="55"/>
      <c r="AA25" s="55"/>
      <c r="AB25" s="55"/>
      <c r="AC25" s="55"/>
      <c r="AD25" s="55"/>
      <c r="AE25" s="55"/>
      <c r="AF25" s="55"/>
      <c r="AG25" s="55"/>
      <c r="AH25" s="1"/>
      <c r="AI25" s="1"/>
      <c r="AJ25" s="1"/>
      <c r="AK25" s="1"/>
      <c r="AL25" s="1"/>
      <c r="AM25" s="1"/>
      <c r="AN25" s="1"/>
      <c r="AO25" s="531"/>
      <c r="AP25" s="1"/>
      <c r="AQ25" s="1"/>
      <c r="AR25" s="532" t="str">
        <f>IF(AQ22-AR22&lt;0.0000000001,"ok","wrong")</f>
        <v>ok</v>
      </c>
      <c r="AS25" s="1"/>
      <c r="AT25" s="1"/>
      <c r="AU25" s="1"/>
      <c r="AV25" s="1"/>
      <c r="AW25" s="1"/>
      <c r="AX25" s="1"/>
      <c r="AY25" s="1"/>
      <c r="AZ25" s="1"/>
      <c r="BA25" s="1"/>
      <c r="BB25" s="1"/>
      <c r="BC25" s="1"/>
      <c r="BD25" s="1"/>
      <c r="BE25" s="1"/>
      <c r="BF25" s="1"/>
      <c r="BG25" s="1"/>
      <c r="BH25" s="1"/>
      <c r="BI25" s="1"/>
      <c r="BJ25" s="1"/>
      <c r="BK25" s="1"/>
      <c r="BL25" s="1"/>
      <c r="BM25" s="1"/>
      <c r="BN25" s="1"/>
    </row>
    <row r="26" spans="1:66" ht="14.1" customHeight="1" x14ac:dyDescent="0.3">
      <c r="A26" s="1"/>
      <c r="B26" s="1"/>
      <c r="C26" s="1"/>
      <c r="D26" s="1"/>
      <c r="E26" s="1"/>
      <c r="F26" s="1"/>
      <c r="G26" s="11" t="s">
        <v>153</v>
      </c>
      <c r="H26" s="213">
        <v>0.20830000000000001</v>
      </c>
      <c r="I26" s="1"/>
      <c r="J26" s="1"/>
      <c r="K26" s="11" t="s">
        <v>153</v>
      </c>
      <c r="L26" s="139"/>
      <c r="M26" s="1"/>
      <c r="N26" s="1"/>
      <c r="O26" s="1"/>
      <c r="P26" s="1"/>
      <c r="Q26" s="1"/>
      <c r="R26" s="1"/>
      <c r="S26" s="1"/>
      <c r="T26" s="1"/>
      <c r="U26" s="1"/>
      <c r="V26" s="1"/>
      <c r="W26" s="1"/>
      <c r="X26" s="1"/>
      <c r="Y26" s="55"/>
      <c r="Z26" s="55"/>
      <c r="AA26" s="55"/>
      <c r="AB26" s="55"/>
      <c r="AC26" s="55"/>
      <c r="AD26" s="55"/>
      <c r="AE26" s="55"/>
      <c r="AF26" s="55"/>
      <c r="AG26" s="55"/>
      <c r="AH26" s="1"/>
      <c r="AI26" s="1"/>
      <c r="AJ26" s="1"/>
      <c r="AK26" s="1"/>
      <c r="AL26" s="1"/>
      <c r="AM26" s="8" t="s">
        <v>571</v>
      </c>
      <c r="AN26" s="533"/>
      <c r="AO26" s="535">
        <f ca="1">AO22/$AN22-1</f>
        <v>-3.4502830632335835E-3</v>
      </c>
      <c r="AP26" s="536">
        <f ca="1">AP22/$AN22-1</f>
        <v>3.5508816032865376E-3</v>
      </c>
      <c r="AQ26" s="1"/>
      <c r="AR26" s="1"/>
      <c r="AS26" s="1"/>
      <c r="AT26" s="1"/>
      <c r="AU26" s="1"/>
      <c r="AV26" s="1"/>
      <c r="AW26" s="1"/>
      <c r="AX26" s="1"/>
      <c r="AY26" s="1"/>
      <c r="AZ26" s="1"/>
      <c r="BA26" s="1"/>
      <c r="BB26" s="1"/>
      <c r="BC26" s="1"/>
      <c r="BD26" s="1"/>
      <c r="BE26" s="1"/>
      <c r="BF26" s="1"/>
      <c r="BG26" s="1"/>
      <c r="BH26" s="1"/>
      <c r="BI26" s="1"/>
      <c r="BJ26" s="1"/>
      <c r="BK26" s="1"/>
      <c r="BL26" s="1"/>
      <c r="BM26" s="1"/>
      <c r="BN26" s="1"/>
    </row>
    <row r="27" spans="1:66" ht="9" customHeight="1" x14ac:dyDescent="0.3">
      <c r="A27" s="1"/>
      <c r="B27" s="1"/>
      <c r="C27" s="1"/>
      <c r="D27" s="1"/>
      <c r="E27" s="1"/>
      <c r="F27" s="1"/>
      <c r="G27" s="1"/>
      <c r="H27" s="1"/>
      <c r="I27" s="1"/>
      <c r="J27" s="1"/>
      <c r="K27" s="1"/>
      <c r="L27" s="1"/>
      <c r="M27" s="1"/>
      <c r="N27" s="1"/>
      <c r="O27" s="1"/>
      <c r="P27" s="1"/>
      <c r="Q27" s="1"/>
      <c r="R27" s="1"/>
      <c r="S27" s="1"/>
      <c r="T27" s="55"/>
      <c r="U27" s="55"/>
      <c r="V27" s="55"/>
      <c r="W27" s="55"/>
      <c r="X27" s="55"/>
      <c r="Y27" s="55"/>
      <c r="Z27" s="55"/>
      <c r="AA27" s="55"/>
      <c r="AB27" s="55"/>
      <c r="AC27" s="55"/>
      <c r="AD27" s="55"/>
      <c r="AE27" s="55"/>
      <c r="AF27" s="55"/>
      <c r="AG27" s="55"/>
      <c r="AH27" s="1"/>
      <c r="AI27" s="1"/>
      <c r="AJ27" s="1"/>
      <c r="AK27" s="1"/>
      <c r="AL27" s="1"/>
      <c r="AM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row>
    <row r="28" spans="1:66" ht="12" customHeight="1" thickBot="1" x14ac:dyDescent="0.35">
      <c r="A28" s="214"/>
      <c r="B28" s="214"/>
      <c r="C28" s="214"/>
      <c r="D28" s="214"/>
      <c r="E28" s="214"/>
      <c r="F28" s="214"/>
      <c r="G28" s="214"/>
      <c r="H28" s="214"/>
      <c r="I28" s="214"/>
      <c r="J28" s="214"/>
      <c r="K28" s="214"/>
      <c r="L28" s="214"/>
      <c r="M28" s="214"/>
      <c r="N28" s="214"/>
      <c r="O28" s="214"/>
      <c r="P28" s="214"/>
      <c r="Q28" s="214"/>
      <c r="R28" s="214"/>
      <c r="S28" s="214"/>
      <c r="T28" s="215"/>
      <c r="U28" s="215"/>
      <c r="V28" s="215"/>
      <c r="W28" s="215"/>
      <c r="X28" s="215"/>
      <c r="Y28" s="215"/>
      <c r="Z28" s="215"/>
      <c r="AA28" s="214"/>
      <c r="AB28" s="214"/>
      <c r="AC28" s="214"/>
      <c r="AD28" s="214"/>
      <c r="AE28" s="214"/>
      <c r="AF28" s="214"/>
      <c r="AG28" s="214"/>
      <c r="AH28" s="214"/>
      <c r="AI28" s="214"/>
      <c r="AJ28" s="1"/>
      <c r="AK28" s="1"/>
      <c r="AL28" s="1"/>
      <c r="AM28" s="8" t="s">
        <v>572</v>
      </c>
      <c r="AN28" s="8"/>
      <c r="AO28" s="535">
        <f ca="1">(AO22-$AN22)/($W$37*1000000)</f>
        <v>-1.9082820724489302E-2</v>
      </c>
      <c r="AP28" s="536">
        <f ca="1">(AP22-$AN22)/($W$37*1000000)</f>
        <v>1.9639210988648195E-2</v>
      </c>
      <c r="AQ28" s="1"/>
      <c r="AR28" s="1"/>
      <c r="AS28" s="1"/>
      <c r="AT28" s="1"/>
      <c r="AU28" s="1"/>
      <c r="AV28" s="1"/>
      <c r="AW28" s="1"/>
      <c r="AX28" s="1"/>
      <c r="AY28" s="1"/>
      <c r="AZ28" s="1"/>
      <c r="BA28" s="1"/>
      <c r="BB28" s="1"/>
      <c r="BC28" s="1"/>
      <c r="BD28" s="1"/>
      <c r="BE28" s="1"/>
      <c r="BF28" s="1"/>
      <c r="BG28" s="1"/>
      <c r="BH28" s="1"/>
      <c r="BI28" s="1"/>
      <c r="BJ28" s="1"/>
      <c r="BK28" s="1"/>
      <c r="BL28" s="1"/>
      <c r="BM28" s="1"/>
      <c r="BN28" s="1"/>
    </row>
    <row r="29" spans="1:66" ht="12" customHeight="1" thickBot="1" x14ac:dyDescent="0.35">
      <c r="A29" s="214"/>
      <c r="B29" s="216" t="s">
        <v>154</v>
      </c>
      <c r="C29" s="217"/>
      <c r="D29" s="217"/>
      <c r="E29" s="217"/>
      <c r="F29" s="217"/>
      <c r="G29" s="217"/>
      <c r="H29" s="217"/>
      <c r="I29" s="217"/>
      <c r="J29" s="217"/>
      <c r="K29" s="217"/>
      <c r="L29" s="217"/>
      <c r="M29" s="217"/>
      <c r="N29" s="217"/>
      <c r="O29" s="217"/>
      <c r="P29" s="217"/>
      <c r="Q29" s="217"/>
      <c r="R29" s="217"/>
      <c r="S29" s="217"/>
      <c r="T29" s="218"/>
      <c r="U29" s="218"/>
      <c r="V29" s="219"/>
      <c r="W29" s="215"/>
      <c r="X29" s="215"/>
      <c r="Y29" s="215"/>
      <c r="Z29" s="215"/>
      <c r="AA29" s="214"/>
      <c r="AB29" s="214"/>
      <c r="AC29" s="214"/>
      <c r="AD29" s="214"/>
      <c r="AE29" s="214"/>
      <c r="AF29" s="214"/>
      <c r="AG29" s="214"/>
      <c r="AH29" s="214"/>
      <c r="AI29" s="214"/>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row>
    <row r="30" spans="1:66" ht="21.6" customHeight="1" thickBot="1" x14ac:dyDescent="0.35">
      <c r="A30" s="214"/>
      <c r="B30" s="220"/>
      <c r="C30" s="214"/>
      <c r="D30" s="214"/>
      <c r="E30" s="214"/>
      <c r="F30" s="214"/>
      <c r="G30" s="214"/>
      <c r="H30" s="214"/>
      <c r="I30" s="214"/>
      <c r="J30" s="214"/>
      <c r="K30" s="214"/>
      <c r="L30" s="214"/>
      <c r="M30" s="214"/>
      <c r="N30" s="214"/>
      <c r="O30" s="214"/>
      <c r="P30" s="214"/>
      <c r="Q30" s="214"/>
      <c r="R30" s="214"/>
      <c r="S30" s="214"/>
      <c r="T30" s="214"/>
      <c r="U30" s="214"/>
      <c r="V30" s="214"/>
      <c r="W30" s="214"/>
      <c r="X30" s="214"/>
      <c r="Y30" s="214"/>
      <c r="Z30" s="214"/>
      <c r="AA30" s="214"/>
      <c r="AB30" s="214"/>
      <c r="AC30" s="216" t="s">
        <v>158</v>
      </c>
      <c r="AD30" s="221"/>
      <c r="AE30" s="214"/>
      <c r="AF30" s="214"/>
      <c r="AG30" s="214"/>
      <c r="AH30" s="214"/>
      <c r="AI30" s="214"/>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row>
    <row r="31" spans="1:66" ht="21" customHeight="1" thickBot="1" x14ac:dyDescent="0.35">
      <c r="A31" s="214"/>
      <c r="B31" s="216" t="s">
        <v>159</v>
      </c>
      <c r="C31" s="221"/>
      <c r="D31" s="223"/>
      <c r="E31" s="222" t="s">
        <v>160</v>
      </c>
      <c r="F31" s="222" t="s">
        <v>160</v>
      </c>
      <c r="G31" s="223"/>
      <c r="H31" s="224" t="s">
        <v>161</v>
      </c>
      <c r="I31" s="222"/>
      <c r="J31" s="222"/>
      <c r="K31" s="222"/>
      <c r="L31" s="222"/>
      <c r="M31" s="223"/>
      <c r="N31" s="216" t="s">
        <v>162</v>
      </c>
      <c r="O31" s="221"/>
      <c r="P31" s="222" t="s">
        <v>163</v>
      </c>
      <c r="Q31" s="222"/>
      <c r="R31" s="222"/>
      <c r="S31" s="223"/>
      <c r="T31" s="224" t="s">
        <v>164</v>
      </c>
      <c r="U31" s="222"/>
      <c r="V31" s="222"/>
      <c r="W31" s="223"/>
      <c r="X31" s="225" t="s">
        <v>165</v>
      </c>
      <c r="Y31" s="222"/>
      <c r="Z31" s="222"/>
      <c r="AA31" s="223"/>
      <c r="AB31" s="214"/>
      <c r="AC31" s="347" t="s">
        <v>163</v>
      </c>
      <c r="AD31" s="348"/>
      <c r="AE31" s="223"/>
      <c r="AF31" s="224" t="s">
        <v>164</v>
      </c>
      <c r="AG31" s="222"/>
      <c r="AH31" s="223"/>
      <c r="AI31" s="214"/>
      <c r="AJ31" s="1"/>
      <c r="AK31" s="1"/>
      <c r="AL31" s="1"/>
      <c r="AM31" s="1"/>
      <c r="AN31" s="1"/>
      <c r="AO31" s="8" t="s">
        <v>567</v>
      </c>
      <c r="AP31" s="10">
        <v>0.05</v>
      </c>
      <c r="AQ31" s="1"/>
      <c r="AR31" s="1"/>
      <c r="AS31" s="1"/>
      <c r="AT31" s="1"/>
      <c r="AU31" s="1"/>
      <c r="AV31" s="1"/>
      <c r="AW31" s="1"/>
      <c r="AX31" s="1"/>
      <c r="AY31" s="1"/>
      <c r="AZ31" s="1"/>
      <c r="BA31" s="1"/>
      <c r="BB31" s="1"/>
      <c r="BC31" s="1"/>
      <c r="BD31" s="1"/>
      <c r="BE31" s="1"/>
      <c r="BF31" s="1"/>
      <c r="BG31" s="1"/>
      <c r="BH31" s="1"/>
      <c r="BI31" s="1"/>
      <c r="BJ31" s="1"/>
      <c r="BK31" s="1"/>
      <c r="BL31" s="1"/>
      <c r="BM31" s="1"/>
      <c r="BN31" s="1"/>
    </row>
    <row r="32" spans="1:66" ht="51" customHeight="1" x14ac:dyDescent="0.3">
      <c r="A32" s="214"/>
      <c r="B32" s="226"/>
      <c r="C32" s="227" t="s">
        <v>166</v>
      </c>
      <c r="D32" s="228" t="s">
        <v>167</v>
      </c>
      <c r="E32" s="228" t="s">
        <v>168</v>
      </c>
      <c r="F32" s="410" t="s">
        <v>169</v>
      </c>
      <c r="G32" s="228" t="s">
        <v>170</v>
      </c>
      <c r="H32" s="228" t="s">
        <v>171</v>
      </c>
      <c r="I32" s="229" t="s">
        <v>172</v>
      </c>
      <c r="J32" s="229" t="s">
        <v>173</v>
      </c>
      <c r="K32" s="230" t="s">
        <v>174</v>
      </c>
      <c r="L32" s="229" t="s">
        <v>175</v>
      </c>
      <c r="M32" s="411" t="s">
        <v>176</v>
      </c>
      <c r="N32" s="227"/>
      <c r="O32" s="227" t="s">
        <v>177</v>
      </c>
      <c r="P32" s="231" t="s">
        <v>178</v>
      </c>
      <c r="Q32" s="231" t="s">
        <v>179</v>
      </c>
      <c r="R32" s="231" t="s">
        <v>180</v>
      </c>
      <c r="S32" s="231" t="s">
        <v>181</v>
      </c>
      <c r="T32" s="231" t="s">
        <v>182</v>
      </c>
      <c r="U32" s="231" t="s">
        <v>183</v>
      </c>
      <c r="V32" s="231" t="s">
        <v>184</v>
      </c>
      <c r="W32" s="231" t="s">
        <v>185</v>
      </c>
      <c r="X32" s="231" t="s">
        <v>186</v>
      </c>
      <c r="Y32" s="231" t="s">
        <v>187</v>
      </c>
      <c r="Z32" s="231" t="s">
        <v>188</v>
      </c>
      <c r="AA32" s="231" t="s">
        <v>189</v>
      </c>
      <c r="AB32" s="214"/>
      <c r="AC32" s="231" t="s">
        <v>178</v>
      </c>
      <c r="AD32" s="231" t="s">
        <v>179</v>
      </c>
      <c r="AE32" s="231" t="s">
        <v>180</v>
      </c>
      <c r="AF32" s="231" t="s">
        <v>182</v>
      </c>
      <c r="AG32" s="231" t="s">
        <v>183</v>
      </c>
      <c r="AH32" s="231" t="s">
        <v>184</v>
      </c>
      <c r="AI32" s="214"/>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row>
    <row r="33" spans="1:66" ht="15.6" customHeight="1" x14ac:dyDescent="0.3">
      <c r="A33" s="214"/>
      <c r="B33" s="232">
        <v>2019</v>
      </c>
      <c r="C33" s="233">
        <f>C22</f>
        <v>69748979347.565369</v>
      </c>
      <c r="D33" s="146">
        <f>'[89]Sheet 1'!$P$32</f>
        <v>829767</v>
      </c>
      <c r="E33" s="259">
        <f>(F33/1000000/D33)*100</f>
        <v>8.4632649999999998</v>
      </c>
      <c r="F33" s="146">
        <f>[90]Hoja1!$K$24/100*D33*10^6</f>
        <v>70225380092.550003</v>
      </c>
      <c r="G33" s="234">
        <f>F33/C33</f>
        <v>1.0068302181543143</v>
      </c>
      <c r="H33" s="235">
        <f>C33*G33</f>
        <v>70225380092.550003</v>
      </c>
      <c r="I33" s="235" t="s">
        <v>113</v>
      </c>
      <c r="J33" s="235" t="s">
        <v>113</v>
      </c>
      <c r="K33" s="235" t="s">
        <v>113</v>
      </c>
      <c r="L33" s="235" t="s">
        <v>113</v>
      </c>
      <c r="M33" s="214"/>
      <c r="N33" s="232">
        <v>2019</v>
      </c>
      <c r="O33" s="236">
        <f>G33</f>
        <v>1.0068302181543143</v>
      </c>
      <c r="P33" s="237"/>
      <c r="Q33" s="237"/>
      <c r="R33" s="237"/>
      <c r="S33" s="237"/>
      <c r="T33" s="237"/>
      <c r="U33" s="237"/>
      <c r="V33" s="238"/>
      <c r="W33" s="238"/>
      <c r="X33" s="238"/>
      <c r="Y33" s="238"/>
      <c r="Z33" s="238"/>
      <c r="AA33" s="238"/>
      <c r="AB33" s="214"/>
      <c r="AC33" s="237"/>
      <c r="AD33" s="237"/>
      <c r="AE33" s="237"/>
      <c r="AF33" s="237"/>
      <c r="AG33" s="237"/>
      <c r="AH33" s="238"/>
      <c r="AI33" s="214"/>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row>
    <row r="34" spans="1:66" s="51" customFormat="1" ht="15.6" customHeight="1" x14ac:dyDescent="0.3">
      <c r="A34" s="239"/>
      <c r="B34" s="240">
        <v>2020</v>
      </c>
      <c r="C34" s="241">
        <f>D22</f>
        <v>72700735380.172913</v>
      </c>
      <c r="D34" s="146">
        <f>'[89]Sheet 1'!$R$32</f>
        <v>816463</v>
      </c>
      <c r="E34" s="259">
        <f t="shared" ref="E34:E36" si="7">(F34/1000000/D34)*100</f>
        <v>9.0722260000000006</v>
      </c>
      <c r="F34" s="146">
        <f>[90]Hoja1!$L$24/100*D34*10^6</f>
        <v>74071368566.380005</v>
      </c>
      <c r="G34" s="234">
        <f>F34/C34</f>
        <v>1.0188530855848934</v>
      </c>
      <c r="H34" s="242">
        <f>C34*G34</f>
        <v>74071368566.380005</v>
      </c>
      <c r="I34" s="243"/>
      <c r="J34" s="243"/>
      <c r="K34" s="243"/>
      <c r="L34" s="243"/>
      <c r="M34" s="214"/>
      <c r="N34" s="240">
        <v>2020</v>
      </c>
      <c r="O34" s="244"/>
      <c r="P34" s="245"/>
      <c r="Q34" s="245"/>
      <c r="R34" s="245"/>
      <c r="S34" s="245"/>
      <c r="T34" s="245"/>
      <c r="U34" s="245"/>
      <c r="V34" s="245"/>
      <c r="W34" s="245"/>
      <c r="X34" s="245"/>
      <c r="Y34" s="245"/>
      <c r="Z34" s="245"/>
      <c r="AA34" s="245"/>
      <c r="AB34" s="239"/>
      <c r="AC34" s="245"/>
      <c r="AD34" s="245"/>
      <c r="AE34" s="245"/>
      <c r="AF34" s="245"/>
      <c r="AG34" s="245"/>
      <c r="AH34" s="245"/>
      <c r="AI34" s="239"/>
      <c r="AJ34" s="47"/>
      <c r="AK34" s="47"/>
      <c r="AL34" s="47"/>
      <c r="AM34" s="47"/>
      <c r="AN34" s="47"/>
      <c r="AO34" s="47"/>
      <c r="AP34" s="47"/>
      <c r="AQ34" s="47"/>
      <c r="AR34" s="47"/>
      <c r="AS34" s="47"/>
      <c r="AT34" s="47"/>
      <c r="AU34" s="47"/>
      <c r="AV34" s="47"/>
      <c r="AW34" s="47"/>
      <c r="AX34" s="47"/>
      <c r="AY34" s="47"/>
      <c r="AZ34" s="47"/>
      <c r="BA34" s="47"/>
      <c r="BB34" s="47"/>
      <c r="BC34" s="47"/>
      <c r="BD34" s="47"/>
      <c r="BE34" s="47"/>
      <c r="BF34" s="47"/>
      <c r="BG34" s="47"/>
      <c r="BH34" s="47"/>
      <c r="BI34" s="47"/>
      <c r="BJ34" s="47"/>
      <c r="BK34" s="47"/>
      <c r="BL34" s="47"/>
      <c r="BM34" s="47"/>
      <c r="BN34" s="47"/>
    </row>
    <row r="35" spans="1:66" ht="15.6" customHeight="1" x14ac:dyDescent="0.3">
      <c r="A35" s="214"/>
      <c r="B35" s="232">
        <v>2021</v>
      </c>
      <c r="C35" s="241">
        <f>E22</f>
        <v>73808108169.568817</v>
      </c>
      <c r="D35" s="146">
        <f>'[89]Sheet 1'!$T$32</f>
        <v>891550</v>
      </c>
      <c r="E35" s="259">
        <f t="shared" si="7"/>
        <v>8.5290730000000003</v>
      </c>
      <c r="F35" s="146">
        <f>[90]Hoja1!$M$24/100*D35*10^6</f>
        <v>76040950331.5</v>
      </c>
      <c r="G35" s="234">
        <f>F35/C35</f>
        <v>1.0302519901580649</v>
      </c>
      <c r="H35" s="242">
        <f>C35*G35</f>
        <v>76040950331.5</v>
      </c>
      <c r="I35" s="243"/>
      <c r="J35" s="243"/>
      <c r="K35" s="243"/>
      <c r="L35" s="243"/>
      <c r="M35" s="214"/>
      <c r="N35" s="232">
        <v>2021</v>
      </c>
      <c r="O35" s="244"/>
      <c r="P35" s="246"/>
      <c r="Q35" s="246"/>
      <c r="R35" s="246"/>
      <c r="S35" s="246"/>
      <c r="T35" s="246"/>
      <c r="U35" s="246"/>
      <c r="V35" s="247"/>
      <c r="W35" s="247"/>
      <c r="X35" s="247"/>
      <c r="Y35" s="247"/>
      <c r="Z35" s="247"/>
      <c r="AA35" s="247"/>
      <c r="AB35" s="214"/>
      <c r="AC35" s="246"/>
      <c r="AD35" s="246"/>
      <c r="AE35" s="246"/>
      <c r="AF35" s="246"/>
      <c r="AG35" s="246"/>
      <c r="AH35" s="247"/>
      <c r="AI35" s="214"/>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row>
    <row r="36" spans="1:66" ht="15.6" customHeight="1" x14ac:dyDescent="0.3">
      <c r="A36" s="214"/>
      <c r="B36" s="240">
        <v>2022</v>
      </c>
      <c r="C36" s="248">
        <f>F22</f>
        <v>77744423718.368759</v>
      </c>
      <c r="D36" s="146">
        <f>'[89]Sheet 1'!$V$32</f>
        <v>993820</v>
      </c>
      <c r="E36" s="259">
        <f t="shared" si="7"/>
        <v>8.1742299999999997</v>
      </c>
      <c r="F36" s="146">
        <f>[90]Hoja1!$N$24/100*D36*10^6</f>
        <v>81237132586</v>
      </c>
      <c r="G36" s="234">
        <f>F36/C36</f>
        <v>1.0449255226366287</v>
      </c>
      <c r="H36" s="242">
        <f>C36*G36</f>
        <v>81237132585.999985</v>
      </c>
      <c r="I36" s="249"/>
      <c r="J36" s="249"/>
      <c r="K36" s="249"/>
      <c r="L36" s="249"/>
      <c r="M36" s="214"/>
      <c r="N36" s="240">
        <v>2022</v>
      </c>
      <c r="O36" s="250"/>
      <c r="P36" s="225"/>
      <c r="Q36" s="225"/>
      <c r="R36" s="225"/>
      <c r="S36" s="225"/>
      <c r="T36" s="225"/>
      <c r="U36" s="225"/>
      <c r="V36" s="225"/>
      <c r="W36" s="225"/>
      <c r="X36" s="225"/>
      <c r="Y36" s="225"/>
      <c r="Z36" s="225"/>
      <c r="AA36" s="225"/>
      <c r="AB36" s="214"/>
      <c r="AC36" s="225"/>
      <c r="AD36" s="225"/>
      <c r="AE36" s="225"/>
      <c r="AF36" s="225"/>
      <c r="AG36" s="225"/>
      <c r="AH36" s="225"/>
      <c r="AI36" s="214"/>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row>
    <row r="37" spans="1:66" ht="15.6" customHeight="1" x14ac:dyDescent="0.3">
      <c r="A37" s="214"/>
      <c r="B37" s="232">
        <v>2023</v>
      </c>
      <c r="C37" s="251">
        <f>G22</f>
        <v>81987148248.213913</v>
      </c>
      <c r="D37" s="146">
        <f>'[89]Sheet 1'!$X$32</f>
        <v>1067599</v>
      </c>
      <c r="E37" s="259">
        <f>(F37/1000000/D37)*100</f>
        <v>8.94</v>
      </c>
      <c r="F37" s="439">
        <f>8.94/100*D37*10^6</f>
        <v>95443350599.999985</v>
      </c>
      <c r="G37" s="234">
        <f>F37/C37</f>
        <v>1.1641257518928183</v>
      </c>
      <c r="H37" s="242">
        <f>C37*G37</f>
        <v>95443350599.999985</v>
      </c>
      <c r="I37" s="235">
        <f>H22*$G37</f>
        <v>107595850299.74756</v>
      </c>
      <c r="J37" s="235">
        <f>I22*$G37</f>
        <v>93396319987.850464</v>
      </c>
      <c r="K37" s="235">
        <f>J22*$G37</f>
        <v>90087418739.972336</v>
      </c>
      <c r="L37" s="235">
        <f>K22*$G37</f>
        <v>88765421259.11821</v>
      </c>
      <c r="M37" s="412">
        <f>AK22*$G37</f>
        <v>106834477759.36125</v>
      </c>
      <c r="N37" s="232">
        <v>2023</v>
      </c>
      <c r="O37" s="252">
        <f>G37</f>
        <v>1.1641257518928183</v>
      </c>
      <c r="P37" s="253">
        <f>($H37-J37)/1000000</f>
        <v>2047.0306121495209</v>
      </c>
      <c r="Q37" s="253">
        <f>($H37-K37)/1000000</f>
        <v>5355.9318600276492</v>
      </c>
      <c r="R37" s="253">
        <f>($H37-L37)/1000000</f>
        <v>6677.9293408817748</v>
      </c>
      <c r="S37" s="253">
        <f>AVERAGE(P37:R37)</f>
        <v>4693.6306043529812</v>
      </c>
      <c r="T37" s="253">
        <f t="shared" ref="T37:V37" si="8">($I37-J37)/1000000</f>
        <v>14199.530311897095</v>
      </c>
      <c r="U37" s="253">
        <f>($I37-K37)/1000000</f>
        <v>17508.431559775221</v>
      </c>
      <c r="V37" s="253">
        <f t="shared" si="8"/>
        <v>18830.429040629348</v>
      </c>
      <c r="W37" s="253">
        <f>AVERAGE(T37:V37)</f>
        <v>16846.130304100556</v>
      </c>
      <c r="X37" s="254">
        <f>(T37-P37)/T37</f>
        <v>0.8558381462494985</v>
      </c>
      <c r="Y37" s="254">
        <f>(U37-Q37)/U37</f>
        <v>0.69409413734508096</v>
      </c>
      <c r="Z37" s="254">
        <f>(V37-R37)/V37</f>
        <v>0.64536499266834613</v>
      </c>
      <c r="AA37" s="254">
        <f>AVERAGE(X37:Z37)</f>
        <v>0.73176575875430849</v>
      </c>
      <c r="AB37" s="214"/>
      <c r="AC37" s="351">
        <f>P37/$D37</f>
        <v>1.9174152581161287E-3</v>
      </c>
      <c r="AD37" s="351">
        <f>Q37/$D37</f>
        <v>5.0168011210460564E-3</v>
      </c>
      <c r="AE37" s="351">
        <f>R37/$D37</f>
        <v>6.2550914162356605E-3</v>
      </c>
      <c r="AF37" s="351">
        <f>T37/$D37</f>
        <v>1.3300434256586129E-2</v>
      </c>
      <c r="AG37" s="351">
        <f>U37/$D37</f>
        <v>1.6399820119516056E-2</v>
      </c>
      <c r="AH37" s="351">
        <f>V37/$D37</f>
        <v>1.7638110414705661E-2</v>
      </c>
      <c r="AI37" s="214"/>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row>
    <row r="38" spans="1:66" ht="15.6" customHeight="1" x14ac:dyDescent="0.3">
      <c r="A38" s="214"/>
      <c r="B38" s="240">
        <v>2024</v>
      </c>
      <c r="C38" s="255"/>
      <c r="D38" s="256"/>
      <c r="E38" s="256"/>
      <c r="F38" s="256"/>
      <c r="G38" s="257"/>
      <c r="H38" s="256"/>
      <c r="I38" s="249"/>
      <c r="J38" s="249"/>
      <c r="K38" s="249"/>
      <c r="L38" s="249"/>
      <c r="M38" s="214"/>
      <c r="N38" s="240">
        <v>2024</v>
      </c>
      <c r="O38" s="250"/>
      <c r="P38" s="225"/>
      <c r="Q38" s="225"/>
      <c r="R38" s="225"/>
      <c r="S38" s="225"/>
      <c r="T38" s="258"/>
      <c r="U38" s="258"/>
      <c r="V38" s="258"/>
      <c r="W38" s="258"/>
      <c r="X38" s="225"/>
      <c r="Y38" s="225"/>
      <c r="Z38" s="225"/>
      <c r="AA38" s="225"/>
      <c r="AB38" s="214"/>
      <c r="AC38" s="353"/>
      <c r="AD38" s="353"/>
      <c r="AE38" s="353"/>
      <c r="AF38" s="354"/>
      <c r="AG38" s="354"/>
      <c r="AH38" s="354"/>
      <c r="AI38" s="214"/>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row>
    <row r="39" spans="1:66" ht="15.6" customHeight="1" x14ac:dyDescent="0.3">
      <c r="A39" s="214"/>
      <c r="B39" s="232">
        <v>2025</v>
      </c>
      <c r="C39" s="255"/>
      <c r="D39" s="256"/>
      <c r="E39" s="256"/>
      <c r="F39" s="256"/>
      <c r="G39" s="257"/>
      <c r="H39" s="256"/>
      <c r="I39" s="249"/>
      <c r="J39" s="249"/>
      <c r="K39" s="249"/>
      <c r="L39" s="249"/>
      <c r="M39" s="214"/>
      <c r="N39" s="232">
        <v>2025</v>
      </c>
      <c r="O39" s="250"/>
      <c r="P39" s="225"/>
      <c r="Q39" s="225"/>
      <c r="R39" s="225"/>
      <c r="S39" s="225"/>
      <c r="T39" s="258"/>
      <c r="U39" s="258"/>
      <c r="V39" s="258"/>
      <c r="W39" s="258"/>
      <c r="X39" s="225"/>
      <c r="Y39" s="225"/>
      <c r="Z39" s="225"/>
      <c r="AA39" s="225"/>
      <c r="AB39" s="214"/>
      <c r="AC39" s="353"/>
      <c r="AD39" s="353"/>
      <c r="AE39" s="353"/>
      <c r="AF39" s="354"/>
      <c r="AG39" s="354"/>
      <c r="AH39" s="354"/>
      <c r="AI39" s="214"/>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row>
    <row r="40" spans="1:66" ht="15.6" customHeight="1" x14ac:dyDescent="0.3">
      <c r="A40" s="214"/>
      <c r="B40" s="240">
        <v>2026</v>
      </c>
      <c r="C40" s="251"/>
      <c r="D40" s="256"/>
      <c r="E40" s="256"/>
      <c r="F40" s="256"/>
      <c r="G40" s="259"/>
      <c r="H40" s="256"/>
      <c r="I40" s="235"/>
      <c r="J40" s="235"/>
      <c r="K40" s="235"/>
      <c r="L40" s="235"/>
      <c r="M40" s="214"/>
      <c r="N40" s="240">
        <v>2026</v>
      </c>
      <c r="O40" s="252"/>
      <c r="P40" s="225"/>
      <c r="Q40" s="225"/>
      <c r="R40" s="225"/>
      <c r="S40" s="225"/>
      <c r="T40" s="253"/>
      <c r="U40" s="253"/>
      <c r="V40" s="253"/>
      <c r="W40" s="253"/>
      <c r="X40" s="225"/>
      <c r="Y40" s="225"/>
      <c r="Z40" s="225"/>
      <c r="AA40" s="225"/>
      <c r="AB40" s="214"/>
      <c r="AC40" s="353"/>
      <c r="AD40" s="353"/>
      <c r="AE40" s="353"/>
      <c r="AF40" s="351"/>
      <c r="AG40" s="351"/>
      <c r="AH40" s="351"/>
      <c r="AI40" s="214"/>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row>
    <row r="41" spans="1:66" ht="12.6" customHeight="1" x14ac:dyDescent="0.3">
      <c r="A41" s="214"/>
      <c r="B41" s="214"/>
      <c r="C41" s="214"/>
      <c r="D41" s="214"/>
      <c r="E41" s="214"/>
      <c r="F41" s="214"/>
      <c r="G41" s="214"/>
      <c r="H41" s="214"/>
      <c r="I41" s="260"/>
      <c r="J41" s="214"/>
      <c r="K41" s="214"/>
      <c r="L41" s="214"/>
      <c r="M41" s="214"/>
      <c r="N41" s="214"/>
      <c r="O41" s="214"/>
      <c r="P41" s="214"/>
      <c r="Q41" s="214"/>
      <c r="R41" s="214"/>
      <c r="S41" s="214"/>
      <c r="T41" s="260"/>
      <c r="U41" s="214"/>
      <c r="V41" s="214"/>
      <c r="W41" s="214"/>
      <c r="X41" s="413" t="s">
        <v>190</v>
      </c>
      <c r="Y41" s="414"/>
      <c r="Z41" s="414"/>
      <c r="AA41" s="415"/>
      <c r="AB41" s="214"/>
      <c r="AC41" s="214"/>
      <c r="AD41" s="214"/>
      <c r="AE41" s="214"/>
      <c r="AF41" s="260"/>
      <c r="AG41" s="214"/>
      <c r="AH41" s="214"/>
      <c r="AI41" s="214"/>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row>
    <row r="42" spans="1:66" ht="12.6" customHeight="1" x14ac:dyDescent="0.3">
      <c r="A42" s="214"/>
      <c r="B42" s="214"/>
      <c r="C42" s="214"/>
      <c r="D42" s="214"/>
      <c r="E42" s="214"/>
      <c r="F42" s="214"/>
      <c r="G42" s="214"/>
      <c r="H42" s="214"/>
      <c r="I42" s="214"/>
      <c r="J42" s="214"/>
      <c r="K42" s="214"/>
      <c r="L42" s="214"/>
      <c r="M42" s="214"/>
      <c r="N42" s="214"/>
      <c r="O42" s="214"/>
      <c r="P42" s="214"/>
      <c r="Q42" s="214"/>
      <c r="R42" s="214"/>
      <c r="S42" s="214"/>
      <c r="T42" s="214"/>
      <c r="U42" s="214"/>
      <c r="V42" s="214"/>
      <c r="W42" s="416">
        <v>2023</v>
      </c>
      <c r="X42" s="417">
        <f>(($M37-$H37)/1000000)/T37</f>
        <v>0.80221858816113067</v>
      </c>
      <c r="Y42" s="417">
        <f t="shared" ref="Y42:Z42" si="9">(($M37-$H37)/1000000)/U37</f>
        <v>0.65060808676499804</v>
      </c>
      <c r="Z42" s="417">
        <f t="shared" si="9"/>
        <v>0.60493189691978233</v>
      </c>
      <c r="AA42" s="417">
        <f>AVERAGE(X42:Z42)</f>
        <v>0.68591952394863698</v>
      </c>
      <c r="AB42" s="214"/>
      <c r="AC42" s="214"/>
      <c r="AD42" s="214"/>
      <c r="AE42" s="214"/>
      <c r="AF42" s="214"/>
      <c r="AG42" s="214"/>
      <c r="AH42" s="214"/>
      <c r="AI42" s="214"/>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row>
    <row r="43" spans="1:66" ht="12.6" customHeight="1" thickBot="1" x14ac:dyDescent="0.35">
      <c r="A43" s="214"/>
      <c r="B43" s="214"/>
      <c r="C43" s="214"/>
      <c r="D43" s="214"/>
      <c r="E43" s="214"/>
      <c r="F43" s="214"/>
      <c r="G43" s="214"/>
      <c r="H43" s="214"/>
      <c r="I43" s="214"/>
      <c r="J43" s="214"/>
      <c r="K43" s="214"/>
      <c r="L43" s="214"/>
      <c r="M43" s="214"/>
      <c r="N43" s="214"/>
      <c r="O43" s="214"/>
      <c r="P43" s="214"/>
      <c r="Q43" s="214"/>
      <c r="R43" s="214"/>
      <c r="S43" s="214"/>
      <c r="T43" s="214"/>
      <c r="U43" s="214"/>
      <c r="V43" s="214"/>
      <c r="W43" s="214"/>
      <c r="X43" s="214"/>
      <c r="Y43" s="214"/>
      <c r="Z43" s="214"/>
      <c r="AA43" s="214"/>
      <c r="AB43" s="214"/>
      <c r="AC43" s="214"/>
      <c r="AD43" s="214"/>
      <c r="AE43" s="214"/>
      <c r="AF43" s="214"/>
      <c r="AG43" s="214"/>
      <c r="AH43" s="214"/>
      <c r="AI43" s="214"/>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row>
    <row r="44" spans="1:66" ht="18" customHeight="1" thickBot="1" x14ac:dyDescent="0.35">
      <c r="A44" s="214"/>
      <c r="B44" s="216" t="s">
        <v>191</v>
      </c>
      <c r="C44" s="221"/>
      <c r="D44" s="222" t="s">
        <v>160</v>
      </c>
      <c r="E44" s="223"/>
      <c r="F44" s="224" t="s">
        <v>161</v>
      </c>
      <c r="G44" s="222"/>
      <c r="H44" s="222"/>
      <c r="I44" s="222"/>
      <c r="J44" s="223"/>
      <c r="K44" s="214"/>
      <c r="L44" s="214"/>
      <c r="M44" s="214"/>
      <c r="N44" s="214"/>
      <c r="O44" s="214"/>
      <c r="P44" s="214"/>
      <c r="Q44" s="214"/>
      <c r="R44" s="214"/>
      <c r="S44" s="214"/>
      <c r="T44" s="214"/>
      <c r="U44" s="216" t="s">
        <v>192</v>
      </c>
      <c r="V44" s="221"/>
      <c r="W44" s="222" t="s">
        <v>160</v>
      </c>
      <c r="X44" s="223"/>
      <c r="Y44" s="224" t="s">
        <v>161</v>
      </c>
      <c r="Z44" s="222"/>
      <c r="AA44" s="222"/>
      <c r="AB44" s="222"/>
      <c r="AC44" s="223"/>
      <c r="AD44" s="214"/>
      <c r="AE44" s="214"/>
      <c r="AF44" s="214"/>
      <c r="AG44" s="214"/>
      <c r="AH44" s="214"/>
      <c r="AI44" s="214"/>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row>
    <row r="45" spans="1:66" ht="42" customHeight="1" x14ac:dyDescent="0.3">
      <c r="A45" s="214"/>
      <c r="B45" s="227"/>
      <c r="C45" s="231" t="s">
        <v>193</v>
      </c>
      <c r="D45" s="228" t="s">
        <v>194</v>
      </c>
      <c r="E45" s="228" t="s">
        <v>170</v>
      </c>
      <c r="F45" s="229" t="s">
        <v>195</v>
      </c>
      <c r="G45" s="229" t="s">
        <v>196</v>
      </c>
      <c r="H45" s="261" t="s">
        <v>197</v>
      </c>
      <c r="I45" s="261" t="s">
        <v>198</v>
      </c>
      <c r="J45" s="261" t="s">
        <v>199</v>
      </c>
      <c r="K45" s="411" t="s">
        <v>176</v>
      </c>
      <c r="L45" s="214"/>
      <c r="M45" s="214"/>
      <c r="N45" s="214"/>
      <c r="O45" s="214"/>
      <c r="P45" s="214"/>
      <c r="Q45" s="214"/>
      <c r="R45" s="214"/>
      <c r="S45" s="214"/>
      <c r="T45" s="214"/>
      <c r="U45" s="227"/>
      <c r="V45" s="231" t="s">
        <v>193</v>
      </c>
      <c r="W45" s="228" t="s">
        <v>194</v>
      </c>
      <c r="X45" s="228" t="s">
        <v>170</v>
      </c>
      <c r="Y45" s="229" t="s">
        <v>195</v>
      </c>
      <c r="Z45" s="229" t="s">
        <v>196</v>
      </c>
      <c r="AA45" s="261" t="s">
        <v>197</v>
      </c>
      <c r="AB45" s="261" t="s">
        <v>198</v>
      </c>
      <c r="AC45" s="261" t="s">
        <v>199</v>
      </c>
      <c r="AD45" s="214"/>
      <c r="AE45" s="214"/>
      <c r="AF45" s="214"/>
      <c r="AG45" s="214"/>
      <c r="AH45" s="214"/>
      <c r="AI45" s="214"/>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row>
    <row r="46" spans="1:66" ht="15" customHeight="1" x14ac:dyDescent="0.3">
      <c r="A46" s="214"/>
      <c r="B46" s="232">
        <v>2019</v>
      </c>
      <c r="C46" s="262">
        <f>C33/1000000</f>
        <v>69748.979347565371</v>
      </c>
      <c r="D46" s="263">
        <f>F33/1000000</f>
        <v>70225.380092549996</v>
      </c>
      <c r="E46" s="264"/>
      <c r="F46" s="262">
        <f>H33/1000000</f>
        <v>70225.380092549996</v>
      </c>
      <c r="G46" s="264"/>
      <c r="H46" s="264"/>
      <c r="I46" s="264"/>
      <c r="J46" s="264"/>
      <c r="K46" s="214"/>
      <c r="L46" s="214"/>
      <c r="M46" s="214"/>
      <c r="N46" s="214"/>
      <c r="O46" s="214"/>
      <c r="P46" s="214"/>
      <c r="Q46" s="214"/>
      <c r="R46" s="214"/>
      <c r="S46" s="214"/>
      <c r="T46" s="214"/>
      <c r="U46" s="232">
        <v>2019</v>
      </c>
      <c r="V46" s="355">
        <f>C33/1000000/D33</f>
        <v>8.4058512025141238E-2</v>
      </c>
      <c r="W46" s="355">
        <f>F33/(D33*1000000)</f>
        <v>8.4632650000000004E-2</v>
      </c>
      <c r="X46" s="264"/>
      <c r="Y46" s="355">
        <f>H33/($D33*1000000)</f>
        <v>8.4632650000000004E-2</v>
      </c>
      <c r="Z46" s="355"/>
      <c r="AA46" s="355"/>
      <c r="AB46" s="355"/>
      <c r="AC46" s="355"/>
      <c r="AD46" s="214"/>
      <c r="AE46" s="214"/>
      <c r="AF46" s="214"/>
      <c r="AG46" s="214"/>
      <c r="AH46" s="214"/>
      <c r="AI46" s="214"/>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row>
    <row r="47" spans="1:66" ht="15" customHeight="1" x14ac:dyDescent="0.3">
      <c r="A47" s="214"/>
      <c r="B47" s="240">
        <v>2020</v>
      </c>
      <c r="C47" s="262">
        <f t="shared" ref="C47:C49" si="10">C34/1000000</f>
        <v>72700.735380172919</v>
      </c>
      <c r="D47" s="263">
        <f t="shared" ref="D47:D50" si="11">F34/1000000</f>
        <v>74071.368566379999</v>
      </c>
      <c r="E47" s="264"/>
      <c r="F47" s="264"/>
      <c r="G47" s="264"/>
      <c r="H47" s="264"/>
      <c r="I47" s="264"/>
      <c r="J47" s="264"/>
      <c r="K47" s="214"/>
      <c r="L47" s="214"/>
      <c r="M47" s="214"/>
      <c r="N47" s="214"/>
      <c r="O47" s="214"/>
      <c r="P47" s="214"/>
      <c r="Q47" s="214"/>
      <c r="R47" s="214"/>
      <c r="S47" s="214"/>
      <c r="T47" s="214"/>
      <c r="U47" s="240">
        <v>2020</v>
      </c>
      <c r="V47" s="355">
        <f t="shared" ref="V47:V50" si="12">C34/1000000/D34</f>
        <v>8.9043514991093184E-2</v>
      </c>
      <c r="W47" s="355">
        <f t="shared" ref="W47:W50" si="13">F34/(D34*1000000)</f>
        <v>9.0722260000000013E-2</v>
      </c>
      <c r="X47" s="264"/>
      <c r="Y47" s="355"/>
      <c r="Z47" s="355"/>
      <c r="AA47" s="355"/>
      <c r="AB47" s="355"/>
      <c r="AC47" s="355"/>
      <c r="AD47" s="214"/>
      <c r="AE47" s="214"/>
      <c r="AF47" s="214"/>
      <c r="AG47" s="214"/>
      <c r="AH47" s="214"/>
      <c r="AI47" s="214"/>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row>
    <row r="48" spans="1:66" ht="15" customHeight="1" x14ac:dyDescent="0.3">
      <c r="A48" s="214"/>
      <c r="B48" s="232">
        <v>2021</v>
      </c>
      <c r="C48" s="262">
        <f t="shared" si="10"/>
        <v>73808.108169568819</v>
      </c>
      <c r="D48" s="263">
        <f t="shared" si="11"/>
        <v>76040.950331500004</v>
      </c>
      <c r="E48" s="264"/>
      <c r="F48" s="264"/>
      <c r="G48" s="264"/>
      <c r="H48" s="264"/>
      <c r="I48" s="264"/>
      <c r="J48" s="264"/>
      <c r="K48" s="214"/>
      <c r="L48" s="214"/>
      <c r="M48" s="214"/>
      <c r="N48" s="214"/>
      <c r="O48" s="214"/>
      <c r="P48" s="214"/>
      <c r="Q48" s="214"/>
      <c r="R48" s="214"/>
      <c r="S48" s="214"/>
      <c r="T48" s="214"/>
      <c r="U48" s="232">
        <v>2021</v>
      </c>
      <c r="V48" s="355">
        <f t="shared" si="12"/>
        <v>8.2786280264223897E-2</v>
      </c>
      <c r="W48" s="355">
        <f t="shared" si="13"/>
        <v>8.5290729999999995E-2</v>
      </c>
      <c r="X48" s="264"/>
      <c r="Y48" s="355"/>
      <c r="Z48" s="355"/>
      <c r="AA48" s="355"/>
      <c r="AB48" s="355"/>
      <c r="AC48" s="355"/>
      <c r="AD48" s="214"/>
      <c r="AE48" s="214"/>
      <c r="AF48" s="214"/>
      <c r="AG48" s="214"/>
      <c r="AH48" s="214"/>
      <c r="AI48" s="214"/>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row>
    <row r="49" spans="1:66" ht="15" customHeight="1" x14ac:dyDescent="0.3">
      <c r="A49" s="214"/>
      <c r="B49" s="240">
        <v>2022</v>
      </c>
      <c r="C49" s="262">
        <f t="shared" si="10"/>
        <v>77744.423718368766</v>
      </c>
      <c r="D49" s="263">
        <f t="shared" si="11"/>
        <v>81237.132586000007</v>
      </c>
      <c r="E49" s="264"/>
      <c r="F49" s="264"/>
      <c r="G49" s="264"/>
      <c r="H49" s="264"/>
      <c r="I49" s="264"/>
      <c r="J49" s="264"/>
      <c r="K49" s="214"/>
      <c r="L49" s="214"/>
      <c r="M49" s="214"/>
      <c r="N49" s="214"/>
      <c r="O49" s="214"/>
      <c r="P49" s="214"/>
      <c r="Q49" s="214"/>
      <c r="R49" s="214"/>
      <c r="S49" s="214"/>
      <c r="T49" s="214"/>
      <c r="U49" s="240">
        <v>2022</v>
      </c>
      <c r="V49" s="355">
        <f t="shared" si="12"/>
        <v>7.8227871967125606E-2</v>
      </c>
      <c r="W49" s="355">
        <f t="shared" si="13"/>
        <v>8.1742300000000004E-2</v>
      </c>
      <c r="X49" s="264"/>
      <c r="Y49" s="355"/>
      <c r="Z49" s="355"/>
      <c r="AA49" s="355"/>
      <c r="AB49" s="355"/>
      <c r="AC49" s="355"/>
      <c r="AD49" s="214"/>
      <c r="AE49" s="214"/>
      <c r="AF49" s="214"/>
      <c r="AG49" s="214"/>
      <c r="AH49" s="214"/>
      <c r="AI49" s="214"/>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row>
    <row r="50" spans="1:66" ht="15" customHeight="1" x14ac:dyDescent="0.3">
      <c r="A50" s="214"/>
      <c r="B50" s="232">
        <v>2023</v>
      </c>
      <c r="C50" s="262">
        <f>C37/1000000</f>
        <v>81987.148248213911</v>
      </c>
      <c r="D50" s="263">
        <f t="shared" si="11"/>
        <v>95443.350599999991</v>
      </c>
      <c r="E50" s="264"/>
      <c r="F50" s="262">
        <f t="shared" ref="F50:K50" si="14">H37/1000000</f>
        <v>95443.350599999991</v>
      </c>
      <c r="G50" s="262">
        <f>I37/1000000</f>
        <v>107595.85029974756</v>
      </c>
      <c r="H50" s="262">
        <f t="shared" si="14"/>
        <v>93396.319987850467</v>
      </c>
      <c r="I50" s="262">
        <f t="shared" si="14"/>
        <v>90087.418739972331</v>
      </c>
      <c r="J50" s="262">
        <f t="shared" si="14"/>
        <v>88765.421259118215</v>
      </c>
      <c r="K50" s="418">
        <f t="shared" si="14"/>
        <v>106834.47775936125</v>
      </c>
      <c r="L50" s="214"/>
      <c r="M50" s="214"/>
      <c r="N50" s="214"/>
      <c r="O50" s="214"/>
      <c r="P50" s="214"/>
      <c r="Q50" s="214"/>
      <c r="R50" s="214"/>
      <c r="S50" s="214"/>
      <c r="T50" s="214"/>
      <c r="U50" s="232">
        <v>2023</v>
      </c>
      <c r="V50" s="355">
        <f t="shared" si="12"/>
        <v>7.6795827130049676E-2</v>
      </c>
      <c r="W50" s="355">
        <f t="shared" si="13"/>
        <v>8.9399999999999979E-2</v>
      </c>
      <c r="X50" s="264"/>
      <c r="Y50" s="355">
        <f>H37/($D37*1000000)</f>
        <v>8.9399999999999979E-2</v>
      </c>
      <c r="Z50" s="355">
        <f t="shared" ref="Z50:AC50" si="15">I37/($D37*1000000)</f>
        <v>0.10078301899846999</v>
      </c>
      <c r="AA50" s="355">
        <f t="shared" si="15"/>
        <v>8.7482584741883862E-2</v>
      </c>
      <c r="AB50" s="355">
        <f t="shared" si="15"/>
        <v>8.438319887895393E-2</v>
      </c>
      <c r="AC50" s="355">
        <f t="shared" si="15"/>
        <v>8.3144908583764332E-2</v>
      </c>
      <c r="AD50" s="214"/>
      <c r="AE50" s="214"/>
      <c r="AF50" s="214"/>
      <c r="AG50" s="214"/>
      <c r="AH50" s="214"/>
      <c r="AI50" s="214"/>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row>
    <row r="51" spans="1:66" ht="15" customHeight="1" x14ac:dyDescent="0.3">
      <c r="A51" s="214"/>
      <c r="B51" s="240">
        <v>2024</v>
      </c>
      <c r="C51" s="264"/>
      <c r="D51" s="264"/>
      <c r="E51" s="264"/>
      <c r="F51" s="264"/>
      <c r="G51" s="264"/>
      <c r="H51" s="264"/>
      <c r="I51" s="264"/>
      <c r="J51" s="264"/>
      <c r="K51" s="214"/>
      <c r="L51" s="214"/>
      <c r="M51" s="214"/>
      <c r="N51" s="214"/>
      <c r="O51" s="214"/>
      <c r="P51" s="214"/>
      <c r="Q51" s="214"/>
      <c r="R51" s="214"/>
      <c r="S51" s="214"/>
      <c r="T51" s="214"/>
      <c r="U51" s="240">
        <v>2024</v>
      </c>
      <c r="V51" s="264"/>
      <c r="W51" s="264"/>
      <c r="X51" s="264"/>
      <c r="Y51" s="355"/>
      <c r="Z51" s="355"/>
      <c r="AA51" s="355"/>
      <c r="AB51" s="355"/>
      <c r="AC51" s="355"/>
      <c r="AD51" s="214"/>
      <c r="AE51" s="214"/>
      <c r="AF51" s="214"/>
      <c r="AG51" s="214"/>
      <c r="AH51" s="214"/>
      <c r="AI51" s="214"/>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row>
    <row r="52" spans="1:66" ht="15" customHeight="1" x14ac:dyDescent="0.3">
      <c r="A52" s="214"/>
      <c r="B52" s="232">
        <v>2025</v>
      </c>
      <c r="C52" s="264"/>
      <c r="D52" s="264"/>
      <c r="E52" s="264"/>
      <c r="F52" s="264"/>
      <c r="G52" s="264"/>
      <c r="H52" s="264"/>
      <c r="I52" s="264"/>
      <c r="J52" s="264"/>
      <c r="K52" s="214"/>
      <c r="L52" s="214"/>
      <c r="M52" s="214"/>
      <c r="N52" s="214"/>
      <c r="O52" s="214"/>
      <c r="P52" s="214"/>
      <c r="Q52" s="214"/>
      <c r="R52" s="214"/>
      <c r="S52" s="214"/>
      <c r="T52" s="214"/>
      <c r="U52" s="232">
        <v>2025</v>
      </c>
      <c r="V52" s="264"/>
      <c r="W52" s="264"/>
      <c r="X52" s="264"/>
      <c r="Y52" s="355"/>
      <c r="Z52" s="355"/>
      <c r="AA52" s="355"/>
      <c r="AB52" s="355"/>
      <c r="AC52" s="355"/>
      <c r="AD52" s="214"/>
      <c r="AE52" s="214"/>
      <c r="AF52" s="214"/>
      <c r="AG52" s="214"/>
      <c r="AH52" s="214"/>
      <c r="AI52" s="214"/>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row>
    <row r="53" spans="1:66" ht="15" customHeight="1" x14ac:dyDescent="0.3">
      <c r="A53" s="214"/>
      <c r="B53" s="240">
        <v>2026</v>
      </c>
      <c r="C53" s="262"/>
      <c r="D53" s="264"/>
      <c r="E53" s="264"/>
      <c r="F53" s="264"/>
      <c r="G53" s="262"/>
      <c r="H53" s="262"/>
      <c r="I53" s="262"/>
      <c r="J53" s="262"/>
      <c r="K53" s="214"/>
      <c r="L53" s="214"/>
      <c r="M53" s="214"/>
      <c r="N53" s="214"/>
      <c r="O53" s="214"/>
      <c r="P53" s="214"/>
      <c r="Q53" s="214"/>
      <c r="R53" s="214"/>
      <c r="S53" s="214"/>
      <c r="T53" s="214"/>
      <c r="U53" s="240">
        <v>2026</v>
      </c>
      <c r="V53" s="262"/>
      <c r="W53" s="264"/>
      <c r="X53" s="264"/>
      <c r="Y53" s="355"/>
      <c r="Z53" s="355"/>
      <c r="AA53" s="355"/>
      <c r="AB53" s="355"/>
      <c r="AC53" s="355"/>
      <c r="AD53" s="214"/>
      <c r="AE53" s="214"/>
      <c r="AF53" s="214"/>
      <c r="AG53" s="214"/>
      <c r="AH53" s="214"/>
      <c r="AI53" s="214"/>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row>
    <row r="54" spans="1:66" ht="12.6" customHeight="1" x14ac:dyDescent="0.3">
      <c r="A54" s="214"/>
      <c r="B54" s="214"/>
      <c r="C54" s="214"/>
      <c r="D54" s="214"/>
      <c r="E54" s="214"/>
      <c r="F54" s="214"/>
      <c r="G54" s="214"/>
      <c r="H54" s="214"/>
      <c r="I54" s="214"/>
      <c r="J54" s="214"/>
      <c r="K54" s="214"/>
      <c r="L54" s="214"/>
      <c r="M54" s="214"/>
      <c r="N54" s="214"/>
      <c r="O54" s="214"/>
      <c r="P54" s="214"/>
      <c r="Q54" s="214"/>
      <c r="R54" s="214"/>
      <c r="S54" s="214"/>
      <c r="T54" s="214"/>
      <c r="U54" s="214"/>
      <c r="V54" s="214"/>
      <c r="W54" s="214"/>
      <c r="X54" s="214"/>
      <c r="Y54" s="214"/>
      <c r="Z54" s="214"/>
      <c r="AA54" s="214"/>
      <c r="AB54" s="214"/>
      <c r="AC54" s="214"/>
      <c r="AD54" s="214"/>
      <c r="AE54" s="214"/>
      <c r="AF54" s="214"/>
      <c r="AG54" s="214"/>
      <c r="AH54" s="214"/>
      <c r="AI54" s="214"/>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row>
    <row r="55" spans="1:66" ht="12.6" customHeight="1" x14ac:dyDescent="0.3">
      <c r="A55" s="214"/>
      <c r="B55" s="214"/>
      <c r="C55" s="214"/>
      <c r="D55" s="214"/>
      <c r="E55" s="214"/>
      <c r="F55" s="214"/>
      <c r="G55" s="214"/>
      <c r="H55" s="214"/>
      <c r="I55" s="214"/>
      <c r="J55" s="214"/>
      <c r="K55" s="214"/>
      <c r="L55" s="214"/>
      <c r="M55" s="214"/>
      <c r="N55" s="214"/>
      <c r="O55" s="214"/>
      <c r="P55" s="214"/>
      <c r="Q55" s="214"/>
      <c r="R55" s="214"/>
      <c r="S55" s="214"/>
      <c r="T55" s="214"/>
      <c r="U55" s="214"/>
      <c r="V55" s="214"/>
      <c r="W55" s="214"/>
      <c r="X55" s="214"/>
      <c r="Y55" s="214"/>
      <c r="Z55" s="214"/>
      <c r="AA55" s="214"/>
      <c r="AB55" s="214"/>
      <c r="AC55" s="214"/>
      <c r="AD55" s="214"/>
      <c r="AE55" s="214"/>
      <c r="AF55" s="214"/>
      <c r="AG55" s="214"/>
      <c r="AH55" s="214"/>
      <c r="AI55" s="214"/>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row>
    <row r="56" spans="1:66" ht="12.6" customHeight="1" x14ac:dyDescent="0.3">
      <c r="A56" s="214"/>
      <c r="B56" s="214"/>
      <c r="C56" s="214"/>
      <c r="D56" s="214"/>
      <c r="E56" s="214"/>
      <c r="F56" s="214"/>
      <c r="G56" s="214"/>
      <c r="H56" s="214"/>
      <c r="I56" s="214"/>
      <c r="J56" s="214"/>
      <c r="K56" s="214"/>
      <c r="L56" s="214"/>
      <c r="M56" s="214"/>
      <c r="N56" s="214"/>
      <c r="O56" s="214"/>
      <c r="P56" s="214"/>
      <c r="Q56" s="214"/>
      <c r="R56" s="214"/>
      <c r="S56" s="214"/>
      <c r="T56" s="214"/>
      <c r="U56" s="214"/>
      <c r="V56" s="214"/>
      <c r="W56" s="214"/>
      <c r="X56" s="214"/>
      <c r="Y56" s="214"/>
      <c r="Z56" s="214"/>
      <c r="AA56" s="214"/>
      <c r="AB56" s="214"/>
      <c r="AC56" s="214"/>
      <c r="AD56" s="214"/>
      <c r="AE56" s="214"/>
      <c r="AF56" s="214"/>
      <c r="AG56" s="214"/>
      <c r="AH56" s="214"/>
      <c r="AI56" s="214"/>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row>
    <row r="57" spans="1:66" ht="12.6" customHeight="1" x14ac:dyDescent="0.3">
      <c r="A57" s="214"/>
      <c r="B57" s="214"/>
      <c r="C57" s="214"/>
      <c r="D57" s="214"/>
      <c r="E57" s="214"/>
      <c r="F57" s="214"/>
      <c r="G57" s="214"/>
      <c r="H57" s="214"/>
      <c r="I57" s="214"/>
      <c r="J57" s="214"/>
      <c r="K57" s="214"/>
      <c r="L57" s="214"/>
      <c r="M57" s="214"/>
      <c r="N57" s="214"/>
      <c r="O57" s="214"/>
      <c r="P57" s="214"/>
      <c r="Q57" s="214"/>
      <c r="R57" s="214"/>
      <c r="S57" s="214"/>
      <c r="T57" s="214"/>
      <c r="U57" s="214"/>
      <c r="V57" s="214"/>
      <c r="W57" s="214"/>
      <c r="X57" s="214"/>
      <c r="Y57" s="214"/>
      <c r="Z57" s="214"/>
      <c r="AA57" s="214"/>
      <c r="AB57" s="214"/>
      <c r="AC57" s="214"/>
      <c r="AD57" s="214"/>
      <c r="AE57" s="214"/>
      <c r="AF57" s="214"/>
      <c r="AG57" s="214"/>
      <c r="AH57" s="214"/>
      <c r="AI57" s="214"/>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row>
    <row r="58" spans="1:66" ht="12.6" customHeight="1" x14ac:dyDescent="0.3">
      <c r="A58" s="214"/>
      <c r="B58" s="214"/>
      <c r="C58" s="214"/>
      <c r="D58" s="214"/>
      <c r="E58" s="214"/>
      <c r="F58" s="214"/>
      <c r="G58" s="214"/>
      <c r="H58" s="214"/>
      <c r="I58" s="214"/>
      <c r="J58" s="214"/>
      <c r="K58" s="214"/>
      <c r="L58" s="214"/>
      <c r="M58" s="214"/>
      <c r="N58" s="214"/>
      <c r="O58" s="214"/>
      <c r="P58" s="214"/>
      <c r="Q58" s="214"/>
      <c r="R58" s="214"/>
      <c r="S58" s="214"/>
      <c r="T58" s="214"/>
      <c r="U58" s="214"/>
      <c r="V58" s="214"/>
      <c r="W58" s="214"/>
      <c r="X58" s="214"/>
      <c r="Y58" s="214"/>
      <c r="Z58" s="214"/>
      <c r="AA58" s="214"/>
      <c r="AB58" s="214"/>
      <c r="AC58" s="214"/>
      <c r="AD58" s="214"/>
      <c r="AE58" s="214"/>
      <c r="AF58" s="214"/>
      <c r="AG58" s="214"/>
      <c r="AH58" s="214"/>
      <c r="AI58" s="214"/>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row>
    <row r="59" spans="1:66" ht="12.6"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row>
    <row r="60" spans="1:66" ht="12" customHeight="1" thickBot="1" x14ac:dyDescent="0.35">
      <c r="A60" s="98"/>
      <c r="B60" s="98"/>
      <c r="C60" s="98"/>
      <c r="D60" s="98"/>
      <c r="E60" s="98"/>
      <c r="F60" s="98"/>
      <c r="G60" s="98"/>
      <c r="H60" s="98"/>
      <c r="I60" s="98"/>
      <c r="J60" s="98"/>
      <c r="K60" s="98"/>
      <c r="L60" s="98"/>
      <c r="M60" s="98"/>
      <c r="N60" s="98"/>
      <c r="O60" s="98"/>
      <c r="P60" s="98"/>
      <c r="Q60" s="98"/>
      <c r="R60" s="98"/>
      <c r="S60" s="98"/>
      <c r="T60" s="265"/>
      <c r="U60" s="265"/>
      <c r="V60" s="265"/>
      <c r="W60" s="265"/>
      <c r="X60" s="55"/>
      <c r="Y60" s="55"/>
      <c r="Z60" s="55"/>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row>
    <row r="61" spans="1:66" ht="12" customHeight="1" thickBot="1" x14ac:dyDescent="0.35">
      <c r="A61" s="98"/>
      <c r="B61" s="266" t="s">
        <v>200</v>
      </c>
      <c r="C61" s="267"/>
      <c r="D61" s="267"/>
      <c r="E61" s="267"/>
      <c r="F61" s="267"/>
      <c r="G61" s="267"/>
      <c r="H61" s="267"/>
      <c r="I61" s="267"/>
      <c r="J61" s="267"/>
      <c r="K61" s="267"/>
      <c r="L61" s="267"/>
      <c r="M61" s="267"/>
      <c r="N61" s="267"/>
      <c r="O61" s="267"/>
      <c r="P61" s="267"/>
      <c r="Q61" s="267"/>
      <c r="R61" s="267"/>
      <c r="S61" s="267"/>
      <c r="T61" s="268"/>
      <c r="U61" s="268"/>
      <c r="V61" s="269"/>
      <c r="W61" s="265"/>
      <c r="X61" s="55"/>
      <c r="Y61" s="55"/>
      <c r="Z61" s="55"/>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row>
    <row r="62" spans="1:66" ht="21.6" customHeight="1" x14ac:dyDescent="0.3">
      <c r="A62" s="98"/>
      <c r="B62" s="270"/>
      <c r="C62" s="98"/>
      <c r="D62" s="98"/>
      <c r="E62" s="98"/>
      <c r="F62" s="98"/>
      <c r="G62" s="98"/>
      <c r="H62" s="98"/>
      <c r="I62" s="98"/>
      <c r="J62" s="98"/>
      <c r="K62" s="98"/>
      <c r="L62" s="98"/>
      <c r="M62" s="98"/>
      <c r="N62" s="98"/>
      <c r="O62" s="98"/>
      <c r="P62" s="98"/>
      <c r="Q62" s="98"/>
      <c r="R62" s="98"/>
      <c r="S62" s="98"/>
      <c r="T62" s="98"/>
      <c r="U62" s="98"/>
      <c r="V62" s="98"/>
      <c r="W62" s="98"/>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row>
    <row r="63" spans="1:66" ht="21" customHeight="1" x14ac:dyDescent="0.3">
      <c r="A63" s="98"/>
      <c r="B63" s="98"/>
      <c r="C63" s="98"/>
      <c r="D63" s="98"/>
      <c r="E63" s="98"/>
      <c r="F63" s="98"/>
      <c r="G63" s="98"/>
      <c r="H63" s="98"/>
      <c r="I63" s="98"/>
      <c r="J63" s="98"/>
      <c r="K63" s="98"/>
      <c r="L63" s="98"/>
      <c r="M63" s="98"/>
      <c r="N63" s="98"/>
      <c r="O63" s="98"/>
      <c r="P63" s="98"/>
      <c r="Q63" s="98"/>
      <c r="R63" s="98"/>
      <c r="S63" s="98"/>
      <c r="T63" s="98"/>
      <c r="U63" s="98"/>
      <c r="V63" s="98"/>
      <c r="W63" s="98"/>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row>
    <row r="64" spans="1:66" ht="42.6" customHeight="1" x14ac:dyDescent="0.3">
      <c r="A64" s="98"/>
      <c r="B64" s="356" t="s">
        <v>201</v>
      </c>
      <c r="C64" s="271" t="s">
        <v>202</v>
      </c>
      <c r="D64" s="272" t="s">
        <v>172</v>
      </c>
      <c r="E64" s="272" t="s">
        <v>173</v>
      </c>
      <c r="F64" s="273" t="s">
        <v>174</v>
      </c>
      <c r="G64" s="272" t="s">
        <v>175</v>
      </c>
      <c r="H64" s="274"/>
      <c r="I64" s="274"/>
      <c r="J64" s="274"/>
      <c r="K64" s="274"/>
      <c r="L64" s="274"/>
      <c r="M64" s="274"/>
      <c r="N64" s="274"/>
      <c r="O64" s="274"/>
      <c r="P64" s="274"/>
      <c r="Q64" s="274"/>
      <c r="R64" s="274"/>
      <c r="S64" s="274"/>
      <c r="T64" s="274"/>
      <c r="U64" s="274"/>
      <c r="V64" s="274"/>
      <c r="W64" s="98"/>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row>
    <row r="65" spans="1:66" ht="15.6" customHeight="1" x14ac:dyDescent="0.3">
      <c r="A65" s="98"/>
      <c r="B65" s="275">
        <v>2019</v>
      </c>
      <c r="C65" s="357">
        <f>C22/P22*100</f>
        <v>14.182204339904597</v>
      </c>
      <c r="D65" s="276"/>
      <c r="E65" s="276"/>
      <c r="F65" s="276"/>
      <c r="G65" s="276"/>
      <c r="H65" s="277"/>
      <c r="I65" s="277"/>
      <c r="J65" s="277"/>
      <c r="K65" s="277"/>
      <c r="L65" s="277"/>
      <c r="M65" s="277"/>
      <c r="N65" s="277"/>
      <c r="O65" s="277"/>
      <c r="P65" s="277"/>
      <c r="Q65" s="277"/>
      <c r="R65" s="277"/>
      <c r="S65" s="277"/>
      <c r="T65" s="277"/>
      <c r="U65" s="277"/>
      <c r="V65" s="277"/>
      <c r="W65" s="278"/>
      <c r="X65" s="44"/>
      <c r="Y65" s="44"/>
      <c r="Z65" s="44"/>
      <c r="AA65" s="46"/>
      <c r="AB65" s="46"/>
      <c r="AC65" s="46"/>
      <c r="AD65" s="46"/>
      <c r="AE65" s="46"/>
      <c r="AF65" s="46"/>
      <c r="AG65" s="44"/>
      <c r="AH65" s="44"/>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row>
    <row r="66" spans="1:66" s="51" customFormat="1" ht="15.6" customHeight="1" x14ac:dyDescent="0.3">
      <c r="A66" s="279"/>
      <c r="B66" s="280">
        <v>2020</v>
      </c>
      <c r="C66" s="357">
        <f>D22/Q22*100</f>
        <v>14.224373526003731</v>
      </c>
      <c r="D66" s="276"/>
      <c r="E66" s="276"/>
      <c r="F66" s="276"/>
      <c r="G66" s="276"/>
      <c r="H66" s="281"/>
      <c r="I66" s="281"/>
      <c r="J66" s="281"/>
      <c r="K66" s="281"/>
      <c r="L66" s="281"/>
      <c r="M66" s="281"/>
      <c r="N66" s="281"/>
      <c r="O66" s="281"/>
      <c r="P66" s="281"/>
      <c r="Q66" s="281"/>
      <c r="R66" s="281"/>
      <c r="S66" s="281"/>
      <c r="T66" s="281"/>
      <c r="U66" s="281"/>
      <c r="V66" s="281"/>
      <c r="W66" s="282"/>
      <c r="X66" s="48"/>
      <c r="Y66" s="48"/>
      <c r="Z66" s="48"/>
      <c r="AA66" s="48"/>
      <c r="AB66" s="48"/>
      <c r="AC66" s="48"/>
      <c r="AD66" s="48"/>
      <c r="AE66" s="48"/>
      <c r="AF66" s="48"/>
      <c r="AG66" s="48"/>
      <c r="AH66" s="48"/>
      <c r="AI66" s="47"/>
      <c r="AJ66" s="47"/>
      <c r="AK66" s="47"/>
      <c r="AL66" s="47"/>
      <c r="AM66" s="47"/>
      <c r="AN66" s="47"/>
      <c r="AO66" s="47"/>
      <c r="AP66" s="47"/>
      <c r="AQ66" s="47"/>
      <c r="AR66" s="47"/>
      <c r="AS66" s="47"/>
      <c r="AT66" s="47"/>
      <c r="AU66" s="47"/>
      <c r="AV66" s="47"/>
      <c r="AW66" s="47"/>
      <c r="AX66" s="47"/>
      <c r="AY66" s="47"/>
      <c r="AZ66" s="47"/>
      <c r="BA66" s="47"/>
      <c r="BB66" s="47"/>
      <c r="BC66" s="47"/>
      <c r="BD66" s="47"/>
      <c r="BE66" s="47"/>
      <c r="BF66" s="47"/>
      <c r="BG66" s="47"/>
      <c r="BH66" s="47"/>
      <c r="BI66" s="47"/>
      <c r="BJ66" s="47"/>
      <c r="BK66" s="47"/>
      <c r="BL66" s="47"/>
      <c r="BM66" s="47"/>
      <c r="BN66" s="47"/>
    </row>
    <row r="67" spans="1:66" ht="15.6" customHeight="1" x14ac:dyDescent="0.3">
      <c r="A67" s="98"/>
      <c r="B67" s="275">
        <v>2021</v>
      </c>
      <c r="C67" s="357">
        <f>E22/R22*100</f>
        <v>14.175099432424295</v>
      </c>
      <c r="D67" s="276"/>
      <c r="E67" s="276"/>
      <c r="F67" s="276"/>
      <c r="G67" s="276"/>
      <c r="H67" s="281"/>
      <c r="I67" s="281"/>
      <c r="J67" s="281"/>
      <c r="K67" s="281"/>
      <c r="L67" s="281"/>
      <c r="M67" s="281"/>
      <c r="N67" s="281"/>
      <c r="O67" s="281"/>
      <c r="P67" s="281"/>
      <c r="Q67" s="281"/>
      <c r="R67" s="281"/>
      <c r="S67" s="281"/>
      <c r="T67" s="281"/>
      <c r="U67" s="281"/>
      <c r="V67" s="281"/>
      <c r="W67" s="283"/>
      <c r="X67" s="52"/>
      <c r="Y67" s="52"/>
      <c r="Z67" s="52"/>
      <c r="AA67" s="43"/>
      <c r="AB67" s="43"/>
      <c r="AC67" s="43"/>
      <c r="AD67" s="43"/>
      <c r="AE67" s="43"/>
      <c r="AF67" s="43"/>
      <c r="AG67" s="43"/>
      <c r="AH67" s="43"/>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row>
    <row r="68" spans="1:66" ht="15.6" customHeight="1" x14ac:dyDescent="0.3">
      <c r="A68" s="98"/>
      <c r="B68" s="280">
        <v>2022</v>
      </c>
      <c r="C68" s="357">
        <f>F22/S22*100</f>
        <v>14.458454607927109</v>
      </c>
      <c r="D68" s="276"/>
      <c r="E68" s="276"/>
      <c r="F68" s="276"/>
      <c r="G68" s="276"/>
      <c r="H68" s="284"/>
      <c r="I68" s="284"/>
      <c r="J68" s="284"/>
      <c r="K68" s="284"/>
      <c r="L68" s="284"/>
      <c r="M68" s="284"/>
      <c r="N68" s="284"/>
      <c r="O68" s="284"/>
      <c r="P68" s="284"/>
      <c r="Q68" s="284"/>
      <c r="R68" s="284"/>
      <c r="S68" s="284"/>
      <c r="T68" s="284"/>
      <c r="U68" s="284"/>
      <c r="V68" s="284"/>
      <c r="W68" s="98"/>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row>
    <row r="69" spans="1:66" ht="15.6" customHeight="1" x14ac:dyDescent="0.3">
      <c r="A69" s="98"/>
      <c r="B69" s="275">
        <v>2023</v>
      </c>
      <c r="C69" s="357">
        <f>G22/$T22*100</f>
        <v>14.472585388708239</v>
      </c>
      <c r="D69" s="357">
        <f>H22/$T22*100</f>
        <v>16.315333872339622</v>
      </c>
      <c r="E69" s="357">
        <f>I22/$T22*100</f>
        <v>14.162183195769787</v>
      </c>
      <c r="F69" s="357">
        <f>J22/$T22*100</f>
        <v>13.660436813736135</v>
      </c>
      <c r="G69" s="357">
        <f>K22/$T22*100</f>
        <v>13.459975269741278</v>
      </c>
      <c r="H69" s="277"/>
      <c r="I69" s="277"/>
      <c r="J69" s="277"/>
      <c r="K69" s="277"/>
      <c r="L69" s="277"/>
      <c r="M69" s="277"/>
      <c r="N69" s="277"/>
      <c r="O69" s="277"/>
      <c r="P69" s="277"/>
      <c r="Q69" s="277"/>
      <c r="R69" s="277"/>
      <c r="S69" s="277"/>
      <c r="T69" s="277"/>
      <c r="U69" s="277"/>
      <c r="V69" s="277"/>
      <c r="W69" s="98"/>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row>
    <row r="70" spans="1:66" ht="15.6" customHeight="1" x14ac:dyDescent="0.3">
      <c r="A70" s="98"/>
      <c r="B70" s="280">
        <v>2024</v>
      </c>
      <c r="C70" s="276"/>
      <c r="D70" s="358"/>
      <c r="E70" s="357"/>
      <c r="F70" s="357"/>
      <c r="G70" s="357"/>
      <c r="H70" s="284"/>
      <c r="I70" s="284"/>
      <c r="J70" s="284"/>
      <c r="K70" s="284"/>
      <c r="L70" s="284"/>
      <c r="M70" s="284"/>
      <c r="N70" s="284"/>
      <c r="O70" s="284"/>
      <c r="P70" s="284"/>
      <c r="Q70" s="284"/>
      <c r="R70" s="284"/>
      <c r="S70" s="284"/>
      <c r="T70" s="284"/>
      <c r="U70" s="284"/>
      <c r="V70" s="284"/>
      <c r="W70" s="98"/>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row>
    <row r="71" spans="1:66" ht="15.6" customHeight="1" x14ac:dyDescent="0.3">
      <c r="A71" s="98"/>
      <c r="B71" s="275">
        <v>2025</v>
      </c>
      <c r="C71" s="276"/>
      <c r="D71" s="358"/>
      <c r="E71" s="357"/>
      <c r="F71" s="357"/>
      <c r="G71" s="357"/>
      <c r="H71" s="284"/>
      <c r="I71" s="284"/>
      <c r="J71" s="284"/>
      <c r="K71" s="284"/>
      <c r="L71" s="284"/>
      <c r="M71" s="284"/>
      <c r="N71" s="284"/>
      <c r="O71" s="284"/>
      <c r="P71" s="284"/>
      <c r="Q71" s="284"/>
      <c r="R71" s="284"/>
      <c r="S71" s="284"/>
      <c r="T71" s="284"/>
      <c r="U71" s="284"/>
      <c r="V71" s="284"/>
      <c r="W71" s="98"/>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row>
    <row r="72" spans="1:66" ht="15.6" customHeight="1" x14ac:dyDescent="0.3">
      <c r="A72" s="98"/>
      <c r="B72" s="280">
        <v>2026</v>
      </c>
      <c r="C72" s="276"/>
      <c r="D72" s="357"/>
      <c r="E72" s="357"/>
      <c r="F72" s="357"/>
      <c r="G72" s="357"/>
      <c r="H72" s="277"/>
      <c r="I72" s="277"/>
      <c r="J72" s="277"/>
      <c r="K72" s="277"/>
      <c r="L72" s="277"/>
      <c r="M72" s="277"/>
      <c r="N72" s="277"/>
      <c r="O72" s="277"/>
      <c r="P72" s="277"/>
      <c r="Q72" s="277"/>
      <c r="R72" s="277"/>
      <c r="S72" s="277"/>
      <c r="T72" s="277"/>
      <c r="U72" s="277"/>
      <c r="V72" s="277"/>
      <c r="W72" s="98"/>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row>
    <row r="73" spans="1:66" ht="12.6" customHeight="1" x14ac:dyDescent="0.3">
      <c r="A73" s="98"/>
      <c r="B73" s="98"/>
      <c r="C73" s="98"/>
      <c r="D73" s="98"/>
      <c r="E73" s="98"/>
      <c r="F73" s="98"/>
      <c r="G73" s="98"/>
      <c r="H73" s="98"/>
      <c r="I73" s="98"/>
      <c r="J73" s="98"/>
      <c r="K73" s="98"/>
      <c r="L73" s="98"/>
      <c r="M73" s="98"/>
      <c r="N73" s="98"/>
      <c r="O73" s="98"/>
      <c r="P73" s="98"/>
      <c r="Q73" s="98"/>
      <c r="R73" s="98"/>
      <c r="S73" s="98"/>
      <c r="T73" s="98"/>
      <c r="U73" s="98"/>
      <c r="V73" s="98"/>
      <c r="W73" s="98"/>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row>
    <row r="74" spans="1:66" ht="12.6" customHeight="1" x14ac:dyDescent="0.3">
      <c r="A74" s="98"/>
      <c r="B74" s="98"/>
      <c r="C74" s="285"/>
      <c r="D74" s="98"/>
      <c r="E74" s="98"/>
      <c r="F74" s="98"/>
      <c r="G74" s="98"/>
      <c r="H74" s="98"/>
      <c r="I74" s="98"/>
      <c r="J74" s="98"/>
      <c r="K74" s="98"/>
      <c r="L74" s="98"/>
      <c r="M74" s="98"/>
      <c r="N74" s="98"/>
      <c r="O74" s="98"/>
      <c r="P74" s="98"/>
      <c r="Q74" s="98"/>
      <c r="R74" s="98"/>
      <c r="S74" s="98"/>
      <c r="T74" s="98"/>
      <c r="U74" s="98"/>
      <c r="V74" s="98"/>
      <c r="W74" s="98"/>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row>
    <row r="75" spans="1:66" ht="12.6" customHeight="1" x14ac:dyDescent="0.3">
      <c r="A75" s="98"/>
      <c r="B75" s="98"/>
      <c r="C75" s="98"/>
      <c r="D75" s="98"/>
      <c r="E75" s="98"/>
      <c r="F75" s="98"/>
      <c r="G75" s="98"/>
      <c r="H75" s="98"/>
      <c r="I75" s="98"/>
      <c r="J75" s="98"/>
      <c r="K75" s="98"/>
      <c r="L75" s="98"/>
      <c r="M75" s="98"/>
      <c r="N75" s="98"/>
      <c r="O75" s="98"/>
      <c r="P75" s="98"/>
      <c r="Q75" s="98"/>
      <c r="R75" s="98"/>
      <c r="S75" s="98"/>
      <c r="T75" s="98"/>
      <c r="U75" s="98"/>
      <c r="V75" s="98"/>
      <c r="W75" s="98"/>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row>
    <row r="76" spans="1:66" ht="18" customHeight="1" x14ac:dyDescent="0.3">
      <c r="A76" s="98"/>
      <c r="B76" s="98"/>
      <c r="C76" s="98"/>
      <c r="D76" s="98"/>
      <c r="E76" s="98"/>
      <c r="F76" s="98"/>
      <c r="G76" s="98"/>
      <c r="H76" s="98"/>
      <c r="I76" s="98"/>
      <c r="J76" s="98"/>
      <c r="K76" s="98"/>
      <c r="L76" s="98"/>
      <c r="M76" s="98"/>
      <c r="N76" s="98"/>
      <c r="O76" s="98"/>
      <c r="P76" s="98"/>
      <c r="Q76" s="98"/>
      <c r="R76" s="98"/>
      <c r="S76" s="98"/>
      <c r="T76" s="98"/>
      <c r="U76" s="98"/>
      <c r="V76" s="98"/>
      <c r="W76" s="98"/>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row>
    <row r="77" spans="1:66" ht="42" customHeight="1" x14ac:dyDescent="0.3">
      <c r="A77" s="98"/>
      <c r="B77" s="356" t="s">
        <v>203</v>
      </c>
      <c r="C77" s="271" t="s">
        <v>202</v>
      </c>
      <c r="D77" s="272" t="s">
        <v>172</v>
      </c>
      <c r="E77" s="272" t="s">
        <v>173</v>
      </c>
      <c r="F77" s="273" t="s">
        <v>174</v>
      </c>
      <c r="G77" s="272" t="s">
        <v>175</v>
      </c>
      <c r="H77" s="98"/>
      <c r="I77" s="98"/>
      <c r="J77" s="98"/>
      <c r="K77" s="98"/>
      <c r="L77" s="98"/>
      <c r="M77" s="98"/>
      <c r="N77" s="98"/>
      <c r="O77" s="98"/>
      <c r="P77" s="98"/>
      <c r="Q77" s="98"/>
      <c r="R77" s="98"/>
      <c r="S77" s="98"/>
      <c r="T77" s="98"/>
      <c r="U77" s="98"/>
      <c r="V77" s="98"/>
      <c r="W77" s="98"/>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row>
    <row r="78" spans="1:66" ht="15.6" customHeight="1" x14ac:dyDescent="0.3">
      <c r="A78" s="98"/>
      <c r="B78" s="275">
        <v>2019</v>
      </c>
      <c r="C78" s="357">
        <f>C65</f>
        <v>14.182204339904597</v>
      </c>
      <c r="D78" s="276"/>
      <c r="E78" s="276"/>
      <c r="F78" s="276"/>
      <c r="G78" s="276"/>
      <c r="H78" s="98"/>
      <c r="I78" s="98"/>
      <c r="J78" s="98"/>
      <c r="K78" s="98"/>
      <c r="L78" s="98"/>
      <c r="M78" s="98"/>
      <c r="N78" s="98"/>
      <c r="O78" s="98"/>
      <c r="P78" s="98"/>
      <c r="Q78" s="98"/>
      <c r="R78" s="98"/>
      <c r="S78" s="98"/>
      <c r="T78" s="98"/>
      <c r="U78" s="98"/>
      <c r="V78" s="98"/>
      <c r="W78" s="98"/>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row>
    <row r="79" spans="1:66" s="1" customFormat="1" ht="15" customHeight="1" x14ac:dyDescent="0.3">
      <c r="A79" s="98"/>
      <c r="B79" s="280">
        <v>2020</v>
      </c>
      <c r="C79" s="357">
        <f>C66</f>
        <v>14.224373526003731</v>
      </c>
      <c r="D79" s="276"/>
      <c r="E79" s="276"/>
      <c r="F79" s="276"/>
      <c r="G79" s="276"/>
      <c r="H79" s="98"/>
      <c r="I79" s="98"/>
      <c r="J79" s="98"/>
      <c r="K79" s="98"/>
      <c r="L79" s="98"/>
      <c r="M79" s="98"/>
      <c r="N79" s="98"/>
      <c r="O79" s="98"/>
      <c r="P79" s="98"/>
      <c r="Q79" s="98"/>
      <c r="R79" s="98"/>
      <c r="S79" s="98"/>
      <c r="T79" s="98"/>
      <c r="U79" s="98"/>
      <c r="V79" s="98"/>
      <c r="W79" s="98"/>
    </row>
    <row r="80" spans="1:66" s="1" customFormat="1" ht="15" customHeight="1" x14ac:dyDescent="0.3">
      <c r="A80" s="98"/>
      <c r="B80" s="275">
        <v>2021</v>
      </c>
      <c r="C80" s="357">
        <f>C67</f>
        <v>14.175099432424295</v>
      </c>
      <c r="D80" s="276"/>
      <c r="E80" s="276"/>
      <c r="F80" s="276"/>
      <c r="G80" s="276"/>
      <c r="H80" s="98"/>
      <c r="I80" s="98"/>
      <c r="J80" s="98"/>
      <c r="K80" s="98"/>
      <c r="L80" s="98"/>
      <c r="M80" s="98"/>
      <c r="N80" s="98"/>
      <c r="O80" s="98"/>
      <c r="P80" s="98"/>
      <c r="Q80" s="98"/>
      <c r="R80" s="98"/>
      <c r="S80" s="98"/>
      <c r="T80" s="98"/>
      <c r="U80" s="98"/>
      <c r="V80" s="98"/>
      <c r="W80" s="98"/>
    </row>
    <row r="81" spans="1:23" s="1" customFormat="1" ht="15" customHeight="1" x14ac:dyDescent="0.3">
      <c r="A81" s="98"/>
      <c r="B81" s="280">
        <v>2022</v>
      </c>
      <c r="C81" s="357">
        <f>C68</f>
        <v>14.458454607927109</v>
      </c>
      <c r="D81" s="276"/>
      <c r="E81" s="276"/>
      <c r="F81" s="276"/>
      <c r="G81" s="276"/>
      <c r="H81" s="98"/>
      <c r="I81" s="98"/>
      <c r="J81" s="98"/>
      <c r="K81" s="98"/>
      <c r="L81" s="98"/>
      <c r="M81" s="98"/>
      <c r="N81" s="98"/>
      <c r="O81" s="98"/>
      <c r="P81" s="98"/>
      <c r="Q81" s="98"/>
      <c r="R81" s="98"/>
      <c r="S81" s="98"/>
      <c r="T81" s="98"/>
      <c r="U81" s="98"/>
      <c r="V81" s="98"/>
      <c r="W81" s="98"/>
    </row>
    <row r="82" spans="1:23" s="1" customFormat="1" ht="15" customHeight="1" x14ac:dyDescent="0.3">
      <c r="A82" s="98"/>
      <c r="B82" s="275">
        <v>2023</v>
      </c>
      <c r="C82" s="357">
        <f>C69</f>
        <v>14.472585388708239</v>
      </c>
      <c r="D82" s="357">
        <f>D69</f>
        <v>16.315333872339622</v>
      </c>
      <c r="E82" s="357">
        <f>E69</f>
        <v>14.162183195769787</v>
      </c>
      <c r="F82" s="357">
        <f>F69</f>
        <v>13.660436813736135</v>
      </c>
      <c r="G82" s="357">
        <f>G69</f>
        <v>13.459975269741278</v>
      </c>
      <c r="H82" s="98"/>
      <c r="I82" s="98"/>
      <c r="J82" s="98"/>
      <c r="K82" s="98"/>
      <c r="L82" s="98"/>
      <c r="M82" s="98"/>
      <c r="N82" s="98"/>
      <c r="O82" s="98"/>
      <c r="P82" s="98"/>
      <c r="Q82" s="98"/>
      <c r="R82" s="98"/>
      <c r="S82" s="98"/>
      <c r="T82" s="98"/>
      <c r="U82" s="98"/>
      <c r="V82" s="98"/>
      <c r="W82" s="98"/>
    </row>
    <row r="83" spans="1:23" s="1" customFormat="1" ht="15" customHeight="1" x14ac:dyDescent="0.3">
      <c r="A83" s="98"/>
      <c r="B83" s="280">
        <v>2024</v>
      </c>
      <c r="C83" s="357"/>
      <c r="D83" s="358"/>
      <c r="E83" s="358"/>
      <c r="F83" s="358"/>
      <c r="G83" s="358"/>
      <c r="H83" s="98"/>
      <c r="I83" s="98"/>
      <c r="J83" s="98"/>
      <c r="K83" s="98"/>
      <c r="L83" s="98"/>
      <c r="M83" s="98"/>
      <c r="N83" s="98"/>
      <c r="O83" s="98"/>
      <c r="P83" s="98"/>
      <c r="Q83" s="98"/>
      <c r="R83" s="98"/>
      <c r="S83" s="98"/>
      <c r="T83" s="98"/>
      <c r="U83" s="98"/>
      <c r="V83" s="98"/>
      <c r="W83" s="98"/>
    </row>
    <row r="84" spans="1:23" s="1" customFormat="1" ht="15" customHeight="1" x14ac:dyDescent="0.3">
      <c r="A84" s="98"/>
      <c r="B84" s="275">
        <v>2025</v>
      </c>
      <c r="C84" s="357"/>
      <c r="D84" s="358"/>
      <c r="E84" s="358"/>
      <c r="F84" s="358"/>
      <c r="G84" s="358"/>
      <c r="H84" s="98"/>
      <c r="I84" s="98"/>
      <c r="J84" s="98"/>
      <c r="K84" s="98"/>
      <c r="L84" s="98"/>
      <c r="M84" s="98"/>
      <c r="N84" s="98"/>
      <c r="O84" s="98"/>
      <c r="P84" s="98"/>
      <c r="Q84" s="98"/>
      <c r="R84" s="98"/>
      <c r="S84" s="98"/>
      <c r="T84" s="98"/>
      <c r="U84" s="98"/>
      <c r="V84" s="98"/>
      <c r="W84" s="98"/>
    </row>
    <row r="85" spans="1:23" s="1" customFormat="1" ht="15" customHeight="1" x14ac:dyDescent="0.3">
      <c r="A85" s="98"/>
      <c r="B85" s="280">
        <v>2026</v>
      </c>
      <c r="C85" s="357"/>
      <c r="D85" s="357"/>
      <c r="E85" s="357"/>
      <c r="F85" s="357"/>
      <c r="G85" s="357"/>
      <c r="H85" s="98"/>
      <c r="I85" s="98"/>
      <c r="J85" s="98"/>
      <c r="K85" s="98"/>
      <c r="L85" s="98"/>
      <c r="M85" s="98"/>
      <c r="N85" s="98"/>
      <c r="O85" s="98"/>
      <c r="P85" s="98"/>
      <c r="Q85" s="98"/>
      <c r="R85" s="98"/>
      <c r="S85" s="98"/>
      <c r="T85" s="98"/>
      <c r="U85" s="98"/>
      <c r="V85" s="98"/>
      <c r="W85" s="98"/>
    </row>
    <row r="86" spans="1:23" s="1" customFormat="1" ht="12.6" customHeight="1" x14ac:dyDescent="0.3">
      <c r="A86" s="98"/>
      <c r="B86" s="98"/>
      <c r="C86" s="98"/>
      <c r="D86" s="285"/>
      <c r="E86" s="98"/>
      <c r="F86" s="98"/>
      <c r="G86" s="98"/>
      <c r="H86" s="98"/>
      <c r="I86" s="98"/>
      <c r="J86" s="98"/>
      <c r="K86" s="98"/>
      <c r="L86" s="98"/>
      <c r="M86" s="98"/>
      <c r="N86" s="98"/>
      <c r="O86" s="98"/>
      <c r="P86" s="98"/>
      <c r="Q86" s="98"/>
      <c r="R86" s="98"/>
      <c r="S86" s="98"/>
      <c r="T86" s="98"/>
      <c r="U86" s="98"/>
      <c r="V86" s="98"/>
      <c r="W86" s="98"/>
    </row>
    <row r="87" spans="1:23" s="1" customFormat="1" ht="12.6" customHeight="1" x14ac:dyDescent="0.3">
      <c r="A87" s="98"/>
      <c r="B87" s="98"/>
      <c r="C87" s="98"/>
      <c r="D87" s="98"/>
      <c r="E87" s="98"/>
      <c r="F87" s="98"/>
      <c r="G87" s="98"/>
      <c r="H87" s="98"/>
      <c r="I87" s="98"/>
      <c r="J87" s="98"/>
      <c r="K87" s="98"/>
      <c r="L87" s="98"/>
      <c r="M87" s="98"/>
      <c r="N87" s="98"/>
      <c r="O87" s="98"/>
      <c r="P87" s="98"/>
      <c r="Q87" s="98"/>
      <c r="R87" s="98"/>
      <c r="S87" s="98"/>
      <c r="T87" s="98"/>
      <c r="U87" s="98"/>
      <c r="V87" s="98"/>
      <c r="W87" s="98"/>
    </row>
    <row r="88" spans="1:23" s="1" customFormat="1" ht="12.6" customHeight="1" x14ac:dyDescent="0.3">
      <c r="A88" s="98"/>
      <c r="B88" s="98"/>
      <c r="C88" s="98"/>
      <c r="D88" s="98"/>
      <c r="E88" s="98"/>
      <c r="F88" s="98"/>
      <c r="G88" s="98"/>
      <c r="H88" s="98"/>
      <c r="I88" s="98"/>
      <c r="J88" s="98"/>
      <c r="K88" s="98"/>
      <c r="L88" s="98"/>
      <c r="M88" s="98"/>
      <c r="N88" s="98"/>
      <c r="O88" s="98"/>
      <c r="P88" s="98"/>
      <c r="Q88" s="98"/>
      <c r="R88" s="98"/>
      <c r="S88" s="98"/>
      <c r="T88" s="98"/>
      <c r="U88" s="98"/>
      <c r="V88" s="98"/>
      <c r="W88" s="98"/>
    </row>
    <row r="89" spans="1:23" s="1" customFormat="1" ht="12.6" customHeight="1" x14ac:dyDescent="0.3"/>
    <row r="90" spans="1:23" s="1" customFormat="1" ht="12.6" customHeight="1" x14ac:dyDescent="0.3"/>
    <row r="91" spans="1:23" s="1" customFormat="1" x14ac:dyDescent="0.3"/>
    <row r="92" spans="1:23" s="1" customFormat="1" x14ac:dyDescent="0.3"/>
    <row r="93" spans="1:23" s="1" customFormat="1" x14ac:dyDescent="0.3"/>
    <row r="94" spans="1:23" s="1" customFormat="1" x14ac:dyDescent="0.3"/>
    <row r="95" spans="1:23" s="1" customFormat="1" x14ac:dyDescent="0.3"/>
    <row r="96" spans="1:23" s="1" customFormat="1" x14ac:dyDescent="0.3"/>
    <row r="97" s="1" customFormat="1" x14ac:dyDescent="0.3"/>
    <row r="98" s="1" customFormat="1" x14ac:dyDescent="0.3"/>
    <row r="99" s="1" customFormat="1" x14ac:dyDescent="0.3"/>
    <row r="100" s="1" customFormat="1" x14ac:dyDescent="0.3"/>
    <row r="101" s="1" customFormat="1" x14ac:dyDescent="0.3"/>
    <row r="102" s="1" customFormat="1" x14ac:dyDescent="0.3"/>
    <row r="103" s="1" customFormat="1" x14ac:dyDescent="0.3"/>
    <row r="104" s="1" customFormat="1" x14ac:dyDescent="0.3"/>
    <row r="105" s="1" customFormat="1" x14ac:dyDescent="0.3"/>
    <row r="106" s="1" customFormat="1" x14ac:dyDescent="0.3"/>
    <row r="107" s="1" customFormat="1" x14ac:dyDescent="0.3"/>
    <row r="108" s="1" customFormat="1" x14ac:dyDescent="0.3"/>
    <row r="109" s="1" customFormat="1" x14ac:dyDescent="0.3"/>
    <row r="110" s="1" customFormat="1" x14ac:dyDescent="0.3"/>
    <row r="111" s="1" customFormat="1" x14ac:dyDescent="0.3"/>
    <row r="112" s="1" customFormat="1" x14ac:dyDescent="0.3"/>
    <row r="113" s="1" customFormat="1" x14ac:dyDescent="0.3"/>
    <row r="114" s="1" customFormat="1" x14ac:dyDescent="0.3"/>
    <row r="115" s="1" customFormat="1" x14ac:dyDescent="0.3"/>
    <row r="116" s="1" customFormat="1" x14ac:dyDescent="0.3"/>
    <row r="117" s="1" customFormat="1" x14ac:dyDescent="0.3"/>
    <row r="118" s="1" customFormat="1" x14ac:dyDescent="0.3"/>
    <row r="119" s="1" customFormat="1" x14ac:dyDescent="0.3"/>
    <row r="120" s="1" customFormat="1" x14ac:dyDescent="0.3"/>
    <row r="121" s="1" customFormat="1" x14ac:dyDescent="0.3"/>
  </sheetData>
  <pageMargins left="0.7" right="0.7" top="0.75" bottom="0.75" header="0.3" footer="0.3"/>
  <pageSetup paperSize="9" orientation="portrait" r:id="rId1"/>
  <headerFooter>
    <oddHeader>&amp;R&amp;"Arial"&amp;10&amp;K000000 ECB-RESTRICTED&amp;1#_x000D_</oddHeader>
  </headerFooter>
  <drawing r:id="rId2"/>
  <legacyDrawing r:id="rId3"/>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3D963-0C6B-4D89-8314-D6B4A0804EB4}">
  <dimension ref="A1:FQ22"/>
  <sheetViews>
    <sheetView zoomScale="85" zoomScaleNormal="85" workbookViewId="0">
      <selection activeCell="AH35" sqref="AH35"/>
    </sheetView>
  </sheetViews>
  <sheetFormatPr baseColWidth="10" defaultColWidth="8.6640625" defaultRowHeight="14.4" x14ac:dyDescent="0.3"/>
  <cols>
    <col min="1" max="1" width="4.33203125" customWidth="1"/>
    <col min="3" max="3" width="15.6640625" customWidth="1"/>
    <col min="4" max="7" width="14.5546875" customWidth="1"/>
    <col min="8" max="15" width="18" customWidth="1"/>
    <col min="16" max="17" width="18.6640625" customWidth="1"/>
    <col min="18" max="18" width="15.33203125" customWidth="1"/>
    <col min="19" max="19" width="19.33203125" bestFit="1" customWidth="1"/>
    <col min="20" max="22" width="18" customWidth="1"/>
    <col min="23" max="31" width="14.6640625" customWidth="1"/>
    <col min="32" max="32" width="15.33203125" customWidth="1"/>
    <col min="33" max="33" width="14.6640625" customWidth="1"/>
    <col min="34" max="41" width="13.5546875" customWidth="1"/>
    <col min="42" max="42" width="15.5546875" customWidth="1"/>
    <col min="43" max="43" width="13" customWidth="1"/>
    <col min="44" max="44" width="11.33203125" customWidth="1"/>
    <col min="45" max="45" width="12.33203125" customWidth="1"/>
    <col min="46" max="50" width="11.33203125" customWidth="1"/>
    <col min="51" max="51" width="13.44140625" customWidth="1"/>
    <col min="56" max="56" width="9.6640625" customWidth="1"/>
    <col min="60" max="60" width="16.44140625" customWidth="1"/>
    <col min="61" max="61" width="16.33203125" customWidth="1"/>
    <col min="62" max="63" width="15.33203125" customWidth="1"/>
    <col min="68" max="68" width="11.44140625" bestFit="1" customWidth="1"/>
    <col min="69" max="69" width="13.5546875" customWidth="1"/>
    <col min="70" max="70" width="13.6640625" customWidth="1"/>
    <col min="71" max="71" width="12.44140625" customWidth="1"/>
    <col min="72" max="77" width="12.6640625" customWidth="1"/>
    <col min="78" max="80" width="11.33203125" customWidth="1"/>
    <col min="81" max="85" width="11.6640625" hidden="1" customWidth="1"/>
    <col min="86" max="86" width="13.33203125" hidden="1" customWidth="1"/>
    <col min="87" max="88" width="11.6640625" hidden="1" customWidth="1"/>
    <col min="89" max="94" width="12.6640625" customWidth="1"/>
    <col min="95" max="96" width="11.33203125" customWidth="1"/>
    <col min="97" max="104" width="11.6640625" customWidth="1"/>
    <col min="105" max="108" width="13.44140625" customWidth="1"/>
    <col min="110" max="130" width="0.5546875" customWidth="1"/>
    <col min="131" max="132" width="15.5546875" customWidth="1"/>
    <col min="133" max="133" width="15.33203125" customWidth="1"/>
    <col min="134" max="134" width="14.5546875" customWidth="1"/>
    <col min="135" max="135" width="16.5546875" customWidth="1"/>
    <col min="136" max="138" width="18" customWidth="1"/>
    <col min="139" max="142" width="15.33203125" customWidth="1"/>
    <col min="143" max="143" width="11" customWidth="1"/>
    <col min="144" max="145" width="16" customWidth="1"/>
    <col min="146" max="146" width="9.33203125" customWidth="1"/>
    <col min="147" max="150" width="17" customWidth="1"/>
    <col min="152" max="152" width="15" bestFit="1" customWidth="1"/>
    <col min="153" max="153" width="10.6640625" customWidth="1"/>
    <col min="156" max="157" width="11.33203125" hidden="1" customWidth="1"/>
    <col min="158" max="161" width="9.6640625" hidden="1" customWidth="1"/>
    <col min="162" max="165" width="11.5546875" hidden="1" customWidth="1"/>
  </cols>
  <sheetData>
    <row r="1" spans="1:173" ht="15" thickBot="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ht="18" customHeight="1" thickBot="1" x14ac:dyDescent="0.35">
      <c r="A2" s="1"/>
      <c r="B2" s="2" t="s">
        <v>579</v>
      </c>
      <c r="C2" s="3"/>
      <c r="D2" s="3"/>
      <c r="E2" s="3"/>
      <c r="F2" s="3"/>
      <c r="G2" s="3"/>
      <c r="H2" s="4"/>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18" customHeight="1" x14ac:dyDescent="0.3">
      <c r="A3" s="1"/>
      <c r="B3" s="5" t="s">
        <v>0</v>
      </c>
      <c r="C3" s="6"/>
      <c r="D3" s="6"/>
      <c r="E3" s="6"/>
      <c r="F3" s="6"/>
      <c r="G3" s="6"/>
      <c r="H3" s="7"/>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18" customHeight="1" x14ac:dyDescent="0.3">
      <c r="A4" s="1"/>
      <c r="B4" s="8" t="s">
        <v>1</v>
      </c>
      <c r="C4" s="9"/>
      <c r="D4" s="9"/>
      <c r="E4" s="9"/>
      <c r="F4" s="9"/>
      <c r="G4" s="9"/>
      <c r="H4" s="10"/>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12.6" customHeight="1" x14ac:dyDescent="0.3">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row>
    <row r="6" spans="1:173" ht="12.6" customHeight="1" x14ac:dyDescent="0.3">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row>
    <row r="7" spans="1:173" ht="12.6" customHeight="1" x14ac:dyDescent="0.3">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c r="EU7" s="1"/>
      <c r="EV7" s="1"/>
      <c r="EW7" s="1"/>
      <c r="EX7" s="1"/>
      <c r="EY7" s="1"/>
      <c r="EZ7" s="1"/>
      <c r="FA7" s="1"/>
      <c r="FB7" s="1"/>
      <c r="FC7" s="1"/>
      <c r="FD7" s="1"/>
      <c r="FE7" s="1"/>
      <c r="FF7" s="1"/>
      <c r="FG7" s="1"/>
      <c r="FH7" s="1"/>
      <c r="FI7" s="1"/>
      <c r="FJ7" s="1"/>
      <c r="FK7" s="1"/>
      <c r="FL7" s="1"/>
      <c r="FM7" s="1"/>
      <c r="FN7" s="1"/>
      <c r="FO7" s="1"/>
      <c r="FP7" s="1"/>
      <c r="FQ7" s="1"/>
    </row>
    <row r="8" spans="1:173" ht="17.7" customHeight="1" x14ac:dyDescent="0.3">
      <c r="A8" s="1"/>
      <c r="B8" s="11" t="s">
        <v>2</v>
      </c>
      <c r="C8" s="12" t="s">
        <v>249</v>
      </c>
      <c r="D8" s="12" t="s">
        <v>250</v>
      </c>
      <c r="E8" s="124" t="s">
        <v>244</v>
      </c>
      <c r="F8" s="125"/>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56"/>
      <c r="CD8" s="56"/>
      <c r="CE8" s="56"/>
      <c r="CF8" s="56"/>
      <c r="CG8" s="56"/>
      <c r="CH8" s="56"/>
      <c r="CI8" s="56"/>
      <c r="CJ8" s="56"/>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row>
    <row r="9" spans="1:173" ht="10.35" customHeight="1" x14ac:dyDescent="0.3">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56"/>
      <c r="CD9" s="56"/>
      <c r="CE9" s="56"/>
      <c r="CF9" s="56"/>
      <c r="CG9" s="56"/>
      <c r="CH9" s="56"/>
      <c r="CI9" s="56"/>
      <c r="CJ9" s="56"/>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row>
    <row r="10" spans="1:173" x14ac:dyDescent="0.3">
      <c r="A10" s="1"/>
      <c r="B10" s="1"/>
      <c r="C10" s="13" t="s">
        <v>6</v>
      </c>
      <c r="D10" s="14"/>
      <c r="E10" s="14"/>
      <c r="F10" s="14"/>
      <c r="G10" s="14"/>
      <c r="H10" s="14"/>
      <c r="I10" s="14"/>
      <c r="J10" s="14"/>
      <c r="K10" s="14"/>
      <c r="L10" s="14"/>
      <c r="M10" s="14"/>
      <c r="N10" s="14"/>
      <c r="O10" s="14"/>
      <c r="P10" s="15" t="s">
        <v>580</v>
      </c>
      <c r="Q10" s="16"/>
      <c r="R10" s="16"/>
      <c r="S10" s="16"/>
      <c r="T10" s="16"/>
      <c r="U10" s="16"/>
      <c r="V10" s="16"/>
      <c r="W10" s="13" t="s">
        <v>628</v>
      </c>
      <c r="X10" s="17"/>
      <c r="Y10" s="17"/>
      <c r="Z10" s="17"/>
      <c r="AA10" s="17"/>
      <c r="AB10" s="17"/>
      <c r="AC10" s="17"/>
      <c r="AD10" s="13" t="s">
        <v>629</v>
      </c>
      <c r="AE10" s="17"/>
      <c r="AF10" s="17"/>
      <c r="AG10" s="18"/>
      <c r="AH10" s="19" t="s">
        <v>630</v>
      </c>
      <c r="AI10" s="20"/>
      <c r="AJ10" s="16"/>
      <c r="AK10" s="16"/>
      <c r="AL10" s="16"/>
      <c r="AM10" s="16"/>
      <c r="AN10" s="16"/>
      <c r="AO10" s="16"/>
      <c r="AP10" s="21"/>
      <c r="AQ10" s="19" t="s">
        <v>9</v>
      </c>
      <c r="AR10" s="16"/>
      <c r="AS10" s="16"/>
      <c r="AT10" s="16"/>
      <c r="AU10" s="16"/>
      <c r="AV10" s="16"/>
      <c r="AW10" s="16"/>
      <c r="AX10" s="16"/>
      <c r="AY10" s="21"/>
      <c r="AZ10" s="22" t="s">
        <v>10</v>
      </c>
      <c r="BA10" s="23"/>
      <c r="BB10" s="23"/>
      <c r="BC10" s="23"/>
      <c r="BD10" s="23"/>
      <c r="BE10" s="23"/>
      <c r="BF10" s="23"/>
      <c r="BG10" s="23"/>
      <c r="BH10" s="23"/>
      <c r="BI10" s="23"/>
      <c r="BJ10" s="23"/>
      <c r="BK10" s="23"/>
      <c r="BL10" s="23"/>
      <c r="BM10" s="23"/>
      <c r="BN10" s="23"/>
      <c r="BO10" s="23"/>
      <c r="BP10" s="23"/>
      <c r="BQ10" s="23"/>
      <c r="BR10" s="24"/>
      <c r="BS10" s="11"/>
      <c r="BT10" s="19"/>
      <c r="BU10" s="16"/>
      <c r="BV10" s="16"/>
      <c r="BW10" s="16"/>
      <c r="BX10" s="16"/>
      <c r="BY10" s="16"/>
      <c r="BZ10" s="16"/>
      <c r="CA10" s="16"/>
      <c r="CB10" s="16"/>
      <c r="CC10" s="58" t="s">
        <v>12</v>
      </c>
      <c r="CD10" s="59"/>
      <c r="CE10" s="59"/>
      <c r="CF10" s="59"/>
      <c r="CG10" s="59"/>
      <c r="CH10" s="59"/>
      <c r="CI10" s="59"/>
      <c r="CJ10" s="59"/>
      <c r="CK10" s="19" t="s">
        <v>581</v>
      </c>
      <c r="CL10" s="16"/>
      <c r="CM10" s="16"/>
      <c r="CN10" s="16"/>
      <c r="CO10" s="16"/>
      <c r="CP10" s="16"/>
      <c r="CQ10" s="16"/>
      <c r="CR10" s="16"/>
      <c r="CS10" s="19" t="s">
        <v>582</v>
      </c>
      <c r="CT10" s="127"/>
      <c r="CU10" s="59"/>
      <c r="CV10" s="59"/>
      <c r="CW10" s="59"/>
      <c r="CX10" s="59"/>
      <c r="CY10" s="59"/>
      <c r="CZ10" s="59"/>
      <c r="DA10" s="15" t="s">
        <v>15</v>
      </c>
      <c r="DB10" s="60"/>
      <c r="DC10" s="60"/>
      <c r="DD10" s="8" t="s">
        <v>16</v>
      </c>
      <c r="DE10" s="10"/>
      <c r="DF10" s="1"/>
      <c r="DG10" s="1"/>
      <c r="DH10" s="1"/>
      <c r="DI10" s="1"/>
      <c r="DJ10" s="1"/>
      <c r="DK10" s="1"/>
      <c r="DL10" s="1"/>
      <c r="DM10" s="1"/>
      <c r="DN10" s="1"/>
      <c r="DO10" s="1"/>
      <c r="DP10" s="1"/>
      <c r="DQ10" s="1"/>
      <c r="DR10" s="1"/>
      <c r="DS10" s="1"/>
      <c r="DT10" s="1"/>
      <c r="DU10" s="1"/>
      <c r="DV10" s="1"/>
      <c r="DW10" s="1"/>
      <c r="DX10" s="1"/>
      <c r="DY10" s="1"/>
      <c r="DZ10" s="1"/>
      <c r="EA10" s="13" t="s">
        <v>17</v>
      </c>
      <c r="EB10" s="14"/>
      <c r="EC10" s="14"/>
      <c r="ED10" s="14"/>
      <c r="EE10" s="14"/>
      <c r="EF10" s="14"/>
      <c r="EG10" s="14"/>
      <c r="EH10" s="14"/>
      <c r="EI10" s="14"/>
      <c r="EJ10" s="14"/>
      <c r="EK10" s="14"/>
      <c r="EL10" s="14"/>
      <c r="EM10" s="14"/>
      <c r="EN10" s="15" t="s">
        <v>583</v>
      </c>
      <c r="EO10" s="16"/>
      <c r="EP10" s="16"/>
      <c r="EQ10" s="16"/>
      <c r="ER10" s="16"/>
      <c r="ES10" s="16"/>
      <c r="ET10" s="16"/>
      <c r="EU10" s="16"/>
      <c r="EV10" s="13" t="s">
        <v>631</v>
      </c>
      <c r="EW10" s="14"/>
      <c r="EX10" s="14"/>
      <c r="EY10" s="61"/>
      <c r="EZ10" s="62" t="s">
        <v>19</v>
      </c>
      <c r="FA10" s="10"/>
      <c r="FB10" s="14" t="s">
        <v>632</v>
      </c>
      <c r="FC10" s="17"/>
      <c r="FD10" s="17"/>
      <c r="FE10" s="17"/>
      <c r="FF10" s="17"/>
      <c r="FG10" s="17"/>
      <c r="FH10" s="17"/>
      <c r="FI10" s="18"/>
      <c r="FJ10" s="1"/>
      <c r="FK10" s="1"/>
      <c r="FL10" s="1"/>
      <c r="FM10" s="1"/>
      <c r="FN10" s="1"/>
      <c r="FO10" s="1"/>
      <c r="FP10" s="1"/>
      <c r="FQ10" s="1"/>
    </row>
    <row r="11" spans="1:173" ht="78.75" customHeight="1" x14ac:dyDescent="0.3">
      <c r="A11" s="1"/>
      <c r="B11" s="25" t="s">
        <v>20</v>
      </c>
      <c r="C11" s="26" t="s">
        <v>21</v>
      </c>
      <c r="D11" s="27" t="s">
        <v>22</v>
      </c>
      <c r="E11" s="27" t="s">
        <v>23</v>
      </c>
      <c r="F11" s="27" t="s">
        <v>24</v>
      </c>
      <c r="G11" s="27" t="s">
        <v>25</v>
      </c>
      <c r="H11" s="27" t="s">
        <v>26</v>
      </c>
      <c r="I11" s="27" t="s">
        <v>27</v>
      </c>
      <c r="J11" s="121"/>
      <c r="K11" s="27" t="s">
        <v>29</v>
      </c>
      <c r="L11" s="27" t="s">
        <v>30</v>
      </c>
      <c r="M11" s="27" t="s">
        <v>31</v>
      </c>
      <c r="N11" s="27" t="s">
        <v>32</v>
      </c>
      <c r="O11" s="27" t="s">
        <v>33</v>
      </c>
      <c r="P11" s="26" t="s">
        <v>21</v>
      </c>
      <c r="Q11" s="27" t="s">
        <v>22</v>
      </c>
      <c r="R11" s="27" t="s">
        <v>34</v>
      </c>
      <c r="S11" s="27" t="s">
        <v>29</v>
      </c>
      <c r="T11" s="27" t="s">
        <v>30</v>
      </c>
      <c r="U11" s="27" t="s">
        <v>31</v>
      </c>
      <c r="V11" s="27" t="s">
        <v>32</v>
      </c>
      <c r="W11" s="27" t="s">
        <v>22</v>
      </c>
      <c r="X11" s="27" t="s">
        <v>23</v>
      </c>
      <c r="Y11" s="27" t="s">
        <v>35</v>
      </c>
      <c r="Z11" s="27" t="s">
        <v>36</v>
      </c>
      <c r="AA11" s="27" t="s">
        <v>26</v>
      </c>
      <c r="AB11" s="27" t="s">
        <v>27</v>
      </c>
      <c r="AC11" s="27" t="s">
        <v>28</v>
      </c>
      <c r="AD11" s="27" t="s">
        <v>29</v>
      </c>
      <c r="AE11" s="27" t="s">
        <v>30</v>
      </c>
      <c r="AF11" s="27" t="s">
        <v>31</v>
      </c>
      <c r="AG11" s="27" t="s">
        <v>32</v>
      </c>
      <c r="AH11" s="27" t="s">
        <v>37</v>
      </c>
      <c r="AI11" s="27" t="s">
        <v>38</v>
      </c>
      <c r="AJ11" s="27" t="s">
        <v>39</v>
      </c>
      <c r="AK11" s="27" t="s">
        <v>40</v>
      </c>
      <c r="AL11" s="27" t="s">
        <v>41</v>
      </c>
      <c r="AM11" s="27" t="s">
        <v>42</v>
      </c>
      <c r="AN11" s="121" t="s">
        <v>43</v>
      </c>
      <c r="AO11" s="27" t="s">
        <v>44</v>
      </c>
      <c r="AP11" s="27" t="s">
        <v>45</v>
      </c>
      <c r="AQ11" s="27" t="s">
        <v>37</v>
      </c>
      <c r="AR11" s="27" t="s">
        <v>38</v>
      </c>
      <c r="AS11" s="27" t="s">
        <v>39</v>
      </c>
      <c r="AT11" s="27" t="s">
        <v>40</v>
      </c>
      <c r="AU11" s="27" t="s">
        <v>41</v>
      </c>
      <c r="AV11" s="27" t="s">
        <v>42</v>
      </c>
      <c r="AW11" s="121"/>
      <c r="AX11" s="27" t="s">
        <v>44</v>
      </c>
      <c r="AY11" s="27" t="s">
        <v>45</v>
      </c>
      <c r="AZ11" s="27" t="s">
        <v>633</v>
      </c>
      <c r="BA11" s="27" t="s">
        <v>634</v>
      </c>
      <c r="BB11" s="27" t="s">
        <v>635</v>
      </c>
      <c r="BC11" s="27" t="s">
        <v>636</v>
      </c>
      <c r="BD11" s="27" t="s">
        <v>46</v>
      </c>
      <c r="BE11" s="27" t="s">
        <v>47</v>
      </c>
      <c r="BF11" s="27" t="s">
        <v>48</v>
      </c>
      <c r="BG11" s="27" t="s">
        <v>49</v>
      </c>
      <c r="BH11" s="27" t="s">
        <v>50</v>
      </c>
      <c r="BI11" s="27" t="s">
        <v>51</v>
      </c>
      <c r="BJ11" s="27" t="s">
        <v>52</v>
      </c>
      <c r="BK11" s="27" t="s">
        <v>53</v>
      </c>
      <c r="BL11" s="27" t="s">
        <v>54</v>
      </c>
      <c r="BM11" s="27" t="s">
        <v>55</v>
      </c>
      <c r="BN11" s="27" t="s">
        <v>56</v>
      </c>
      <c r="BO11" s="27" t="s">
        <v>57</v>
      </c>
      <c r="BP11" s="27" t="s">
        <v>637</v>
      </c>
      <c r="BQ11" s="27" t="s">
        <v>638</v>
      </c>
      <c r="BR11" s="27" t="s">
        <v>273</v>
      </c>
      <c r="BS11" s="27" t="s">
        <v>584</v>
      </c>
      <c r="BT11" s="27"/>
      <c r="BU11" s="27"/>
      <c r="BV11" s="27"/>
      <c r="BW11" s="27"/>
      <c r="BX11" s="27"/>
      <c r="BY11" s="27"/>
      <c r="BZ11" s="27"/>
      <c r="CA11" s="27"/>
      <c r="CB11" s="27"/>
      <c r="CC11" s="63" t="s">
        <v>68</v>
      </c>
      <c r="CD11" s="63" t="s">
        <v>69</v>
      </c>
      <c r="CE11" s="63" t="s">
        <v>70</v>
      </c>
      <c r="CF11" s="63" t="s">
        <v>71</v>
      </c>
      <c r="CG11" s="63" t="s">
        <v>72</v>
      </c>
      <c r="CH11" s="63" t="s">
        <v>73</v>
      </c>
      <c r="CI11" s="63" t="s">
        <v>74</v>
      </c>
      <c r="CJ11" s="63" t="s">
        <v>75</v>
      </c>
      <c r="CK11" s="27" t="s">
        <v>585</v>
      </c>
      <c r="CL11" s="27" t="s">
        <v>586</v>
      </c>
      <c r="CM11" s="27" t="s">
        <v>587</v>
      </c>
      <c r="CN11" s="27" t="s">
        <v>588</v>
      </c>
      <c r="CO11" s="27" t="s">
        <v>80</v>
      </c>
      <c r="CP11" s="27" t="s">
        <v>81</v>
      </c>
      <c r="CQ11" s="27" t="s">
        <v>82</v>
      </c>
      <c r="CR11" s="27" t="s">
        <v>589</v>
      </c>
      <c r="CS11" s="128" t="s">
        <v>590</v>
      </c>
      <c r="CT11" s="128" t="s">
        <v>591</v>
      </c>
      <c r="CU11" s="128" t="s">
        <v>592</v>
      </c>
      <c r="CV11" s="128" t="s">
        <v>593</v>
      </c>
      <c r="CW11" s="128" t="s">
        <v>88</v>
      </c>
      <c r="CX11" s="128" t="s">
        <v>89</v>
      </c>
      <c r="CY11" s="128" t="s">
        <v>90</v>
      </c>
      <c r="CZ11" s="128" t="s">
        <v>91</v>
      </c>
      <c r="DA11" s="64" t="s">
        <v>92</v>
      </c>
      <c r="DB11" s="64" t="s">
        <v>93</v>
      </c>
      <c r="DC11" s="64" t="s">
        <v>94</v>
      </c>
      <c r="DD11" s="64" t="s">
        <v>95</v>
      </c>
      <c r="DE11" s="64" t="s">
        <v>96</v>
      </c>
      <c r="DF11" s="1"/>
      <c r="DG11" s="1"/>
      <c r="DH11" s="1"/>
      <c r="DI11" s="1"/>
      <c r="DJ11" s="1"/>
      <c r="DK11" s="1"/>
      <c r="DL11" s="1"/>
      <c r="DM11" s="1"/>
      <c r="DN11" s="1"/>
      <c r="DO11" s="1"/>
      <c r="DP11" s="1"/>
      <c r="DQ11" s="1"/>
      <c r="DR11" s="1"/>
      <c r="DS11" s="1"/>
      <c r="DT11" s="1"/>
      <c r="DU11" s="1"/>
      <c r="DV11" s="1"/>
      <c r="DW11" s="1"/>
      <c r="DX11" s="1"/>
      <c r="DY11" s="1"/>
      <c r="DZ11" s="1"/>
      <c r="EA11" s="26" t="s">
        <v>97</v>
      </c>
      <c r="EB11" s="27" t="s">
        <v>98</v>
      </c>
      <c r="EC11" s="27" t="s">
        <v>99</v>
      </c>
      <c r="ED11" s="27" t="s">
        <v>100</v>
      </c>
      <c r="EE11" s="27" t="s">
        <v>101</v>
      </c>
      <c r="EF11" s="27" t="s">
        <v>102</v>
      </c>
      <c r="EG11" s="27" t="s">
        <v>103</v>
      </c>
      <c r="EH11" s="121"/>
      <c r="EI11" s="27" t="s">
        <v>104</v>
      </c>
      <c r="EJ11" s="27" t="s">
        <v>105</v>
      </c>
      <c r="EK11" s="27" t="s">
        <v>106</v>
      </c>
      <c r="EL11" s="27" t="s">
        <v>107</v>
      </c>
      <c r="EM11" s="27" t="s">
        <v>33</v>
      </c>
      <c r="EN11" s="27" t="s">
        <v>97</v>
      </c>
      <c r="EO11" s="27" t="s">
        <v>98</v>
      </c>
      <c r="EP11" s="27" t="s">
        <v>108</v>
      </c>
      <c r="EQ11" s="27" t="s">
        <v>104</v>
      </c>
      <c r="ER11" s="27" t="s">
        <v>105</v>
      </c>
      <c r="ES11" s="27" t="s">
        <v>106</v>
      </c>
      <c r="ET11" s="27" t="s">
        <v>107</v>
      </c>
      <c r="EU11" s="27" t="s">
        <v>594</v>
      </c>
      <c r="EV11" s="64" t="s">
        <v>639</v>
      </c>
      <c r="EW11" s="27" t="s">
        <v>99</v>
      </c>
      <c r="EX11" s="64" t="s">
        <v>110</v>
      </c>
      <c r="EY11" s="64" t="s">
        <v>640</v>
      </c>
      <c r="EZ11" s="64" t="s">
        <v>111</v>
      </c>
      <c r="FA11" s="64" t="s">
        <v>112</v>
      </c>
      <c r="FB11" s="27" t="s">
        <v>641</v>
      </c>
      <c r="FC11" s="27" t="s">
        <v>642</v>
      </c>
      <c r="FD11" s="27" t="s">
        <v>643</v>
      </c>
      <c r="FE11" s="27" t="s">
        <v>644</v>
      </c>
      <c r="FF11" s="27" t="s">
        <v>645</v>
      </c>
      <c r="FG11" s="27" t="s">
        <v>646</v>
      </c>
      <c r="FH11" s="27" t="s">
        <v>647</v>
      </c>
      <c r="FI11" s="27" t="s">
        <v>648</v>
      </c>
      <c r="FJ11" s="1"/>
      <c r="FK11" s="1"/>
      <c r="FL11" s="1"/>
      <c r="FM11" s="1"/>
      <c r="FN11" s="1"/>
      <c r="FO11" s="1"/>
      <c r="FP11" s="1"/>
      <c r="FQ11" s="1"/>
    </row>
    <row r="12" spans="1:173" x14ac:dyDescent="0.3">
      <c r="A12" s="1"/>
      <c r="B12" s="28">
        <v>1</v>
      </c>
      <c r="C12" s="129">
        <f>'[91]2. Distributional by deciles o'!B64</f>
        <v>10682931.704400003</v>
      </c>
      <c r="D12" s="129">
        <f>'[91]2. Distributional by deciles o'!C64</f>
        <v>11104345.238399997</v>
      </c>
      <c r="E12" s="129">
        <f>'[91]2. Distributional by deciles o'!D64</f>
        <v>10801290.42</v>
      </c>
      <c r="F12" s="129">
        <f>'[91]2. Distributional by deciles o'!E64</f>
        <v>11100757.409999998</v>
      </c>
      <c r="G12" s="129">
        <f>'[91]2. Distributional by deciles o'!F64</f>
        <v>11047043.235599998</v>
      </c>
      <c r="H12" s="129">
        <f>'[91]2. Distributional by deciles o'!G64</f>
        <v>10848626.252399998</v>
      </c>
      <c r="I12" s="129">
        <f>'[91]2. Distributional by deciles o'!H64</f>
        <v>10801290.42</v>
      </c>
      <c r="J12" s="122"/>
      <c r="K12" s="130" t="s">
        <v>113</v>
      </c>
      <c r="L12" s="130" t="s">
        <v>113</v>
      </c>
      <c r="M12" s="130" t="s">
        <v>113</v>
      </c>
      <c r="N12" s="130" t="s">
        <v>113</v>
      </c>
      <c r="O12" s="131">
        <f>C12/C$22*100</f>
        <v>7.0718962167312285E-2</v>
      </c>
      <c r="P12" s="129">
        <f>'[91]2. Distributional by deciles o'!B82</f>
        <v>2143661668.7568021</v>
      </c>
      <c r="Q12" s="129">
        <f>'[91]2. Distributional by deciles o'!C82</f>
        <v>2165097722.1611991</v>
      </c>
      <c r="R12" s="131">
        <f t="shared" ref="R12:R21" si="0">(Q12/P12-1)*100</f>
        <v>0.99997372331748213</v>
      </c>
      <c r="S12" s="130" t="s">
        <v>113</v>
      </c>
      <c r="T12" s="130" t="s">
        <v>113</v>
      </c>
      <c r="U12" s="130" t="s">
        <v>113</v>
      </c>
      <c r="V12" s="130" t="s">
        <v>113</v>
      </c>
      <c r="W12" s="132">
        <f>IF(D12&lt;&gt;0,((D12-$C12)/ABS($C12)) / ($Q12/$P12-1),0)</f>
        <v>3.9448404174206364</v>
      </c>
      <c r="X12" s="132">
        <f>IF(E12&lt;&gt;0,((E12-$C12)/ABS($C12)) / ($Q12/$P12-1),0)</f>
        <v>1.1079526578585599</v>
      </c>
      <c r="Y12" s="132">
        <f>IF(F12&lt;&gt;0,((F12-$C12)/ABS($C12)) / ($Q12/$P12-1),0)</f>
        <v>3.9112548551612951</v>
      </c>
      <c r="Z12" s="132">
        <f>IF(G12&lt;&gt;0,((G12-$C12)/ABS($C12)) / ($Q12/$P12-1),0)</f>
        <v>3.4084379566382794</v>
      </c>
      <c r="AA12" s="132">
        <f>IF(H12&lt;&gt;0,((H12-$C12)/ABS($C12)) / ($Q12/$P12-1),0)</f>
        <v>1.5510620736177685</v>
      </c>
      <c r="AB12" s="132">
        <f t="shared" ref="AB12:AC21" si="1">IF(I12&lt;&gt;0,((I12-$C12)/ABS($C12)) / ($Q12/$P12-1),AA12)</f>
        <v>1.1079526578585599</v>
      </c>
      <c r="AC12" s="132">
        <f t="shared" si="1"/>
        <v>1.1079526578585599</v>
      </c>
      <c r="AD12" s="130" t="s">
        <v>113</v>
      </c>
      <c r="AE12" s="130" t="s">
        <v>113</v>
      </c>
      <c r="AF12" s="130" t="s">
        <v>113</v>
      </c>
      <c r="AG12" s="130" t="s">
        <v>113</v>
      </c>
      <c r="AH12" s="133">
        <f>MIN(W12,1)</f>
        <v>1</v>
      </c>
      <c r="AI12" s="134">
        <f>IF(W12&gt;1,W12-SUM(AH12,AJ12:AO12),0)</f>
        <v>0.10795265785855968</v>
      </c>
      <c r="AJ12" s="134">
        <f>IF(W12&gt;1,MIN($W12-Y12,W12-AH12),0)</f>
        <v>3.3585562259341284E-2</v>
      </c>
      <c r="AK12" s="134">
        <f>IF(W12&gt;1,MIN(Y12-Z12,W12-AH12-AJ12),0)</f>
        <v>0.5028168985230157</v>
      </c>
      <c r="AL12" s="134">
        <f>IF(W12&gt;1,MIN(Z12-AA12,W12-AH12-AJ12-AK12),0)</f>
        <v>1.8573758830205109</v>
      </c>
      <c r="AM12" s="134">
        <f>IF(I12&lt;&gt;0,IF(W12&gt;1,MIN(AA12-AB12,W12-AJ12-AK12-AL12),0),0)</f>
        <v>0.44310941575920859</v>
      </c>
      <c r="AN12" s="135">
        <f>IF(J12&lt;&gt;0,IF(W12&gt;1,MIN(AB12-AC12,W12-AH12-AJ12-AK12-AL12-AM12),0),0)</f>
        <v>0</v>
      </c>
      <c r="AO12" s="134">
        <f>IF(W12&gt;1,MIN(AC12-X12,W12-AH12-AJ12-AK12-AL12-AM12-AN12),0)</f>
        <v>0</v>
      </c>
      <c r="AP12" s="134">
        <f t="shared" ref="AP12:AP21" si="2">AI12+AO12</f>
        <v>0.10795265785855968</v>
      </c>
      <c r="AQ12" s="136" t="s">
        <v>113</v>
      </c>
      <c r="AR12" s="137">
        <f t="shared" ref="AR12:AY22" si="3">AI12/($W12-1)*100</f>
        <v>3.6658236969293774</v>
      </c>
      <c r="AS12" s="137">
        <f t="shared" si="3"/>
        <v>1.1404883626515363</v>
      </c>
      <c r="AT12" s="137">
        <f t="shared" si="3"/>
        <v>17.074504124180326</v>
      </c>
      <c r="AU12" s="137">
        <f t="shared" si="3"/>
        <v>63.072208328605207</v>
      </c>
      <c r="AV12" s="137">
        <f t="shared" si="3"/>
        <v>15.046975487633546</v>
      </c>
      <c r="AW12" s="138">
        <f t="shared" si="3"/>
        <v>0</v>
      </c>
      <c r="AX12" s="137">
        <f t="shared" si="3"/>
        <v>0</v>
      </c>
      <c r="AY12" s="137">
        <f t="shared" si="3"/>
        <v>3.6658236969293774</v>
      </c>
      <c r="AZ12" s="139" t="s">
        <v>113</v>
      </c>
      <c r="BA12" s="139" t="s">
        <v>113</v>
      </c>
      <c r="BB12" s="139" t="s">
        <v>113</v>
      </c>
      <c r="BC12" s="139" t="s">
        <v>113</v>
      </c>
      <c r="BD12" s="139" t="s">
        <v>113</v>
      </c>
      <c r="BE12" s="139" t="s">
        <v>113</v>
      </c>
      <c r="BF12" s="139" t="s">
        <v>113</v>
      </c>
      <c r="BG12" s="139" t="s">
        <v>113</v>
      </c>
      <c r="BH12" s="140">
        <f>'[91]2. Distributional by deciles o'!$B100</f>
        <v>929707041.36120093</v>
      </c>
      <c r="BI12" s="140">
        <f>'[91]2. Distributional by deciles o'!$B118</f>
        <v>1000365109.0751994</v>
      </c>
      <c r="BJ12" s="140">
        <f>'[91]2. Distributional by deciles o'!$B136</f>
        <v>173733440.55360001</v>
      </c>
      <c r="BK12" s="140">
        <f>'[91]2. Distributional by deciles o'!$B154</f>
        <v>39855914.100000001</v>
      </c>
      <c r="BL12" s="141">
        <f>BH12/SUM($BH12:$BK12)</f>
        <v>0.43370048823177787</v>
      </c>
      <c r="BM12" s="141">
        <f t="shared" ref="BM12:BO22" si="4">BI12/SUM($BH12:$BK12)</f>
        <v>0.4666618804787464</v>
      </c>
      <c r="BN12" s="141">
        <f t="shared" si="4"/>
        <v>8.1045183738701287E-2</v>
      </c>
      <c r="BO12" s="141">
        <f t="shared" si="4"/>
        <v>1.8592447550774428E-2</v>
      </c>
      <c r="BP12" s="139" t="s">
        <v>113</v>
      </c>
      <c r="BQ12" s="139" t="s">
        <v>113</v>
      </c>
      <c r="BR12" s="139" t="s">
        <v>113</v>
      </c>
      <c r="BS12" s="131">
        <f>P12/P$22*100</f>
        <v>1.9004115868165798</v>
      </c>
      <c r="BT12" s="139"/>
      <c r="BU12" s="139"/>
      <c r="BV12" s="139"/>
      <c r="BW12" s="139"/>
      <c r="BX12" s="139"/>
      <c r="BY12" s="139"/>
      <c r="BZ12" s="139"/>
      <c r="CA12" s="139"/>
      <c r="CB12" s="139"/>
      <c r="CC12" s="142" t="s">
        <v>113</v>
      </c>
      <c r="CD12" s="142" t="s">
        <v>113</v>
      </c>
      <c r="CE12" s="142" t="s">
        <v>113</v>
      </c>
      <c r="CF12" s="142" t="s">
        <v>113</v>
      </c>
      <c r="CG12" s="142" t="s">
        <v>113</v>
      </c>
      <c r="CH12" s="142" t="s">
        <v>113</v>
      </c>
      <c r="CI12" s="142" t="s">
        <v>113</v>
      </c>
      <c r="CJ12" s="142"/>
      <c r="CK12" s="139" t="s">
        <v>113</v>
      </c>
      <c r="CL12" s="139" t="s">
        <v>113</v>
      </c>
      <c r="CM12" s="139" t="s">
        <v>113</v>
      </c>
      <c r="CN12" s="139" t="s">
        <v>113</v>
      </c>
      <c r="CO12" s="139" t="s">
        <v>113</v>
      </c>
      <c r="CP12" s="139" t="s">
        <v>113</v>
      </c>
      <c r="CQ12" s="139" t="s">
        <v>113</v>
      </c>
      <c r="CR12" s="139"/>
      <c r="CS12" s="143" t="s">
        <v>113</v>
      </c>
      <c r="CT12" s="143" t="s">
        <v>113</v>
      </c>
      <c r="CU12" s="143" t="s">
        <v>113</v>
      </c>
      <c r="CV12" s="143" t="s">
        <v>113</v>
      </c>
      <c r="CW12" s="143" t="s">
        <v>113</v>
      </c>
      <c r="CX12" s="143" t="s">
        <v>113</v>
      </c>
      <c r="CY12" s="143" t="s">
        <v>113</v>
      </c>
      <c r="CZ12" s="143"/>
      <c r="DA12" s="139" t="s">
        <v>113</v>
      </c>
      <c r="DB12" s="139" t="s">
        <v>113</v>
      </c>
      <c r="DC12" s="139" t="s">
        <v>113</v>
      </c>
      <c r="DD12" s="144">
        <f>(1-DE12)*100</f>
        <v>91.479342459440289</v>
      </c>
      <c r="DE12" s="145">
        <f>'[91]2. Distributional by deciles o'!$J28</f>
        <v>8.5206575405597007E-2</v>
      </c>
      <c r="DF12" s="1"/>
      <c r="DG12" s="1"/>
      <c r="DH12" s="1"/>
      <c r="DI12" s="1"/>
      <c r="DJ12" s="1"/>
      <c r="DK12" s="1"/>
      <c r="DL12" s="1"/>
      <c r="DM12" s="1"/>
      <c r="DN12" s="1"/>
      <c r="DO12" s="1"/>
      <c r="DP12" s="1"/>
      <c r="DQ12" s="1"/>
      <c r="DR12" s="1"/>
      <c r="DS12" s="1"/>
      <c r="DT12" s="1"/>
      <c r="DU12" s="1"/>
      <c r="DV12" s="1"/>
      <c r="DW12" s="1"/>
      <c r="DX12" s="1"/>
      <c r="DY12" s="1"/>
      <c r="DZ12" s="1"/>
      <c r="EA12" s="146">
        <f>'[92]2. Distributional by deciles o'!B64</f>
        <v>8493817.6644000001</v>
      </c>
      <c r="EB12" s="146">
        <f>'[92]2. Distributional by deciles o'!C64</f>
        <v>8721126.5231999978</v>
      </c>
      <c r="EC12" s="146">
        <f>'[92]2. Distributional by deciles o'!D64</f>
        <v>8582326.0799999982</v>
      </c>
      <c r="ED12" s="146"/>
      <c r="EE12" s="146"/>
      <c r="EF12" s="146"/>
      <c r="EG12" s="146"/>
      <c r="EH12" s="122"/>
      <c r="EI12" s="130" t="s">
        <v>113</v>
      </c>
      <c r="EJ12" s="130" t="s">
        <v>113</v>
      </c>
      <c r="EK12" s="130" t="s">
        <v>113</v>
      </c>
      <c r="EL12" s="130" t="s">
        <v>113</v>
      </c>
      <c r="EM12" s="131">
        <f t="shared" ref="EM12:EM21" si="5">EA12/EA$22*100</f>
        <v>4.6006379474645392E-2</v>
      </c>
      <c r="EN12" s="146">
        <f>'[92]2. Distributional by deciles o'!B82</f>
        <v>2545080425.2092047</v>
      </c>
      <c r="EO12" s="146">
        <f>'[92]2. Distributional by deciles o'!C82</f>
        <v>2570533566.3384027</v>
      </c>
      <c r="EP12" s="131">
        <f>(EO12/EN12-1)*100</f>
        <v>1.0000918193815433</v>
      </c>
      <c r="EQ12" s="130" t="s">
        <v>113</v>
      </c>
      <c r="ER12" s="130" t="s">
        <v>113</v>
      </c>
      <c r="ES12" s="130" t="s">
        <v>113</v>
      </c>
      <c r="ET12" s="130" t="s">
        <v>113</v>
      </c>
      <c r="EU12" s="131">
        <f>EN12/EN$22*100</f>
        <v>1.9205583031430027</v>
      </c>
      <c r="EV12" s="132">
        <f>((EB12-$EA12)/ABS($EA12)) / ($EO12/$EN12-1)</f>
        <v>2.6759226338235531</v>
      </c>
      <c r="EW12" s="132">
        <f>IF(EC12&lt;&gt;0,((EC12-$EA12)/ABS($EA12)) / ($EO12/$EN12-1),0)</f>
        <v>1.0419377134627492</v>
      </c>
      <c r="EX12" s="132"/>
      <c r="EY12" s="148">
        <f>EV12-W12</f>
        <v>-1.2689177835970833</v>
      </c>
      <c r="EZ12" s="144">
        <f>(1-FA12)*100</f>
        <v>96.304882228310021</v>
      </c>
      <c r="FA12" s="145">
        <f>'[92]2. Distributional by deciles o'!$J28</f>
        <v>3.6951177716899875E-2</v>
      </c>
      <c r="FB12" s="130" t="s">
        <v>113</v>
      </c>
      <c r="FC12" s="130" t="s">
        <v>113</v>
      </c>
      <c r="FD12" s="130" t="s">
        <v>113</v>
      </c>
      <c r="FE12" s="130" t="s">
        <v>113</v>
      </c>
      <c r="FF12" s="130" t="s">
        <v>113</v>
      </c>
      <c r="FG12" s="130" t="s">
        <v>113</v>
      </c>
      <c r="FH12" s="130" t="s">
        <v>113</v>
      </c>
      <c r="FI12" s="130" t="s">
        <v>113</v>
      </c>
      <c r="FJ12" s="1"/>
      <c r="FK12" s="1"/>
      <c r="FL12" s="1"/>
      <c r="FM12" s="1"/>
      <c r="FN12" s="1"/>
      <c r="FO12" s="1"/>
      <c r="FP12" s="1"/>
      <c r="FQ12" s="53"/>
    </row>
    <row r="13" spans="1:173" x14ac:dyDescent="0.3">
      <c r="A13" s="1"/>
      <c r="B13" s="28">
        <v>2</v>
      </c>
      <c r="C13" s="129">
        <f>'[91]2. Distributional by deciles o'!B65</f>
        <v>24660129.689999983</v>
      </c>
      <c r="D13" s="129">
        <f>'[91]2. Distributional by deciles o'!C65</f>
        <v>26498747.509199977</v>
      </c>
      <c r="E13" s="129">
        <f>'[91]2. Distributional by deciles o'!D65</f>
        <v>24970724.026800014</v>
      </c>
      <c r="F13" s="129">
        <f>'[91]2. Distributional by deciles o'!E65</f>
        <v>26413598.621999983</v>
      </c>
      <c r="G13" s="129">
        <f>'[91]2. Distributional by deciles o'!F65</f>
        <v>26021372.816399984</v>
      </c>
      <c r="H13" s="129">
        <f>'[91]2. Distributional by deciles o'!G65</f>
        <v>25256510.72639998</v>
      </c>
      <c r="I13" s="129">
        <f>'[91]2. Distributional by deciles o'!H65</f>
        <v>25022051.674800009</v>
      </c>
      <c r="J13" s="122"/>
      <c r="K13" s="130" t="s">
        <v>113</v>
      </c>
      <c r="L13" s="130" t="s">
        <v>113</v>
      </c>
      <c r="M13" s="130" t="s">
        <v>113</v>
      </c>
      <c r="N13" s="130" t="s">
        <v>113</v>
      </c>
      <c r="O13" s="131">
        <f t="shared" ref="O13:O21" si="6">C13/C$22*100</f>
        <v>0.16324533628440618</v>
      </c>
      <c r="P13" s="129">
        <f>'[91]2. Distributional by deciles o'!B83</f>
        <v>4423369217.5799942</v>
      </c>
      <c r="Q13" s="129">
        <f>'[91]2. Distributional by deciles o'!C83</f>
        <v>4467604305.6924</v>
      </c>
      <c r="R13" s="131">
        <f t="shared" si="0"/>
        <v>1.0000315582203712</v>
      </c>
      <c r="S13" s="130" t="s">
        <v>113</v>
      </c>
      <c r="T13" s="130" t="s">
        <v>113</v>
      </c>
      <c r="U13" s="130" t="s">
        <v>113</v>
      </c>
      <c r="V13" s="130" t="s">
        <v>113</v>
      </c>
      <c r="W13" s="132">
        <f t="shared" ref="W13:AA22" si="7">IF(D13&lt;&gt;0,((D13-$C13)/ABS($C13)) / ($Q13/$P13-1),0)</f>
        <v>7.4555966275809951</v>
      </c>
      <c r="X13" s="132">
        <f t="shared" si="7"/>
        <v>1.2594602672781912</v>
      </c>
      <c r="Y13" s="132">
        <f t="shared" si="7"/>
        <v>7.1103178265048825</v>
      </c>
      <c r="Z13" s="132">
        <f t="shared" si="7"/>
        <v>5.5198418923849903</v>
      </c>
      <c r="AA13" s="132">
        <f t="shared" si="7"/>
        <v>2.4183255472155474</v>
      </c>
      <c r="AB13" s="132">
        <f t="shared" si="1"/>
        <v>1.4675939181839193</v>
      </c>
      <c r="AC13" s="132">
        <f t="shared" si="1"/>
        <v>1.4675939181839193</v>
      </c>
      <c r="AD13" s="130" t="s">
        <v>113</v>
      </c>
      <c r="AE13" s="130" t="s">
        <v>113</v>
      </c>
      <c r="AF13" s="130" t="s">
        <v>113</v>
      </c>
      <c r="AG13" s="130" t="s">
        <v>113</v>
      </c>
      <c r="AH13" s="133">
        <f t="shared" ref="AH13:AH22" si="8">MIN(W13,1)</f>
        <v>1</v>
      </c>
      <c r="AI13" s="134">
        <f t="shared" ref="AI13:AI21" si="9">IF(W13&gt;1,W13-SUM(AH13,AJ13:AO13),0)</f>
        <v>0.25946026727819138</v>
      </c>
      <c r="AJ13" s="134">
        <f t="shared" ref="AJ13:AJ22" si="10">IF(W13&gt;1,MIN($W13-Y13,W13-AH13),0)</f>
        <v>0.34527880107611253</v>
      </c>
      <c r="AK13" s="134">
        <f t="shared" ref="AK13:AK22" si="11">IF(W13&gt;1,MIN(Y13-Z13,W13-AH13-AJ13),0)</f>
        <v>1.5904759341198922</v>
      </c>
      <c r="AL13" s="134">
        <f t="shared" ref="AL13:AL22" si="12">IF(W13&gt;1,MIN(Z13-AA13,W13-AH13-AJ13-AK13),0)</f>
        <v>3.101516345169443</v>
      </c>
      <c r="AM13" s="134">
        <f t="shared" ref="AM13:AM22" si="13">IF(I13&lt;&gt;0,IF(W13&gt;1,MIN(AA13-AB13,W13-AJ13-AK13-AL13),0),0)</f>
        <v>0.95073162903162811</v>
      </c>
      <c r="AN13" s="135">
        <f t="shared" ref="AN13:AN22" si="14">IF(J13&lt;&gt;0,IF(W13&gt;1,MIN(AB13-AC13,W13-AH13-AJ13-AK13-AL13-AM13),0),0)</f>
        <v>0</v>
      </c>
      <c r="AO13" s="134">
        <f t="shared" ref="AO13:AO22" si="15">IF(W13&gt;1,MIN(AC13-X13,W13-AH13-AJ13-AK13-AL13-AM13-AN13),0)</f>
        <v>0.20813365090572811</v>
      </c>
      <c r="AP13" s="134">
        <f>AI13+AO13</f>
        <v>0.46759391818391949</v>
      </c>
      <c r="AQ13" s="136" t="s">
        <v>113</v>
      </c>
      <c r="AR13" s="137">
        <f t="shared" si="3"/>
        <v>4.0191524075353344</v>
      </c>
      <c r="AS13" s="137">
        <f t="shared" si="3"/>
        <v>5.3485188278483484</v>
      </c>
      <c r="AT13" s="137">
        <f t="shared" si="3"/>
        <v>24.637164089911025</v>
      </c>
      <c r="AU13" s="137">
        <f t="shared" si="3"/>
        <v>48.043837372342537</v>
      </c>
      <c r="AV13" s="137">
        <f t="shared" si="3"/>
        <v>14.727246509946223</v>
      </c>
      <c r="AW13" s="138">
        <f t="shared" si="3"/>
        <v>0</v>
      </c>
      <c r="AX13" s="137">
        <f t="shared" si="3"/>
        <v>3.2240807924165296</v>
      </c>
      <c r="AY13" s="137">
        <f t="shared" si="3"/>
        <v>7.243233199951864</v>
      </c>
      <c r="AZ13" s="139" t="s">
        <v>113</v>
      </c>
      <c r="BA13" s="139" t="s">
        <v>113</v>
      </c>
      <c r="BB13" s="139" t="s">
        <v>113</v>
      </c>
      <c r="BC13" s="139" t="s">
        <v>113</v>
      </c>
      <c r="BD13" s="139" t="s">
        <v>113</v>
      </c>
      <c r="BE13" s="139" t="s">
        <v>113</v>
      </c>
      <c r="BF13" s="139" t="s">
        <v>113</v>
      </c>
      <c r="BG13" s="139" t="s">
        <v>113</v>
      </c>
      <c r="BH13" s="140">
        <f>'[91]2. Distributional by deciles o'!$B101</f>
        <v>1979000722.7363992</v>
      </c>
      <c r="BI13" s="140">
        <f>'[91]2. Distributional by deciles o'!$B119</f>
        <v>2231147370.1055989</v>
      </c>
      <c r="BJ13" s="140">
        <f>'[91]2. Distributional by deciles o'!$B137</f>
        <v>173648508.94560003</v>
      </c>
      <c r="BK13" s="140">
        <f>'[91]2. Distributional by deciles o'!$B155</f>
        <v>39572753.18280001</v>
      </c>
      <c r="BL13" s="141">
        <f t="shared" ref="BL13:BL22" si="16">BH13/SUM($BH13:$BK13)</f>
        <v>0.4473966707104528</v>
      </c>
      <c r="BM13" s="141">
        <f t="shared" si="4"/>
        <v>0.5043999700360835</v>
      </c>
      <c r="BN13" s="141">
        <f t="shared" ref="BN13:BO22" si="17">BJ13/SUM($BH13:$BK13)</f>
        <v>3.9257067409592825E-2</v>
      </c>
      <c r="BO13" s="141">
        <f t="shared" si="17"/>
        <v>8.9462918438708676E-3</v>
      </c>
      <c r="BP13" s="139" t="s">
        <v>113</v>
      </c>
      <c r="BQ13" s="139" t="s">
        <v>113</v>
      </c>
      <c r="BR13" s="139" t="s">
        <v>113</v>
      </c>
      <c r="BS13" s="131">
        <f t="shared" ref="BS13:BS21" si="18">P13/P$22*100</f>
        <v>3.9214313696862084</v>
      </c>
      <c r="BT13" s="139"/>
      <c r="BU13" s="139"/>
      <c r="BV13" s="139"/>
      <c r="BW13" s="139"/>
      <c r="BX13" s="139"/>
      <c r="BY13" s="139"/>
      <c r="BZ13" s="139"/>
      <c r="CA13" s="139"/>
      <c r="CB13" s="139"/>
      <c r="CC13" s="142" t="s">
        <v>113</v>
      </c>
      <c r="CD13" s="142" t="s">
        <v>113</v>
      </c>
      <c r="CE13" s="142" t="s">
        <v>113</v>
      </c>
      <c r="CF13" s="142" t="s">
        <v>113</v>
      </c>
      <c r="CG13" s="142" t="s">
        <v>113</v>
      </c>
      <c r="CH13" s="142" t="s">
        <v>113</v>
      </c>
      <c r="CI13" s="142" t="s">
        <v>113</v>
      </c>
      <c r="CJ13" s="142"/>
      <c r="CK13" s="139" t="s">
        <v>113</v>
      </c>
      <c r="CL13" s="139" t="s">
        <v>113</v>
      </c>
      <c r="CM13" s="139" t="s">
        <v>113</v>
      </c>
      <c r="CN13" s="139" t="s">
        <v>113</v>
      </c>
      <c r="CO13" s="139" t="s">
        <v>113</v>
      </c>
      <c r="CP13" s="139" t="s">
        <v>113</v>
      </c>
      <c r="CQ13" s="139" t="s">
        <v>113</v>
      </c>
      <c r="CR13" s="139"/>
      <c r="CS13" s="143" t="s">
        <v>113</v>
      </c>
      <c r="CT13" s="143" t="s">
        <v>113</v>
      </c>
      <c r="CU13" s="143" t="s">
        <v>113</v>
      </c>
      <c r="CV13" s="143" t="s">
        <v>113</v>
      </c>
      <c r="CW13" s="143" t="s">
        <v>113</v>
      </c>
      <c r="CX13" s="143" t="s">
        <v>113</v>
      </c>
      <c r="CY13" s="143" t="s">
        <v>113</v>
      </c>
      <c r="CZ13" s="143"/>
      <c r="DA13" s="139" t="s">
        <v>113</v>
      </c>
      <c r="DB13" s="139" t="s">
        <v>113</v>
      </c>
      <c r="DC13" s="139" t="s">
        <v>113</v>
      </c>
      <c r="DD13" s="144">
        <f t="shared" ref="DD13:DD22" si="19">(1-DE13)*100</f>
        <v>80.439492271305966</v>
      </c>
      <c r="DE13" s="145">
        <f>'[91]2. Distributional by deciles o'!$J29</f>
        <v>0.19560507728694035</v>
      </c>
      <c r="DF13" s="1"/>
      <c r="DG13" s="1"/>
      <c r="DH13" s="1"/>
      <c r="DI13" s="1"/>
      <c r="DJ13" s="1"/>
      <c r="DK13" s="1"/>
      <c r="DL13" s="1"/>
      <c r="DM13" s="1"/>
      <c r="DN13" s="1"/>
      <c r="DO13" s="1"/>
      <c r="DP13" s="1"/>
      <c r="DQ13" s="1"/>
      <c r="DR13" s="1"/>
      <c r="DS13" s="1"/>
      <c r="DT13" s="1"/>
      <c r="DU13" s="1"/>
      <c r="DV13" s="1"/>
      <c r="DW13" s="1"/>
      <c r="DX13" s="1"/>
      <c r="DY13" s="1"/>
      <c r="DZ13" s="1"/>
      <c r="EA13" s="146">
        <f>'[92]2. Distributional by deciles o'!B65</f>
        <v>15675644.073600005</v>
      </c>
      <c r="EB13" s="146">
        <f>'[92]2. Distributional by deciles o'!C65</f>
        <v>16913686.000799995</v>
      </c>
      <c r="EC13" s="146">
        <f>'[92]2. Distributional by deciles o'!D65</f>
        <v>15881588.132400004</v>
      </c>
      <c r="ED13" s="146"/>
      <c r="EE13" s="146"/>
      <c r="EF13" s="146"/>
      <c r="EG13" s="146"/>
      <c r="EH13" s="122"/>
      <c r="EI13" s="130" t="s">
        <v>113</v>
      </c>
      <c r="EJ13" s="130" t="s">
        <v>113</v>
      </c>
      <c r="EK13" s="130" t="s">
        <v>113</v>
      </c>
      <c r="EL13" s="130" t="s">
        <v>113</v>
      </c>
      <c r="EM13" s="131">
        <f t="shared" si="5"/>
        <v>8.4906417615036228E-2</v>
      </c>
      <c r="EN13" s="146">
        <f>'[92]2. Distributional by deciles o'!B83</f>
        <v>5141244706.8227978</v>
      </c>
      <c r="EO13" s="146">
        <f>'[92]2. Distributional by deciles o'!C83</f>
        <v>5192657571.382803</v>
      </c>
      <c r="EP13" s="131">
        <f t="shared" ref="EP13:EP21" si="20">(EO13/EN13-1)*100</f>
        <v>1.0000081204416533</v>
      </c>
      <c r="EQ13" s="130" t="s">
        <v>113</v>
      </c>
      <c r="ER13" s="130" t="s">
        <v>113</v>
      </c>
      <c r="ES13" s="130" t="s">
        <v>113</v>
      </c>
      <c r="ET13" s="130" t="s">
        <v>113</v>
      </c>
      <c r="EU13" s="131">
        <f t="shared" ref="EU13:EU21" si="21">EN13/EN$22*100</f>
        <v>3.8796652995226637</v>
      </c>
      <c r="EV13" s="132">
        <f>((EB13-$EA13)/ABS($EA13)) / ($EO13/$EN13-1)</f>
        <v>7.8978054619102593</v>
      </c>
      <c r="EW13" s="132">
        <f t="shared" ref="EW13:EW21" si="22">IF(EC13&lt;&gt;0,((EC13-$EA13)/ABS($EA13)) / ($EO13/$EN13-1),0)</f>
        <v>1.3137730449219736</v>
      </c>
      <c r="EX13" s="132"/>
      <c r="EY13" s="148">
        <f>EV13-W13</f>
        <v>0.44220883432926428</v>
      </c>
      <c r="EZ13" s="144">
        <f t="shared" ref="EZ13:EZ22" si="23">(1-FA13)*100</f>
        <v>-21.158489304690065</v>
      </c>
      <c r="FA13" s="145">
        <f>'[92]2. Distributional by deciles o'!$J29</f>
        <v>1.2115848930469006</v>
      </c>
      <c r="FB13" s="130" t="s">
        <v>113</v>
      </c>
      <c r="FC13" s="130" t="s">
        <v>113</v>
      </c>
      <c r="FD13" s="130" t="s">
        <v>113</v>
      </c>
      <c r="FE13" s="130" t="s">
        <v>113</v>
      </c>
      <c r="FF13" s="130" t="s">
        <v>113</v>
      </c>
      <c r="FG13" s="130" t="s">
        <v>113</v>
      </c>
      <c r="FH13" s="130" t="s">
        <v>113</v>
      </c>
      <c r="FI13" s="130" t="s">
        <v>113</v>
      </c>
      <c r="FJ13" s="1"/>
      <c r="FK13" s="1"/>
      <c r="FL13" s="1"/>
      <c r="FM13" s="1"/>
      <c r="FN13" s="1"/>
      <c r="FO13" s="1"/>
      <c r="FP13" s="1"/>
      <c r="FQ13" s="53"/>
    </row>
    <row r="14" spans="1:173" x14ac:dyDescent="0.3">
      <c r="A14" s="1"/>
      <c r="B14" s="28">
        <v>3</v>
      </c>
      <c r="C14" s="129">
        <f>'[91]2. Distributional by deciles o'!B66</f>
        <v>77312471.604000017</v>
      </c>
      <c r="D14" s="129">
        <f>'[91]2. Distributional by deciles o'!C66</f>
        <v>81718520.781599909</v>
      </c>
      <c r="E14" s="129">
        <f>'[91]2. Distributional by deciles o'!D66</f>
        <v>78325704.60359998</v>
      </c>
      <c r="F14" s="129">
        <f>'[91]2. Distributional by deciles o'!E66</f>
        <v>81398176.611599907</v>
      </c>
      <c r="G14" s="129">
        <f>'[91]2. Distributional by deciles o'!F66</f>
        <v>80074526.025600046</v>
      </c>
      <c r="H14" s="129">
        <f>'[91]2. Distributional by deciles o'!G66</f>
        <v>79246788.520800054</v>
      </c>
      <c r="I14" s="129">
        <f>'[91]2. Distributional by deciles o'!H66</f>
        <v>78567377.528399959</v>
      </c>
      <c r="J14" s="122"/>
      <c r="K14" s="130" t="s">
        <v>113</v>
      </c>
      <c r="L14" s="130" t="s">
        <v>113</v>
      </c>
      <c r="M14" s="130" t="s">
        <v>113</v>
      </c>
      <c r="N14" s="130" t="s">
        <v>113</v>
      </c>
      <c r="O14" s="131">
        <f t="shared" si="6"/>
        <v>0.51179375715495667</v>
      </c>
      <c r="P14" s="129">
        <f>'[91]2. Distributional by deciles o'!B84</f>
        <v>5754016316.1264</v>
      </c>
      <c r="Q14" s="129">
        <f>'[91]2. Distributional by deciles o'!C84</f>
        <v>5811555390.4512024</v>
      </c>
      <c r="R14" s="131">
        <f t="shared" si="0"/>
        <v>0.9999810769312889</v>
      </c>
      <c r="S14" s="130" t="s">
        <v>113</v>
      </c>
      <c r="T14" s="130" t="s">
        <v>113</v>
      </c>
      <c r="U14" s="130" t="s">
        <v>113</v>
      </c>
      <c r="V14" s="130" t="s">
        <v>113</v>
      </c>
      <c r="W14" s="132">
        <f t="shared" si="7"/>
        <v>5.6991226172634963</v>
      </c>
      <c r="X14" s="132">
        <f t="shared" si="7"/>
        <v>1.310593430035988</v>
      </c>
      <c r="Y14" s="132">
        <f t="shared" si="7"/>
        <v>5.2847648488942349</v>
      </c>
      <c r="Z14" s="132">
        <f t="shared" si="7"/>
        <v>3.5726534565889985</v>
      </c>
      <c r="AA14" s="132">
        <f t="shared" si="7"/>
        <v>2.5019941551118912</v>
      </c>
      <c r="AB14" s="132">
        <f t="shared" si="1"/>
        <v>1.6231917638698488</v>
      </c>
      <c r="AC14" s="132">
        <f t="shared" si="1"/>
        <v>1.6231917638698488</v>
      </c>
      <c r="AD14" s="130" t="s">
        <v>113</v>
      </c>
      <c r="AE14" s="130" t="s">
        <v>113</v>
      </c>
      <c r="AF14" s="130" t="s">
        <v>113</v>
      </c>
      <c r="AG14" s="130" t="s">
        <v>113</v>
      </c>
      <c r="AH14" s="133">
        <f t="shared" si="8"/>
        <v>1</v>
      </c>
      <c r="AI14" s="134">
        <f t="shared" si="9"/>
        <v>0.31059343003598805</v>
      </c>
      <c r="AJ14" s="134">
        <f t="shared" si="10"/>
        <v>0.41435776836926141</v>
      </c>
      <c r="AK14" s="134">
        <f t="shared" si="11"/>
        <v>1.7121113923052365</v>
      </c>
      <c r="AL14" s="134">
        <f t="shared" si="12"/>
        <v>1.0706593014771073</v>
      </c>
      <c r="AM14" s="134">
        <f t="shared" si="13"/>
        <v>0.8788023912420424</v>
      </c>
      <c r="AN14" s="135">
        <f t="shared" si="14"/>
        <v>0</v>
      </c>
      <c r="AO14" s="134">
        <f t="shared" si="15"/>
        <v>0.31259833383386071</v>
      </c>
      <c r="AP14" s="134">
        <f t="shared" si="2"/>
        <v>0.62319176386984876</v>
      </c>
      <c r="AQ14" s="136" t="s">
        <v>113</v>
      </c>
      <c r="AR14" s="137">
        <f t="shared" si="3"/>
        <v>6.6096047141851368</v>
      </c>
      <c r="AS14" s="137">
        <f t="shared" si="3"/>
        <v>8.8177688074579326</v>
      </c>
      <c r="AT14" s="137">
        <f t="shared" si="3"/>
        <v>36.434703491569529</v>
      </c>
      <c r="AU14" s="137">
        <f t="shared" si="3"/>
        <v>22.784238435144278</v>
      </c>
      <c r="AV14" s="137">
        <f t="shared" si="3"/>
        <v>18.701414345169979</v>
      </c>
      <c r="AW14" s="138">
        <f t="shared" si="3"/>
        <v>0</v>
      </c>
      <c r="AX14" s="137">
        <f t="shared" si="3"/>
        <v>6.6522702064731458</v>
      </c>
      <c r="AY14" s="137">
        <f t="shared" si="3"/>
        <v>13.261874920658284</v>
      </c>
      <c r="AZ14" s="139" t="s">
        <v>113</v>
      </c>
      <c r="BA14" s="139" t="s">
        <v>113</v>
      </c>
      <c r="BB14" s="139" t="s">
        <v>113</v>
      </c>
      <c r="BC14" s="139" t="s">
        <v>113</v>
      </c>
      <c r="BD14" s="139" t="s">
        <v>113</v>
      </c>
      <c r="BE14" s="139" t="s">
        <v>113</v>
      </c>
      <c r="BF14" s="139" t="s">
        <v>113</v>
      </c>
      <c r="BG14" s="139" t="s">
        <v>113</v>
      </c>
      <c r="BH14" s="140">
        <f>'[91]2. Distributional by deciles o'!$B102</f>
        <v>2982634129.9524012</v>
      </c>
      <c r="BI14" s="140">
        <f>'[91]2. Distributional by deciles o'!$B120</f>
        <v>2468971266.5207987</v>
      </c>
      <c r="BJ14" s="140">
        <f>'[91]2. Distributional by deciles o'!$B138</f>
        <v>247939887.79559997</v>
      </c>
      <c r="BK14" s="140">
        <f>'[91]2. Distributional by deciles o'!$B156</f>
        <v>54471143.649599999</v>
      </c>
      <c r="BL14" s="141">
        <f t="shared" si="16"/>
        <v>0.51835690205552876</v>
      </c>
      <c r="BM14" s="141">
        <f t="shared" si="4"/>
        <v>0.42908658629151419</v>
      </c>
      <c r="BN14" s="141">
        <f t="shared" si="17"/>
        <v>4.3089881807184184E-2</v>
      </c>
      <c r="BO14" s="141">
        <f t="shared" si="17"/>
        <v>9.4666298457729177E-3</v>
      </c>
      <c r="BP14" s="139" t="s">
        <v>113</v>
      </c>
      <c r="BQ14" s="139" t="s">
        <v>113</v>
      </c>
      <c r="BR14" s="139" t="s">
        <v>113</v>
      </c>
      <c r="BS14" s="131">
        <f t="shared" si="18"/>
        <v>5.1010844842133691</v>
      </c>
      <c r="BT14" s="139"/>
      <c r="BU14" s="139"/>
      <c r="BV14" s="139"/>
      <c r="BW14" s="139"/>
      <c r="BX14" s="139"/>
      <c r="BY14" s="139"/>
      <c r="BZ14" s="139"/>
      <c r="CA14" s="139"/>
      <c r="CB14" s="139"/>
      <c r="CC14" s="142" t="s">
        <v>113</v>
      </c>
      <c r="CD14" s="142" t="s">
        <v>113</v>
      </c>
      <c r="CE14" s="142" t="s">
        <v>113</v>
      </c>
      <c r="CF14" s="142" t="s">
        <v>113</v>
      </c>
      <c r="CG14" s="142" t="s">
        <v>113</v>
      </c>
      <c r="CH14" s="142" t="s">
        <v>113</v>
      </c>
      <c r="CI14" s="142" t="s">
        <v>113</v>
      </c>
      <c r="CJ14" s="142"/>
      <c r="CK14" s="139" t="s">
        <v>113</v>
      </c>
      <c r="CL14" s="139" t="s">
        <v>113</v>
      </c>
      <c r="CM14" s="139" t="s">
        <v>113</v>
      </c>
      <c r="CN14" s="139" t="s">
        <v>113</v>
      </c>
      <c r="CO14" s="139" t="s">
        <v>113</v>
      </c>
      <c r="CP14" s="139" t="s">
        <v>113</v>
      </c>
      <c r="CQ14" s="139" t="s">
        <v>113</v>
      </c>
      <c r="CR14" s="139"/>
      <c r="CS14" s="143" t="s">
        <v>113</v>
      </c>
      <c r="CT14" s="143" t="s">
        <v>113</v>
      </c>
      <c r="CU14" s="143" t="s">
        <v>113</v>
      </c>
      <c r="CV14" s="143" t="s">
        <v>113</v>
      </c>
      <c r="CW14" s="143" t="s">
        <v>113</v>
      </c>
      <c r="CX14" s="143" t="s">
        <v>113</v>
      </c>
      <c r="CY14" s="143" t="s">
        <v>113</v>
      </c>
      <c r="CZ14" s="143"/>
      <c r="DA14" s="139" t="s">
        <v>113</v>
      </c>
      <c r="DB14" s="139" t="s">
        <v>113</v>
      </c>
      <c r="DC14" s="139" t="s">
        <v>113</v>
      </c>
      <c r="DD14" s="144">
        <f t="shared" si="19"/>
        <v>59.214315097127525</v>
      </c>
      <c r="DE14" s="145">
        <f>'[91]2. Distributional by deciles o'!$J30</f>
        <v>0.40785684902872477</v>
      </c>
      <c r="DF14" s="1"/>
      <c r="DG14" s="1"/>
      <c r="DH14" s="1"/>
      <c r="DI14" s="1"/>
      <c r="DJ14" s="1"/>
      <c r="DK14" s="1"/>
      <c r="DL14" s="1"/>
      <c r="DM14" s="1"/>
      <c r="DN14" s="1"/>
      <c r="DO14" s="1"/>
      <c r="DP14" s="1"/>
      <c r="DQ14" s="1"/>
      <c r="DR14" s="1"/>
      <c r="DS14" s="1"/>
      <c r="DT14" s="1"/>
      <c r="DU14" s="1"/>
      <c r="DV14" s="1"/>
      <c r="DW14" s="1"/>
      <c r="DX14" s="1"/>
      <c r="DY14" s="1"/>
      <c r="DZ14" s="1"/>
      <c r="EA14" s="146">
        <f>'[92]2. Distributional by deciles o'!B66</f>
        <v>75911623.592399925</v>
      </c>
      <c r="EB14" s="146">
        <f>'[92]2. Distributional by deciles o'!C66</f>
        <v>80215213.15080002</v>
      </c>
      <c r="EC14" s="146">
        <f>'[92]2. Distributional by deciles o'!D66</f>
        <v>76801223.037600026</v>
      </c>
      <c r="ED14" s="146"/>
      <c r="EE14" s="146"/>
      <c r="EF14" s="146"/>
      <c r="EG14" s="146"/>
      <c r="EH14" s="122"/>
      <c r="EI14" s="130" t="s">
        <v>113</v>
      </c>
      <c r="EJ14" s="130" t="s">
        <v>113</v>
      </c>
      <c r="EK14" s="130" t="s">
        <v>113</v>
      </c>
      <c r="EL14" s="130" t="s">
        <v>113</v>
      </c>
      <c r="EM14" s="131">
        <f t="shared" si="5"/>
        <v>0.41117187812567652</v>
      </c>
      <c r="EN14" s="146">
        <f>'[92]2. Distributional by deciles o'!B84</f>
        <v>6658498182.7583904</v>
      </c>
      <c r="EO14" s="146">
        <f>'[92]2. Distributional by deciles o'!C84</f>
        <v>6725081839.7759857</v>
      </c>
      <c r="EP14" s="131">
        <f t="shared" si="20"/>
        <v>0.99998010347150945</v>
      </c>
      <c r="EQ14" s="130" t="s">
        <v>113</v>
      </c>
      <c r="ER14" s="130" t="s">
        <v>113</v>
      </c>
      <c r="ES14" s="130" t="s">
        <v>113</v>
      </c>
      <c r="ET14" s="130" t="s">
        <v>113</v>
      </c>
      <c r="EU14" s="131">
        <f t="shared" si="21"/>
        <v>5.0246089847270934</v>
      </c>
      <c r="EV14" s="132">
        <f t="shared" ref="EV14:EV22" si="24">((EB14-$EA14)/ABS($EA14)) / ($EO14/$EN14-1)</f>
        <v>5.6693230666547505</v>
      </c>
      <c r="EW14" s="132">
        <f t="shared" si="22"/>
        <v>1.1719116301209602</v>
      </c>
      <c r="EX14" s="132"/>
      <c r="EY14" s="148">
        <f t="shared" ref="EY14:EY22" si="25">EV14-W14</f>
        <v>-2.9799550608745839E-2</v>
      </c>
      <c r="EZ14" s="144">
        <f t="shared" si="23"/>
        <v>37.749246757019982</v>
      </c>
      <c r="FA14" s="145">
        <f>'[92]2. Distributional by deciles o'!$J30</f>
        <v>0.62250753242980017</v>
      </c>
      <c r="FB14" s="130" t="s">
        <v>113</v>
      </c>
      <c r="FC14" s="130" t="s">
        <v>113</v>
      </c>
      <c r="FD14" s="130" t="s">
        <v>113</v>
      </c>
      <c r="FE14" s="130" t="s">
        <v>113</v>
      </c>
      <c r="FF14" s="130" t="s">
        <v>113</v>
      </c>
      <c r="FG14" s="130" t="s">
        <v>113</v>
      </c>
      <c r="FH14" s="130" t="s">
        <v>113</v>
      </c>
      <c r="FI14" s="130" t="s">
        <v>113</v>
      </c>
      <c r="FJ14" s="1"/>
      <c r="FK14" s="1"/>
      <c r="FL14" s="1"/>
      <c r="FM14" s="1"/>
      <c r="FN14" s="1"/>
      <c r="FO14" s="1"/>
      <c r="FP14" s="1"/>
      <c r="FQ14" s="53"/>
    </row>
    <row r="15" spans="1:173" x14ac:dyDescent="0.3">
      <c r="A15" s="1"/>
      <c r="B15" s="28">
        <v>4</v>
      </c>
      <c r="C15" s="129">
        <f>'[91]2. Distributional by deciles o'!B67</f>
        <v>168059789.09879968</v>
      </c>
      <c r="D15" s="129">
        <f>'[91]2. Distributional by deciles o'!C67</f>
        <v>178292574.33719999</v>
      </c>
      <c r="E15" s="129">
        <f>'[91]2. Distributional by deciles o'!D67</f>
        <v>170155272.24359998</v>
      </c>
      <c r="F15" s="129">
        <f>'[91]2. Distributional by deciles o'!E67</f>
        <v>177538070.50199983</v>
      </c>
      <c r="G15" s="129">
        <f>'[91]2. Distributional by deciles o'!F67</f>
        <v>175050991.11959988</v>
      </c>
      <c r="H15" s="129">
        <f>'[91]2. Distributional by deciles o'!G67</f>
        <v>171750470.51399985</v>
      </c>
      <c r="I15" s="129">
        <f>'[91]2. Distributional by deciles o'!H67</f>
        <v>170658794.046</v>
      </c>
      <c r="J15" s="122"/>
      <c r="K15" s="130" t="s">
        <v>113</v>
      </c>
      <c r="L15" s="130" t="s">
        <v>113</v>
      </c>
      <c r="M15" s="130" t="s">
        <v>113</v>
      </c>
      <c r="N15" s="130" t="s">
        <v>113</v>
      </c>
      <c r="O15" s="131">
        <f t="shared" si="6"/>
        <v>1.1125236214165244</v>
      </c>
      <c r="P15" s="129">
        <f>'[91]2. Distributional by deciles o'!B85</f>
        <v>6713951195.7360058</v>
      </c>
      <c r="Q15" s="129">
        <f>'[91]2. Distributional by deciles o'!C85</f>
        <v>6781089615.1979961</v>
      </c>
      <c r="R15" s="131">
        <f t="shared" si="0"/>
        <v>0.99998372798166812</v>
      </c>
      <c r="S15" s="130" t="s">
        <v>113</v>
      </c>
      <c r="T15" s="130" t="s">
        <v>113</v>
      </c>
      <c r="U15" s="130" t="s">
        <v>113</v>
      </c>
      <c r="V15" s="130" t="s">
        <v>113</v>
      </c>
      <c r="W15" s="132">
        <f t="shared" si="7"/>
        <v>6.0888757531184172</v>
      </c>
      <c r="X15" s="132">
        <f t="shared" si="7"/>
        <v>1.2468879404956164</v>
      </c>
      <c r="Y15" s="132">
        <f t="shared" si="7"/>
        <v>5.6399187975336345</v>
      </c>
      <c r="Z15" s="132">
        <f t="shared" si="7"/>
        <v>4.1600169922316841</v>
      </c>
      <c r="AA15" s="132">
        <f t="shared" si="7"/>
        <v>2.1960883628405128</v>
      </c>
      <c r="AB15" s="132">
        <f t="shared" si="1"/>
        <v>1.5465015473848458</v>
      </c>
      <c r="AC15" s="132">
        <f t="shared" si="1"/>
        <v>1.5465015473848458</v>
      </c>
      <c r="AD15" s="130" t="s">
        <v>113</v>
      </c>
      <c r="AE15" s="130" t="s">
        <v>113</v>
      </c>
      <c r="AF15" s="130" t="s">
        <v>113</v>
      </c>
      <c r="AG15" s="130" t="s">
        <v>113</v>
      </c>
      <c r="AH15" s="133">
        <f t="shared" si="8"/>
        <v>1</v>
      </c>
      <c r="AI15" s="134">
        <f t="shared" si="9"/>
        <v>0.24688794049561658</v>
      </c>
      <c r="AJ15" s="134">
        <f t="shared" si="10"/>
        <v>0.44895695558478277</v>
      </c>
      <c r="AK15" s="134">
        <f t="shared" si="11"/>
        <v>1.4799018053019504</v>
      </c>
      <c r="AL15" s="134">
        <f t="shared" si="12"/>
        <v>1.9639286293911713</v>
      </c>
      <c r="AM15" s="134">
        <f t="shared" si="13"/>
        <v>0.64958681545566699</v>
      </c>
      <c r="AN15" s="135">
        <f t="shared" si="14"/>
        <v>0</v>
      </c>
      <c r="AO15" s="134">
        <f t="shared" si="15"/>
        <v>0.29961360688922944</v>
      </c>
      <c r="AP15" s="134">
        <f t="shared" si="2"/>
        <v>0.54650154738484602</v>
      </c>
      <c r="AQ15" s="136" t="s">
        <v>113</v>
      </c>
      <c r="AR15" s="137">
        <f t="shared" si="3"/>
        <v>4.8515222707947991</v>
      </c>
      <c r="AS15" s="137">
        <f t="shared" si="3"/>
        <v>8.8223210265973968</v>
      </c>
      <c r="AT15" s="137">
        <f t="shared" si="3"/>
        <v>29.081114908240391</v>
      </c>
      <c r="AU15" s="137">
        <f t="shared" si="3"/>
        <v>38.592583601352295</v>
      </c>
      <c r="AV15" s="137">
        <f t="shared" si="3"/>
        <v>12.764839366683416</v>
      </c>
      <c r="AW15" s="138">
        <f t="shared" si="3"/>
        <v>0</v>
      </c>
      <c r="AX15" s="137">
        <f t="shared" si="3"/>
        <v>5.8876188263317086</v>
      </c>
      <c r="AY15" s="137">
        <f t="shared" si="3"/>
        <v>10.739141097126508</v>
      </c>
      <c r="AZ15" s="139" t="s">
        <v>113</v>
      </c>
      <c r="BA15" s="139" t="s">
        <v>113</v>
      </c>
      <c r="BB15" s="139" t="s">
        <v>113</v>
      </c>
      <c r="BC15" s="139" t="s">
        <v>113</v>
      </c>
      <c r="BD15" s="139" t="s">
        <v>113</v>
      </c>
      <c r="BE15" s="139" t="s">
        <v>113</v>
      </c>
      <c r="BF15" s="139" t="s">
        <v>113</v>
      </c>
      <c r="BG15" s="139" t="s">
        <v>113</v>
      </c>
      <c r="BH15" s="140">
        <f>'[91]2. Distributional by deciles o'!$B103</f>
        <v>4113692573.7540016</v>
      </c>
      <c r="BI15" s="140">
        <f>'[91]2. Distributional by deciles o'!$B121</f>
        <v>2250470502.6252003</v>
      </c>
      <c r="BJ15" s="140">
        <f>'[91]2. Distributional by deciles o'!$B139</f>
        <v>257280167.19599998</v>
      </c>
      <c r="BK15" s="140">
        <f>'[91]2. Distributional by deciles o'!$B157</f>
        <v>92507915.933999985</v>
      </c>
      <c r="BL15" s="141">
        <f t="shared" si="16"/>
        <v>0.61270814696464337</v>
      </c>
      <c r="BM15" s="141">
        <f t="shared" si="4"/>
        <v>0.33519315961031093</v>
      </c>
      <c r="BN15" s="141">
        <f t="shared" si="17"/>
        <v>3.8320232167850243E-2</v>
      </c>
      <c r="BO15" s="141">
        <f t="shared" si="17"/>
        <v>1.3778461257195446E-2</v>
      </c>
      <c r="BP15" s="139" t="s">
        <v>113</v>
      </c>
      <c r="BQ15" s="139" t="s">
        <v>113</v>
      </c>
      <c r="BR15" s="139" t="s">
        <v>113</v>
      </c>
      <c r="BS15" s="131">
        <f t="shared" si="18"/>
        <v>5.9520916157899872</v>
      </c>
      <c r="BT15" s="139"/>
      <c r="BU15" s="139"/>
      <c r="BV15" s="139"/>
      <c r="BW15" s="139"/>
      <c r="BX15" s="139"/>
      <c r="BY15" s="139"/>
      <c r="BZ15" s="139"/>
      <c r="CA15" s="139"/>
      <c r="CB15" s="139"/>
      <c r="CC15" s="142" t="s">
        <v>113</v>
      </c>
      <c r="CD15" s="142" t="s">
        <v>113</v>
      </c>
      <c r="CE15" s="142" t="s">
        <v>113</v>
      </c>
      <c r="CF15" s="142" t="s">
        <v>113</v>
      </c>
      <c r="CG15" s="142" t="s">
        <v>113</v>
      </c>
      <c r="CH15" s="142" t="s">
        <v>113</v>
      </c>
      <c r="CI15" s="142" t="s">
        <v>113</v>
      </c>
      <c r="CJ15" s="142"/>
      <c r="CK15" s="139" t="s">
        <v>113</v>
      </c>
      <c r="CL15" s="139" t="s">
        <v>113</v>
      </c>
      <c r="CM15" s="139" t="s">
        <v>113</v>
      </c>
      <c r="CN15" s="139" t="s">
        <v>113</v>
      </c>
      <c r="CO15" s="139" t="s">
        <v>113</v>
      </c>
      <c r="CP15" s="139" t="s">
        <v>113</v>
      </c>
      <c r="CQ15" s="139" t="s">
        <v>113</v>
      </c>
      <c r="CR15" s="139"/>
      <c r="CS15" s="143" t="s">
        <v>113</v>
      </c>
      <c r="CT15" s="143" t="s">
        <v>113</v>
      </c>
      <c r="CU15" s="143" t="s">
        <v>113</v>
      </c>
      <c r="CV15" s="143" t="s">
        <v>113</v>
      </c>
      <c r="CW15" s="143" t="s">
        <v>113</v>
      </c>
      <c r="CX15" s="143" t="s">
        <v>113</v>
      </c>
      <c r="CY15" s="143" t="s">
        <v>113</v>
      </c>
      <c r="CZ15" s="143"/>
      <c r="DA15" s="139" t="s">
        <v>113</v>
      </c>
      <c r="DB15" s="139" t="s">
        <v>113</v>
      </c>
      <c r="DC15" s="139" t="s">
        <v>113</v>
      </c>
      <c r="DD15" s="144">
        <f t="shared" si="19"/>
        <v>26.152393338805126</v>
      </c>
      <c r="DE15" s="145">
        <f>'[91]2. Distributional by deciles o'!$J31</f>
        <v>0.73847606661194876</v>
      </c>
      <c r="DF15" s="1"/>
      <c r="DG15" s="1"/>
      <c r="DH15" s="1"/>
      <c r="DI15" s="1"/>
      <c r="DJ15" s="1"/>
      <c r="DK15" s="1"/>
      <c r="DL15" s="1"/>
      <c r="DM15" s="1"/>
      <c r="DN15" s="1"/>
      <c r="DO15" s="1"/>
      <c r="DP15" s="1"/>
      <c r="DQ15" s="1"/>
      <c r="DR15" s="1"/>
      <c r="DS15" s="1"/>
      <c r="DT15" s="1"/>
      <c r="DU15" s="1"/>
      <c r="DV15" s="1"/>
      <c r="DW15" s="1"/>
      <c r="DX15" s="1"/>
      <c r="DY15" s="1"/>
      <c r="DZ15" s="1"/>
      <c r="EA15" s="146">
        <f>'[92]2. Distributional by deciles o'!B67</f>
        <v>134034910.58519995</v>
      </c>
      <c r="EB15" s="146">
        <f>'[92]2. Distributional by deciles o'!C67</f>
        <v>143829588.52680004</v>
      </c>
      <c r="EC15" s="146">
        <f>'[92]2. Distributional by deciles o'!D67</f>
        <v>135667484.67480001</v>
      </c>
      <c r="ED15" s="146"/>
      <c r="EE15" s="146"/>
      <c r="EF15" s="146"/>
      <c r="EG15" s="146"/>
      <c r="EH15" s="122"/>
      <c r="EI15" s="130" t="s">
        <v>113</v>
      </c>
      <c r="EJ15" s="130" t="s">
        <v>113</v>
      </c>
      <c r="EK15" s="130" t="s">
        <v>113</v>
      </c>
      <c r="EL15" s="130" t="s">
        <v>113</v>
      </c>
      <c r="EM15" s="131">
        <f t="shared" si="5"/>
        <v>0.72599403505896554</v>
      </c>
      <c r="EN15" s="146">
        <f>'[92]2. Distributional by deciles o'!B85</f>
        <v>7878162078.0011902</v>
      </c>
      <c r="EO15" s="146">
        <f>'[92]2. Distributional by deciles o'!C85</f>
        <v>7956945614.6807957</v>
      </c>
      <c r="EP15" s="131">
        <f t="shared" si="20"/>
        <v>1.0000243191187863</v>
      </c>
      <c r="EQ15" s="130" t="s">
        <v>113</v>
      </c>
      <c r="ER15" s="130" t="s">
        <v>113</v>
      </c>
      <c r="ES15" s="130" t="s">
        <v>113</v>
      </c>
      <c r="ET15" s="130" t="s">
        <v>113</v>
      </c>
      <c r="EU15" s="131">
        <f t="shared" si="21"/>
        <v>5.9449868234194607</v>
      </c>
      <c r="EV15" s="132">
        <f t="shared" si="24"/>
        <v>7.3073796272132316</v>
      </c>
      <c r="EW15" s="132">
        <f t="shared" si="22"/>
        <v>1.217991925144478</v>
      </c>
      <c r="EX15" s="132"/>
      <c r="EY15" s="148">
        <f t="shared" si="25"/>
        <v>1.2185038740948144</v>
      </c>
      <c r="EZ15" s="144">
        <f t="shared" si="23"/>
        <v>-63.656125545389997</v>
      </c>
      <c r="FA15" s="145">
        <f>'[92]2. Distributional by deciles o'!$J31</f>
        <v>1.6365612554539</v>
      </c>
      <c r="FB15" s="130" t="s">
        <v>113</v>
      </c>
      <c r="FC15" s="130" t="s">
        <v>113</v>
      </c>
      <c r="FD15" s="130" t="s">
        <v>113</v>
      </c>
      <c r="FE15" s="130" t="s">
        <v>113</v>
      </c>
      <c r="FF15" s="130" t="s">
        <v>113</v>
      </c>
      <c r="FG15" s="130" t="s">
        <v>113</v>
      </c>
      <c r="FH15" s="130" t="s">
        <v>113</v>
      </c>
      <c r="FI15" s="130" t="s">
        <v>113</v>
      </c>
      <c r="FJ15" s="1"/>
      <c r="FK15" s="1"/>
      <c r="FL15" s="1"/>
      <c r="FM15" s="1"/>
      <c r="FN15" s="1"/>
      <c r="FO15" s="1"/>
      <c r="FP15" s="1"/>
      <c r="FQ15" s="53"/>
    </row>
    <row r="16" spans="1:173" x14ac:dyDescent="0.3">
      <c r="A16" s="1"/>
      <c r="B16" s="28">
        <v>5</v>
      </c>
      <c r="C16" s="129">
        <f>'[91]2. Distributional by deciles o'!B68</f>
        <v>333159850.38360029</v>
      </c>
      <c r="D16" s="129">
        <f>'[91]2. Distributional by deciles o'!C68</f>
        <v>347754382.73759991</v>
      </c>
      <c r="E16" s="129">
        <f>'[91]2. Distributional by deciles o'!D68</f>
        <v>337391097.60960031</v>
      </c>
      <c r="F16" s="129">
        <f>'[91]2. Distributional by deciles o'!E68</f>
        <v>345717313.82280022</v>
      </c>
      <c r="G16" s="129">
        <f>'[91]2. Distributional by deciles o'!F68</f>
        <v>341554098.57119966</v>
      </c>
      <c r="H16" s="129">
        <f>'[91]2. Distributional by deciles o'!G68</f>
        <v>339899860.51799965</v>
      </c>
      <c r="I16" s="129">
        <f>'[91]2. Distributional by deciles o'!H68</f>
        <v>338362424.02080035</v>
      </c>
      <c r="J16" s="122"/>
      <c r="K16" s="130" t="s">
        <v>113</v>
      </c>
      <c r="L16" s="130" t="s">
        <v>113</v>
      </c>
      <c r="M16" s="130" t="s">
        <v>113</v>
      </c>
      <c r="N16" s="130" t="s">
        <v>113</v>
      </c>
      <c r="O16" s="131">
        <f t="shared" si="6"/>
        <v>2.2054544114740753</v>
      </c>
      <c r="P16" s="129">
        <f>'[91]2. Distributional by deciles o'!B86</f>
        <v>7909729591.6391964</v>
      </c>
      <c r="Q16" s="129">
        <f>'[91]2. Distributional by deciles o'!C86</f>
        <v>7988824280.9040051</v>
      </c>
      <c r="R16" s="131">
        <f t="shared" si="0"/>
        <v>0.99996704499751843</v>
      </c>
      <c r="S16" s="130" t="s">
        <v>113</v>
      </c>
      <c r="T16" s="130" t="s">
        <v>113</v>
      </c>
      <c r="U16" s="130" t="s">
        <v>113</v>
      </c>
      <c r="V16" s="130" t="s">
        <v>113</v>
      </c>
      <c r="W16" s="132">
        <f t="shared" si="7"/>
        <v>4.3807839737878114</v>
      </c>
      <c r="X16" s="132">
        <f t="shared" si="7"/>
        <v>1.270077011526523</v>
      </c>
      <c r="Y16" s="132">
        <f t="shared" si="7"/>
        <v>3.7693249260431121</v>
      </c>
      <c r="Z16" s="132">
        <f t="shared" si="7"/>
        <v>2.5196688074870011</v>
      </c>
      <c r="AA16" s="132">
        <f t="shared" si="7"/>
        <v>2.0231226094649353</v>
      </c>
      <c r="AB16" s="132">
        <f t="shared" si="1"/>
        <v>1.5616362799080048</v>
      </c>
      <c r="AC16" s="132">
        <f t="shared" si="1"/>
        <v>1.5616362799080048</v>
      </c>
      <c r="AD16" s="130" t="s">
        <v>113</v>
      </c>
      <c r="AE16" s="130" t="s">
        <v>113</v>
      </c>
      <c r="AF16" s="130" t="s">
        <v>113</v>
      </c>
      <c r="AG16" s="130" t="s">
        <v>113</v>
      </c>
      <c r="AH16" s="133">
        <f t="shared" si="8"/>
        <v>1</v>
      </c>
      <c r="AI16" s="134">
        <f t="shared" si="9"/>
        <v>0.27007701152652341</v>
      </c>
      <c r="AJ16" s="134">
        <f t="shared" si="10"/>
        <v>0.61145904774469928</v>
      </c>
      <c r="AK16" s="134">
        <f t="shared" si="11"/>
        <v>1.249656118556111</v>
      </c>
      <c r="AL16" s="134">
        <f t="shared" si="12"/>
        <v>0.49654619802206579</v>
      </c>
      <c r="AM16" s="134">
        <f t="shared" si="13"/>
        <v>0.46148632955693047</v>
      </c>
      <c r="AN16" s="135">
        <f t="shared" si="14"/>
        <v>0</v>
      </c>
      <c r="AO16" s="134">
        <f t="shared" si="15"/>
        <v>0.29155926838148183</v>
      </c>
      <c r="AP16" s="134">
        <f t="shared" si="2"/>
        <v>0.56163627990800524</v>
      </c>
      <c r="AQ16" s="136" t="s">
        <v>113</v>
      </c>
      <c r="AR16" s="137">
        <f t="shared" si="3"/>
        <v>7.9885912149521534</v>
      </c>
      <c r="AS16" s="137">
        <f t="shared" si="3"/>
        <v>18.086309343794717</v>
      </c>
      <c r="AT16" s="137">
        <f t="shared" si="3"/>
        <v>36.963501017664946</v>
      </c>
      <c r="AU16" s="137">
        <f t="shared" si="3"/>
        <v>14.687309271220256</v>
      </c>
      <c r="AV16" s="137">
        <f t="shared" si="3"/>
        <v>13.650275590956609</v>
      </c>
      <c r="AW16" s="138">
        <f t="shared" si="3"/>
        <v>0</v>
      </c>
      <c r="AX16" s="137">
        <f t="shared" si="3"/>
        <v>8.6240135614113331</v>
      </c>
      <c r="AY16" s="137">
        <f t="shared" si="3"/>
        <v>16.612604776363487</v>
      </c>
      <c r="AZ16" s="139" t="s">
        <v>113</v>
      </c>
      <c r="BA16" s="139" t="s">
        <v>113</v>
      </c>
      <c r="BB16" s="139" t="s">
        <v>113</v>
      </c>
      <c r="BC16" s="139" t="s">
        <v>113</v>
      </c>
      <c r="BD16" s="139" t="s">
        <v>113</v>
      </c>
      <c r="BE16" s="139" t="s">
        <v>113</v>
      </c>
      <c r="BF16" s="139" t="s">
        <v>113</v>
      </c>
      <c r="BG16" s="139" t="s">
        <v>113</v>
      </c>
      <c r="BH16" s="140">
        <f>'[91]2. Distributional by deciles o'!$B104</f>
        <v>5614038938.1383982</v>
      </c>
      <c r="BI16" s="140">
        <f>'[91]2. Distributional by deciles o'!$B122</f>
        <v>1886569420.9992008</v>
      </c>
      <c r="BJ16" s="140">
        <f>'[91]2. Distributional by deciles o'!$B140</f>
        <v>268861246.26000011</v>
      </c>
      <c r="BK16" s="140">
        <f>'[91]2. Distributional by deciles o'!$B158</f>
        <v>140260102.92000002</v>
      </c>
      <c r="BL16" s="141">
        <f t="shared" si="16"/>
        <v>0.70976368917320498</v>
      </c>
      <c r="BM16" s="141">
        <f t="shared" si="4"/>
        <v>0.23851250176290467</v>
      </c>
      <c r="BN16" s="141">
        <f t="shared" si="17"/>
        <v>3.3991205284458065E-2</v>
      </c>
      <c r="BO16" s="141">
        <f t="shared" si="17"/>
        <v>1.7732603779432227E-2</v>
      </c>
      <c r="BP16" s="139" t="s">
        <v>113</v>
      </c>
      <c r="BQ16" s="139" t="s">
        <v>113</v>
      </c>
      <c r="BR16" s="139" t="s">
        <v>113</v>
      </c>
      <c r="BS16" s="131">
        <f t="shared" si="18"/>
        <v>7.0121801325367867</v>
      </c>
      <c r="BT16" s="139"/>
      <c r="BU16" s="139"/>
      <c r="BV16" s="139"/>
      <c r="BW16" s="139"/>
      <c r="BX16" s="139"/>
      <c r="BY16" s="139"/>
      <c r="BZ16" s="139"/>
      <c r="CA16" s="139"/>
      <c r="CB16" s="139"/>
      <c r="CC16" s="142" t="s">
        <v>113</v>
      </c>
      <c r="CD16" s="142" t="s">
        <v>113</v>
      </c>
      <c r="CE16" s="142" t="s">
        <v>113</v>
      </c>
      <c r="CF16" s="142" t="s">
        <v>113</v>
      </c>
      <c r="CG16" s="142" t="s">
        <v>113</v>
      </c>
      <c r="CH16" s="142" t="s">
        <v>113</v>
      </c>
      <c r="CI16" s="142" t="s">
        <v>113</v>
      </c>
      <c r="CJ16" s="142"/>
      <c r="CK16" s="139" t="s">
        <v>113</v>
      </c>
      <c r="CL16" s="139" t="s">
        <v>113</v>
      </c>
      <c r="CM16" s="139" t="s">
        <v>113</v>
      </c>
      <c r="CN16" s="139" t="s">
        <v>113</v>
      </c>
      <c r="CO16" s="139" t="s">
        <v>113</v>
      </c>
      <c r="CP16" s="139" t="s">
        <v>113</v>
      </c>
      <c r="CQ16" s="139" t="s">
        <v>113</v>
      </c>
      <c r="CR16" s="139"/>
      <c r="CS16" s="143" t="s">
        <v>113</v>
      </c>
      <c r="CT16" s="143" t="s">
        <v>113</v>
      </c>
      <c r="CU16" s="143" t="s">
        <v>113</v>
      </c>
      <c r="CV16" s="143" t="s">
        <v>113</v>
      </c>
      <c r="CW16" s="143" t="s">
        <v>113</v>
      </c>
      <c r="CX16" s="143" t="s">
        <v>113</v>
      </c>
      <c r="CY16" s="143" t="s">
        <v>113</v>
      </c>
      <c r="CZ16" s="143"/>
      <c r="DA16" s="139" t="s">
        <v>113</v>
      </c>
      <c r="DB16" s="139" t="s">
        <v>113</v>
      </c>
      <c r="DC16" s="139" t="s">
        <v>113</v>
      </c>
      <c r="DD16" s="144">
        <f t="shared" si="19"/>
        <v>5.4508753846632345</v>
      </c>
      <c r="DE16" s="145">
        <f>'[91]2. Distributional by deciles o'!$J32</f>
        <v>0.94549124615336766</v>
      </c>
      <c r="DF16" s="1"/>
      <c r="DG16" s="1"/>
      <c r="DH16" s="1"/>
      <c r="DI16" s="1"/>
      <c r="DJ16" s="1"/>
      <c r="DK16" s="1"/>
      <c r="DL16" s="1"/>
      <c r="DM16" s="1"/>
      <c r="DN16" s="1"/>
      <c r="DO16" s="1"/>
      <c r="DP16" s="1"/>
      <c r="DQ16" s="1"/>
      <c r="DR16" s="1"/>
      <c r="DS16" s="1"/>
      <c r="DT16" s="1"/>
      <c r="DU16" s="1"/>
      <c r="DV16" s="1"/>
      <c r="DW16" s="1"/>
      <c r="DX16" s="1"/>
      <c r="DY16" s="1"/>
      <c r="DZ16" s="1"/>
      <c r="EA16" s="146">
        <f>'[92]2. Distributional by deciles o'!B68</f>
        <v>334459545.69599992</v>
      </c>
      <c r="EB16" s="146">
        <f>'[92]2. Distributional by deciles o'!C68</f>
        <v>353152473.34919983</v>
      </c>
      <c r="EC16" s="146">
        <f>'[92]2. Distributional by deciles o'!D68</f>
        <v>338550644.88720053</v>
      </c>
      <c r="ED16" s="146"/>
      <c r="EE16" s="146"/>
      <c r="EF16" s="146"/>
      <c r="EG16" s="146"/>
      <c r="EH16" s="122"/>
      <c r="EI16" s="130" t="s">
        <v>113</v>
      </c>
      <c r="EJ16" s="130" t="s">
        <v>113</v>
      </c>
      <c r="EK16" s="130" t="s">
        <v>113</v>
      </c>
      <c r="EL16" s="130" t="s">
        <v>113</v>
      </c>
      <c r="EM16" s="131">
        <f t="shared" si="5"/>
        <v>1.811585012320208</v>
      </c>
      <c r="EN16" s="146">
        <f>'[92]2. Distributional by deciles o'!B86</f>
        <v>9334740231.0527992</v>
      </c>
      <c r="EO16" s="146">
        <f>'[92]2. Distributional by deciles o'!C86</f>
        <v>9428088120.7536144</v>
      </c>
      <c r="EP16" s="131">
        <f t="shared" si="20"/>
        <v>1.000005221251743</v>
      </c>
      <c r="EQ16" s="130" t="s">
        <v>113</v>
      </c>
      <c r="ER16" s="130" t="s">
        <v>113</v>
      </c>
      <c r="ES16" s="130" t="s">
        <v>113</v>
      </c>
      <c r="ET16" s="130" t="s">
        <v>113</v>
      </c>
      <c r="EU16" s="131">
        <f t="shared" si="21"/>
        <v>7.0441439417215337</v>
      </c>
      <c r="EV16" s="132">
        <f t="shared" si="24"/>
        <v>5.5889659283992676</v>
      </c>
      <c r="EW16" s="132">
        <f t="shared" si="22"/>
        <v>1.2231906319611703</v>
      </c>
      <c r="EX16" s="132"/>
      <c r="EY16" s="148">
        <f t="shared" si="25"/>
        <v>1.2081819546114563</v>
      </c>
      <c r="EZ16" s="144">
        <f t="shared" si="23"/>
        <v>-4.1216157493896066</v>
      </c>
      <c r="FA16" s="145">
        <f>'[92]2. Distributional by deciles o'!$J32</f>
        <v>1.0412161574938961</v>
      </c>
      <c r="FB16" s="130" t="s">
        <v>113</v>
      </c>
      <c r="FC16" s="130" t="s">
        <v>113</v>
      </c>
      <c r="FD16" s="130" t="s">
        <v>113</v>
      </c>
      <c r="FE16" s="130" t="s">
        <v>113</v>
      </c>
      <c r="FF16" s="130" t="s">
        <v>113</v>
      </c>
      <c r="FG16" s="130" t="s">
        <v>113</v>
      </c>
      <c r="FH16" s="130" t="s">
        <v>113</v>
      </c>
      <c r="FI16" s="130" t="s">
        <v>113</v>
      </c>
      <c r="FJ16" s="1"/>
      <c r="FK16" s="1"/>
      <c r="FL16" s="1"/>
      <c r="FM16" s="1"/>
      <c r="FN16" s="1"/>
      <c r="FO16" s="1"/>
      <c r="FP16" s="1"/>
      <c r="FQ16" s="53"/>
    </row>
    <row r="17" spans="1:173" x14ac:dyDescent="0.3">
      <c r="A17" s="1"/>
      <c r="B17" s="28">
        <v>6</v>
      </c>
      <c r="C17" s="129">
        <f>'[91]2. Distributional by deciles o'!B69</f>
        <v>580414997.54879951</v>
      </c>
      <c r="D17" s="129">
        <f>'[91]2. Distributional by deciles o'!C69</f>
        <v>600159118.40880013</v>
      </c>
      <c r="E17" s="129">
        <f>'[91]2. Distributional by deciles o'!D69</f>
        <v>587181290.45280075</v>
      </c>
      <c r="F17" s="129">
        <f>'[91]2. Distributional by deciles o'!E69</f>
        <v>596991700.5612011</v>
      </c>
      <c r="G17" s="129">
        <f>'[91]2. Distributional by deciles o'!F69</f>
        <v>591667948.82520044</v>
      </c>
      <c r="H17" s="129">
        <f>'[91]2. Distributional by deciles o'!G69</f>
        <v>589810692.51720023</v>
      </c>
      <c r="I17" s="129">
        <f>'[91]2. Distributional by deciles o'!H69</f>
        <v>588069562.48920047</v>
      </c>
      <c r="J17" s="122"/>
      <c r="K17" s="130" t="s">
        <v>113</v>
      </c>
      <c r="L17" s="130" t="s">
        <v>113</v>
      </c>
      <c r="M17" s="130" t="s">
        <v>113</v>
      </c>
      <c r="N17" s="130" t="s">
        <v>113</v>
      </c>
      <c r="O17" s="131">
        <f t="shared" si="6"/>
        <v>3.8422361378654473</v>
      </c>
      <c r="P17" s="129">
        <f>'[91]2. Distributional by deciles o'!B87</f>
        <v>9405428923.4184017</v>
      </c>
      <c r="Q17" s="129">
        <f>'[91]2. Distributional by deciles o'!C87</f>
        <v>9499482360.5208073</v>
      </c>
      <c r="R17" s="131">
        <f t="shared" si="0"/>
        <v>0.99999094000087219</v>
      </c>
      <c r="S17" s="130" t="s">
        <v>113</v>
      </c>
      <c r="T17" s="130" t="s">
        <v>113</v>
      </c>
      <c r="U17" s="130" t="s">
        <v>113</v>
      </c>
      <c r="V17" s="130" t="s">
        <v>113</v>
      </c>
      <c r="W17" s="132">
        <f t="shared" si="7"/>
        <v>3.4017556105067777</v>
      </c>
      <c r="X17" s="132">
        <f t="shared" si="7"/>
        <v>1.165778664531417</v>
      </c>
      <c r="Y17" s="132">
        <f t="shared" si="7"/>
        <v>2.8560346077693093</v>
      </c>
      <c r="Z17" s="132">
        <f t="shared" si="7"/>
        <v>1.9387943586187641</v>
      </c>
      <c r="AA17" s="132">
        <f t="shared" si="7"/>
        <v>1.6188038100049622</v>
      </c>
      <c r="AB17" s="132">
        <f t="shared" si="1"/>
        <v>1.3188208994784603</v>
      </c>
      <c r="AC17" s="132">
        <f t="shared" si="1"/>
        <v>1.3188208994784603</v>
      </c>
      <c r="AD17" s="130" t="s">
        <v>113</v>
      </c>
      <c r="AE17" s="130" t="s">
        <v>113</v>
      </c>
      <c r="AF17" s="130" t="s">
        <v>113</v>
      </c>
      <c r="AG17" s="130" t="s">
        <v>113</v>
      </c>
      <c r="AH17" s="133">
        <f t="shared" si="8"/>
        <v>1</v>
      </c>
      <c r="AI17" s="134">
        <f t="shared" si="9"/>
        <v>0.16577866453141654</v>
      </c>
      <c r="AJ17" s="134">
        <f t="shared" si="10"/>
        <v>0.54572100273746837</v>
      </c>
      <c r="AK17" s="134">
        <f t="shared" si="11"/>
        <v>0.91724024915054514</v>
      </c>
      <c r="AL17" s="134">
        <f t="shared" si="12"/>
        <v>0.31999054861380194</v>
      </c>
      <c r="AM17" s="134">
        <f t="shared" si="13"/>
        <v>0.29998291052650194</v>
      </c>
      <c r="AN17" s="135">
        <f t="shared" si="14"/>
        <v>0</v>
      </c>
      <c r="AO17" s="134">
        <f t="shared" si="15"/>
        <v>0.15304223494704328</v>
      </c>
      <c r="AP17" s="134">
        <f t="shared" si="2"/>
        <v>0.31882089947845982</v>
      </c>
      <c r="AQ17" s="136" t="s">
        <v>113</v>
      </c>
      <c r="AR17" s="137">
        <f t="shared" si="3"/>
        <v>6.9023952231524817</v>
      </c>
      <c r="AS17" s="137">
        <f t="shared" si="3"/>
        <v>22.721754051500671</v>
      </c>
      <c r="AT17" s="137">
        <f t="shared" si="3"/>
        <v>38.190407264501182</v>
      </c>
      <c r="AU17" s="137">
        <f t="shared" si="3"/>
        <v>13.323193551165808</v>
      </c>
      <c r="AV17" s="137">
        <f t="shared" si="3"/>
        <v>12.490151338220654</v>
      </c>
      <c r="AW17" s="138">
        <f t="shared" si="3"/>
        <v>0</v>
      </c>
      <c r="AX17" s="137">
        <f t="shared" si="3"/>
        <v>6.3720985714591878</v>
      </c>
      <c r="AY17" s="137">
        <f t="shared" si="3"/>
        <v>13.274493794611669</v>
      </c>
      <c r="AZ17" s="139" t="s">
        <v>113</v>
      </c>
      <c r="BA17" s="139" t="s">
        <v>113</v>
      </c>
      <c r="BB17" s="139" t="s">
        <v>113</v>
      </c>
      <c r="BC17" s="139" t="s">
        <v>113</v>
      </c>
      <c r="BD17" s="139" t="s">
        <v>113</v>
      </c>
      <c r="BE17" s="139" t="s">
        <v>113</v>
      </c>
      <c r="BF17" s="139" t="s">
        <v>113</v>
      </c>
      <c r="BG17" s="139" t="s">
        <v>113</v>
      </c>
      <c r="BH17" s="140">
        <f>'[91]2. Distributional by deciles o'!$B105</f>
        <v>6699569211.5339956</v>
      </c>
      <c r="BI17" s="140">
        <f>'[91]2. Distributional by deciles o'!$B123</f>
        <v>2206809604.6236024</v>
      </c>
      <c r="BJ17" s="140">
        <f>'[91]2. Distributional by deciles o'!$B141</f>
        <v>330716484.99240017</v>
      </c>
      <c r="BK17" s="140">
        <f>'[91]2. Distributional by deciles o'!$B159</f>
        <v>168334196.27759999</v>
      </c>
      <c r="BL17" s="141">
        <f t="shared" si="16"/>
        <v>0.71230869503262351</v>
      </c>
      <c r="BM17" s="141">
        <f t="shared" si="4"/>
        <v>0.23463145465363056</v>
      </c>
      <c r="BN17" s="141">
        <f t="shared" si="17"/>
        <v>3.5162294830114009E-2</v>
      </c>
      <c r="BO17" s="141">
        <f t="shared" si="17"/>
        <v>1.7897555483632057E-2</v>
      </c>
      <c r="BP17" s="139" t="s">
        <v>113</v>
      </c>
      <c r="BQ17" s="139" t="s">
        <v>113</v>
      </c>
      <c r="BR17" s="139" t="s">
        <v>113</v>
      </c>
      <c r="BS17" s="131">
        <f t="shared" si="18"/>
        <v>8.3381563264179164</v>
      </c>
      <c r="BT17" s="139"/>
      <c r="BU17" s="139"/>
      <c r="BV17" s="139"/>
      <c r="BW17" s="139"/>
      <c r="BX17" s="139"/>
      <c r="BY17" s="139"/>
      <c r="BZ17" s="139"/>
      <c r="CA17" s="139"/>
      <c r="CB17" s="139"/>
      <c r="CC17" s="142" t="s">
        <v>113</v>
      </c>
      <c r="CD17" s="142" t="s">
        <v>113</v>
      </c>
      <c r="CE17" s="142" t="s">
        <v>113</v>
      </c>
      <c r="CF17" s="142" t="s">
        <v>113</v>
      </c>
      <c r="CG17" s="142" t="s">
        <v>113</v>
      </c>
      <c r="CH17" s="142" t="s">
        <v>113</v>
      </c>
      <c r="CI17" s="142" t="s">
        <v>113</v>
      </c>
      <c r="CJ17" s="142"/>
      <c r="CK17" s="139" t="s">
        <v>113</v>
      </c>
      <c r="CL17" s="139" t="s">
        <v>113</v>
      </c>
      <c r="CM17" s="139" t="s">
        <v>113</v>
      </c>
      <c r="CN17" s="139" t="s">
        <v>113</v>
      </c>
      <c r="CO17" s="139" t="s">
        <v>113</v>
      </c>
      <c r="CP17" s="139" t="s">
        <v>113</v>
      </c>
      <c r="CQ17" s="139" t="s">
        <v>113</v>
      </c>
      <c r="CR17" s="139"/>
      <c r="CS17" s="143" t="s">
        <v>113</v>
      </c>
      <c r="CT17" s="143" t="s">
        <v>113</v>
      </c>
      <c r="CU17" s="143" t="s">
        <v>113</v>
      </c>
      <c r="CV17" s="143" t="s">
        <v>113</v>
      </c>
      <c r="CW17" s="143" t="s">
        <v>113</v>
      </c>
      <c r="CX17" s="143" t="s">
        <v>113</v>
      </c>
      <c r="CY17" s="143" t="s">
        <v>113</v>
      </c>
      <c r="CZ17" s="143"/>
      <c r="DA17" s="139" t="s">
        <v>113</v>
      </c>
      <c r="DB17" s="139" t="s">
        <v>113</v>
      </c>
      <c r="DC17" s="139" t="s">
        <v>113</v>
      </c>
      <c r="DD17" s="144">
        <f t="shared" si="19"/>
        <v>1.2887104780597292</v>
      </c>
      <c r="DE17" s="145">
        <f>'[91]2. Distributional by deciles o'!$J33</f>
        <v>0.98711289521940271</v>
      </c>
      <c r="DF17" s="1"/>
      <c r="DG17" s="1"/>
      <c r="DH17" s="1"/>
      <c r="DI17" s="1"/>
      <c r="DJ17" s="1"/>
      <c r="DK17" s="1"/>
      <c r="DL17" s="1"/>
      <c r="DM17" s="1"/>
      <c r="DN17" s="1"/>
      <c r="DO17" s="1"/>
      <c r="DP17" s="1"/>
      <c r="DQ17" s="1"/>
      <c r="DR17" s="1"/>
      <c r="DS17" s="1"/>
      <c r="DT17" s="1"/>
      <c r="DU17" s="1"/>
      <c r="DV17" s="1"/>
      <c r="DW17" s="1"/>
      <c r="DX17" s="1"/>
      <c r="DY17" s="1"/>
      <c r="DZ17" s="1"/>
      <c r="EA17" s="146">
        <f>'[92]2. Distributional by deciles o'!B69</f>
        <v>687589981.70519936</v>
      </c>
      <c r="EB17" s="146">
        <f>'[92]2. Distributional by deciles o'!C69</f>
        <v>715724538.39720047</v>
      </c>
      <c r="EC17" s="146">
        <f>'[92]2. Distributional by deciles o'!D69</f>
        <v>695408600.76719797</v>
      </c>
      <c r="ED17" s="146"/>
      <c r="EE17" s="146"/>
      <c r="EF17" s="146"/>
      <c r="EG17" s="146"/>
      <c r="EH17" s="122"/>
      <c r="EI17" s="130" t="s">
        <v>113</v>
      </c>
      <c r="EJ17" s="130" t="s">
        <v>113</v>
      </c>
      <c r="EK17" s="130" t="s">
        <v>113</v>
      </c>
      <c r="EL17" s="130" t="s">
        <v>113</v>
      </c>
      <c r="EM17" s="131">
        <f t="shared" si="5"/>
        <v>3.7243000581327483</v>
      </c>
      <c r="EN17" s="146">
        <f>'[92]2. Distributional by deciles o'!B87</f>
        <v>11079757577.920799</v>
      </c>
      <c r="EO17" s="146">
        <f>'[92]2. Distributional by deciles o'!C87</f>
        <v>11190556142.230795</v>
      </c>
      <c r="EP17" s="131">
        <f t="shared" si="20"/>
        <v>1.0000089219532216</v>
      </c>
      <c r="EQ17" s="130" t="s">
        <v>113</v>
      </c>
      <c r="ER17" s="130" t="s">
        <v>113</v>
      </c>
      <c r="ES17" s="130" t="s">
        <v>113</v>
      </c>
      <c r="ET17" s="130" t="s">
        <v>113</v>
      </c>
      <c r="EU17" s="131">
        <f t="shared" si="21"/>
        <v>8.3609618785772728</v>
      </c>
      <c r="EV17" s="132">
        <f t="shared" si="24"/>
        <v>4.0917271088316047</v>
      </c>
      <c r="EW17" s="132">
        <f t="shared" si="22"/>
        <v>1.1370947095357196</v>
      </c>
      <c r="EX17" s="132"/>
      <c r="EY17" s="148">
        <f t="shared" si="25"/>
        <v>0.68997149832482707</v>
      </c>
      <c r="EZ17" s="144">
        <f t="shared" si="23"/>
        <v>43.021159562349666</v>
      </c>
      <c r="FA17" s="145">
        <f>'[92]2. Distributional by deciles o'!$J33</f>
        <v>0.56978840437650335</v>
      </c>
      <c r="FB17" s="130" t="s">
        <v>113</v>
      </c>
      <c r="FC17" s="130" t="s">
        <v>113</v>
      </c>
      <c r="FD17" s="130" t="s">
        <v>113</v>
      </c>
      <c r="FE17" s="130" t="s">
        <v>113</v>
      </c>
      <c r="FF17" s="130" t="s">
        <v>113</v>
      </c>
      <c r="FG17" s="130" t="s">
        <v>113</v>
      </c>
      <c r="FH17" s="130" t="s">
        <v>113</v>
      </c>
      <c r="FI17" s="130" t="s">
        <v>113</v>
      </c>
      <c r="FJ17" s="1"/>
      <c r="FK17" s="1"/>
      <c r="FL17" s="1"/>
      <c r="FM17" s="1"/>
      <c r="FN17" s="1"/>
      <c r="FO17" s="1"/>
      <c r="FP17" s="1"/>
      <c r="FQ17" s="53"/>
    </row>
    <row r="18" spans="1:173" x14ac:dyDescent="0.3">
      <c r="A18" s="1"/>
      <c r="B18" s="28">
        <v>7</v>
      </c>
      <c r="C18" s="129">
        <f>'[91]2. Distributional by deciles o'!B70</f>
        <v>984885033.40679991</v>
      </c>
      <c r="D18" s="129">
        <f>'[91]2. Distributional by deciles o'!C70</f>
        <v>1012314772.0788013</v>
      </c>
      <c r="E18" s="129">
        <f>'[91]2. Distributional by deciles o'!D70</f>
        <v>995903084.20799923</v>
      </c>
      <c r="F18" s="129">
        <f>'[91]2. Distributional by deciles o'!E70</f>
        <v>1006364592.7020009</v>
      </c>
      <c r="G18" s="129">
        <f>'[91]2. Distributional by deciles o'!F70</f>
        <v>999594662.62799978</v>
      </c>
      <c r="H18" s="129">
        <f>'[91]2. Distributional by deciles o'!G70</f>
        <v>998970226.82519996</v>
      </c>
      <c r="I18" s="129">
        <f>'[91]2. Distributional by deciles o'!H70</f>
        <v>997170277.35120034</v>
      </c>
      <c r="J18" s="122"/>
      <c r="K18" s="130" t="s">
        <v>113</v>
      </c>
      <c r="L18" s="130" t="s">
        <v>113</v>
      </c>
      <c r="M18" s="130" t="s">
        <v>113</v>
      </c>
      <c r="N18" s="130" t="s">
        <v>113</v>
      </c>
      <c r="O18" s="131">
        <f t="shared" si="6"/>
        <v>6.5197503217174599</v>
      </c>
      <c r="P18" s="129">
        <f>'[91]2. Distributional by deciles o'!B88</f>
        <v>11088047402.480398</v>
      </c>
      <c r="Q18" s="129">
        <f>'[91]2. Distributional by deciles o'!C88</f>
        <v>11198925362.484001</v>
      </c>
      <c r="R18" s="131">
        <f t="shared" si="0"/>
        <v>0.99997732674554918</v>
      </c>
      <c r="S18" s="130" t="s">
        <v>113</v>
      </c>
      <c r="T18" s="130" t="s">
        <v>113</v>
      </c>
      <c r="U18" s="130" t="s">
        <v>113</v>
      </c>
      <c r="V18" s="130" t="s">
        <v>113</v>
      </c>
      <c r="W18" s="132">
        <f t="shared" si="7"/>
        <v>2.7851332568902154</v>
      </c>
      <c r="X18" s="132">
        <f t="shared" si="7"/>
        <v>1.1187397765422131</v>
      </c>
      <c r="Y18" s="132">
        <f t="shared" si="7"/>
        <v>2.1809699192458476</v>
      </c>
      <c r="Z18" s="132">
        <f t="shared" si="7"/>
        <v>1.4935715586056915</v>
      </c>
      <c r="AA18" s="132">
        <f t="shared" si="7"/>
        <v>1.4301682231978361</v>
      </c>
      <c r="AB18" s="132">
        <f t="shared" si="1"/>
        <v>1.2474067612421136</v>
      </c>
      <c r="AC18" s="132">
        <f t="shared" si="1"/>
        <v>1.2474067612421136</v>
      </c>
      <c r="AD18" s="130" t="s">
        <v>113</v>
      </c>
      <c r="AE18" s="130" t="s">
        <v>113</v>
      </c>
      <c r="AF18" s="130" t="s">
        <v>113</v>
      </c>
      <c r="AG18" s="130" t="s">
        <v>113</v>
      </c>
      <c r="AH18" s="133">
        <f t="shared" si="8"/>
        <v>1</v>
      </c>
      <c r="AI18" s="134">
        <f t="shared" si="9"/>
        <v>0.1187397765422129</v>
      </c>
      <c r="AJ18" s="134">
        <f t="shared" si="10"/>
        <v>0.6041633376443678</v>
      </c>
      <c r="AK18" s="134">
        <f t="shared" si="11"/>
        <v>0.68739836064015614</v>
      </c>
      <c r="AL18" s="134">
        <f t="shared" si="12"/>
        <v>6.3403335407855366E-2</v>
      </c>
      <c r="AM18" s="134">
        <f t="shared" si="13"/>
        <v>0.18276146195572252</v>
      </c>
      <c r="AN18" s="135">
        <f t="shared" si="14"/>
        <v>0</v>
      </c>
      <c r="AO18" s="134">
        <f t="shared" si="15"/>
        <v>0.12866698469990046</v>
      </c>
      <c r="AP18" s="134">
        <f t="shared" si="2"/>
        <v>0.24740676124211336</v>
      </c>
      <c r="AQ18" s="136" t="s">
        <v>113</v>
      </c>
      <c r="AR18" s="137">
        <f t="shared" si="3"/>
        <v>6.6515917556240627</v>
      </c>
      <c r="AS18" s="137">
        <f t="shared" si="3"/>
        <v>33.844158989948362</v>
      </c>
      <c r="AT18" s="137">
        <f t="shared" si="3"/>
        <v>38.506837402023187</v>
      </c>
      <c r="AU18" s="137">
        <f t="shared" si="3"/>
        <v>3.5517424350889581</v>
      </c>
      <c r="AV18" s="137">
        <f t="shared" si="3"/>
        <v>10.237973061691843</v>
      </c>
      <c r="AW18" s="138">
        <f t="shared" si="3"/>
        <v>0</v>
      </c>
      <c r="AX18" s="137">
        <f t="shared" si="3"/>
        <v>7.2076963556235736</v>
      </c>
      <c r="AY18" s="137">
        <f t="shared" si="3"/>
        <v>13.859288111247636</v>
      </c>
      <c r="AZ18" s="139" t="s">
        <v>113</v>
      </c>
      <c r="BA18" s="139" t="s">
        <v>113</v>
      </c>
      <c r="BB18" s="139" t="s">
        <v>113</v>
      </c>
      <c r="BC18" s="139" t="s">
        <v>113</v>
      </c>
      <c r="BD18" s="139" t="s">
        <v>113</v>
      </c>
      <c r="BE18" s="139" t="s">
        <v>113</v>
      </c>
      <c r="BF18" s="139" t="s">
        <v>113</v>
      </c>
      <c r="BG18" s="139" t="s">
        <v>113</v>
      </c>
      <c r="BH18" s="140">
        <f>'[91]2. Distributional by deciles o'!$B106</f>
        <v>8086535068.2936096</v>
      </c>
      <c r="BI18" s="140">
        <f>'[91]2. Distributional by deciles o'!$B124</f>
        <v>2371825089.4068012</v>
      </c>
      <c r="BJ18" s="140">
        <f>'[91]2. Distributional by deciles o'!$B142</f>
        <v>445105318.16159987</v>
      </c>
      <c r="BK18" s="140">
        <f>'[91]2. Distributional by deciles o'!$B160</f>
        <v>184581851.46240005</v>
      </c>
      <c r="BL18" s="141">
        <f t="shared" si="16"/>
        <v>0.72930199786989203</v>
      </c>
      <c r="BM18" s="141">
        <f t="shared" si="4"/>
        <v>0.213908276127383</v>
      </c>
      <c r="BN18" s="141">
        <f t="shared" si="17"/>
        <v>4.0142804681643211E-2</v>
      </c>
      <c r="BO18" s="141">
        <f t="shared" si="17"/>
        <v>1.6646921321081733E-2</v>
      </c>
      <c r="BP18" s="139" t="s">
        <v>113</v>
      </c>
      <c r="BQ18" s="139" t="s">
        <v>113</v>
      </c>
      <c r="BR18" s="139" t="s">
        <v>113</v>
      </c>
      <c r="BS18" s="131">
        <f t="shared" si="18"/>
        <v>9.8298411852769974</v>
      </c>
      <c r="BT18" s="139"/>
      <c r="BU18" s="139"/>
      <c r="BV18" s="139"/>
      <c r="BW18" s="139"/>
      <c r="BX18" s="139"/>
      <c r="BY18" s="139"/>
      <c r="BZ18" s="139"/>
      <c r="CA18" s="139"/>
      <c r="CB18" s="139"/>
      <c r="CC18" s="142" t="s">
        <v>113</v>
      </c>
      <c r="CD18" s="142" t="s">
        <v>113</v>
      </c>
      <c r="CE18" s="142" t="s">
        <v>113</v>
      </c>
      <c r="CF18" s="142" t="s">
        <v>113</v>
      </c>
      <c r="CG18" s="142" t="s">
        <v>113</v>
      </c>
      <c r="CH18" s="142" t="s">
        <v>113</v>
      </c>
      <c r="CI18" s="142" t="s">
        <v>113</v>
      </c>
      <c r="CJ18" s="142"/>
      <c r="CK18" s="139" t="s">
        <v>113</v>
      </c>
      <c r="CL18" s="139" t="s">
        <v>113</v>
      </c>
      <c r="CM18" s="139" t="s">
        <v>113</v>
      </c>
      <c r="CN18" s="139" t="s">
        <v>113</v>
      </c>
      <c r="CO18" s="139" t="s">
        <v>113</v>
      </c>
      <c r="CP18" s="139" t="s">
        <v>113</v>
      </c>
      <c r="CQ18" s="139" t="s">
        <v>113</v>
      </c>
      <c r="CR18" s="139"/>
      <c r="CS18" s="143" t="s">
        <v>113</v>
      </c>
      <c r="CT18" s="143" t="s">
        <v>113</v>
      </c>
      <c r="CU18" s="143" t="s">
        <v>113</v>
      </c>
      <c r="CV18" s="143" t="s">
        <v>113</v>
      </c>
      <c r="CW18" s="143" t="s">
        <v>113</v>
      </c>
      <c r="CX18" s="143" t="s">
        <v>113</v>
      </c>
      <c r="CY18" s="143" t="s">
        <v>113</v>
      </c>
      <c r="CZ18" s="143"/>
      <c r="DA18" s="139" t="s">
        <v>113</v>
      </c>
      <c r="DB18" s="139" t="s">
        <v>113</v>
      </c>
      <c r="DC18" s="139" t="s">
        <v>113</v>
      </c>
      <c r="DD18" s="144">
        <f t="shared" si="19"/>
        <v>1.0398978209151366</v>
      </c>
      <c r="DE18" s="145">
        <f>'[91]2. Distributional by deciles o'!$J34</f>
        <v>0.98960102179084863</v>
      </c>
      <c r="DF18" s="1"/>
      <c r="DG18" s="1"/>
      <c r="DH18" s="1"/>
      <c r="DI18" s="1"/>
      <c r="DJ18" s="1"/>
      <c r="DK18" s="1"/>
      <c r="DL18" s="1"/>
      <c r="DM18" s="1"/>
      <c r="DN18" s="1"/>
      <c r="DO18" s="1"/>
      <c r="DP18" s="1"/>
      <c r="DQ18" s="1"/>
      <c r="DR18" s="1"/>
      <c r="DS18" s="1"/>
      <c r="DT18" s="1"/>
      <c r="DU18" s="1"/>
      <c r="DV18" s="1"/>
      <c r="DW18" s="1"/>
      <c r="DX18" s="1"/>
      <c r="DY18" s="1"/>
      <c r="DZ18" s="1"/>
      <c r="EA18" s="146">
        <f>'[92]2. Distributional by deciles o'!B70</f>
        <v>1245750671.2836003</v>
      </c>
      <c r="EB18" s="146">
        <f>'[92]2. Distributional by deciles o'!C70</f>
        <v>1282344083.5668004</v>
      </c>
      <c r="EC18" s="146">
        <f>'[92]2. Distributional by deciles o'!D70</f>
        <v>1259454672.5903993</v>
      </c>
      <c r="ED18" s="146"/>
      <c r="EE18" s="146"/>
      <c r="EF18" s="146"/>
      <c r="EG18" s="146"/>
      <c r="EH18" s="122"/>
      <c r="EI18" s="130" t="s">
        <v>113</v>
      </c>
      <c r="EJ18" s="130" t="s">
        <v>113</v>
      </c>
      <c r="EK18" s="130" t="s">
        <v>113</v>
      </c>
      <c r="EL18" s="130" t="s">
        <v>113</v>
      </c>
      <c r="EM18" s="131">
        <f t="shared" si="5"/>
        <v>6.7475522054211758</v>
      </c>
      <c r="EN18" s="146">
        <f>'[92]2. Distributional by deciles o'!B88</f>
        <v>13214035207.555199</v>
      </c>
      <c r="EO18" s="146">
        <f>'[92]2. Distributional by deciles o'!C88</f>
        <v>13346177541.468</v>
      </c>
      <c r="EP18" s="131">
        <f t="shared" si="20"/>
        <v>1.0000149979716211</v>
      </c>
      <c r="EQ18" s="130" t="s">
        <v>113</v>
      </c>
      <c r="ER18" s="130" t="s">
        <v>113</v>
      </c>
      <c r="ES18" s="130" t="s">
        <v>113</v>
      </c>
      <c r="ET18" s="130" t="s">
        <v>113</v>
      </c>
      <c r="EU18" s="131">
        <f t="shared" si="21"/>
        <v>9.9715218366068026</v>
      </c>
      <c r="EV18" s="132">
        <f t="shared" si="24"/>
        <v>2.9374147097001031</v>
      </c>
      <c r="EW18" s="132">
        <f t="shared" si="22"/>
        <v>1.1000432184024915</v>
      </c>
      <c r="EX18" s="132"/>
      <c r="EY18" s="148">
        <f t="shared" si="25"/>
        <v>0.1522814528098877</v>
      </c>
      <c r="EZ18" s="144">
        <f t="shared" si="23"/>
        <v>98.528518025359134</v>
      </c>
      <c r="FA18" s="145">
        <f>'[92]2. Distributional by deciles o'!$J34</f>
        <v>1.4714819746408647E-2</v>
      </c>
      <c r="FB18" s="130" t="s">
        <v>113</v>
      </c>
      <c r="FC18" s="130" t="s">
        <v>113</v>
      </c>
      <c r="FD18" s="130" t="s">
        <v>113</v>
      </c>
      <c r="FE18" s="130" t="s">
        <v>113</v>
      </c>
      <c r="FF18" s="130" t="s">
        <v>113</v>
      </c>
      <c r="FG18" s="130" t="s">
        <v>113</v>
      </c>
      <c r="FH18" s="130" t="s">
        <v>113</v>
      </c>
      <c r="FI18" s="130" t="s">
        <v>113</v>
      </c>
      <c r="FJ18" s="1"/>
      <c r="FK18" s="1"/>
      <c r="FL18" s="1"/>
      <c r="FM18" s="1"/>
      <c r="FN18" s="1"/>
      <c r="FO18" s="1"/>
      <c r="FP18" s="1"/>
      <c r="FQ18" s="53"/>
    </row>
    <row r="19" spans="1:173" x14ac:dyDescent="0.3">
      <c r="A19" s="1"/>
      <c r="B19" s="28">
        <v>8</v>
      </c>
      <c r="C19" s="129">
        <f>'[91]2. Distributional by deciles o'!B71</f>
        <v>1634339357.4900019</v>
      </c>
      <c r="D19" s="129">
        <f>'[91]2. Distributional by deciles o'!C71</f>
        <v>1671539616.220798</v>
      </c>
      <c r="E19" s="129">
        <f>'[91]2. Distributional by deciles o'!D71</f>
        <v>1652130258.0852027</v>
      </c>
      <c r="F19" s="129">
        <f>'[91]2. Distributional by deciles o'!E71</f>
        <v>1663285382.1275988</v>
      </c>
      <c r="G19" s="129">
        <f>'[91]2. Distributional by deciles o'!F71</f>
        <v>1656030157.0428019</v>
      </c>
      <c r="H19" s="129">
        <f>'[91]2. Distributional by deciles o'!G71</f>
        <v>1655310762.2256021</v>
      </c>
      <c r="I19" s="129">
        <f>'[91]2. Distributional by deciles o'!H71</f>
        <v>1653426196.4304006</v>
      </c>
      <c r="J19" s="122"/>
      <c r="K19" s="130" t="s">
        <v>113</v>
      </c>
      <c r="L19" s="130" t="s">
        <v>113</v>
      </c>
      <c r="M19" s="130" t="s">
        <v>113</v>
      </c>
      <c r="N19" s="130" t="s">
        <v>113</v>
      </c>
      <c r="O19" s="131">
        <f t="shared" si="6"/>
        <v>10.819013580633603</v>
      </c>
      <c r="P19" s="129">
        <f>'[91]2. Distributional by deciles o'!B89</f>
        <v>13510719078.505215</v>
      </c>
      <c r="Q19" s="129">
        <f>'[91]2. Distributional by deciles o'!C89</f>
        <v>13645823929.796385</v>
      </c>
      <c r="R19" s="131">
        <f t="shared" si="0"/>
        <v>0.9999826841645687</v>
      </c>
      <c r="S19" s="130" t="s">
        <v>113</v>
      </c>
      <c r="T19" s="130" t="s">
        <v>113</v>
      </c>
      <c r="U19" s="130" t="s">
        <v>113</v>
      </c>
      <c r="V19" s="130" t="s">
        <v>113</v>
      </c>
      <c r="W19" s="132">
        <f t="shared" si="7"/>
        <v>2.2762043100180382</v>
      </c>
      <c r="X19" s="132">
        <f t="shared" si="7"/>
        <v>1.0885871764212824</v>
      </c>
      <c r="Y19" s="132">
        <f t="shared" si="7"/>
        <v>1.771145370648777</v>
      </c>
      <c r="Z19" s="132">
        <f t="shared" si="7"/>
        <v>1.3272136569563036</v>
      </c>
      <c r="AA19" s="132">
        <f t="shared" si="7"/>
        <v>1.2831954259175227</v>
      </c>
      <c r="AB19" s="132">
        <f t="shared" si="1"/>
        <v>1.1678828734809146</v>
      </c>
      <c r="AC19" s="132">
        <f t="shared" si="1"/>
        <v>1.1678828734809146</v>
      </c>
      <c r="AD19" s="130" t="s">
        <v>113</v>
      </c>
      <c r="AE19" s="130" t="s">
        <v>113</v>
      </c>
      <c r="AF19" s="130" t="s">
        <v>113</v>
      </c>
      <c r="AG19" s="130" t="s">
        <v>113</v>
      </c>
      <c r="AH19" s="133">
        <f t="shared" si="8"/>
        <v>1</v>
      </c>
      <c r="AI19" s="134">
        <f t="shared" si="9"/>
        <v>8.8587176421281999E-2</v>
      </c>
      <c r="AJ19" s="134">
        <f t="shared" si="10"/>
        <v>0.50505893936926127</v>
      </c>
      <c r="AK19" s="134">
        <f t="shared" si="11"/>
        <v>0.44393171369247342</v>
      </c>
      <c r="AL19" s="134">
        <f t="shared" si="12"/>
        <v>4.4018231038780886E-2</v>
      </c>
      <c r="AM19" s="134">
        <f t="shared" si="13"/>
        <v>0.1153125524366081</v>
      </c>
      <c r="AN19" s="135">
        <f t="shared" si="14"/>
        <v>0</v>
      </c>
      <c r="AO19" s="134">
        <f t="shared" si="15"/>
        <v>7.9295697059632131E-2</v>
      </c>
      <c r="AP19" s="134">
        <f t="shared" si="2"/>
        <v>0.16788287348091413</v>
      </c>
      <c r="AQ19" s="136" t="s">
        <v>113</v>
      </c>
      <c r="AR19" s="137">
        <f t="shared" si="3"/>
        <v>6.9414572357955659</v>
      </c>
      <c r="AS19" s="137">
        <f t="shared" si="3"/>
        <v>39.575084914273845</v>
      </c>
      <c r="AT19" s="137">
        <f t="shared" si="3"/>
        <v>34.785316912634364</v>
      </c>
      <c r="AU19" s="137">
        <f t="shared" si="3"/>
        <v>3.4491523569732117</v>
      </c>
      <c r="AV19" s="137">
        <f t="shared" si="3"/>
        <v>9.0355871337700027</v>
      </c>
      <c r="AW19" s="138">
        <f t="shared" si="3"/>
        <v>0</v>
      </c>
      <c r="AX19" s="137">
        <f t="shared" si="3"/>
        <v>6.213401446552969</v>
      </c>
      <c r="AY19" s="137">
        <f t="shared" si="3"/>
        <v>13.154858682348536</v>
      </c>
      <c r="AZ19" s="139" t="s">
        <v>113</v>
      </c>
      <c r="BA19" s="139" t="s">
        <v>113</v>
      </c>
      <c r="BB19" s="139" t="s">
        <v>113</v>
      </c>
      <c r="BC19" s="139" t="s">
        <v>113</v>
      </c>
      <c r="BD19" s="139" t="s">
        <v>113</v>
      </c>
      <c r="BE19" s="139" t="s">
        <v>113</v>
      </c>
      <c r="BF19" s="139" t="s">
        <v>113</v>
      </c>
      <c r="BG19" s="139" t="s">
        <v>113</v>
      </c>
      <c r="BH19" s="140">
        <f>'[91]2. Distributional by deciles o'!$B107</f>
        <v>9487862592.6455994</v>
      </c>
      <c r="BI19" s="140">
        <f>'[91]2. Distributional by deciles o'!$B125</f>
        <v>3026619544.8263988</v>
      </c>
      <c r="BJ19" s="140">
        <f>'[91]2. Distributional by deciles o'!$B143</f>
        <v>686034565.57439971</v>
      </c>
      <c r="BK19" s="140">
        <f>'[91]2. Distributional by deciles o'!$B161</f>
        <v>310201636.91759998</v>
      </c>
      <c r="BL19" s="141">
        <f t="shared" si="16"/>
        <v>0.70224708663942748</v>
      </c>
      <c r="BM19" s="141">
        <f t="shared" si="4"/>
        <v>0.22401618246113653</v>
      </c>
      <c r="BN19" s="141">
        <f t="shared" si="17"/>
        <v>5.0777060724087879E-2</v>
      </c>
      <c r="BO19" s="141">
        <f t="shared" si="17"/>
        <v>2.2959670175348099E-2</v>
      </c>
      <c r="BP19" s="139" t="s">
        <v>113</v>
      </c>
      <c r="BQ19" s="139" t="s">
        <v>113</v>
      </c>
      <c r="BR19" s="139" t="s">
        <v>113</v>
      </c>
      <c r="BS19" s="131">
        <f t="shared" si="18"/>
        <v>11.977602369456774</v>
      </c>
      <c r="BT19" s="139"/>
      <c r="BU19" s="139"/>
      <c r="BV19" s="139"/>
      <c r="BW19" s="139"/>
      <c r="BX19" s="139"/>
      <c r="BY19" s="139"/>
      <c r="BZ19" s="139"/>
      <c r="CA19" s="139"/>
      <c r="CB19" s="139"/>
      <c r="CC19" s="142" t="s">
        <v>113</v>
      </c>
      <c r="CD19" s="142" t="s">
        <v>113</v>
      </c>
      <c r="CE19" s="142" t="s">
        <v>113</v>
      </c>
      <c r="CF19" s="142" t="s">
        <v>113</v>
      </c>
      <c r="CG19" s="142" t="s">
        <v>113</v>
      </c>
      <c r="CH19" s="142" t="s">
        <v>113</v>
      </c>
      <c r="CI19" s="142" t="s">
        <v>113</v>
      </c>
      <c r="CJ19" s="142"/>
      <c r="CK19" s="139" t="s">
        <v>113</v>
      </c>
      <c r="CL19" s="139" t="s">
        <v>113</v>
      </c>
      <c r="CM19" s="139" t="s">
        <v>113</v>
      </c>
      <c r="CN19" s="139" t="s">
        <v>113</v>
      </c>
      <c r="CO19" s="139" t="s">
        <v>113</v>
      </c>
      <c r="CP19" s="139" t="s">
        <v>113</v>
      </c>
      <c r="CQ19" s="139" t="s">
        <v>113</v>
      </c>
      <c r="CR19" s="139"/>
      <c r="CS19" s="143" t="s">
        <v>113</v>
      </c>
      <c r="CT19" s="143" t="s">
        <v>113</v>
      </c>
      <c r="CU19" s="143" t="s">
        <v>113</v>
      </c>
      <c r="CV19" s="143" t="s">
        <v>113</v>
      </c>
      <c r="CW19" s="143" t="s">
        <v>113</v>
      </c>
      <c r="CX19" s="143" t="s">
        <v>113</v>
      </c>
      <c r="CY19" s="143" t="s">
        <v>113</v>
      </c>
      <c r="CZ19" s="143"/>
      <c r="DA19" s="139" t="s">
        <v>113</v>
      </c>
      <c r="DB19" s="139" t="s">
        <v>113</v>
      </c>
      <c r="DC19" s="139" t="s">
        <v>113</v>
      </c>
      <c r="DD19" s="144">
        <f t="shared" si="19"/>
        <v>9.3464114978014656E-3</v>
      </c>
      <c r="DE19" s="145">
        <f>'[91]2. Distributional by deciles o'!$J35</f>
        <v>0.99990653588502199</v>
      </c>
      <c r="DF19" s="1"/>
      <c r="DG19" s="1"/>
      <c r="DH19" s="1"/>
      <c r="DI19" s="1"/>
      <c r="DJ19" s="1"/>
      <c r="DK19" s="1"/>
      <c r="DL19" s="1"/>
      <c r="DM19" s="1"/>
      <c r="DN19" s="1"/>
      <c r="DO19" s="1"/>
      <c r="DP19" s="1"/>
      <c r="DQ19" s="1"/>
      <c r="DR19" s="1"/>
      <c r="DS19" s="1"/>
      <c r="DT19" s="1"/>
      <c r="DU19" s="1"/>
      <c r="DV19" s="1"/>
      <c r="DW19" s="1"/>
      <c r="DX19" s="1"/>
      <c r="DY19" s="1"/>
      <c r="DZ19" s="1"/>
      <c r="EA19" s="146">
        <f>'[92]2. Distributional by deciles o'!B71</f>
        <v>2106382464.670804</v>
      </c>
      <c r="EB19" s="146">
        <f>'[92]2. Distributional by deciles o'!C71</f>
        <v>2153760551.1251998</v>
      </c>
      <c r="EC19" s="146">
        <f>'[92]2. Distributional by deciles o'!D71</f>
        <v>2129028165.1475987</v>
      </c>
      <c r="ED19" s="146"/>
      <c r="EE19" s="146"/>
      <c r="EF19" s="146"/>
      <c r="EG19" s="146"/>
      <c r="EH19" s="122"/>
      <c r="EI19" s="130" t="s">
        <v>113</v>
      </c>
      <c r="EJ19" s="130" t="s">
        <v>113</v>
      </c>
      <c r="EK19" s="130" t="s">
        <v>113</v>
      </c>
      <c r="EL19" s="130" t="s">
        <v>113</v>
      </c>
      <c r="EM19" s="131">
        <f t="shared" si="5"/>
        <v>11.409125415365192</v>
      </c>
      <c r="EN19" s="146">
        <f>'[92]2. Distributional by deciles o'!B89</f>
        <v>15915408115.629604</v>
      </c>
      <c r="EO19" s="146">
        <f>'[92]2. Distributional by deciles o'!C89</f>
        <v>16074560661.987631</v>
      </c>
      <c r="EP19" s="131">
        <f t="shared" si="20"/>
        <v>0.99999035652582613</v>
      </c>
      <c r="EQ19" s="130" t="s">
        <v>113</v>
      </c>
      <c r="ER19" s="130" t="s">
        <v>113</v>
      </c>
      <c r="ES19" s="130" t="s">
        <v>113</v>
      </c>
      <c r="ET19" s="130" t="s">
        <v>113</v>
      </c>
      <c r="EU19" s="131">
        <f t="shared" si="21"/>
        <v>12.010020941428371</v>
      </c>
      <c r="EV19" s="132">
        <f t="shared" si="24"/>
        <v>2.2492849301021645</v>
      </c>
      <c r="EW19" s="132">
        <f t="shared" si="22"/>
        <v>1.075109541688462</v>
      </c>
      <c r="EX19" s="132"/>
      <c r="EY19" s="148">
        <f t="shared" si="25"/>
        <v>-2.6919379915873787E-2</v>
      </c>
      <c r="EZ19" s="144">
        <f t="shared" si="23"/>
        <v>100</v>
      </c>
      <c r="FA19" s="145">
        <f>'[92]2. Distributional by deciles o'!$J35</f>
        <v>0</v>
      </c>
      <c r="FB19" s="130" t="s">
        <v>113</v>
      </c>
      <c r="FC19" s="130" t="s">
        <v>113</v>
      </c>
      <c r="FD19" s="130" t="s">
        <v>113</v>
      </c>
      <c r="FE19" s="130" t="s">
        <v>113</v>
      </c>
      <c r="FF19" s="130" t="s">
        <v>113</v>
      </c>
      <c r="FG19" s="130" t="s">
        <v>113</v>
      </c>
      <c r="FH19" s="130" t="s">
        <v>113</v>
      </c>
      <c r="FI19" s="130" t="s">
        <v>113</v>
      </c>
      <c r="FJ19" s="1"/>
      <c r="FK19" s="1"/>
      <c r="FL19" s="1"/>
      <c r="FM19" s="1"/>
      <c r="FN19" s="1"/>
      <c r="FO19" s="1"/>
      <c r="FP19" s="1"/>
      <c r="FQ19" s="53"/>
    </row>
    <row r="20" spans="1:173" x14ac:dyDescent="0.3">
      <c r="A20" s="1"/>
      <c r="B20" s="28">
        <v>9</v>
      </c>
      <c r="C20" s="129">
        <f>'[91]2. Distributional by deciles o'!B72</f>
        <v>2974603188.0648022</v>
      </c>
      <c r="D20" s="129">
        <f>'[91]2. Distributional by deciles o'!C72</f>
        <v>3032333960.3807983</v>
      </c>
      <c r="E20" s="129">
        <f>'[91]2. Distributional by deciles o'!D72</f>
        <v>3006063861.5639949</v>
      </c>
      <c r="F20" s="129">
        <f>'[91]2. Distributional by deciles o'!E72</f>
        <v>3018327310.454402</v>
      </c>
      <c r="G20" s="129">
        <f>'[91]2. Distributional by deciles o'!F72</f>
        <v>3009860127.8604012</v>
      </c>
      <c r="H20" s="129">
        <f>'[91]2. Distributional by deciles o'!G72</f>
        <v>3009469401.2268014</v>
      </c>
      <c r="I20" s="129">
        <f>'[91]2. Distributional by deciles o'!H72</f>
        <v>3007519340.0159979</v>
      </c>
      <c r="J20" s="122"/>
      <c r="K20" s="130" t="s">
        <v>113</v>
      </c>
      <c r="L20" s="130" t="s">
        <v>113</v>
      </c>
      <c r="M20" s="130" t="s">
        <v>113</v>
      </c>
      <c r="N20" s="130" t="s">
        <v>113</v>
      </c>
      <c r="O20" s="131">
        <f t="shared" si="6"/>
        <v>19.691303486746008</v>
      </c>
      <c r="P20" s="129">
        <f>'[91]2. Distributional by deciles o'!B90</f>
        <v>18183066607.023575</v>
      </c>
      <c r="Q20" s="129">
        <f>'[91]2. Distributional by deciles o'!C90</f>
        <v>18364895508.68399</v>
      </c>
      <c r="R20" s="131">
        <f t="shared" si="0"/>
        <v>0.99999029641226755</v>
      </c>
      <c r="S20" s="130" t="s">
        <v>113</v>
      </c>
      <c r="T20" s="130" t="s">
        <v>113</v>
      </c>
      <c r="U20" s="130" t="s">
        <v>113</v>
      </c>
      <c r="V20" s="130" t="s">
        <v>113</v>
      </c>
      <c r="W20" s="132">
        <f t="shared" si="7"/>
        <v>1.9408078613203072</v>
      </c>
      <c r="X20" s="132">
        <f t="shared" si="7"/>
        <v>1.0576529639245149</v>
      </c>
      <c r="Y20" s="132">
        <f t="shared" si="7"/>
        <v>1.4699287236029808</v>
      </c>
      <c r="Z20" s="132">
        <f t="shared" si="7"/>
        <v>1.1852768147090142</v>
      </c>
      <c r="AA20" s="132">
        <f t="shared" si="7"/>
        <v>1.1721412668599946</v>
      </c>
      <c r="AB20" s="132">
        <f t="shared" si="1"/>
        <v>1.1065836105849793</v>
      </c>
      <c r="AC20" s="132">
        <f t="shared" si="1"/>
        <v>1.1065836105849793</v>
      </c>
      <c r="AD20" s="130" t="s">
        <v>113</v>
      </c>
      <c r="AE20" s="130" t="s">
        <v>113</v>
      </c>
      <c r="AF20" s="130" t="s">
        <v>113</v>
      </c>
      <c r="AG20" s="130" t="s">
        <v>113</v>
      </c>
      <c r="AH20" s="133">
        <f t="shared" si="8"/>
        <v>1</v>
      </c>
      <c r="AI20" s="134">
        <f t="shared" si="9"/>
        <v>5.7652963924514911E-2</v>
      </c>
      <c r="AJ20" s="134">
        <f t="shared" si="10"/>
        <v>0.47087913771732648</v>
      </c>
      <c r="AK20" s="134">
        <f t="shared" si="11"/>
        <v>0.28465190889396652</v>
      </c>
      <c r="AL20" s="134">
        <f t="shared" si="12"/>
        <v>1.3135547849019602E-2</v>
      </c>
      <c r="AM20" s="134">
        <f t="shared" si="13"/>
        <v>6.5557656275015308E-2</v>
      </c>
      <c r="AN20" s="135">
        <f t="shared" si="14"/>
        <v>0</v>
      </c>
      <c r="AO20" s="134">
        <f t="shared" si="15"/>
        <v>4.8930646660464427E-2</v>
      </c>
      <c r="AP20" s="134">
        <f t="shared" si="2"/>
        <v>0.10658361058497934</v>
      </c>
      <c r="AQ20" s="136" t="s">
        <v>113</v>
      </c>
      <c r="AR20" s="137">
        <f t="shared" si="3"/>
        <v>6.1280274426710379</v>
      </c>
      <c r="AS20" s="137">
        <f t="shared" si="3"/>
        <v>50.050510532140535</v>
      </c>
      <c r="AT20" s="137">
        <f t="shared" si="3"/>
        <v>30.25611504717795</v>
      </c>
      <c r="AU20" s="137">
        <f t="shared" si="3"/>
        <v>1.3961987765052779</v>
      </c>
      <c r="AV20" s="137">
        <f t="shared" si="3"/>
        <v>6.9682300680410201</v>
      </c>
      <c r="AW20" s="138">
        <f t="shared" si="3"/>
        <v>0</v>
      </c>
      <c r="AX20" s="137">
        <f t="shared" si="3"/>
        <v>5.2009181334641834</v>
      </c>
      <c r="AY20" s="137">
        <f t="shared" si="3"/>
        <v>11.328945576135222</v>
      </c>
      <c r="AZ20" s="139" t="s">
        <v>113</v>
      </c>
      <c r="BA20" s="139" t="s">
        <v>113</v>
      </c>
      <c r="BB20" s="139" t="s">
        <v>113</v>
      </c>
      <c r="BC20" s="139" t="s">
        <v>113</v>
      </c>
      <c r="BD20" s="139" t="s">
        <v>113</v>
      </c>
      <c r="BE20" s="139" t="s">
        <v>113</v>
      </c>
      <c r="BF20" s="139" t="s">
        <v>113</v>
      </c>
      <c r="BG20" s="139" t="s">
        <v>113</v>
      </c>
      <c r="BH20" s="140">
        <f>'[91]2. Distributional by deciles o'!$B108</f>
        <v>12590433978.405605</v>
      </c>
      <c r="BI20" s="140">
        <f>'[91]2. Distributional by deciles o'!$B126</f>
        <v>4038347238.1739931</v>
      </c>
      <c r="BJ20" s="140">
        <f>'[91]2. Distributional by deciles o'!$B144</f>
        <v>1168518237.7247996</v>
      </c>
      <c r="BK20" s="140">
        <f>'[91]2. Distributional by deciles o'!$B162</f>
        <v>385767360.32879996</v>
      </c>
      <c r="BL20" s="141">
        <f t="shared" si="16"/>
        <v>0.69242631657016152</v>
      </c>
      <c r="BM20" s="141">
        <f t="shared" si="4"/>
        <v>0.22209384584805297</v>
      </c>
      <c r="BN20" s="141">
        <f t="shared" si="17"/>
        <v>6.4264089751043016E-2</v>
      </c>
      <c r="BO20" s="141">
        <f t="shared" si="17"/>
        <v>2.1215747830742485E-2</v>
      </c>
      <c r="BP20" s="139" t="s">
        <v>113</v>
      </c>
      <c r="BQ20" s="139" t="s">
        <v>113</v>
      </c>
      <c r="BR20" s="139" t="s">
        <v>113</v>
      </c>
      <c r="BS20" s="131">
        <f t="shared" si="18"/>
        <v>16.119759459936269</v>
      </c>
      <c r="BT20" s="139"/>
      <c r="BU20" s="139"/>
      <c r="BV20" s="139"/>
      <c r="BW20" s="139"/>
      <c r="BX20" s="139"/>
      <c r="BY20" s="139"/>
      <c r="BZ20" s="139"/>
      <c r="CA20" s="139"/>
      <c r="CB20" s="139"/>
      <c r="CC20" s="142" t="s">
        <v>113</v>
      </c>
      <c r="CD20" s="142" t="s">
        <v>113</v>
      </c>
      <c r="CE20" s="142" t="s">
        <v>113</v>
      </c>
      <c r="CF20" s="142" t="s">
        <v>113</v>
      </c>
      <c r="CG20" s="142" t="s">
        <v>113</v>
      </c>
      <c r="CH20" s="142" t="s">
        <v>113</v>
      </c>
      <c r="CI20" s="142" t="s">
        <v>113</v>
      </c>
      <c r="CJ20" s="142"/>
      <c r="CK20" s="139" t="s">
        <v>113</v>
      </c>
      <c r="CL20" s="139" t="s">
        <v>113</v>
      </c>
      <c r="CM20" s="139" t="s">
        <v>113</v>
      </c>
      <c r="CN20" s="139" t="s">
        <v>113</v>
      </c>
      <c r="CO20" s="139" t="s">
        <v>113</v>
      </c>
      <c r="CP20" s="139" t="s">
        <v>113</v>
      </c>
      <c r="CQ20" s="139" t="s">
        <v>113</v>
      </c>
      <c r="CR20" s="139"/>
      <c r="CS20" s="143" t="s">
        <v>113</v>
      </c>
      <c r="CT20" s="143" t="s">
        <v>113</v>
      </c>
      <c r="CU20" s="143" t="s">
        <v>113</v>
      </c>
      <c r="CV20" s="143" t="s">
        <v>113</v>
      </c>
      <c r="CW20" s="143" t="s">
        <v>113</v>
      </c>
      <c r="CX20" s="143" t="s">
        <v>113</v>
      </c>
      <c r="CY20" s="143" t="s">
        <v>113</v>
      </c>
      <c r="CZ20" s="143"/>
      <c r="DA20" s="139" t="s">
        <v>113</v>
      </c>
      <c r="DB20" s="139" t="s">
        <v>113</v>
      </c>
      <c r="DC20" s="139" t="s">
        <v>113</v>
      </c>
      <c r="DD20" s="144">
        <f t="shared" si="19"/>
        <v>3.946743797700325E-3</v>
      </c>
      <c r="DE20" s="145">
        <f>'[91]2. Distributional by deciles o'!$J36</f>
        <v>0.999960532562023</v>
      </c>
      <c r="DF20" s="1"/>
      <c r="DG20" s="1"/>
      <c r="DH20" s="1"/>
      <c r="DI20" s="1"/>
      <c r="DJ20" s="1"/>
      <c r="DK20" s="1"/>
      <c r="DL20" s="1"/>
      <c r="DM20" s="1"/>
      <c r="DN20" s="1"/>
      <c r="DO20" s="1"/>
      <c r="DP20" s="1"/>
      <c r="DQ20" s="1"/>
      <c r="DR20" s="1"/>
      <c r="DS20" s="1"/>
      <c r="DT20" s="1"/>
      <c r="DU20" s="1"/>
      <c r="DV20" s="1"/>
      <c r="DW20" s="1"/>
      <c r="DX20" s="1"/>
      <c r="DY20" s="1"/>
      <c r="DZ20" s="1"/>
      <c r="EA20" s="146">
        <f>'[92]2. Distributional by deciles o'!B72</f>
        <v>3768573218.5548067</v>
      </c>
      <c r="EB20" s="146">
        <f>'[92]2. Distributional by deciles o'!C72</f>
        <v>3839132420.8487968</v>
      </c>
      <c r="EC20" s="146">
        <f>'[92]2. Distributional by deciles o'!D72</f>
        <v>3808116868.8240037</v>
      </c>
      <c r="ED20" s="146"/>
      <c r="EE20" s="146"/>
      <c r="EF20" s="146"/>
      <c r="EG20" s="146"/>
      <c r="EH20" s="122"/>
      <c r="EI20" s="130" t="s">
        <v>113</v>
      </c>
      <c r="EJ20" s="130" t="s">
        <v>113</v>
      </c>
      <c r="EK20" s="130" t="s">
        <v>113</v>
      </c>
      <c r="EL20" s="130" t="s">
        <v>113</v>
      </c>
      <c r="EM20" s="131">
        <f t="shared" si="5"/>
        <v>20.412306505883251</v>
      </c>
      <c r="EN20" s="146">
        <f>'[92]2. Distributional by deciles o'!B90</f>
        <v>21461187244.815601</v>
      </c>
      <c r="EO20" s="146">
        <f>'[92]2. Distributional by deciles o'!C90</f>
        <v>21675796615.456787</v>
      </c>
      <c r="EP20" s="131">
        <f t="shared" si="20"/>
        <v>0.99998834264414249</v>
      </c>
      <c r="EQ20" s="130" t="s">
        <v>113</v>
      </c>
      <c r="ER20" s="130" t="s">
        <v>113</v>
      </c>
      <c r="ES20" s="130" t="s">
        <v>113</v>
      </c>
      <c r="ET20" s="130" t="s">
        <v>113</v>
      </c>
      <c r="EU20" s="131">
        <f t="shared" si="21"/>
        <v>16.19495437160861</v>
      </c>
      <c r="EV20" s="132">
        <f t="shared" si="24"/>
        <v>1.8723272906017128</v>
      </c>
      <c r="EW20" s="132">
        <f t="shared" si="22"/>
        <v>1.0493125370173511</v>
      </c>
      <c r="EX20" s="132"/>
      <c r="EY20" s="148">
        <f t="shared" si="25"/>
        <v>-6.848057071859448E-2</v>
      </c>
      <c r="EZ20" s="144">
        <f t="shared" si="23"/>
        <v>100</v>
      </c>
      <c r="FA20" s="145">
        <f>'[92]2. Distributional by deciles o'!$J36</f>
        <v>0</v>
      </c>
      <c r="FB20" s="130" t="s">
        <v>113</v>
      </c>
      <c r="FC20" s="130" t="s">
        <v>113</v>
      </c>
      <c r="FD20" s="130" t="s">
        <v>113</v>
      </c>
      <c r="FE20" s="130" t="s">
        <v>113</v>
      </c>
      <c r="FF20" s="130" t="s">
        <v>113</v>
      </c>
      <c r="FG20" s="130" t="s">
        <v>113</v>
      </c>
      <c r="FH20" s="130" t="s">
        <v>113</v>
      </c>
      <c r="FI20" s="130" t="s">
        <v>113</v>
      </c>
      <c r="FJ20" s="1"/>
      <c r="FK20" s="1"/>
      <c r="FL20" s="1"/>
      <c r="FM20" s="1"/>
      <c r="FN20" s="1"/>
      <c r="FO20" s="1"/>
      <c r="FP20" s="1"/>
      <c r="FQ20" s="53"/>
    </row>
    <row r="21" spans="1:173" x14ac:dyDescent="0.3">
      <c r="A21" s="1"/>
      <c r="B21" s="33">
        <v>10</v>
      </c>
      <c r="C21" s="129">
        <f>'[91]2. Distributional by deciles o'!B73</f>
        <v>8318059402.0896034</v>
      </c>
      <c r="D21" s="129">
        <f>'[91]2. Distributional by deciles o'!C73</f>
        <v>8445263044.7916031</v>
      </c>
      <c r="E21" s="129">
        <f>'[91]2. Distributional by deciles o'!D73</f>
        <v>8403147105.9791908</v>
      </c>
      <c r="F21" s="129">
        <f>'[91]2. Distributional by deciles o'!E73</f>
        <v>8414286286.1615953</v>
      </c>
      <c r="G21" s="129">
        <f>'[91]2. Distributional by deciles o'!F73</f>
        <v>8406726184.2275934</v>
      </c>
      <c r="H21" s="129">
        <f>'[91]2. Distributional by deciles o'!G73</f>
        <v>8406367765.9115944</v>
      </c>
      <c r="I21" s="129">
        <f>'[91]2. Distributional by deciles o'!H73</f>
        <v>8404407670.4783936</v>
      </c>
      <c r="J21" s="122"/>
      <c r="K21" s="130" t="s">
        <v>113</v>
      </c>
      <c r="L21" s="130" t="s">
        <v>113</v>
      </c>
      <c r="M21" s="130" t="s">
        <v>113</v>
      </c>
      <c r="N21" s="130" t="s">
        <v>113</v>
      </c>
      <c r="O21" s="131">
        <f t="shared" si="6"/>
        <v>55.063960384540259</v>
      </c>
      <c r="P21" s="129">
        <f>'[91]2. Distributional by deciles o'!B91</f>
        <v>33667873124.578823</v>
      </c>
      <c r="Q21" s="129">
        <f>'[91]2. Distributional by deciles o'!C91</f>
        <v>34004547113.821163</v>
      </c>
      <c r="R21" s="131">
        <f t="shared" si="0"/>
        <v>0.99998591534598003</v>
      </c>
      <c r="S21" s="130" t="s">
        <v>113</v>
      </c>
      <c r="T21" s="130" t="s">
        <v>113</v>
      </c>
      <c r="U21" s="130" t="s">
        <v>113</v>
      </c>
      <c r="V21" s="130" t="s">
        <v>113</v>
      </c>
      <c r="W21" s="132">
        <f t="shared" si="7"/>
        <v>1.5292681645742545</v>
      </c>
      <c r="X21" s="132">
        <f t="shared" si="7"/>
        <v>1.0229417490810697</v>
      </c>
      <c r="Y21" s="132">
        <f t="shared" si="7"/>
        <v>1.1568592475941832</v>
      </c>
      <c r="Z21" s="132">
        <f t="shared" si="7"/>
        <v>1.0659701585474934</v>
      </c>
      <c r="AA21" s="132">
        <f t="shared" si="7"/>
        <v>1.0616611803719098</v>
      </c>
      <c r="AB21" s="132">
        <f t="shared" si="1"/>
        <v>1.0380965128682937</v>
      </c>
      <c r="AC21" s="132">
        <f t="shared" si="1"/>
        <v>1.0380965128682937</v>
      </c>
      <c r="AD21" s="130" t="s">
        <v>113</v>
      </c>
      <c r="AE21" s="130" t="s">
        <v>113</v>
      </c>
      <c r="AF21" s="130" t="s">
        <v>113</v>
      </c>
      <c r="AG21" s="130" t="s">
        <v>113</v>
      </c>
      <c r="AH21" s="133">
        <f t="shared" si="8"/>
        <v>1</v>
      </c>
      <c r="AI21" s="134">
        <f t="shared" si="9"/>
        <v>2.2941749081069718E-2</v>
      </c>
      <c r="AJ21" s="134">
        <f t="shared" si="10"/>
        <v>0.37240891698007128</v>
      </c>
      <c r="AK21" s="134">
        <f t="shared" si="11"/>
        <v>9.0889089046689797E-2</v>
      </c>
      <c r="AL21" s="134">
        <f t="shared" si="12"/>
        <v>4.3089781755836221E-3</v>
      </c>
      <c r="AM21" s="134">
        <f t="shared" si="13"/>
        <v>2.3564667503616077E-2</v>
      </c>
      <c r="AN21" s="135">
        <f t="shared" si="14"/>
        <v>0</v>
      </c>
      <c r="AO21" s="134">
        <f t="shared" si="15"/>
        <v>1.5154763787224024E-2</v>
      </c>
      <c r="AP21" s="134">
        <f t="shared" si="2"/>
        <v>3.8096512868293742E-2</v>
      </c>
      <c r="AQ21" s="136" t="s">
        <v>113</v>
      </c>
      <c r="AR21" s="137">
        <f t="shared" si="3"/>
        <v>4.3346172350124546</v>
      </c>
      <c r="AS21" s="137">
        <f t="shared" si="3"/>
        <v>70.362992128883945</v>
      </c>
      <c r="AT21" s="137">
        <f t="shared" si="3"/>
        <v>17.172597017959951</v>
      </c>
      <c r="AU21" s="137">
        <f t="shared" si="3"/>
        <v>0.81413893069683907</v>
      </c>
      <c r="AV21" s="137">
        <f t="shared" si="3"/>
        <v>4.4523115276679439</v>
      </c>
      <c r="AW21" s="138">
        <f t="shared" si="3"/>
        <v>0</v>
      </c>
      <c r="AX21" s="137">
        <f t="shared" si="3"/>
        <v>2.8633431597788577</v>
      </c>
      <c r="AY21" s="137">
        <f t="shared" si="3"/>
        <v>7.1979603947913127</v>
      </c>
      <c r="AZ21" s="139" t="s">
        <v>113</v>
      </c>
      <c r="BA21" s="139" t="s">
        <v>113</v>
      </c>
      <c r="BB21" s="139" t="s">
        <v>113</v>
      </c>
      <c r="BC21" s="139" t="s">
        <v>113</v>
      </c>
      <c r="BD21" s="139" t="s">
        <v>113</v>
      </c>
      <c r="BE21" s="139" t="s">
        <v>113</v>
      </c>
      <c r="BF21" s="139" t="s">
        <v>113</v>
      </c>
      <c r="BG21" s="139" t="s">
        <v>113</v>
      </c>
      <c r="BH21" s="140">
        <f>'[91]2. Distributional by deciles o'!$B109</f>
        <v>20478121209.16082</v>
      </c>
      <c r="BI21" s="140">
        <f>'[91]2. Distributional by deciles o'!$B127</f>
        <v>7190218326.2639999</v>
      </c>
      <c r="BJ21" s="140">
        <f>'[91]2. Distributional by deciles o'!$B145</f>
        <v>4585570423.3739996</v>
      </c>
      <c r="BK21" s="140">
        <f>'[91]2. Distributional by deciles o'!$B163</f>
        <v>1413961573.6499999</v>
      </c>
      <c r="BL21" s="141">
        <f t="shared" si="16"/>
        <v>0.60823925829181602</v>
      </c>
      <c r="BM21" s="141">
        <f t="shared" si="4"/>
        <v>0.21356319835467252</v>
      </c>
      <c r="BN21" s="141">
        <f t="shared" si="17"/>
        <v>0.13620018773549328</v>
      </c>
      <c r="BO21" s="141">
        <f t="shared" si="17"/>
        <v>4.199735561801806E-2</v>
      </c>
      <c r="BP21" s="139" t="s">
        <v>113</v>
      </c>
      <c r="BQ21" s="139" t="s">
        <v>113</v>
      </c>
      <c r="BR21" s="139" t="s">
        <v>113</v>
      </c>
      <c r="BS21" s="131">
        <f t="shared" si="18"/>
        <v>29.84744146986889</v>
      </c>
      <c r="BT21" s="139"/>
      <c r="BU21" s="139"/>
      <c r="BV21" s="139"/>
      <c r="BW21" s="139"/>
      <c r="BX21" s="139"/>
      <c r="BY21" s="139"/>
      <c r="BZ21" s="139"/>
      <c r="CA21" s="139"/>
      <c r="CB21" s="139"/>
      <c r="CC21" s="142" t="s">
        <v>113</v>
      </c>
      <c r="CD21" s="142" t="s">
        <v>113</v>
      </c>
      <c r="CE21" s="142" t="s">
        <v>113</v>
      </c>
      <c r="CF21" s="142" t="s">
        <v>113</v>
      </c>
      <c r="CG21" s="142" t="s">
        <v>113</v>
      </c>
      <c r="CH21" s="142" t="s">
        <v>113</v>
      </c>
      <c r="CI21" s="142" t="s">
        <v>113</v>
      </c>
      <c r="CJ21" s="142"/>
      <c r="CK21" s="139" t="s">
        <v>113</v>
      </c>
      <c r="CL21" s="139" t="s">
        <v>113</v>
      </c>
      <c r="CM21" s="139" t="s">
        <v>113</v>
      </c>
      <c r="CN21" s="139" t="s">
        <v>113</v>
      </c>
      <c r="CO21" s="139" t="s">
        <v>113</v>
      </c>
      <c r="CP21" s="139" t="s">
        <v>113</v>
      </c>
      <c r="CQ21" s="139" t="s">
        <v>113</v>
      </c>
      <c r="CR21" s="139"/>
      <c r="CS21" s="143" t="s">
        <v>113</v>
      </c>
      <c r="CT21" s="143" t="s">
        <v>113</v>
      </c>
      <c r="CU21" s="143" t="s">
        <v>113</v>
      </c>
      <c r="CV21" s="143" t="s">
        <v>113</v>
      </c>
      <c r="CW21" s="143" t="s">
        <v>113</v>
      </c>
      <c r="CX21" s="143" t="s">
        <v>113</v>
      </c>
      <c r="CY21" s="143" t="s">
        <v>113</v>
      </c>
      <c r="CZ21" s="143"/>
      <c r="DA21" s="139" t="s">
        <v>113</v>
      </c>
      <c r="DB21" s="139" t="s">
        <v>113</v>
      </c>
      <c r="DC21" s="139" t="s">
        <v>113</v>
      </c>
      <c r="DD21" s="144">
        <f t="shared" si="19"/>
        <v>5.5042908076663455E-2</v>
      </c>
      <c r="DE21" s="145">
        <f>'[91]2. Distributional by deciles o'!$J37</f>
        <v>0.99944957091923337</v>
      </c>
      <c r="DF21" s="1"/>
      <c r="DG21" s="1"/>
      <c r="DH21" s="1"/>
      <c r="DI21" s="1"/>
      <c r="DJ21" s="1"/>
      <c r="DK21" s="1"/>
      <c r="DL21" s="1"/>
      <c r="DM21" s="1"/>
      <c r="DN21" s="1"/>
      <c r="DO21" s="1"/>
      <c r="DP21" s="1"/>
      <c r="DQ21" s="1"/>
      <c r="DR21" s="1"/>
      <c r="DS21" s="1"/>
      <c r="DT21" s="1"/>
      <c r="DU21" s="1"/>
      <c r="DV21" s="1"/>
      <c r="DW21" s="1"/>
      <c r="DX21" s="1"/>
      <c r="DY21" s="1"/>
      <c r="DZ21" s="1"/>
      <c r="EA21" s="146">
        <f>'[92]2. Distributional by deciles o'!B73</f>
        <v>10085388707.319595</v>
      </c>
      <c r="EB21" s="146">
        <f>'[92]2. Distributional by deciles o'!C73</f>
        <v>10234735681.308012</v>
      </c>
      <c r="EC21" s="146">
        <f>'[92]2. Distributional by deciles o'!D73</f>
        <v>10188307957.860016</v>
      </c>
      <c r="ED21" s="146"/>
      <c r="EE21" s="146"/>
      <c r="EF21" s="146"/>
      <c r="EG21" s="146"/>
      <c r="EH21" s="122"/>
      <c r="EI21" s="130" t="s">
        <v>113</v>
      </c>
      <c r="EJ21" s="130" t="s">
        <v>113</v>
      </c>
      <c r="EK21" s="130" t="s">
        <v>113</v>
      </c>
      <c r="EL21" s="130" t="s">
        <v>113</v>
      </c>
      <c r="EM21" s="131">
        <f t="shared" si="5"/>
        <v>54.627052092602803</v>
      </c>
      <c r="EN21" s="146">
        <f>'[92]2. Distributional by deciles o'!B91</f>
        <v>39289624486.041588</v>
      </c>
      <c r="EO21" s="146">
        <f>'[92]2. Distributional by deciles o'!C91</f>
        <v>39682518835.286415</v>
      </c>
      <c r="EP21" s="131">
        <f t="shared" si="20"/>
        <v>0.99999517527689097</v>
      </c>
      <c r="EQ21" s="130" t="s">
        <v>113</v>
      </c>
      <c r="ER21" s="130" t="s">
        <v>113</v>
      </c>
      <c r="ES21" s="130" t="s">
        <v>113</v>
      </c>
      <c r="ET21" s="130" t="s">
        <v>113</v>
      </c>
      <c r="EU21" s="131">
        <f t="shared" si="21"/>
        <v>29.648577619245643</v>
      </c>
      <c r="EV21" s="132">
        <f t="shared" si="24"/>
        <v>1.4808323098275717</v>
      </c>
      <c r="EW21" s="132">
        <f t="shared" si="22"/>
        <v>1.0204836926613197</v>
      </c>
      <c r="EX21" s="132"/>
      <c r="EY21" s="148">
        <f t="shared" si="25"/>
        <v>-4.8435854746682772E-2</v>
      </c>
      <c r="EZ21" s="144">
        <f t="shared" si="23"/>
        <v>100</v>
      </c>
      <c r="FA21" s="145">
        <f>'[92]2. Distributional by deciles o'!$J37</f>
        <v>0</v>
      </c>
      <c r="FB21" s="130" t="s">
        <v>113</v>
      </c>
      <c r="FC21" s="130" t="s">
        <v>113</v>
      </c>
      <c r="FD21" s="130" t="s">
        <v>113</v>
      </c>
      <c r="FE21" s="130" t="s">
        <v>113</v>
      </c>
      <c r="FF21" s="130" t="s">
        <v>113</v>
      </c>
      <c r="FG21" s="130" t="s">
        <v>113</v>
      </c>
      <c r="FH21" s="130" t="s">
        <v>113</v>
      </c>
      <c r="FI21" s="130" t="s">
        <v>113</v>
      </c>
      <c r="FJ21" s="1"/>
      <c r="FK21" s="1"/>
      <c r="FL21" s="1"/>
      <c r="FM21" s="1"/>
      <c r="FN21" s="1"/>
      <c r="FO21" s="1"/>
      <c r="FP21" s="1"/>
      <c r="FQ21" s="53"/>
    </row>
    <row r="22" spans="1:173" ht="21.75" customHeight="1" x14ac:dyDescent="0.3">
      <c r="A22" s="1"/>
      <c r="B22" s="34" t="s">
        <v>114</v>
      </c>
      <c r="C22" s="129">
        <f>'[91]2. Distributional by deciles o'!B74</f>
        <v>15106177151.080799</v>
      </c>
      <c r="D22" s="129">
        <f>'[91]2. Distributional by deciles o'!C74</f>
        <v>15406979082.484783</v>
      </c>
      <c r="E22" s="129">
        <f>'[91]2. Distributional by deciles o'!D74</f>
        <v>15266069689.192886</v>
      </c>
      <c r="F22" s="129">
        <f>'[91]2. Distributional by deciles o'!E74</f>
        <v>15341423188.975267</v>
      </c>
      <c r="G22" s="129">
        <f>'[91]2. Distributional by deciles o'!F74</f>
        <v>15297627112.352491</v>
      </c>
      <c r="H22" s="129">
        <f>'[91]2. Distributional by deciles o'!G74</f>
        <v>15286931105.238091</v>
      </c>
      <c r="I22" s="129">
        <f>'[91]2. Distributional by deciles o'!H74</f>
        <v>15274004984.45528</v>
      </c>
      <c r="J22" s="122"/>
      <c r="K22" s="151">
        <f>'[93]1. Fiscal'!$D$13+'[93]1. Fiscal'!$D$12</f>
        <v>15312250477.574444</v>
      </c>
      <c r="L22" s="151">
        <f>'[93]1. Fiscal'!$E$13+'[93]1. Fiscal'!$E$12</f>
        <v>15170100659.960445</v>
      </c>
      <c r="M22" s="151">
        <f>'[93]1. Fiscal'!$F$13+'[93]1. Fiscal'!$F$12</f>
        <v>15127748941.798809</v>
      </c>
      <c r="N22" s="151">
        <f>'[93]1. Fiscal'!$G$13+'[93]1. Fiscal'!$G$12</f>
        <v>15115389258.315584</v>
      </c>
      <c r="O22" s="152" t="s">
        <v>113</v>
      </c>
      <c r="P22" s="129">
        <f>'[91]2. Distributional by deciles o'!B92</f>
        <v>112799863125.84506</v>
      </c>
      <c r="Q22" s="129">
        <f>'[91]2. Distributional by deciles o'!C92</f>
        <v>113927845589.71347</v>
      </c>
      <c r="R22" s="153">
        <f>(Q22/P22-1)*100</f>
        <v>0.99998566719001758</v>
      </c>
      <c r="S22" s="151">
        <f>'[93]1. Fiscal'!$D$96</f>
        <v>113529455156.00305</v>
      </c>
      <c r="T22" s="151">
        <f>'[93]1. Fiscal'!$E$96</f>
        <v>113086584598.41113</v>
      </c>
      <c r="U22" s="151">
        <f>'[93]1. Fiscal'!$F$96</f>
        <v>112883236759.72318</v>
      </c>
      <c r="V22" s="151">
        <f>'[93]1. Fiscal'!$G$96</f>
        <v>112828155613.29883</v>
      </c>
      <c r="W22" s="154">
        <f t="shared" si="7"/>
        <v>1.9912797248057028</v>
      </c>
      <c r="X22" s="154">
        <f t="shared" si="7"/>
        <v>1.0584731547574944</v>
      </c>
      <c r="Y22" s="154">
        <f t="shared" si="7"/>
        <v>1.557306043261411</v>
      </c>
      <c r="Z22" s="154">
        <f t="shared" si="7"/>
        <v>1.2673802472470046</v>
      </c>
      <c r="AA22" s="154">
        <f t="shared" si="7"/>
        <v>1.1965737135127537</v>
      </c>
      <c r="AB22" s="154">
        <f>IF(I22&lt;&gt;0,((I22-$C22)/ABS($C22)) / ($Q22/$P22-1),AA22)</f>
        <v>1.1110040427494674</v>
      </c>
      <c r="AC22" s="154">
        <f>IF(J22&lt;&gt;0,((J22-$C22)/ABS($C22)) / ($Q22/$P22-1),AB22)</f>
        <v>1.1110040427494674</v>
      </c>
      <c r="AD22" s="155">
        <f>(K22/$C22-1) / (S22/$P22-1)</f>
        <v>2.1090928514088643</v>
      </c>
      <c r="AE22" s="155">
        <f>(L22/$C22-1) / (T22/$P22-1)</f>
        <v>1.6647705593685156</v>
      </c>
      <c r="AF22" s="155">
        <f>(M22/$C22-1) / (U22/$P22-1)</f>
        <v>1.9320193275666571</v>
      </c>
      <c r="AG22" s="155">
        <f>(N22/$C22-1) / (V22/$P22-1)</f>
        <v>2.4313184855918766</v>
      </c>
      <c r="AH22" s="156">
        <f t="shared" si="8"/>
        <v>1</v>
      </c>
      <c r="AI22" s="155">
        <f>IF(W22&gt;1,W22-SUM(AH22,AJ22:AO22),0)</f>
        <v>5.8473154757494372E-2</v>
      </c>
      <c r="AJ22" s="155">
        <f t="shared" si="10"/>
        <v>0.43397368154429183</v>
      </c>
      <c r="AK22" s="155">
        <f t="shared" si="11"/>
        <v>0.28992579601440638</v>
      </c>
      <c r="AL22" s="155">
        <f t="shared" si="12"/>
        <v>7.0806533734250943E-2</v>
      </c>
      <c r="AM22" s="155">
        <f t="shared" si="13"/>
        <v>8.5569670763286254E-2</v>
      </c>
      <c r="AN22" s="157">
        <f t="shared" si="14"/>
        <v>0</v>
      </c>
      <c r="AO22" s="155">
        <f t="shared" si="15"/>
        <v>5.253088799197303E-2</v>
      </c>
      <c r="AP22" s="155">
        <f>AI22+AO22</f>
        <v>0.1110040427494674</v>
      </c>
      <c r="AQ22" s="136" t="s">
        <v>113</v>
      </c>
      <c r="AR22" s="137">
        <f>AI22/($W22-1)*100</f>
        <v>5.8987542359908032</v>
      </c>
      <c r="AS22" s="137">
        <f t="shared" si="3"/>
        <v>43.7791342528824</v>
      </c>
      <c r="AT22" s="137">
        <f t="shared" si="3"/>
        <v>29.247626957288336</v>
      </c>
      <c r="AU22" s="137">
        <f t="shared" si="3"/>
        <v>7.1429417915442066</v>
      </c>
      <c r="AV22" s="137">
        <f t="shared" si="3"/>
        <v>8.6322426074091716</v>
      </c>
      <c r="AW22" s="138">
        <f t="shared" si="3"/>
        <v>0</v>
      </c>
      <c r="AX22" s="137">
        <f t="shared" si="3"/>
        <v>5.2993001548850822</v>
      </c>
      <c r="AY22" s="137">
        <f t="shared" si="3"/>
        <v>11.198054390875885</v>
      </c>
      <c r="AZ22" s="158">
        <v>2.15</v>
      </c>
      <c r="BA22" s="158">
        <v>1.88</v>
      </c>
      <c r="BB22" s="158">
        <v>1.64</v>
      </c>
      <c r="BC22" s="158">
        <v>1.61</v>
      </c>
      <c r="BD22" s="159">
        <f>W22-AZ22</f>
        <v>-0.1587202751942971</v>
      </c>
      <c r="BE22" s="159">
        <f>AD22-BA22</f>
        <v>0.22909285140886437</v>
      </c>
      <c r="BF22" s="159">
        <f>AF22-BB22</f>
        <v>0.29201932756665716</v>
      </c>
      <c r="BG22" s="159">
        <f>AG22-BC22</f>
        <v>0.82131848559187648</v>
      </c>
      <c r="BH22" s="140">
        <f>'[91]2. Distributional by deciles o'!$B110</f>
        <v>72961595465.981918</v>
      </c>
      <c r="BI22" s="140">
        <f>'[91]2. Distributional by deciles o'!$B128</f>
        <v>28671343472.620903</v>
      </c>
      <c r="BJ22" s="140">
        <f>'[91]2. Distributional by deciles o'!$B146</f>
        <v>8337408280.5780048</v>
      </c>
      <c r="BK22" s="140">
        <f>'[91]2. Distributional by deciles o'!$B164</f>
        <v>2829514448.4227977</v>
      </c>
      <c r="BL22" s="141">
        <f t="shared" si="16"/>
        <v>0.64682344807286818</v>
      </c>
      <c r="BM22" s="141">
        <f t="shared" si="4"/>
        <v>0.25417888859747939</v>
      </c>
      <c r="BN22" s="141">
        <f t="shared" si="17"/>
        <v>7.3913284620388223E-2</v>
      </c>
      <c r="BO22" s="141">
        <f t="shared" si="17"/>
        <v>2.5084378709264332E-2</v>
      </c>
      <c r="BP22" s="159">
        <f>(AD22*BL22+AF22*BN22+AG22*BO22)/(BL22+BN22+BO22)</f>
        <v>2.1023817837650527</v>
      </c>
      <c r="BQ22" s="159">
        <f>W22-BP22</f>
        <v>-0.11110205895934988</v>
      </c>
      <c r="BR22" s="159">
        <f>BP22-AZ22</f>
        <v>-4.7618216234947219E-2</v>
      </c>
      <c r="BS22" s="152" t="s">
        <v>113</v>
      </c>
      <c r="BT22" s="161"/>
      <c r="BU22" s="161"/>
      <c r="BV22" s="161"/>
      <c r="BW22" s="161"/>
      <c r="BX22" s="162"/>
      <c r="BY22" s="162"/>
      <c r="BZ22" s="163"/>
      <c r="CA22" s="164"/>
      <c r="CB22" s="165"/>
      <c r="CC22" s="166"/>
      <c r="CD22" s="166"/>
      <c r="CE22" s="166"/>
      <c r="CF22" s="166"/>
      <c r="CG22" s="167"/>
      <c r="CH22" s="167"/>
      <c r="CI22" s="168"/>
      <c r="CJ22" s="169"/>
      <c r="CK22" s="161">
        <f>'[91]3. Inequality and Poverty'!$B$7</f>
        <v>0.39338243110232901</v>
      </c>
      <c r="CL22" s="161">
        <f>'[91]3. Inequality and Poverty'!$B$8</f>
        <v>0.343912278929418</v>
      </c>
      <c r="CM22" s="161">
        <f>'[91]3. Inequality and Poverty'!$C$7</f>
        <v>0.39338244416310802</v>
      </c>
      <c r="CN22" s="161">
        <f>'[91]3. Inequality and Poverty'!$C$8</f>
        <v>0.34372760795249302</v>
      </c>
      <c r="CO22" s="162">
        <f t="shared" ref="CO22" si="26">(CK22-CL22)/CK22</f>
        <v>0.12575587586432535</v>
      </c>
      <c r="CP22" s="162">
        <f>(CM22-CN22)/CM22</f>
        <v>0.12622534876016642</v>
      </c>
      <c r="CQ22" s="163">
        <f>(CP22-CO22)*100</f>
        <v>4.6947289584106655E-2</v>
      </c>
      <c r="CR22" s="165">
        <f>CN22-CL22</f>
        <v>-1.8467097692498324E-4</v>
      </c>
      <c r="CS22" s="170">
        <f>(SUM(P20:P21))/(SUM(P12:P13))</f>
        <v>7.895644261317881</v>
      </c>
      <c r="CT22" s="170">
        <f>(SUM(P20:P21)-SUM(C20:C21))/(SUM(P12:P13)-SUM(C12:C13))</f>
        <v>6.2094634998581988</v>
      </c>
      <c r="CU22" s="170">
        <f>(SUM(Q20:Q21))/(SUM(Q12:Q13))</f>
        <v>7.8956422891580385</v>
      </c>
      <c r="CV22" s="170">
        <f>(SUM(Q20:Q21)-SUM(D20:D21))/(SUM(Q12:Q13)-SUM(D12:D13))</f>
        <v>6.20033846644266</v>
      </c>
      <c r="CW22" s="162">
        <f>(CS22-CT22)/CS22</f>
        <v>0.21355835010457244</v>
      </c>
      <c r="CX22" s="162">
        <f>(CU22-CV22)/CU22</f>
        <v>0.21471385868674647</v>
      </c>
      <c r="CY22" s="163">
        <f>(CX22-CW22)*100</f>
        <v>0.11555085821740307</v>
      </c>
      <c r="CZ22" s="165">
        <f>CV22-CT22</f>
        <v>-9.1250334155388302E-3</v>
      </c>
      <c r="DA22" s="171">
        <f>'[91]3. Inequality and Poverty'!B$34</f>
        <v>0.32440527394457702</v>
      </c>
      <c r="DB22" s="171">
        <f>'[91]3. Inequality and Poverty'!C$34</f>
        <v>0.32195672788011298</v>
      </c>
      <c r="DC22" s="172">
        <f>DB22-DA22</f>
        <v>-2.4485460644640411E-3</v>
      </c>
      <c r="DD22" s="144">
        <f t="shared" si="19"/>
        <v>27.892250914839178</v>
      </c>
      <c r="DE22" s="145">
        <f>'[91]2. Distributional by deciles o'!$J38</f>
        <v>0.72107749085160822</v>
      </c>
      <c r="DF22" s="1"/>
      <c r="DG22" s="1"/>
      <c r="DH22" s="1"/>
      <c r="DI22" s="1"/>
      <c r="DJ22" s="1"/>
      <c r="DK22" s="1"/>
      <c r="DL22" s="1"/>
      <c r="DM22" s="1"/>
      <c r="DN22" s="1"/>
      <c r="DO22" s="1"/>
      <c r="DP22" s="1"/>
      <c r="DQ22" s="1"/>
      <c r="DR22" s="1"/>
      <c r="DS22" s="1"/>
      <c r="DT22" s="1"/>
      <c r="DU22" s="1"/>
      <c r="DV22" s="1"/>
      <c r="DW22" s="1"/>
      <c r="DX22" s="1"/>
      <c r="DY22" s="1"/>
      <c r="DZ22" s="1"/>
      <c r="EA22" s="146">
        <f>'[92]2. Distributional by deciles o'!B74</f>
        <v>18462260585.14566</v>
      </c>
      <c r="EB22" s="146">
        <f>'[92]2. Distributional by deciles o'!C74</f>
        <v>18828529362.796677</v>
      </c>
      <c r="EC22" s="146">
        <f>'[92]2. Distributional by deciles o'!D74</f>
        <v>18655799532.001221</v>
      </c>
      <c r="ED22" s="146"/>
      <c r="EE22" s="146"/>
      <c r="EF22" s="146"/>
      <c r="EG22" s="146"/>
      <c r="EH22" s="123"/>
      <c r="EI22" s="151">
        <f>'[94]1. Fiscal'!D$12+'[94]1. Fiscal'!D$13</f>
        <v>18724677406.760391</v>
      </c>
      <c r="EJ22" s="151">
        <f>'[94]1. Fiscal'!E$12+'[94]1. Fiscal'!E$13</f>
        <v>18528300402.291618</v>
      </c>
      <c r="EK22" s="151">
        <f>'[94]1. Fiscal'!F$12+'[94]1. Fiscal'!F$13</f>
        <v>18488924629.64048</v>
      </c>
      <c r="EL22" s="151">
        <f>'[94]1. Fiscal'!G$12+'[94]1. Fiscal'!G$13</f>
        <v>18471242326.44846</v>
      </c>
      <c r="EM22" s="152" t="s">
        <v>113</v>
      </c>
      <c r="EN22" s="146">
        <f>'[92]2. Distributional by deciles o'!B92</f>
        <v>132517738255.80658</v>
      </c>
      <c r="EO22" s="146">
        <f>'[92]2. Distributional by deciles o'!C92</f>
        <v>133842916509.36203</v>
      </c>
      <c r="EP22" s="153">
        <f>(EO22/EN22-1)*100</f>
        <v>1.0000006572685294</v>
      </c>
      <c r="EQ22" s="151">
        <f>'[94]1. Fiscal'!D$100</f>
        <v>133405108429.29562</v>
      </c>
      <c r="ER22" s="151">
        <f>'[94]1. Fiscal'!E$100</f>
        <v>132825329353.80374</v>
      </c>
      <c r="ES22" s="151">
        <f>'[94]1. Fiscal'!F$100</f>
        <v>132619379706.65744</v>
      </c>
      <c r="ET22" s="151">
        <f>'[94]1. Fiscal'!G$100</f>
        <v>132546311168.58295</v>
      </c>
      <c r="EU22" s="152" t="s">
        <v>113</v>
      </c>
      <c r="EV22" s="154">
        <f t="shared" si="24"/>
        <v>1.9838769755472168</v>
      </c>
      <c r="EW22" s="154">
        <f>IF(EC22&lt;&gt;0,((EC22-$EA22)/ABS($EA22)) / ($EO22/$EN22-1),0)</f>
        <v>1.0482942690360579</v>
      </c>
      <c r="EX22" s="174">
        <f>EW22-X22</f>
        <v>-1.0178885721436437E-2</v>
      </c>
      <c r="EY22" s="175">
        <f t="shared" si="25"/>
        <v>-7.4027492584860521E-3</v>
      </c>
      <c r="EZ22" s="144">
        <f t="shared" si="23"/>
        <v>48.06227067720927</v>
      </c>
      <c r="FA22" s="145">
        <f>'[92]2. Distributional by deciles o'!$J38</f>
        <v>0.51937729322790727</v>
      </c>
      <c r="FB22" s="155">
        <f>(EI22/$EA22-1) / (EQ22/$EN22-1)</f>
        <v>2.1226382328852873</v>
      </c>
      <c r="FC22" s="155">
        <f>(EJ22/$EA22-1) / (ER22/$EN22-1)</f>
        <v>1.5410659975143985</v>
      </c>
      <c r="FD22" s="155">
        <f>(EK22/$EA22-1) / (ES22/$EN22-1)</f>
        <v>1.8829739342705636</v>
      </c>
      <c r="FE22" s="155">
        <f>(EL22/$EA22-1) / (ET22/$EN22-1)</f>
        <v>2.2562912808370084</v>
      </c>
      <c r="FF22" s="75">
        <f>FB22-AD22</f>
        <v>1.3545381476423035E-2</v>
      </c>
      <c r="FG22" s="75">
        <f>FC22-AE22</f>
        <v>-0.12370456185411705</v>
      </c>
      <c r="FH22" s="75">
        <f>FD22-AF22</f>
        <v>-4.9045393296093476E-2</v>
      </c>
      <c r="FI22" s="75">
        <f>FE22-AG22</f>
        <v>-0.17502720475486822</v>
      </c>
      <c r="FJ22" s="1"/>
      <c r="FK22" s="1"/>
      <c r="FL22" s="1"/>
      <c r="FM22" s="1"/>
      <c r="FN22" s="1"/>
      <c r="FO22" s="1"/>
      <c r="FP22" s="1"/>
      <c r="FQ22" s="53"/>
    </row>
  </sheetData>
  <pageMargins left="0.7" right="0.7" top="0.75" bottom="0.75" header="0.3" footer="0.3"/>
  <pageSetup paperSize="9" orientation="portrait" r:id="rId1"/>
  <legacyDrawing r:id="rId2"/>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6E4E2-AB61-4141-8F2E-B1EDC64DB6DE}">
  <dimension ref="A1:BN121"/>
  <sheetViews>
    <sheetView zoomScale="55" zoomScaleNormal="55" workbookViewId="0">
      <selection activeCell="O4" sqref="O4"/>
    </sheetView>
  </sheetViews>
  <sheetFormatPr baseColWidth="10" defaultColWidth="8.6640625" defaultRowHeight="14.4" x14ac:dyDescent="0.3"/>
  <cols>
    <col min="1" max="1" width="4.33203125" customWidth="1"/>
    <col min="3" max="3" width="17.33203125" customWidth="1"/>
    <col min="4" max="4" width="15.6640625" customWidth="1"/>
    <col min="5" max="5" width="16.33203125" customWidth="1"/>
    <col min="6" max="6" width="15.6640625" customWidth="1"/>
    <col min="7" max="7" width="16" customWidth="1"/>
    <col min="8" max="8" width="19" customWidth="1"/>
    <col min="9" max="12" width="17" customWidth="1"/>
    <col min="13" max="13" width="17.33203125" customWidth="1"/>
    <col min="14" max="18" width="16.33203125" customWidth="1"/>
    <col min="19" max="19" width="17" customWidth="1"/>
    <col min="20" max="33" width="16.33203125" customWidth="1"/>
    <col min="34" max="34" width="14.6640625" customWidth="1"/>
    <col min="35" max="36" width="12.6640625" customWidth="1"/>
    <col min="37" max="37" width="17.33203125" customWidth="1"/>
    <col min="38" max="38" width="12.33203125" customWidth="1"/>
    <col min="39" max="39" width="9.6640625" customWidth="1"/>
    <col min="40" max="42" width="16.44140625" customWidth="1"/>
    <col min="43" max="50" width="9.6640625" customWidth="1"/>
    <col min="51" max="59" width="0.5546875" customWidth="1"/>
  </cols>
  <sheetData>
    <row r="1" spans="1:66" ht="15" thickBot="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row>
    <row r="2" spans="1:66" ht="18" customHeight="1" thickBot="1" x14ac:dyDescent="0.35">
      <c r="A2" s="1"/>
      <c r="B2" s="2" t="s">
        <v>654</v>
      </c>
      <c r="C2" s="3"/>
      <c r="D2" s="3"/>
      <c r="E2" s="3"/>
      <c r="F2" s="3"/>
      <c r="G2" s="3"/>
      <c r="H2" s="3"/>
      <c r="I2" s="3"/>
      <c r="J2" s="3"/>
      <c r="K2" s="3"/>
      <c r="L2" s="3"/>
      <c r="M2" s="4"/>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row>
    <row r="3" spans="1:66" ht="18" customHeight="1" x14ac:dyDescent="0.3">
      <c r="A3" s="1"/>
      <c r="B3" s="5" t="s">
        <v>115</v>
      </c>
      <c r="C3" s="6"/>
      <c r="D3" s="6"/>
      <c r="E3" s="6"/>
      <c r="F3" s="6"/>
      <c r="G3" s="6"/>
      <c r="H3" s="6"/>
      <c r="I3" s="6"/>
      <c r="J3" s="6"/>
      <c r="K3" s="6"/>
      <c r="L3" s="6"/>
      <c r="M3" s="7"/>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row>
    <row r="4" spans="1:66" ht="18" customHeight="1" x14ac:dyDescent="0.3">
      <c r="A4" s="1"/>
      <c r="B4" s="99" t="s">
        <v>1</v>
      </c>
      <c r="C4" s="296"/>
      <c r="D4" s="296"/>
      <c r="E4" s="296"/>
      <c r="F4" s="296"/>
      <c r="G4" s="296"/>
      <c r="H4" s="296"/>
      <c r="I4" s="296"/>
      <c r="J4" s="296"/>
      <c r="K4" s="296"/>
      <c r="L4" s="296"/>
      <c r="M4" s="100"/>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row>
    <row r="5" spans="1:66" ht="14.25" customHeight="1" x14ac:dyDescent="0.3">
      <c r="A5" s="1"/>
      <c r="B5" s="293" t="s">
        <v>116</v>
      </c>
      <c r="C5" s="294"/>
      <c r="D5" s="294"/>
      <c r="E5" s="294"/>
      <c r="F5" s="294"/>
      <c r="G5" s="294"/>
      <c r="H5" s="294"/>
      <c r="I5" s="294"/>
      <c r="J5" s="294"/>
      <c r="K5" s="294"/>
      <c r="L5" s="294"/>
      <c r="M5" s="295"/>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row>
    <row r="6" spans="1:66" ht="12.6" customHeight="1" x14ac:dyDescent="0.3">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row>
    <row r="7" spans="1:66" ht="12.6" customHeight="1" x14ac:dyDescent="0.3">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row>
    <row r="8" spans="1:66" ht="17.7" customHeight="1" x14ac:dyDescent="0.3">
      <c r="A8" s="1"/>
      <c r="B8" s="11" t="s">
        <v>2</v>
      </c>
      <c r="C8" s="12" t="s">
        <v>249</v>
      </c>
      <c r="D8" s="12" t="s">
        <v>250</v>
      </c>
      <c r="E8" s="124" t="s">
        <v>251</v>
      </c>
      <c r="F8" s="125"/>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row>
    <row r="9" spans="1:66" ht="10.35" customHeight="1" x14ac:dyDescent="0.3">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row>
    <row r="10" spans="1:66" x14ac:dyDescent="0.3">
      <c r="A10" s="1"/>
      <c r="B10" s="1"/>
      <c r="C10" s="13" t="s">
        <v>6</v>
      </c>
      <c r="D10" s="14"/>
      <c r="E10" s="14"/>
      <c r="F10" s="14"/>
      <c r="G10" s="14"/>
      <c r="H10" s="14"/>
      <c r="I10" s="14"/>
      <c r="J10" s="14"/>
      <c r="K10" s="14"/>
      <c r="L10" s="14"/>
      <c r="M10" s="14"/>
      <c r="N10" s="14"/>
      <c r="O10" s="14"/>
      <c r="P10" s="15" t="s">
        <v>596</v>
      </c>
      <c r="Q10" s="16"/>
      <c r="R10" s="16"/>
      <c r="S10" s="16"/>
      <c r="T10" s="16"/>
      <c r="U10" s="16"/>
      <c r="V10" s="16"/>
      <c r="W10" s="16"/>
      <c r="X10" s="13"/>
      <c r="Y10" s="17"/>
      <c r="Z10" s="17"/>
      <c r="AA10" s="17"/>
      <c r="AB10" s="17"/>
      <c r="AC10" s="17"/>
      <c r="AD10" s="17"/>
      <c r="AE10" s="19"/>
      <c r="AF10" s="16"/>
      <c r="AG10" s="16"/>
      <c r="AH10" s="16"/>
      <c r="AI10" s="16"/>
      <c r="AJ10" s="16"/>
      <c r="AK10" s="1"/>
      <c r="AL10" s="1"/>
      <c r="AM10" s="99" t="s">
        <v>562</v>
      </c>
      <c r="AN10" s="9"/>
      <c r="AO10" s="9"/>
      <c r="AP10" s="9"/>
      <c r="AQ10" s="9"/>
      <c r="AR10" s="9"/>
      <c r="AS10" s="10"/>
      <c r="AT10" s="1"/>
      <c r="AU10" s="1"/>
      <c r="AV10" s="1"/>
      <c r="AW10" s="1"/>
      <c r="AX10" s="1"/>
      <c r="AY10" s="1"/>
      <c r="AZ10" s="1"/>
      <c r="BA10" s="1"/>
      <c r="BB10" s="1"/>
      <c r="BC10" s="1"/>
      <c r="BD10" s="1"/>
      <c r="BE10" s="1"/>
      <c r="BF10" s="1"/>
      <c r="BG10" s="1"/>
      <c r="BH10" s="1"/>
      <c r="BI10" s="1"/>
      <c r="BJ10" s="1"/>
      <c r="BK10" s="1"/>
      <c r="BL10" s="1"/>
      <c r="BM10" s="1"/>
      <c r="BN10" s="1"/>
    </row>
    <row r="11" spans="1:66" ht="78.75" customHeight="1" x14ac:dyDescent="0.3">
      <c r="A11" s="1"/>
      <c r="B11" s="25" t="s">
        <v>20</v>
      </c>
      <c r="C11" s="26" t="s">
        <v>119</v>
      </c>
      <c r="D11" s="27" t="s">
        <v>120</v>
      </c>
      <c r="E11" s="26" t="s">
        <v>121</v>
      </c>
      <c r="F11" s="27" t="s">
        <v>122</v>
      </c>
      <c r="G11" s="27" t="s">
        <v>123</v>
      </c>
      <c r="H11" s="27" t="s">
        <v>124</v>
      </c>
      <c r="I11" s="27" t="s">
        <v>125</v>
      </c>
      <c r="J11" s="27" t="s">
        <v>126</v>
      </c>
      <c r="K11" s="27" t="s">
        <v>127</v>
      </c>
      <c r="L11" s="27"/>
      <c r="M11" s="27"/>
      <c r="N11" s="27"/>
      <c r="O11" s="27"/>
      <c r="P11" s="26" t="s">
        <v>119</v>
      </c>
      <c r="Q11" s="27" t="s">
        <v>120</v>
      </c>
      <c r="R11" s="27" t="s">
        <v>121</v>
      </c>
      <c r="S11" s="27" t="s">
        <v>122</v>
      </c>
      <c r="T11" s="27" t="s">
        <v>123</v>
      </c>
      <c r="U11" s="27" t="s">
        <v>130</v>
      </c>
      <c r="V11" s="27"/>
      <c r="W11" s="27"/>
      <c r="X11" s="27"/>
      <c r="Y11" s="27"/>
      <c r="Z11" s="27"/>
      <c r="AA11" s="27"/>
      <c r="AB11" s="27"/>
      <c r="AC11" s="27"/>
      <c r="AD11" s="27"/>
      <c r="AE11" s="27"/>
      <c r="AF11" s="27"/>
      <c r="AG11" s="27"/>
      <c r="AH11" s="27"/>
      <c r="AI11" s="27"/>
      <c r="AJ11" s="27"/>
      <c r="AK11" s="27" t="s">
        <v>150</v>
      </c>
      <c r="AL11" s="1"/>
      <c r="AM11" s="522" t="s">
        <v>563</v>
      </c>
      <c r="AN11" s="523" t="s">
        <v>568</v>
      </c>
      <c r="AO11" s="523" t="s">
        <v>569</v>
      </c>
      <c r="AP11" s="523" t="s">
        <v>570</v>
      </c>
      <c r="AQ11" s="523" t="s">
        <v>564</v>
      </c>
      <c r="AR11" s="523" t="s">
        <v>565</v>
      </c>
      <c r="AS11" s="523" t="s">
        <v>566</v>
      </c>
      <c r="AT11" s="1"/>
      <c r="AU11" s="1"/>
      <c r="AV11" s="1"/>
      <c r="AW11" s="1"/>
      <c r="AX11" s="1"/>
      <c r="AY11" s="1"/>
      <c r="AZ11" s="1"/>
      <c r="BA11" s="1"/>
      <c r="BB11" s="1"/>
      <c r="BC11" s="1"/>
      <c r="BD11" s="1"/>
      <c r="BE11" s="1"/>
      <c r="BF11" s="1"/>
      <c r="BG11" s="1"/>
      <c r="BH11" s="1"/>
      <c r="BI11" s="1"/>
      <c r="BJ11" s="1"/>
      <c r="BK11" s="1"/>
      <c r="BL11" s="1"/>
      <c r="BM11" s="1"/>
      <c r="BN11" s="1"/>
    </row>
    <row r="12" spans="1:66" x14ac:dyDescent="0.3">
      <c r="A12" s="1"/>
      <c r="B12" s="28">
        <v>1</v>
      </c>
      <c r="C12" s="129">
        <f>'[95]2. Distributional by deciles o'!B64</f>
        <v>10682931.704400003</v>
      </c>
      <c r="D12" s="129">
        <f>'[95]2. Distributional by deciles o'!C64</f>
        <v>10460005.342799995</v>
      </c>
      <c r="E12" s="129">
        <f>'[95]2. Distributional by deciles o'!D64</f>
        <v>11659240.182</v>
      </c>
      <c r="F12" s="129">
        <f>'[95]2. Distributional by deciles o'!E64</f>
        <v>13433189.473200005</v>
      </c>
      <c r="G12" s="129">
        <f>'[95]2. Distributional by deciles o'!F64</f>
        <v>8288840.2620000001</v>
      </c>
      <c r="H12" s="129">
        <f>'[95]2. Distributional by deciles o'!H64</f>
        <v>18102903.290399991</v>
      </c>
      <c r="I12" s="129">
        <f>'[95]2. Distributional by deciles o'!I64</f>
        <v>12180077.736</v>
      </c>
      <c r="J12" s="129">
        <f>'[95]2. Distributional by deciles o'!J64</f>
        <v>14498550.949200001</v>
      </c>
      <c r="K12" s="129">
        <f>'[95]2. Distributional by deciles o'!K64</f>
        <v>12616247.487599999</v>
      </c>
      <c r="L12" s="139"/>
      <c r="M12" s="139"/>
      <c r="N12" s="139"/>
      <c r="O12" s="139"/>
      <c r="P12" s="129">
        <f>'[95]2. Distributional by deciles o'!B82</f>
        <v>2143661668.7568021</v>
      </c>
      <c r="Q12" s="129">
        <f>'[95]2. Distributional by deciles o'!C82</f>
        <v>2165302606.1051979</v>
      </c>
      <c r="R12" s="129">
        <f>'[95]2. Distributional by deciles o'!D82</f>
        <v>2223293440.5347967</v>
      </c>
      <c r="S12" s="129">
        <f>'[95]2. Distributional by deciles o'!E82</f>
        <v>2318909790.6527987</v>
      </c>
      <c r="T12" s="129">
        <f>'[95]2. Distributional by deciles o'!F82</f>
        <v>2473146269.9760032</v>
      </c>
      <c r="U12" s="209">
        <f t="shared" ref="U12:U22" si="0">T12/P12-1</f>
        <v>0.15370177394191264</v>
      </c>
      <c r="V12" s="139"/>
      <c r="W12" s="209"/>
      <c r="X12" s="132"/>
      <c r="Y12" s="132"/>
      <c r="Z12" s="132"/>
      <c r="AA12" s="132"/>
      <c r="AB12" s="132"/>
      <c r="AC12" s="132"/>
      <c r="AD12" s="132"/>
      <c r="AE12" s="139"/>
      <c r="AF12" s="139"/>
      <c r="AG12" s="139"/>
      <c r="AH12" s="139"/>
      <c r="AI12" s="139"/>
      <c r="AJ12" s="139"/>
      <c r="AK12" s="408">
        <f>'[95]2. Distributional by deciles o'!L64</f>
        <v>8282172.4524000008</v>
      </c>
      <c r="AL12" s="1"/>
      <c r="AM12" s="32" cm="1">
        <f t="array" aca="1" ref="AM12" ca="1">INDIRECT("'1"&amp;$C$8&amp;"'!W12")</f>
        <v>3.9448404174206364</v>
      </c>
      <c r="AN12" s="524">
        <f t="shared" ref="AN12:AN21" ca="1" si="1">C12+C12*U12*AM12</f>
        <v>17160302.6821137</v>
      </c>
      <c r="AO12" s="524">
        <f t="shared" ref="AO12:AO21" ca="1" si="2">C12+C12*U$22*AM12</f>
        <v>18049605.35087426</v>
      </c>
      <c r="AP12" s="524">
        <f t="shared" ref="AP12:AP21" ca="1" si="3">C12+C12*AR12*AM12</f>
        <v>17160302.6821137</v>
      </c>
      <c r="AQ12" s="525">
        <f t="shared" ref="AQ12:AQ21" si="4">U12</f>
        <v>0.15370177394191264</v>
      </c>
      <c r="AR12" s="344">
        <f>AQ12</f>
        <v>0.15370177394191264</v>
      </c>
      <c r="AS12" s="41">
        <f>P12/P$22</f>
        <v>1.9004115868165798E-2</v>
      </c>
      <c r="AT12" s="1"/>
      <c r="AU12" s="1"/>
      <c r="AV12" s="1"/>
      <c r="AW12" s="1"/>
      <c r="AX12" s="1"/>
      <c r="AY12" s="1"/>
      <c r="AZ12" s="1"/>
      <c r="BA12" s="1"/>
      <c r="BB12" s="1"/>
      <c r="BC12" s="1"/>
      <c r="BD12" s="1"/>
      <c r="BE12" s="1"/>
      <c r="BF12" s="1"/>
      <c r="BG12" s="1"/>
      <c r="BH12" s="1"/>
      <c r="BI12" s="1"/>
      <c r="BJ12" s="1"/>
      <c r="BK12" s="1"/>
      <c r="BL12" s="1"/>
      <c r="BM12" s="1"/>
      <c r="BN12" s="1"/>
    </row>
    <row r="13" spans="1:66" x14ac:dyDescent="0.3">
      <c r="A13" s="1"/>
      <c r="B13" s="28">
        <v>2</v>
      </c>
      <c r="C13" s="129">
        <f>'[95]2. Distributional by deciles o'!B65</f>
        <v>24660129.689999983</v>
      </c>
      <c r="D13" s="129">
        <f>'[95]2. Distributional by deciles o'!C65</f>
        <v>25445244.459600009</v>
      </c>
      <c r="E13" s="129">
        <f>'[95]2. Distributional by deciles o'!D65</f>
        <v>30967119.800399996</v>
      </c>
      <c r="F13" s="129">
        <f>'[95]2. Distributional by deciles o'!E65</f>
        <v>37757575.159200013</v>
      </c>
      <c r="G13" s="129">
        <f>'[95]2. Distributional by deciles o'!F65</f>
        <v>19624620.493200015</v>
      </c>
      <c r="H13" s="129">
        <f>'[95]2. Distributional by deciles o'!H65</f>
        <v>60960131.304000005</v>
      </c>
      <c r="I13" s="129">
        <f>'[95]2. Distributional by deciles o'!I65</f>
        <v>31440092.386799991</v>
      </c>
      <c r="J13" s="129">
        <f>'[95]2. Distributional by deciles o'!J65</f>
        <v>43861671.517200001</v>
      </c>
      <c r="K13" s="129">
        <f>'[95]2. Distributional by deciles o'!K65</f>
        <v>35416424.275200017</v>
      </c>
      <c r="L13" s="139"/>
      <c r="M13" s="139"/>
      <c r="N13" s="139"/>
      <c r="O13" s="139"/>
      <c r="P13" s="129">
        <f>'[95]2. Distributional by deciles o'!B83</f>
        <v>4423369217.5799942</v>
      </c>
      <c r="Q13" s="129">
        <f>'[95]2. Distributional by deciles o'!C83</f>
        <v>4469763307.8167915</v>
      </c>
      <c r="R13" s="129">
        <f>'[95]2. Distributional by deciles o'!D83</f>
        <v>4581653637.4475899</v>
      </c>
      <c r="S13" s="129">
        <f>'[95]2. Distributional by deciles o'!E83</f>
        <v>4762732770.9623947</v>
      </c>
      <c r="T13" s="129">
        <f>'[95]2. Distributional by deciles o'!F83</f>
        <v>5087740237.8971939</v>
      </c>
      <c r="U13" s="209">
        <f t="shared" si="0"/>
        <v>0.15019569645616748</v>
      </c>
      <c r="V13" s="139"/>
      <c r="W13" s="209"/>
      <c r="X13" s="132"/>
      <c r="Y13" s="132"/>
      <c r="Z13" s="132"/>
      <c r="AA13" s="132"/>
      <c r="AB13" s="132"/>
      <c r="AC13" s="132"/>
      <c r="AD13" s="132"/>
      <c r="AE13" s="139"/>
      <c r="AF13" s="139"/>
      <c r="AG13" s="139"/>
      <c r="AH13" s="139"/>
      <c r="AI13" s="139"/>
      <c r="AJ13" s="139"/>
      <c r="AK13" s="408">
        <f>'[95]2. Distributional by deciles o'!L65</f>
        <v>20046603.161999997</v>
      </c>
      <c r="AL13" s="1"/>
      <c r="AM13" s="32" cm="1">
        <f t="array" aca="1" ref="AM13" ca="1">INDIRECT("'1"&amp;$C$8&amp;"'!W13")</f>
        <v>7.4555966275809951</v>
      </c>
      <c r="AN13" s="524">
        <f t="shared" ca="1" si="1"/>
        <v>52274506.616553813</v>
      </c>
      <c r="AO13" s="524">
        <f t="shared" ca="1" si="2"/>
        <v>56798903.179569781</v>
      </c>
      <c r="AP13" s="524">
        <f t="shared" ca="1" si="3"/>
        <v>52274506.616553813</v>
      </c>
      <c r="AQ13" s="525">
        <f t="shared" si="4"/>
        <v>0.15019569645616748</v>
      </c>
      <c r="AR13" s="344">
        <f t="shared" ref="AR13:AR18" si="5">AQ13</f>
        <v>0.15019569645616748</v>
      </c>
      <c r="AS13" s="41">
        <f t="shared" ref="AS13:AS21" si="6">P13/P$22</f>
        <v>3.9214313696862083E-2</v>
      </c>
      <c r="AT13" s="1"/>
      <c r="AU13" s="1"/>
      <c r="AV13" s="1"/>
      <c r="AW13" s="1"/>
      <c r="AX13" s="1"/>
      <c r="AY13" s="1"/>
      <c r="AZ13" s="1"/>
      <c r="BA13" s="1"/>
      <c r="BB13" s="1"/>
      <c r="BC13" s="1"/>
      <c r="BD13" s="1"/>
      <c r="BE13" s="1"/>
      <c r="BF13" s="1"/>
      <c r="BG13" s="1"/>
      <c r="BH13" s="1"/>
      <c r="BI13" s="1"/>
      <c r="BJ13" s="1"/>
      <c r="BK13" s="1"/>
      <c r="BL13" s="1"/>
      <c r="BM13" s="1"/>
      <c r="BN13" s="1"/>
    </row>
    <row r="14" spans="1:66" x14ac:dyDescent="0.3">
      <c r="A14" s="1"/>
      <c r="B14" s="28">
        <v>3</v>
      </c>
      <c r="C14" s="129">
        <f>'[95]2. Distributional by deciles o'!B66</f>
        <v>77312471.604000017</v>
      </c>
      <c r="D14" s="129">
        <f>'[95]2. Distributional by deciles o'!C66</f>
        <v>81262769.777999923</v>
      </c>
      <c r="E14" s="129">
        <f>'[95]2. Distributional by deciles o'!D66</f>
        <v>96534868.683600068</v>
      </c>
      <c r="F14" s="129">
        <f>'[95]2. Distributional by deciles o'!E66</f>
        <v>119542174.20120016</v>
      </c>
      <c r="G14" s="129">
        <f>'[95]2. Distributional by deciles o'!F66</f>
        <v>74370778.538399965</v>
      </c>
      <c r="H14" s="129">
        <f>'[95]2. Distributional by deciles o'!H66</f>
        <v>184494970.52399999</v>
      </c>
      <c r="I14" s="129">
        <f>'[95]2. Distributional by deciles o'!I66</f>
        <v>97910045.883599877</v>
      </c>
      <c r="J14" s="129">
        <f>'[95]2. Distributional by deciles o'!J66</f>
        <v>127241631.90239994</v>
      </c>
      <c r="K14" s="129">
        <f>'[95]2. Distributional by deciles o'!K66</f>
        <v>106017510.53760003</v>
      </c>
      <c r="L14" s="139"/>
      <c r="M14" s="139"/>
      <c r="N14" s="139"/>
      <c r="O14" s="139"/>
      <c r="P14" s="129">
        <f>'[95]2. Distributional by deciles o'!B84</f>
        <v>5754016316.1264</v>
      </c>
      <c r="Q14" s="129">
        <f>'[95]2. Distributional by deciles o'!C84</f>
        <v>5817566902.8372021</v>
      </c>
      <c r="R14" s="129">
        <f>'[95]2. Distributional by deciles o'!D84</f>
        <v>5985171601.1927891</v>
      </c>
      <c r="S14" s="129">
        <f>'[95]2. Distributional by deciles o'!E84</f>
        <v>6234403793.1084003</v>
      </c>
      <c r="T14" s="129">
        <f>'[95]2. Distributional by deciles o'!F84</f>
        <v>6675466009.7615852</v>
      </c>
      <c r="U14" s="209">
        <f t="shared" si="0"/>
        <v>0.16014026429725248</v>
      </c>
      <c r="V14" s="139"/>
      <c r="W14" s="209"/>
      <c r="X14" s="132"/>
      <c r="Y14" s="132"/>
      <c r="Z14" s="132"/>
      <c r="AA14" s="132"/>
      <c r="AB14" s="132"/>
      <c r="AC14" s="132"/>
      <c r="AD14" s="132"/>
      <c r="AE14" s="139"/>
      <c r="AF14" s="139"/>
      <c r="AG14" s="139"/>
      <c r="AH14" s="139"/>
      <c r="AI14" s="139"/>
      <c r="AJ14" s="139"/>
      <c r="AK14" s="408">
        <f>'[95]2. Distributional by deciles o'!L66</f>
        <v>75922674.071999982</v>
      </c>
      <c r="AL14" s="1"/>
      <c r="AM14" s="32" cm="1">
        <f t="array" aca="1" ref="AM14" ca="1">INDIRECT("'1"&amp;$C$8&amp;"'!W14")</f>
        <v>5.6991226172634963</v>
      </c>
      <c r="AN14" s="524">
        <f t="shared" ca="1" si="1"/>
        <v>147872394.79502869</v>
      </c>
      <c r="AO14" s="524">
        <f t="shared" ca="1" si="2"/>
        <v>154333461.80818033</v>
      </c>
      <c r="AP14" s="524">
        <f t="shared" ca="1" si="3"/>
        <v>147872394.79502869</v>
      </c>
      <c r="AQ14" s="525">
        <f t="shared" si="4"/>
        <v>0.16014026429725248</v>
      </c>
      <c r="AR14" s="344">
        <f t="shared" si="5"/>
        <v>0.16014026429725248</v>
      </c>
      <c r="AS14" s="41">
        <f t="shared" si="6"/>
        <v>5.1010844842133689E-2</v>
      </c>
      <c r="AT14" s="1"/>
      <c r="AU14" s="1"/>
      <c r="AV14" s="1"/>
      <c r="AW14" s="1"/>
      <c r="AX14" s="1"/>
      <c r="AY14" s="1"/>
      <c r="AZ14" s="1"/>
      <c r="BA14" s="1"/>
      <c r="BB14" s="1"/>
      <c r="BC14" s="1"/>
      <c r="BD14" s="1"/>
      <c r="BE14" s="1"/>
      <c r="BF14" s="1"/>
      <c r="BG14" s="1"/>
      <c r="BH14" s="1"/>
      <c r="BI14" s="1"/>
      <c r="BJ14" s="1"/>
      <c r="BK14" s="1"/>
      <c r="BL14" s="1"/>
      <c r="BM14" s="1"/>
      <c r="BN14" s="1"/>
    </row>
    <row r="15" spans="1:66" x14ac:dyDescent="0.3">
      <c r="A15" s="1"/>
      <c r="B15" s="28">
        <v>4</v>
      </c>
      <c r="C15" s="129">
        <f>'[95]2. Distributional by deciles o'!B67</f>
        <v>168059789.09879968</v>
      </c>
      <c r="D15" s="129">
        <f>'[95]2. Distributional by deciles o'!C67</f>
        <v>175830698.10960022</v>
      </c>
      <c r="E15" s="129">
        <f>'[95]2. Distributional by deciles o'!D67</f>
        <v>204300500.4408001</v>
      </c>
      <c r="F15" s="129">
        <f>'[95]2. Distributional by deciles o'!E67</f>
        <v>246763497.64080021</v>
      </c>
      <c r="G15" s="129">
        <f>'[95]2. Distributional by deciles o'!F67</f>
        <v>136767535.44359991</v>
      </c>
      <c r="H15" s="129">
        <f>'[95]2. Distributional by deciles o'!H67</f>
        <v>351152786.37839997</v>
      </c>
      <c r="I15" s="129">
        <f>'[95]2. Distributional by deciles o'!I67</f>
        <v>201280043.87159982</v>
      </c>
      <c r="J15" s="129">
        <f>'[95]2. Distributional by deciles o'!J67</f>
        <v>265947676.74720001</v>
      </c>
      <c r="K15" s="129">
        <f>'[95]2. Distributional by deciles o'!K67</f>
        <v>220991725.91280025</v>
      </c>
      <c r="L15" s="139"/>
      <c r="M15" s="139"/>
      <c r="N15" s="139"/>
      <c r="O15" s="139"/>
      <c r="P15" s="129">
        <f>'[95]2. Distributional by deciles o'!B85</f>
        <v>6713951195.7360058</v>
      </c>
      <c r="Q15" s="129">
        <f>'[95]2. Distributional by deciles o'!C85</f>
        <v>6790897765.1736002</v>
      </c>
      <c r="R15" s="129">
        <f>'[95]2. Distributional by deciles o'!D85</f>
        <v>7018058275.9355946</v>
      </c>
      <c r="S15" s="129">
        <f>'[95]2. Distributional by deciles o'!E85</f>
        <v>7329146911.7544136</v>
      </c>
      <c r="T15" s="129">
        <f>'[95]2. Distributional by deciles o'!F85</f>
        <v>7854300817.2923985</v>
      </c>
      <c r="U15" s="209">
        <f t="shared" si="0"/>
        <v>0.16984776747865293</v>
      </c>
      <c r="V15" s="139"/>
      <c r="W15" s="209"/>
      <c r="X15" s="132"/>
      <c r="Y15" s="132"/>
      <c r="Z15" s="132"/>
      <c r="AA15" s="132"/>
      <c r="AB15" s="132"/>
      <c r="AC15" s="132"/>
      <c r="AD15" s="132"/>
      <c r="AE15" s="139"/>
      <c r="AF15" s="139"/>
      <c r="AG15" s="139"/>
      <c r="AH15" s="139"/>
      <c r="AI15" s="139"/>
      <c r="AJ15" s="139"/>
      <c r="AK15" s="408">
        <f>'[95]2. Distributional by deciles o'!L67</f>
        <v>140270542.09800002</v>
      </c>
      <c r="AL15" s="1"/>
      <c r="AM15" s="32" cm="1">
        <f t="array" aca="1" ref="AM15" ca="1">INDIRECT("'1"&amp;$C$8&amp;"'!W15")</f>
        <v>6.0888757531184172</v>
      </c>
      <c r="AN15" s="524">
        <f t="shared" ca="1" si="1"/>
        <v>341864190.03027856</v>
      </c>
      <c r="AO15" s="524">
        <f t="shared" ca="1" si="2"/>
        <v>346935950.12403184</v>
      </c>
      <c r="AP15" s="524">
        <f t="shared" ca="1" si="3"/>
        <v>341864190.03027856</v>
      </c>
      <c r="AQ15" s="525">
        <f t="shared" si="4"/>
        <v>0.16984776747865293</v>
      </c>
      <c r="AR15" s="344">
        <f t="shared" si="5"/>
        <v>0.16984776747865293</v>
      </c>
      <c r="AS15" s="41">
        <f t="shared" si="6"/>
        <v>5.9520916157899874E-2</v>
      </c>
      <c r="AT15" s="1"/>
      <c r="AU15" s="1"/>
      <c r="AV15" s="1"/>
      <c r="AW15" s="1"/>
      <c r="AX15" s="1"/>
      <c r="AY15" s="1"/>
      <c r="AZ15" s="1"/>
      <c r="BA15" s="1"/>
      <c r="BB15" s="1"/>
      <c r="BC15" s="1"/>
      <c r="BD15" s="1"/>
      <c r="BE15" s="1"/>
      <c r="BF15" s="1"/>
      <c r="BG15" s="1"/>
      <c r="BH15" s="1"/>
      <c r="BI15" s="1"/>
      <c r="BJ15" s="1"/>
      <c r="BK15" s="1"/>
      <c r="BL15" s="1"/>
      <c r="BM15" s="1"/>
      <c r="BN15" s="1"/>
    </row>
    <row r="16" spans="1:66" x14ac:dyDescent="0.3">
      <c r="A16" s="1"/>
      <c r="B16" s="28">
        <v>5</v>
      </c>
      <c r="C16" s="129">
        <f>'[95]2. Distributional by deciles o'!B68</f>
        <v>333159850.38360029</v>
      </c>
      <c r="D16" s="129">
        <f>'[95]2. Distributional by deciles o'!C68</f>
        <v>346651093.41360027</v>
      </c>
      <c r="E16" s="129">
        <f>'[95]2. Distributional by deciles o'!D68</f>
        <v>402452056.61519969</v>
      </c>
      <c r="F16" s="129">
        <f>'[95]2. Distributional by deciles o'!E68</f>
        <v>472610803.99319971</v>
      </c>
      <c r="G16" s="129">
        <f>'[95]2. Distributional by deciles o'!F68</f>
        <v>342089015.5607999</v>
      </c>
      <c r="H16" s="129">
        <f>'[95]2. Distributional by deciles o'!H68</f>
        <v>619283264.20680046</v>
      </c>
      <c r="I16" s="129">
        <f>'[95]2. Distributional by deciles o'!I68</f>
        <v>417724378.51200038</v>
      </c>
      <c r="J16" s="129">
        <f>'[95]2. Distributional by deciles o'!J68</f>
        <v>504488158.85999978</v>
      </c>
      <c r="K16" s="129">
        <f>'[95]2. Distributional by deciles o'!K68</f>
        <v>445449583.73520005</v>
      </c>
      <c r="L16" s="139"/>
      <c r="M16" s="139"/>
      <c r="N16" s="139"/>
      <c r="O16" s="139"/>
      <c r="P16" s="129">
        <f>'[95]2. Distributional by deciles o'!B86</f>
        <v>7909729591.6391964</v>
      </c>
      <c r="Q16" s="129">
        <f>'[95]2. Distributional by deciles o'!C86</f>
        <v>8006088692.4492044</v>
      </c>
      <c r="R16" s="129">
        <f>'[95]2. Distributional by deciles o'!D86</f>
        <v>8310995464.3524027</v>
      </c>
      <c r="S16" s="129">
        <f>'[95]2. Distributional by deciles o'!E86</f>
        <v>8703480399.319191</v>
      </c>
      <c r="T16" s="129">
        <f>'[95]2. Distributional by deciles o'!F86</f>
        <v>9363252598.6716042</v>
      </c>
      <c r="U16" s="209">
        <f t="shared" si="0"/>
        <v>0.18376393152160619</v>
      </c>
      <c r="V16" s="139"/>
      <c r="W16" s="209"/>
      <c r="X16" s="132"/>
      <c r="Y16" s="132"/>
      <c r="Z16" s="132"/>
      <c r="AA16" s="132"/>
      <c r="AB16" s="132"/>
      <c r="AC16" s="132"/>
      <c r="AD16" s="132"/>
      <c r="AE16" s="139"/>
      <c r="AF16" s="139"/>
      <c r="AG16" s="139"/>
      <c r="AH16" s="139"/>
      <c r="AI16" s="139"/>
      <c r="AJ16" s="139"/>
      <c r="AK16" s="408">
        <f>'[95]2. Distributional by deciles o'!L68</f>
        <v>352353221.37959981</v>
      </c>
      <c r="AL16" s="1"/>
      <c r="AM16" s="32" cm="1">
        <f t="array" aca="1" ref="AM16" ca="1">INDIRECT("'1"&amp;$C$8&amp;"'!W16")</f>
        <v>4.3807839737878114</v>
      </c>
      <c r="AN16" s="524">
        <f t="shared" ca="1" si="1"/>
        <v>601363553.44632542</v>
      </c>
      <c r="AO16" s="524">
        <f t="shared" ca="1" si="2"/>
        <v>588286623.09363604</v>
      </c>
      <c r="AP16" s="524">
        <f t="shared" ca="1" si="3"/>
        <v>601363553.44632542</v>
      </c>
      <c r="AQ16" s="525">
        <f t="shared" si="4"/>
        <v>0.18376393152160619</v>
      </c>
      <c r="AR16" s="344">
        <f t="shared" si="5"/>
        <v>0.18376393152160619</v>
      </c>
      <c r="AS16" s="41">
        <f t="shared" si="6"/>
        <v>7.0121801325367869E-2</v>
      </c>
      <c r="AT16" s="1"/>
      <c r="AU16" s="1"/>
      <c r="AV16" s="1"/>
      <c r="AW16" s="1"/>
      <c r="AX16" s="1"/>
      <c r="AY16" s="1"/>
      <c r="AZ16" s="1"/>
      <c r="BA16" s="1"/>
      <c r="BB16" s="1"/>
      <c r="BC16" s="1"/>
      <c r="BD16" s="1"/>
      <c r="BE16" s="1"/>
      <c r="BF16" s="1"/>
      <c r="BG16" s="1"/>
      <c r="BH16" s="1"/>
      <c r="BI16" s="1"/>
      <c r="BJ16" s="1"/>
      <c r="BK16" s="1"/>
      <c r="BL16" s="1"/>
      <c r="BM16" s="1"/>
      <c r="BN16" s="1"/>
    </row>
    <row r="17" spans="1:66" x14ac:dyDescent="0.3">
      <c r="A17" s="1"/>
      <c r="B17" s="28">
        <v>6</v>
      </c>
      <c r="C17" s="129">
        <f>'[95]2. Distributional by deciles o'!B69</f>
        <v>580414997.54879951</v>
      </c>
      <c r="D17" s="129">
        <f>'[95]2. Distributional by deciles o'!C69</f>
        <v>596789560.14479995</v>
      </c>
      <c r="E17" s="129">
        <f>'[95]2. Distributional by deciles o'!D69</f>
        <v>671229876.51959991</v>
      </c>
      <c r="F17" s="129">
        <f>'[95]2. Distributional by deciles o'!E69</f>
        <v>754886603.87999988</v>
      </c>
      <c r="G17" s="129">
        <f>'[95]2. Distributional by deciles o'!F69</f>
        <v>658713205.7555995</v>
      </c>
      <c r="H17" s="129">
        <f>'[95]2. Distributional by deciles o'!H69</f>
        <v>959622704.68799877</v>
      </c>
      <c r="I17" s="129">
        <f>'[95]2. Distributional by deciles o'!I69</f>
        <v>712953204.97920036</v>
      </c>
      <c r="J17" s="129">
        <f>'[95]2. Distributional by deciles o'!J69</f>
        <v>823797124.31879997</v>
      </c>
      <c r="K17" s="129">
        <f>'[95]2. Distributional by deciles o'!K69</f>
        <v>748305477.7835989</v>
      </c>
      <c r="L17" s="139"/>
      <c r="M17" s="139"/>
      <c r="N17" s="139"/>
      <c r="O17" s="139"/>
      <c r="P17" s="129">
        <f>'[95]2. Distributional by deciles o'!B87</f>
        <v>9405428923.4184017</v>
      </c>
      <c r="Q17" s="129">
        <f>'[95]2. Distributional by deciles o'!C87</f>
        <v>9517720630.2672176</v>
      </c>
      <c r="R17" s="129">
        <f>'[95]2. Distributional by deciles o'!D87</f>
        <v>9882662986.274395</v>
      </c>
      <c r="S17" s="129">
        <f>'[95]2. Distributional by deciles o'!E87</f>
        <v>10353374337.296396</v>
      </c>
      <c r="T17" s="129">
        <f>'[95]2. Distributional by deciles o'!F87</f>
        <v>11109616108.18679</v>
      </c>
      <c r="U17" s="209">
        <f t="shared" si="0"/>
        <v>0.18119186255558906</v>
      </c>
      <c r="V17" s="139"/>
      <c r="W17" s="209"/>
      <c r="X17" s="132"/>
      <c r="Y17" s="132"/>
      <c r="Z17" s="132"/>
      <c r="AA17" s="132"/>
      <c r="AB17" s="132"/>
      <c r="AC17" s="132"/>
      <c r="AD17" s="132"/>
      <c r="AE17" s="139"/>
      <c r="AF17" s="139"/>
      <c r="AG17" s="139"/>
      <c r="AH17" s="139"/>
      <c r="AI17" s="139"/>
      <c r="AJ17" s="139"/>
      <c r="AK17" s="408">
        <f>'[95]2. Distributional by deciles o'!L69</f>
        <v>675947310.80280006</v>
      </c>
      <c r="AL17" s="1"/>
      <c r="AM17" s="32" cm="1">
        <f t="array" aca="1" ref="AM17" ca="1">INDIRECT("'1"&amp;$C$8&amp;"'!W17")</f>
        <v>3.4017556105067777</v>
      </c>
      <c r="AN17" s="524">
        <f t="shared" ca="1" si="1"/>
        <v>938165642.08394384</v>
      </c>
      <c r="AO17" s="524">
        <f t="shared" ca="1" si="2"/>
        <v>925553392.2943244</v>
      </c>
      <c r="AP17" s="524">
        <f t="shared" ca="1" si="3"/>
        <v>938165642.08394384</v>
      </c>
      <c r="AQ17" s="525">
        <f t="shared" si="4"/>
        <v>0.18119186255558906</v>
      </c>
      <c r="AR17" s="344">
        <f t="shared" si="5"/>
        <v>0.18119186255558906</v>
      </c>
      <c r="AS17" s="41">
        <f t="shared" si="6"/>
        <v>8.338156326417917E-2</v>
      </c>
      <c r="AT17" s="1"/>
      <c r="AU17" s="1"/>
      <c r="AV17" s="1"/>
      <c r="AW17" s="1"/>
      <c r="AX17" s="1"/>
      <c r="AY17" s="1"/>
      <c r="AZ17" s="1"/>
      <c r="BA17" s="1"/>
      <c r="BB17" s="1"/>
      <c r="BC17" s="1"/>
      <c r="BD17" s="1"/>
      <c r="BE17" s="1"/>
      <c r="BF17" s="1"/>
      <c r="BG17" s="1"/>
      <c r="BH17" s="1"/>
      <c r="BI17" s="1"/>
      <c r="BJ17" s="1"/>
      <c r="BK17" s="1"/>
      <c r="BL17" s="1"/>
      <c r="BM17" s="1"/>
      <c r="BN17" s="1"/>
    </row>
    <row r="18" spans="1:66" x14ac:dyDescent="0.3">
      <c r="A18" s="1"/>
      <c r="B18" s="28">
        <v>7</v>
      </c>
      <c r="C18" s="129">
        <f>'[95]2. Distributional by deciles o'!B70</f>
        <v>984885033.40679991</v>
      </c>
      <c r="D18" s="129">
        <f>'[95]2. Distributional by deciles o'!C70</f>
        <v>1010479284.8507998</v>
      </c>
      <c r="E18" s="129">
        <f>'[95]2. Distributional by deciles o'!D70</f>
        <v>1119218267.8967981</v>
      </c>
      <c r="F18" s="129">
        <f>'[95]2. Distributional by deciles o'!E70</f>
        <v>1243560036.727201</v>
      </c>
      <c r="G18" s="129">
        <f>'[95]2. Distributional by deciles o'!F70</f>
        <v>1266470868.6408014</v>
      </c>
      <c r="H18" s="129">
        <f>'[95]2. Distributional by deciles o'!H70</f>
        <v>1507070266.1580012</v>
      </c>
      <c r="I18" s="129">
        <f>'[95]2. Distributional by deciles o'!I70</f>
        <v>1201723071.9192002</v>
      </c>
      <c r="J18" s="129">
        <f>'[95]2. Distributional by deciles o'!J70</f>
        <v>1338048532.7939997</v>
      </c>
      <c r="K18" s="129">
        <f>'[95]2. Distributional by deciles o'!K70</f>
        <v>1246218610.275599</v>
      </c>
      <c r="L18" s="139"/>
      <c r="M18" s="139"/>
      <c r="N18" s="139"/>
      <c r="O18" s="139"/>
      <c r="P18" s="129">
        <f>'[95]2. Distributional by deciles o'!B88</f>
        <v>11088047402.480398</v>
      </c>
      <c r="Q18" s="129">
        <f>'[95]2. Distributional by deciles o'!C88</f>
        <v>11221359920.268005</v>
      </c>
      <c r="R18" s="129">
        <f>'[95]2. Distributional by deciles o'!D88</f>
        <v>11664291858.958801</v>
      </c>
      <c r="S18" s="129">
        <f>'[95]2. Distributional by deciles o'!E88</f>
        <v>12223769906.252415</v>
      </c>
      <c r="T18" s="129">
        <f>'[95]2. Distributional by deciles o'!F88</f>
        <v>13117879830.574797</v>
      </c>
      <c r="U18" s="209">
        <f t="shared" si="0"/>
        <v>0.18306491255081792</v>
      </c>
      <c r="V18" s="139"/>
      <c r="W18" s="209"/>
      <c r="X18" s="132"/>
      <c r="Y18" s="132"/>
      <c r="Z18" s="132"/>
      <c r="AA18" s="132"/>
      <c r="AB18" s="132"/>
      <c r="AC18" s="132"/>
      <c r="AD18" s="132"/>
      <c r="AE18" s="139"/>
      <c r="AF18" s="139"/>
      <c r="AG18" s="139"/>
      <c r="AH18" s="139"/>
      <c r="AI18" s="139"/>
      <c r="AJ18" s="139"/>
      <c r="AK18" s="408">
        <f>'[95]2. Distributional by deciles o'!L70</f>
        <v>1296174399.2040014</v>
      </c>
      <c r="AL18" s="1"/>
      <c r="AM18" s="32" cm="1">
        <f t="array" aca="1" ref="AM18" ca="1">INDIRECT("'1"&amp;$C$8&amp;"'!W18")</f>
        <v>2.7851332568902154</v>
      </c>
      <c r="AN18" s="524">
        <f t="shared" ca="1" si="1"/>
        <v>1487038689.9926009</v>
      </c>
      <c r="AO18" s="524">
        <f t="shared" ca="1" si="2"/>
        <v>1464378900.0137208</v>
      </c>
      <c r="AP18" s="524">
        <f t="shared" ca="1" si="3"/>
        <v>1487038689.9926009</v>
      </c>
      <c r="AQ18" s="525">
        <f t="shared" si="4"/>
        <v>0.18306491255081792</v>
      </c>
      <c r="AR18" s="344">
        <f t="shared" si="5"/>
        <v>0.18306491255081792</v>
      </c>
      <c r="AS18" s="41">
        <f t="shared" si="6"/>
        <v>9.8298411852769968E-2</v>
      </c>
      <c r="AT18" s="1"/>
      <c r="AU18" s="1"/>
      <c r="AV18" s="1"/>
      <c r="AW18" s="1"/>
      <c r="AX18" s="1"/>
      <c r="AY18" s="1"/>
      <c r="AZ18" s="1"/>
      <c r="BA18" s="1"/>
      <c r="BB18" s="1"/>
      <c r="BC18" s="1"/>
      <c r="BD18" s="1"/>
      <c r="BE18" s="1"/>
      <c r="BF18" s="1"/>
      <c r="BG18" s="1"/>
      <c r="BH18" s="1"/>
      <c r="BI18" s="1"/>
      <c r="BJ18" s="1"/>
      <c r="BK18" s="1"/>
      <c r="BL18" s="1"/>
      <c r="BM18" s="1"/>
      <c r="BN18" s="1"/>
    </row>
    <row r="19" spans="1:66" x14ac:dyDescent="0.3">
      <c r="A19" s="1"/>
      <c r="B19" s="28">
        <v>8</v>
      </c>
      <c r="C19" s="129">
        <f>'[95]2. Distributional by deciles o'!B71</f>
        <v>1634339357.4900019</v>
      </c>
      <c r="D19" s="129">
        <f>'[95]2. Distributional by deciles o'!C71</f>
        <v>1670672056.056</v>
      </c>
      <c r="E19" s="129">
        <f>'[95]2. Distributional by deciles o'!D71</f>
        <v>1813516199.2020001</v>
      </c>
      <c r="F19" s="129">
        <f>'[95]2. Distributional by deciles o'!E71</f>
        <v>1974759173.6903982</v>
      </c>
      <c r="G19" s="129">
        <f>'[95]2. Distributional by deciles o'!F71</f>
        <v>2090130379.6896019</v>
      </c>
      <c r="H19" s="129">
        <f>'[95]2. Distributional by deciles o'!H71</f>
        <v>2323274135.7816019</v>
      </c>
      <c r="I19" s="129">
        <f>'[95]2. Distributional by deciles o'!I71</f>
        <v>1962000715.2588024</v>
      </c>
      <c r="J19" s="129">
        <f>'[95]2. Distributional by deciles o'!J71</f>
        <v>2122766629.8899989</v>
      </c>
      <c r="K19" s="129">
        <f>'[95]2. Distributional by deciles o'!K71</f>
        <v>2015354215.6032014</v>
      </c>
      <c r="L19" s="139"/>
      <c r="M19" s="139"/>
      <c r="N19" s="139"/>
      <c r="O19" s="139"/>
      <c r="P19" s="129">
        <f>'[95]2. Distributional by deciles o'!B89</f>
        <v>13510719078.505215</v>
      </c>
      <c r="Q19" s="129">
        <f>'[95]2. Distributional by deciles o'!C89</f>
        <v>13666683901.101566</v>
      </c>
      <c r="R19" s="129">
        <f>'[95]2. Distributional by deciles o'!D89</f>
        <v>14195799291.153614</v>
      </c>
      <c r="S19" s="129">
        <f>'[95]2. Distributional by deciles o'!E89</f>
        <v>14859606601.767601</v>
      </c>
      <c r="T19" s="129">
        <f>'[95]2. Distributional by deciles o'!F89</f>
        <v>15934377440.980812</v>
      </c>
      <c r="U19" s="209">
        <f t="shared" si="0"/>
        <v>0.17938781410469118</v>
      </c>
      <c r="V19" s="139"/>
      <c r="W19" s="209"/>
      <c r="X19" s="132"/>
      <c r="Y19" s="132"/>
      <c r="Z19" s="132"/>
      <c r="AA19" s="132"/>
      <c r="AB19" s="132"/>
      <c r="AC19" s="132"/>
      <c r="AD19" s="132"/>
      <c r="AE19" s="139"/>
      <c r="AF19" s="139"/>
      <c r="AG19" s="139"/>
      <c r="AH19" s="139"/>
      <c r="AI19" s="139"/>
      <c r="AJ19" s="139"/>
      <c r="AK19" s="408">
        <f>'[95]2. Distributional by deciles o'!L71</f>
        <v>2134408039.0464025</v>
      </c>
      <c r="AL19" s="1"/>
      <c r="AM19" s="32" cm="1">
        <f t="array" aca="1" ref="AM19" ca="1">INDIRECT("'1"&amp;$C$8&amp;"'!W19")</f>
        <v>2.2762043100180382</v>
      </c>
      <c r="AN19" s="524">
        <f t="shared" ca="1" si="1"/>
        <v>2301678222.8046174</v>
      </c>
      <c r="AO19" s="524">
        <f t="shared" ca="1" si="2"/>
        <v>2284626279.5557737</v>
      </c>
      <c r="AP19" s="524">
        <f t="shared" ca="1" si="3"/>
        <v>2104088182.4047365</v>
      </c>
      <c r="AQ19" s="525">
        <f t="shared" si="4"/>
        <v>0.17938781410469118</v>
      </c>
      <c r="AR19" s="526">
        <f>U19-AP31*AS21/SUM(AS19:AS20)</f>
        <v>0.12627350100458179</v>
      </c>
      <c r="AS19" s="41">
        <f t="shared" si="6"/>
        <v>0.11977602369456773</v>
      </c>
      <c r="AT19" s="1"/>
      <c r="AU19" s="1"/>
      <c r="AV19" s="1"/>
      <c r="AW19" s="1"/>
      <c r="AX19" s="1"/>
      <c r="AY19" s="1"/>
      <c r="AZ19" s="1"/>
      <c r="BA19" s="1"/>
      <c r="BB19" s="1"/>
      <c r="BC19" s="1"/>
      <c r="BD19" s="1"/>
      <c r="BE19" s="1"/>
      <c r="BF19" s="1"/>
      <c r="BG19" s="1"/>
      <c r="BH19" s="1"/>
      <c r="BI19" s="1"/>
      <c r="BJ19" s="1"/>
      <c r="BK19" s="1"/>
      <c r="BL19" s="1"/>
      <c r="BM19" s="1"/>
      <c r="BN19" s="1"/>
    </row>
    <row r="20" spans="1:66" x14ac:dyDescent="0.3">
      <c r="A20" s="1"/>
      <c r="B20" s="28">
        <v>9</v>
      </c>
      <c r="C20" s="129">
        <f>'[95]2. Distributional by deciles o'!B72</f>
        <v>2974603188.0648022</v>
      </c>
      <c r="D20" s="129">
        <f>'[95]2. Distributional by deciles o'!C72</f>
        <v>3030175673.1132007</v>
      </c>
      <c r="E20" s="129">
        <f>'[95]2. Distributional by deciles o'!D72</f>
        <v>3254392290.2183971</v>
      </c>
      <c r="F20" s="129">
        <f>'[95]2. Distributional by deciles o'!E72</f>
        <v>3516284004.3912063</v>
      </c>
      <c r="G20" s="129">
        <f>'[95]2. Distributional by deciles o'!F72</f>
        <v>3748194468.8004055</v>
      </c>
      <c r="H20" s="129">
        <f>'[95]2. Distributional by deciles o'!H72</f>
        <v>4044632631.8700037</v>
      </c>
      <c r="I20" s="129">
        <f>'[95]2. Distributional by deciles o'!I72</f>
        <v>3554793399.7236032</v>
      </c>
      <c r="J20" s="129">
        <f>'[95]2. Distributional by deciles o'!J72</f>
        <v>3774910324.3908052</v>
      </c>
      <c r="K20" s="129">
        <f>'[95]2. Distributional by deciles o'!K72</f>
        <v>3627607120.2971983</v>
      </c>
      <c r="L20" s="139"/>
      <c r="M20" s="139"/>
      <c r="N20" s="139"/>
      <c r="O20" s="139"/>
      <c r="P20" s="129">
        <f>'[95]2. Distributional by deciles o'!B90</f>
        <v>18183066607.023575</v>
      </c>
      <c r="Q20" s="129">
        <f>'[95]2. Distributional by deciles o'!C90</f>
        <v>18392364064.160427</v>
      </c>
      <c r="R20" s="129">
        <f>'[95]2. Distributional by deciles o'!D90</f>
        <v>19107216493.135201</v>
      </c>
      <c r="S20" s="129">
        <f>'[95]2. Distributional by deciles o'!E90</f>
        <v>19992723206.098797</v>
      </c>
      <c r="T20" s="129">
        <f>'[95]2. Distributional by deciles o'!F90</f>
        <v>21410665504.688404</v>
      </c>
      <c r="U20" s="209">
        <f t="shared" si="0"/>
        <v>0.17750575122559931</v>
      </c>
      <c r="V20" s="139"/>
      <c r="W20" s="209"/>
      <c r="X20" s="132"/>
      <c r="Y20" s="132"/>
      <c r="Z20" s="132"/>
      <c r="AA20" s="132"/>
      <c r="AB20" s="132"/>
      <c r="AC20" s="132"/>
      <c r="AD20" s="132"/>
      <c r="AE20" s="139"/>
      <c r="AF20" s="139"/>
      <c r="AG20" s="139"/>
      <c r="AH20" s="139"/>
      <c r="AI20" s="139"/>
      <c r="AJ20" s="139"/>
      <c r="AK20" s="408">
        <f>'[95]2. Distributional by deciles o'!L72</f>
        <v>3814530534.1187997</v>
      </c>
      <c r="AL20" s="1"/>
      <c r="AM20" s="32" cm="1">
        <f t="array" aca="1" ref="AM20" ca="1">INDIRECT("'1"&amp;$C$8&amp;"'!W20")</f>
        <v>1.9408078613203072</v>
      </c>
      <c r="AN20" s="524">
        <f t="shared" ca="1" si="1"/>
        <v>3999367542.8341169</v>
      </c>
      <c r="AO20" s="524">
        <f t="shared" ca="1" si="2"/>
        <v>3983770375.0740771</v>
      </c>
      <c r="AP20" s="524">
        <f t="shared" ca="1" si="3"/>
        <v>3692731535.7344255</v>
      </c>
      <c r="AQ20" s="525">
        <f t="shared" si="4"/>
        <v>0.17750575122559931</v>
      </c>
      <c r="AR20" s="526">
        <f>U20-AP31*AS21/SUM(AS19:AS20)</f>
        <v>0.12439143812548992</v>
      </c>
      <c r="AS20" s="41">
        <f t="shared" si="6"/>
        <v>0.1611975945993627</v>
      </c>
      <c r="AT20" s="1"/>
      <c r="AU20" s="1"/>
      <c r="AV20" s="1"/>
      <c r="AW20" s="1"/>
      <c r="AX20" s="1"/>
      <c r="AY20" s="1"/>
      <c r="AZ20" s="1"/>
      <c r="BA20" s="1"/>
      <c r="BB20" s="1"/>
      <c r="BC20" s="1"/>
      <c r="BD20" s="1"/>
      <c r="BE20" s="1"/>
      <c r="BF20" s="1"/>
      <c r="BG20" s="1"/>
      <c r="BH20" s="1"/>
      <c r="BI20" s="1"/>
      <c r="BJ20" s="1"/>
      <c r="BK20" s="1"/>
      <c r="BL20" s="1"/>
      <c r="BM20" s="1"/>
      <c r="BN20" s="1"/>
    </row>
    <row r="21" spans="1:66" x14ac:dyDescent="0.3">
      <c r="A21" s="1"/>
      <c r="B21" s="33">
        <v>10</v>
      </c>
      <c r="C21" s="129">
        <f>'[95]2. Distributional by deciles o'!B73</f>
        <v>8318059402.0896034</v>
      </c>
      <c r="D21" s="129">
        <f>'[95]2. Distributional by deciles o'!C73</f>
        <v>8437150292.7707977</v>
      </c>
      <c r="E21" s="129">
        <f>'[95]2. Distributional by deciles o'!D73</f>
        <v>8918701746.0600033</v>
      </c>
      <c r="F21" s="129">
        <f>'[95]2. Distributional by deciles o'!E73</f>
        <v>9512156520.4080124</v>
      </c>
      <c r="G21" s="129">
        <f>'[95]2. Distributional by deciles o'!F73</f>
        <v>10117610871.961187</v>
      </c>
      <c r="H21" s="129">
        <f>'[95]2. Distributional by deciles o'!H73</f>
        <v>10544397490.61161</v>
      </c>
      <c r="I21" s="129">
        <f>'[95]2. Distributional by deciles o'!I73</f>
        <v>9784012724.3424149</v>
      </c>
      <c r="J21" s="129">
        <f>'[95]2. Distributional by deciles o'!J73</f>
        <v>10127782132.20001</v>
      </c>
      <c r="K21" s="129">
        <f>'[95]2. Distributional by deciles o'!K73</f>
        <v>9898670082.1907806</v>
      </c>
      <c r="L21" s="139"/>
      <c r="M21" s="139"/>
      <c r="N21" s="139"/>
      <c r="O21" s="139"/>
      <c r="P21" s="129">
        <f>'[95]2. Distributional by deciles o'!B91</f>
        <v>33667873124.578823</v>
      </c>
      <c r="Q21" s="129">
        <f>'[95]2. Distributional by deciles o'!C91</f>
        <v>34017681734.968815</v>
      </c>
      <c r="R21" s="129">
        <f>'[95]2. Distributional by deciles o'!D91</f>
        <v>35330188511.284821</v>
      </c>
      <c r="S21" s="129">
        <f>'[95]2. Distributional by deciles o'!E91</f>
        <v>36932724081.294029</v>
      </c>
      <c r="T21" s="129">
        <f>'[95]2. Distributional by deciles o'!F91</f>
        <v>39491293437.777573</v>
      </c>
      <c r="U21" s="209">
        <f t="shared" si="0"/>
        <v>0.17296668226266521</v>
      </c>
      <c r="V21" s="139"/>
      <c r="W21" s="209"/>
      <c r="X21" s="132"/>
      <c r="Y21" s="132"/>
      <c r="Z21" s="132"/>
      <c r="AA21" s="132"/>
      <c r="AB21" s="132"/>
      <c r="AC21" s="132"/>
      <c r="AD21" s="132"/>
      <c r="AE21" s="139"/>
      <c r="AF21" s="139"/>
      <c r="AG21" s="139"/>
      <c r="AH21" s="139"/>
      <c r="AI21" s="139"/>
      <c r="AJ21" s="139"/>
      <c r="AK21" s="408">
        <f>'[95]2. Distributional by deciles o'!L73</f>
        <v>10241815190.339987</v>
      </c>
      <c r="AL21" s="1"/>
      <c r="AM21" s="32" cm="1">
        <f t="array" aca="1" ref="AM21" ca="1">INDIRECT("'1"&amp;$C$8&amp;"'!W21")</f>
        <v>1.5292681645742545</v>
      </c>
      <c r="AN21" s="524">
        <f t="shared" ca="1" si="1"/>
        <v>10518289596.559692</v>
      </c>
      <c r="AO21" s="524">
        <f t="shared" ca="1" si="2"/>
        <v>10541662162.581554</v>
      </c>
      <c r="AP21" s="524">
        <f t="shared" ca="1" si="3"/>
        <v>11154316768.292353</v>
      </c>
      <c r="AQ21" s="525">
        <f t="shared" si="4"/>
        <v>0.17296668226266521</v>
      </c>
      <c r="AR21" s="527">
        <f>U21+AP31</f>
        <v>0.22296668226266519</v>
      </c>
      <c r="AS21" s="41">
        <f t="shared" si="6"/>
        <v>0.29847441469868891</v>
      </c>
      <c r="AT21" s="1"/>
      <c r="AU21" s="1"/>
      <c r="AV21" s="1"/>
      <c r="AW21" s="1"/>
      <c r="AX21" s="1"/>
      <c r="AY21" s="1"/>
      <c r="AZ21" s="1"/>
      <c r="BA21" s="1"/>
      <c r="BB21" s="1"/>
      <c r="BC21" s="1"/>
      <c r="BD21" s="1"/>
      <c r="BE21" s="1"/>
      <c r="BF21" s="1"/>
      <c r="BG21" s="1"/>
      <c r="BH21" s="1"/>
      <c r="BI21" s="1"/>
      <c r="BJ21" s="1"/>
      <c r="BK21" s="1"/>
      <c r="BL21" s="1"/>
      <c r="BM21" s="1"/>
      <c r="BN21" s="1"/>
    </row>
    <row r="22" spans="1:66" ht="13.2" customHeight="1" x14ac:dyDescent="0.3">
      <c r="A22" s="1"/>
      <c r="B22" s="34" t="s">
        <v>114</v>
      </c>
      <c r="C22" s="129">
        <f>'[95]2. Distributional by deciles o'!B74</f>
        <v>15106177151.080799</v>
      </c>
      <c r="D22" s="129">
        <f>'[95]2. Distributional by deciles o'!C74</f>
        <v>15384916678.039173</v>
      </c>
      <c r="E22" s="129">
        <f>'[95]2. Distributional by deciles o'!D74</f>
        <v>16522972165.61883</v>
      </c>
      <c r="F22" s="129">
        <f>'[95]2. Distributional by deciles o'!E74</f>
        <v>17891753579.564384</v>
      </c>
      <c r="G22" s="129">
        <f>'[95]2. Distributional by deciles o'!F74</f>
        <v>18462260585.14566</v>
      </c>
      <c r="H22" s="129">
        <f>'[95]2. Distributional by deciles o'!H74</f>
        <v>20612991284.812832</v>
      </c>
      <c r="I22" s="129">
        <f>'[95]2. Distributional by deciles o'!I74</f>
        <v>17976017754.613194</v>
      </c>
      <c r="J22" s="129">
        <f>'[95]2. Distributional by deciles o'!J74</f>
        <v>19143342433.569595</v>
      </c>
      <c r="K22" s="129">
        <f>'[95]2. Distributional by deciles o'!K74</f>
        <v>18356646998.098751</v>
      </c>
      <c r="L22" s="139"/>
      <c r="M22" s="139"/>
      <c r="N22" s="139"/>
      <c r="O22" s="139"/>
      <c r="P22" s="129">
        <f>'[95]2. Distributional by deciles o'!B92</f>
        <v>112799863125.84506</v>
      </c>
      <c r="Q22" s="129">
        <f>'[95]2. Distributional by deciles o'!C92</f>
        <v>114065429525.14819</v>
      </c>
      <c r="R22" s="129">
        <f>'[95]2. Distributional by deciles o'!D92</f>
        <v>118299331560.27066</v>
      </c>
      <c r="S22" s="129">
        <f>'[95]2. Distributional by deciles o'!E92</f>
        <v>123710871798.50652</v>
      </c>
      <c r="T22" s="129">
        <f>'[95]2. Distributional by deciles o'!F92</f>
        <v>132517738255.80658</v>
      </c>
      <c r="U22" s="210">
        <f t="shared" si="0"/>
        <v>0.17480406964646122</v>
      </c>
      <c r="V22" s="139"/>
      <c r="W22" s="210"/>
      <c r="X22" s="154"/>
      <c r="Y22" s="154"/>
      <c r="Z22" s="154"/>
      <c r="AA22" s="154"/>
      <c r="AB22" s="154"/>
      <c r="AC22" s="154"/>
      <c r="AD22" s="154"/>
      <c r="AE22" s="161"/>
      <c r="AF22" s="161"/>
      <c r="AG22" s="161"/>
      <c r="AH22" s="161"/>
      <c r="AI22" s="162"/>
      <c r="AJ22" s="162"/>
      <c r="AK22" s="408">
        <f>'[95]2. Distributional by deciles o'!L74</f>
        <v>18759750686.675907</v>
      </c>
      <c r="AL22" s="1"/>
      <c r="AM22" s="534" cm="1">
        <f t="array" aca="1" ref="AM22" ca="1">INDIRECT("'1"&amp;$C$8&amp;"'!W22")</f>
        <v>1.9912797248057028</v>
      </c>
      <c r="AN22" s="528">
        <f ca="1">SUM(AN12:AN21)</f>
        <v>20405074641.845272</v>
      </c>
      <c r="AO22" s="528">
        <f ca="1">SUM(AO12:AO21)</f>
        <v>20364395653.075745</v>
      </c>
      <c r="AP22" s="528">
        <f ca="1">SUM(AP12:AP21)</f>
        <v>20536875766.078362</v>
      </c>
      <c r="AQ22" s="529">
        <f>SUMPRODUCT(AQ12:AQ21,AS12:AS21)</f>
        <v>0.17480406964646863</v>
      </c>
      <c r="AR22" s="529">
        <f>SUMPRODUCT(AR12:AR21,AS12:AS21)</f>
        <v>0.17480406964646863</v>
      </c>
      <c r="AS22" s="530"/>
      <c r="AT22" s="1"/>
      <c r="AU22" s="1"/>
      <c r="AV22" s="1"/>
      <c r="AW22" s="1"/>
      <c r="AX22" s="1"/>
      <c r="AY22" s="1"/>
      <c r="AZ22" s="1"/>
      <c r="BA22" s="1"/>
      <c r="BB22" s="1"/>
      <c r="BC22" s="1"/>
      <c r="BD22" s="1"/>
      <c r="BE22" s="1"/>
      <c r="BF22" s="1"/>
      <c r="BG22" s="1"/>
      <c r="BH22" s="1"/>
      <c r="BI22" s="1"/>
      <c r="BJ22" s="1"/>
      <c r="BK22" s="1"/>
      <c r="BL22" s="1"/>
      <c r="BM22" s="1"/>
      <c r="BN22" s="1"/>
    </row>
    <row r="23" spans="1:66" ht="12.6" customHeight="1" x14ac:dyDescent="0.3">
      <c r="A23" s="1"/>
      <c r="B23" s="1"/>
      <c r="C23" s="1"/>
      <c r="D23" s="1"/>
      <c r="E23" s="1"/>
      <c r="G23" s="55">
        <f>G22-AK22</f>
        <v>-297490101.53024673</v>
      </c>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531"/>
      <c r="AO23" s="531"/>
      <c r="AP23" s="1"/>
      <c r="AQ23" s="1"/>
      <c r="AR23" s="525">
        <f>U22</f>
        <v>0.17480406964646122</v>
      </c>
      <c r="AS23" s="1"/>
      <c r="AT23" s="1"/>
      <c r="AU23" s="1"/>
      <c r="AV23" s="1"/>
      <c r="AW23" s="1"/>
      <c r="AX23" s="1"/>
      <c r="AY23" s="1"/>
      <c r="AZ23" s="1"/>
      <c r="BA23" s="1"/>
      <c r="BB23" s="1"/>
      <c r="BC23" s="1"/>
      <c r="BD23" s="1"/>
      <c r="BE23" s="1"/>
      <c r="BF23" s="1"/>
      <c r="BG23" s="1"/>
      <c r="BH23" s="1"/>
      <c r="BI23" s="1"/>
      <c r="BJ23" s="1"/>
      <c r="BK23" s="1"/>
      <c r="BL23" s="1"/>
      <c r="BM23" s="1"/>
      <c r="BN23" s="1"/>
    </row>
    <row r="24" spans="1:66" ht="13.95" customHeight="1" x14ac:dyDescent="0.3">
      <c r="A24" s="1"/>
      <c r="B24" s="1"/>
      <c r="C24" s="1"/>
      <c r="D24" s="1"/>
      <c r="E24" s="1"/>
      <c r="F24" s="1"/>
      <c r="G24" s="11" t="s">
        <v>151</v>
      </c>
      <c r="H24" s="212">
        <f>U22</f>
        <v>0.17480406964646122</v>
      </c>
      <c r="I24" s="1"/>
      <c r="J24" s="1"/>
      <c r="K24" s="11" t="s">
        <v>151</v>
      </c>
      <c r="L24" s="212"/>
      <c r="M24" s="1"/>
      <c r="O24" s="1"/>
      <c r="P24" s="1"/>
      <c r="Q24" s="1"/>
      <c r="R24" s="1"/>
      <c r="S24" s="1"/>
      <c r="T24" s="1"/>
      <c r="U24" s="1"/>
      <c r="V24" s="1"/>
      <c r="W24" s="1"/>
      <c r="X24" s="1"/>
      <c r="Y24" s="55"/>
      <c r="Z24" s="55"/>
      <c r="AA24" s="55"/>
      <c r="AB24" s="55"/>
      <c r="AC24" s="55"/>
      <c r="AD24" s="55"/>
      <c r="AE24" s="55"/>
      <c r="AF24" s="55"/>
      <c r="AG24" s="55"/>
      <c r="AH24" s="1"/>
      <c r="AI24" s="1"/>
      <c r="AJ24" s="1"/>
      <c r="AK24" s="1"/>
      <c r="AL24" s="1"/>
      <c r="AM24" s="1"/>
      <c r="AN24" s="531">
        <f ca="1">AN22/G22-1</f>
        <v>0.10523164526573514</v>
      </c>
      <c r="AO24" s="531"/>
      <c r="AP24" s="1"/>
      <c r="AQ24" s="1"/>
      <c r="AR24" s="532" t="str">
        <f>IF(AR23-AR22&lt;0.0000000001,"ok","wrong")</f>
        <v>ok</v>
      </c>
      <c r="AS24" s="1"/>
      <c r="AT24" s="1"/>
      <c r="AU24" s="1"/>
      <c r="AV24" s="1"/>
      <c r="AW24" s="1"/>
      <c r="AX24" s="1"/>
      <c r="AY24" s="1"/>
      <c r="AZ24" s="1"/>
      <c r="BA24" s="1"/>
      <c r="BB24" s="1"/>
      <c r="BC24" s="1"/>
      <c r="BD24" s="1"/>
      <c r="BE24" s="1"/>
      <c r="BF24" s="1"/>
      <c r="BG24" s="1"/>
      <c r="BH24" s="1"/>
      <c r="BI24" s="1"/>
      <c r="BJ24" s="1"/>
      <c r="BK24" s="1"/>
      <c r="BL24" s="1"/>
      <c r="BM24" s="1"/>
      <c r="BN24" s="1"/>
    </row>
    <row r="25" spans="1:66" ht="13.95" customHeight="1" x14ac:dyDescent="0.3">
      <c r="A25" s="1"/>
      <c r="B25" s="1"/>
      <c r="C25" s="1"/>
      <c r="D25" s="1"/>
      <c r="E25" s="1"/>
      <c r="F25" s="1"/>
      <c r="G25" s="11" t="s">
        <v>152</v>
      </c>
      <c r="H25" s="213">
        <f>'[96]Sheet 1'!$N$38</f>
        <v>9.3133462282398494E-2</v>
      </c>
      <c r="I25" s="1"/>
      <c r="J25" s="1"/>
      <c r="K25" s="11" t="s">
        <v>152</v>
      </c>
      <c r="L25" s="139"/>
      <c r="M25" s="1"/>
      <c r="N25" s="1"/>
      <c r="O25" s="1"/>
      <c r="P25" s="1"/>
      <c r="Q25" s="1"/>
      <c r="R25" s="1"/>
      <c r="S25" s="1"/>
      <c r="T25" s="1"/>
      <c r="U25" s="1"/>
      <c r="V25" s="1"/>
      <c r="W25" s="1"/>
      <c r="X25" s="1"/>
      <c r="Y25" s="55"/>
      <c r="Z25" s="55"/>
      <c r="AA25" s="55"/>
      <c r="AB25" s="55"/>
      <c r="AC25" s="55"/>
      <c r="AD25" s="55"/>
      <c r="AE25" s="55"/>
      <c r="AF25" s="55"/>
      <c r="AG25" s="55"/>
      <c r="AH25" s="1"/>
      <c r="AI25" s="1"/>
      <c r="AJ25" s="1"/>
      <c r="AK25" s="1"/>
      <c r="AL25" s="1"/>
      <c r="AM25" s="1"/>
      <c r="AN25" s="1"/>
      <c r="AO25" s="531"/>
      <c r="AP25" s="1"/>
      <c r="AQ25" s="1"/>
      <c r="AR25" s="532" t="str">
        <f>IF(AQ22-AR22&lt;0.0000000001,"ok","wrong")</f>
        <v>ok</v>
      </c>
      <c r="AS25" s="1"/>
      <c r="AT25" s="1"/>
      <c r="AU25" s="1"/>
      <c r="AV25" s="1"/>
      <c r="AW25" s="1"/>
      <c r="AX25" s="1"/>
      <c r="AY25" s="1"/>
      <c r="AZ25" s="1"/>
      <c r="BA25" s="1"/>
      <c r="BB25" s="1"/>
      <c r="BC25" s="1"/>
      <c r="BD25" s="1"/>
      <c r="BE25" s="1"/>
      <c r="BF25" s="1"/>
      <c r="BG25" s="1"/>
      <c r="BH25" s="1"/>
      <c r="BI25" s="1"/>
      <c r="BJ25" s="1"/>
      <c r="BK25" s="1"/>
      <c r="BL25" s="1"/>
      <c r="BM25" s="1"/>
      <c r="BN25" s="1"/>
    </row>
    <row r="26" spans="1:66" ht="13.95" customHeight="1" x14ac:dyDescent="0.3">
      <c r="A26" s="1"/>
      <c r="B26" s="1"/>
      <c r="C26" s="1"/>
      <c r="D26" s="1"/>
      <c r="E26" s="1"/>
      <c r="F26" s="1"/>
      <c r="G26" s="11" t="s">
        <v>153</v>
      </c>
      <c r="H26" s="213">
        <f>'[96]Sheet 1'!$O$38</f>
        <v>0.14723748915244439</v>
      </c>
      <c r="I26" s="1"/>
      <c r="J26" s="1"/>
      <c r="K26" s="11" t="s">
        <v>153</v>
      </c>
      <c r="L26" s="139"/>
      <c r="M26" s="1"/>
      <c r="N26" s="1"/>
      <c r="O26" s="1"/>
      <c r="P26" s="1"/>
      <c r="Q26" s="1"/>
      <c r="R26" s="1"/>
      <c r="S26" s="1"/>
      <c r="T26" s="1"/>
      <c r="U26" s="1"/>
      <c r="V26" s="1"/>
      <c r="W26" s="1"/>
      <c r="X26" s="1"/>
      <c r="Y26" s="55"/>
      <c r="Z26" s="55"/>
      <c r="AA26" s="55"/>
      <c r="AB26" s="55"/>
      <c r="AC26" s="55"/>
      <c r="AD26" s="55"/>
      <c r="AE26" s="55"/>
      <c r="AF26" s="55"/>
      <c r="AG26" s="55"/>
      <c r="AH26" s="1"/>
      <c r="AI26" s="1"/>
      <c r="AJ26" s="1"/>
      <c r="AK26" s="1"/>
      <c r="AL26" s="1"/>
      <c r="AM26" s="8" t="s">
        <v>571</v>
      </c>
      <c r="AN26" s="533"/>
      <c r="AO26" s="535">
        <f ca="1">AO22/$AN22-1</f>
        <v>-1.9935721620005786E-3</v>
      </c>
      <c r="AP26" s="536">
        <f ca="1">AP22/$AN22-1</f>
        <v>6.4592326441581527E-3</v>
      </c>
      <c r="AQ26" s="1"/>
      <c r="AR26" s="1"/>
      <c r="AS26" s="1"/>
      <c r="AT26" s="1"/>
      <c r="AU26" s="1"/>
      <c r="AV26" s="1"/>
      <c r="AW26" s="1"/>
      <c r="AX26" s="1"/>
      <c r="AY26" s="1"/>
      <c r="AZ26" s="1"/>
      <c r="BA26" s="1"/>
      <c r="BB26" s="1"/>
      <c r="BC26" s="1"/>
      <c r="BD26" s="1"/>
      <c r="BE26" s="1"/>
      <c r="BF26" s="1"/>
      <c r="BG26" s="1"/>
      <c r="BH26" s="1"/>
      <c r="BI26" s="1"/>
      <c r="BJ26" s="1"/>
      <c r="BK26" s="1"/>
      <c r="BL26" s="1"/>
      <c r="BM26" s="1"/>
      <c r="BN26" s="1"/>
    </row>
    <row r="27" spans="1:66" ht="9" customHeight="1" x14ac:dyDescent="0.3">
      <c r="A27" s="1"/>
      <c r="B27" s="1"/>
      <c r="C27" s="1"/>
      <c r="D27" s="1"/>
      <c r="E27" s="1"/>
      <c r="F27" s="1"/>
      <c r="G27" s="1"/>
      <c r="H27" s="1"/>
      <c r="I27" s="1"/>
      <c r="J27" s="1"/>
      <c r="K27" s="1"/>
      <c r="L27" s="1"/>
      <c r="M27" s="1"/>
      <c r="N27" s="1"/>
      <c r="O27" s="1"/>
      <c r="P27" s="1"/>
      <c r="Q27" s="1"/>
      <c r="R27" s="1"/>
      <c r="S27" s="1"/>
      <c r="T27" s="55"/>
      <c r="U27" s="55"/>
      <c r="V27" s="55"/>
      <c r="W27" s="55"/>
      <c r="X27" s="55"/>
      <c r="Y27" s="55"/>
      <c r="Z27" s="55"/>
      <c r="AA27" s="55"/>
      <c r="AB27" s="55"/>
      <c r="AC27" s="55"/>
      <c r="AD27" s="55"/>
      <c r="AE27" s="55"/>
      <c r="AF27" s="55"/>
      <c r="AG27" s="55"/>
      <c r="AH27" s="1"/>
      <c r="AI27" s="1"/>
      <c r="AJ27" s="1"/>
      <c r="AK27" s="1"/>
      <c r="AL27" s="1"/>
      <c r="AM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row>
    <row r="28" spans="1:66" ht="12" customHeight="1" thickBot="1" x14ac:dyDescent="0.35">
      <c r="A28" s="214"/>
      <c r="B28" s="214"/>
      <c r="C28" s="214"/>
      <c r="D28" s="214"/>
      <c r="E28" s="214"/>
      <c r="F28" s="214"/>
      <c r="G28" s="214"/>
      <c r="H28" s="214"/>
      <c r="I28" s="214"/>
      <c r="J28" s="214"/>
      <c r="K28" s="214"/>
      <c r="L28" s="214"/>
      <c r="M28" s="214"/>
      <c r="N28" s="214"/>
      <c r="O28" s="214"/>
      <c r="P28" s="214"/>
      <c r="Q28" s="214"/>
      <c r="R28" s="214"/>
      <c r="S28" s="214"/>
      <c r="T28" s="215"/>
      <c r="U28" s="215"/>
      <c r="V28" s="215"/>
      <c r="W28" s="215"/>
      <c r="X28" s="215"/>
      <c r="Y28" s="215"/>
      <c r="Z28" s="215"/>
      <c r="AA28" s="214"/>
      <c r="AB28" s="214"/>
      <c r="AC28" s="214"/>
      <c r="AD28" s="214"/>
      <c r="AE28" s="214"/>
      <c r="AF28" s="214"/>
      <c r="AG28" s="214"/>
      <c r="AH28" s="214"/>
      <c r="AI28" s="214"/>
      <c r="AJ28" s="1"/>
      <c r="AK28" s="1"/>
      <c r="AL28" s="1"/>
      <c r="AM28" s="8" t="s">
        <v>572</v>
      </c>
      <c r="AN28" s="8"/>
      <c r="AO28" s="535">
        <f ca="1">(AO22-$AN22)/($W$37*1000000)</f>
        <v>-1.914540879465414E-2</v>
      </c>
      <c r="AP28" s="536">
        <f ca="1">(AP22-$AN22)/($W$37*1000000)</f>
        <v>6.2031689561756226E-2</v>
      </c>
      <c r="AQ28" s="1"/>
      <c r="AR28" s="1"/>
      <c r="AS28" s="1"/>
      <c r="AT28" s="1"/>
      <c r="AU28" s="1"/>
      <c r="AV28" s="1"/>
      <c r="AW28" s="1"/>
      <c r="AX28" s="1"/>
      <c r="AY28" s="1"/>
      <c r="AZ28" s="1"/>
      <c r="BA28" s="1"/>
      <c r="BB28" s="1"/>
      <c r="BC28" s="1"/>
      <c r="BD28" s="1"/>
      <c r="BE28" s="1"/>
      <c r="BF28" s="1"/>
      <c r="BG28" s="1"/>
      <c r="BH28" s="1"/>
      <c r="BI28" s="1"/>
      <c r="BJ28" s="1"/>
      <c r="BK28" s="1"/>
      <c r="BL28" s="1"/>
      <c r="BM28" s="1"/>
      <c r="BN28" s="1"/>
    </row>
    <row r="29" spans="1:66" ht="12" customHeight="1" thickBot="1" x14ac:dyDescent="0.35">
      <c r="A29" s="214"/>
      <c r="B29" s="216" t="s">
        <v>154</v>
      </c>
      <c r="C29" s="217"/>
      <c r="D29" s="217"/>
      <c r="E29" s="217"/>
      <c r="F29" s="217"/>
      <c r="G29" s="217"/>
      <c r="H29" s="217"/>
      <c r="I29" s="217"/>
      <c r="J29" s="217"/>
      <c r="K29" s="217"/>
      <c r="L29" s="217"/>
      <c r="M29" s="217"/>
      <c r="N29" s="217"/>
      <c r="O29" s="217"/>
      <c r="P29" s="217"/>
      <c r="Q29" s="217"/>
      <c r="R29" s="217"/>
      <c r="S29" s="217"/>
      <c r="T29" s="218"/>
      <c r="U29" s="218"/>
      <c r="V29" s="219"/>
      <c r="W29" s="215"/>
      <c r="X29" s="215"/>
      <c r="Y29" s="215"/>
      <c r="Z29" s="215"/>
      <c r="AA29" s="214"/>
      <c r="AB29" s="214"/>
      <c r="AC29" s="214"/>
      <c r="AD29" s="214"/>
      <c r="AE29" s="214"/>
      <c r="AF29" s="214"/>
      <c r="AG29" s="214"/>
      <c r="AH29" s="214"/>
      <c r="AI29" s="214"/>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row>
    <row r="30" spans="1:66" ht="21.6" customHeight="1" thickBot="1" x14ac:dyDescent="0.35">
      <c r="A30" s="214"/>
      <c r="B30" s="220"/>
      <c r="C30" s="214"/>
      <c r="D30" s="214"/>
      <c r="E30" s="214"/>
      <c r="F30" s="214"/>
      <c r="G30" s="214"/>
      <c r="H30" s="214"/>
      <c r="I30" s="214"/>
      <c r="J30" s="214"/>
      <c r="K30" s="214"/>
      <c r="L30" s="214"/>
      <c r="M30" s="214"/>
      <c r="N30" s="214"/>
      <c r="O30" s="214"/>
      <c r="P30" s="214"/>
      <c r="Q30" s="214"/>
      <c r="R30" s="214"/>
      <c r="S30" s="214"/>
      <c r="T30" s="214"/>
      <c r="U30" s="214"/>
      <c r="V30" s="214"/>
      <c r="W30" s="214"/>
      <c r="X30" s="214"/>
      <c r="Y30" s="214"/>
      <c r="Z30" s="214"/>
      <c r="AA30" s="214"/>
      <c r="AB30" s="214"/>
      <c r="AC30" s="216" t="s">
        <v>158</v>
      </c>
      <c r="AD30" s="221"/>
      <c r="AE30" s="214"/>
      <c r="AF30" s="214"/>
      <c r="AG30" s="214"/>
      <c r="AH30" s="214"/>
      <c r="AI30" s="214"/>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row>
    <row r="31" spans="1:66" ht="21" customHeight="1" thickBot="1" x14ac:dyDescent="0.35">
      <c r="A31" s="214"/>
      <c r="B31" s="216" t="s">
        <v>159</v>
      </c>
      <c r="C31" s="221"/>
      <c r="D31" s="223"/>
      <c r="E31" s="222" t="s">
        <v>160</v>
      </c>
      <c r="F31" s="222" t="s">
        <v>160</v>
      </c>
      <c r="G31" s="223"/>
      <c r="H31" s="224" t="s">
        <v>161</v>
      </c>
      <c r="I31" s="222"/>
      <c r="J31" s="222"/>
      <c r="K31" s="222"/>
      <c r="L31" s="222"/>
      <c r="M31" s="223"/>
      <c r="N31" s="216" t="s">
        <v>162</v>
      </c>
      <c r="O31" s="221"/>
      <c r="P31" s="222" t="s">
        <v>163</v>
      </c>
      <c r="Q31" s="222"/>
      <c r="R31" s="222"/>
      <c r="S31" s="223"/>
      <c r="T31" s="224" t="s">
        <v>164</v>
      </c>
      <c r="U31" s="222"/>
      <c r="V31" s="222"/>
      <c r="W31" s="223"/>
      <c r="X31" s="225" t="s">
        <v>165</v>
      </c>
      <c r="Y31" s="222"/>
      <c r="Z31" s="222"/>
      <c r="AA31" s="223"/>
      <c r="AB31" s="214"/>
      <c r="AC31" s="347" t="s">
        <v>163</v>
      </c>
      <c r="AD31" s="348"/>
      <c r="AE31" s="223"/>
      <c r="AF31" s="224" t="s">
        <v>164</v>
      </c>
      <c r="AG31" s="222"/>
      <c r="AH31" s="223"/>
      <c r="AI31" s="214"/>
      <c r="AJ31" s="1"/>
      <c r="AK31" s="1"/>
      <c r="AL31" s="1"/>
      <c r="AM31" s="1"/>
      <c r="AN31" s="1"/>
      <c r="AO31" s="8" t="s">
        <v>567</v>
      </c>
      <c r="AP31" s="10">
        <v>0.05</v>
      </c>
      <c r="AQ31" s="1"/>
      <c r="AR31" s="1"/>
      <c r="AS31" s="1"/>
      <c r="AT31" s="1"/>
      <c r="AU31" s="1"/>
      <c r="AV31" s="1"/>
      <c r="AW31" s="1"/>
      <c r="AX31" s="1"/>
      <c r="AY31" s="1"/>
      <c r="AZ31" s="1"/>
      <c r="BA31" s="1"/>
      <c r="BB31" s="1"/>
      <c r="BC31" s="1"/>
      <c r="BD31" s="1"/>
      <c r="BE31" s="1"/>
      <c r="BF31" s="1"/>
      <c r="BG31" s="1"/>
      <c r="BH31" s="1"/>
      <c r="BI31" s="1"/>
      <c r="BJ31" s="1"/>
      <c r="BK31" s="1"/>
      <c r="BL31" s="1"/>
      <c r="BM31" s="1"/>
      <c r="BN31" s="1"/>
    </row>
    <row r="32" spans="1:66" ht="51" customHeight="1" x14ac:dyDescent="0.3">
      <c r="A32" s="214"/>
      <c r="B32" s="226"/>
      <c r="C32" s="227" t="s">
        <v>166</v>
      </c>
      <c r="D32" s="228" t="s">
        <v>167</v>
      </c>
      <c r="E32" s="228" t="s">
        <v>168</v>
      </c>
      <c r="F32" s="410" t="s">
        <v>169</v>
      </c>
      <c r="G32" s="228" t="s">
        <v>170</v>
      </c>
      <c r="H32" s="228" t="s">
        <v>171</v>
      </c>
      <c r="I32" s="229" t="s">
        <v>172</v>
      </c>
      <c r="J32" s="229" t="s">
        <v>173</v>
      </c>
      <c r="K32" s="230" t="s">
        <v>174</v>
      </c>
      <c r="L32" s="229" t="s">
        <v>175</v>
      </c>
      <c r="M32" s="411" t="s">
        <v>176</v>
      </c>
      <c r="N32" s="227"/>
      <c r="O32" s="227" t="s">
        <v>177</v>
      </c>
      <c r="P32" s="231" t="s">
        <v>178</v>
      </c>
      <c r="Q32" s="231" t="s">
        <v>179</v>
      </c>
      <c r="R32" s="231" t="s">
        <v>180</v>
      </c>
      <c r="S32" s="231" t="s">
        <v>181</v>
      </c>
      <c r="T32" s="231" t="s">
        <v>182</v>
      </c>
      <c r="U32" s="231" t="s">
        <v>183</v>
      </c>
      <c r="V32" s="231" t="s">
        <v>184</v>
      </c>
      <c r="W32" s="231" t="s">
        <v>185</v>
      </c>
      <c r="X32" s="231" t="s">
        <v>186</v>
      </c>
      <c r="Y32" s="231" t="s">
        <v>187</v>
      </c>
      <c r="Z32" s="231" t="s">
        <v>188</v>
      </c>
      <c r="AA32" s="231" t="s">
        <v>189</v>
      </c>
      <c r="AB32" s="214"/>
      <c r="AC32" s="231" t="s">
        <v>178</v>
      </c>
      <c r="AD32" s="231" t="s">
        <v>179</v>
      </c>
      <c r="AE32" s="231" t="s">
        <v>180</v>
      </c>
      <c r="AF32" s="231" t="s">
        <v>182</v>
      </c>
      <c r="AG32" s="231" t="s">
        <v>183</v>
      </c>
      <c r="AH32" s="231" t="s">
        <v>184</v>
      </c>
      <c r="AI32" s="214"/>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row>
    <row r="33" spans="1:66" ht="15.6" customHeight="1" x14ac:dyDescent="0.3">
      <c r="A33" s="214"/>
      <c r="B33" s="232">
        <v>2019</v>
      </c>
      <c r="C33" s="233">
        <f>C22</f>
        <v>15106177151.080799</v>
      </c>
      <c r="D33" s="146">
        <f>'[97]Sheet 1'!$P$35</f>
        <v>214489.9</v>
      </c>
      <c r="E33" s="420">
        <f>(F33/1000000/D33)*100</f>
        <v>6.3312538259377247</v>
      </c>
      <c r="F33" s="146">
        <f>'[98]Sheet 1'!$M$101*10^6</f>
        <v>13579900000</v>
      </c>
      <c r="G33" s="234">
        <f>F33/C33</f>
        <v>0.89896337532546422</v>
      </c>
      <c r="H33" s="235">
        <f>C33*G33</f>
        <v>13579900000</v>
      </c>
      <c r="I33" s="235" t="s">
        <v>113</v>
      </c>
      <c r="J33" s="235" t="s">
        <v>113</v>
      </c>
      <c r="K33" s="235" t="s">
        <v>113</v>
      </c>
      <c r="L33" s="235" t="s">
        <v>113</v>
      </c>
      <c r="M33" s="214"/>
      <c r="N33" s="232">
        <v>2019</v>
      </c>
      <c r="O33" s="236">
        <f>G33</f>
        <v>0.89896337532546422</v>
      </c>
      <c r="P33" s="237"/>
      <c r="Q33" s="237"/>
      <c r="R33" s="237"/>
      <c r="S33" s="237"/>
      <c r="T33" s="237"/>
      <c r="U33" s="237"/>
      <c r="V33" s="238"/>
      <c r="W33" s="238"/>
      <c r="X33" s="238"/>
      <c r="Y33" s="238"/>
      <c r="Z33" s="238"/>
      <c r="AA33" s="238"/>
      <c r="AB33" s="214"/>
      <c r="AC33" s="237"/>
      <c r="AD33" s="237"/>
      <c r="AE33" s="237"/>
      <c r="AF33" s="237"/>
      <c r="AG33" s="237"/>
      <c r="AH33" s="238"/>
      <c r="AI33" s="214"/>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row>
    <row r="34" spans="1:66" s="51" customFormat="1" ht="15.6" customHeight="1" x14ac:dyDescent="0.3">
      <c r="A34" s="239"/>
      <c r="B34" s="240">
        <v>2020</v>
      </c>
      <c r="C34" s="241">
        <f>D22</f>
        <v>15384916678.039173</v>
      </c>
      <c r="D34" s="146">
        <f>'[97]Sheet 1'!$R$35</f>
        <v>201032.7</v>
      </c>
      <c r="E34" s="420">
        <f t="shared" ref="E34:E36" si="7">(F34/1000000/D34)*100</f>
        <v>6.9608078685706358</v>
      </c>
      <c r="F34" s="146">
        <f>'[98]Sheet 1'!$O$101*10^6</f>
        <v>13993500000</v>
      </c>
      <c r="G34" s="234">
        <f>F34/C34</f>
        <v>0.90955968711710233</v>
      </c>
      <c r="H34" s="242">
        <f>C34*G34</f>
        <v>13993500000</v>
      </c>
      <c r="I34" s="243"/>
      <c r="J34" s="243"/>
      <c r="K34" s="243"/>
      <c r="L34" s="243"/>
      <c r="M34" s="214"/>
      <c r="N34" s="240">
        <v>2020</v>
      </c>
      <c r="O34" s="244"/>
      <c r="P34" s="245"/>
      <c r="Q34" s="245"/>
      <c r="R34" s="245"/>
      <c r="S34" s="245"/>
      <c r="T34" s="245"/>
      <c r="U34" s="245"/>
      <c r="V34" s="245"/>
      <c r="W34" s="245"/>
      <c r="X34" s="245"/>
      <c r="Y34" s="245"/>
      <c r="Z34" s="245"/>
      <c r="AA34" s="245"/>
      <c r="AB34" s="239"/>
      <c r="AC34" s="245"/>
      <c r="AD34" s="245"/>
      <c r="AE34" s="245"/>
      <c r="AF34" s="245"/>
      <c r="AG34" s="245"/>
      <c r="AH34" s="245"/>
      <c r="AI34" s="239"/>
      <c r="AJ34" s="47"/>
      <c r="AK34" s="47"/>
      <c r="AL34" s="47"/>
      <c r="AM34" s="47"/>
      <c r="AN34" s="47"/>
      <c r="AO34" s="47"/>
      <c r="AP34" s="47"/>
      <c r="AQ34" s="47"/>
      <c r="AR34" s="47"/>
      <c r="AS34" s="47"/>
      <c r="AT34" s="47"/>
      <c r="AU34" s="47"/>
      <c r="AV34" s="47"/>
      <c r="AW34" s="47"/>
      <c r="AX34" s="47"/>
      <c r="AY34" s="47"/>
      <c r="AZ34" s="47"/>
      <c r="BA34" s="47"/>
      <c r="BB34" s="47"/>
      <c r="BC34" s="47"/>
      <c r="BD34" s="47"/>
      <c r="BE34" s="47"/>
      <c r="BF34" s="47"/>
      <c r="BG34" s="47"/>
      <c r="BH34" s="47"/>
      <c r="BI34" s="47"/>
      <c r="BJ34" s="47"/>
      <c r="BK34" s="47"/>
      <c r="BL34" s="47"/>
      <c r="BM34" s="47"/>
      <c r="BN34" s="47"/>
    </row>
    <row r="35" spans="1:66" ht="15.6" customHeight="1" x14ac:dyDescent="0.3">
      <c r="A35" s="214"/>
      <c r="B35" s="232">
        <v>2021</v>
      </c>
      <c r="C35" s="241">
        <f>E22</f>
        <v>16522972165.61883</v>
      </c>
      <c r="D35" s="146">
        <f>'[97]Sheet 1'!$T$35</f>
        <v>216493.7</v>
      </c>
      <c r="E35" s="420">
        <f t="shared" si="7"/>
        <v>6.9160903989353955</v>
      </c>
      <c r="F35" s="146">
        <f>'[98]Sheet 1'!$Q$101*10^6</f>
        <v>14972900000</v>
      </c>
      <c r="G35" s="234">
        <f>F35/C35</f>
        <v>0.90618684398414495</v>
      </c>
      <c r="H35" s="242">
        <f>C35*G35</f>
        <v>14972900000</v>
      </c>
      <c r="I35" s="243"/>
      <c r="J35" s="243"/>
      <c r="K35" s="243"/>
      <c r="L35" s="243"/>
      <c r="M35" s="214"/>
      <c r="N35" s="232">
        <v>2021</v>
      </c>
      <c r="O35" s="244"/>
      <c r="P35" s="246"/>
      <c r="Q35" s="246"/>
      <c r="R35" s="246"/>
      <c r="S35" s="246"/>
      <c r="T35" s="246"/>
      <c r="U35" s="246"/>
      <c r="V35" s="247"/>
      <c r="W35" s="247"/>
      <c r="X35" s="247"/>
      <c r="Y35" s="247"/>
      <c r="Z35" s="247"/>
      <c r="AA35" s="247"/>
      <c r="AB35" s="214"/>
      <c r="AC35" s="246"/>
      <c r="AD35" s="246"/>
      <c r="AE35" s="246"/>
      <c r="AF35" s="246"/>
      <c r="AG35" s="246"/>
      <c r="AH35" s="247"/>
      <c r="AI35" s="214"/>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row>
    <row r="36" spans="1:66" ht="15.6" customHeight="1" x14ac:dyDescent="0.3">
      <c r="A36" s="214"/>
      <c r="B36" s="240">
        <v>2022</v>
      </c>
      <c r="C36" s="248">
        <f>F22</f>
        <v>17891753579.564384</v>
      </c>
      <c r="D36" s="146">
        <f>'[97]Sheet 1'!$V$35</f>
        <v>243957.1</v>
      </c>
      <c r="E36" s="420">
        <f t="shared" si="7"/>
        <v>6.9319564792334392</v>
      </c>
      <c r="F36" s="146">
        <f>'[98]Sheet 1'!$S$101*10^6</f>
        <v>16911000000</v>
      </c>
      <c r="G36" s="234">
        <f>F36/C36</f>
        <v>0.94518404385556809</v>
      </c>
      <c r="H36" s="242">
        <f>C36*G36</f>
        <v>16911000000</v>
      </c>
      <c r="I36" s="249"/>
      <c r="J36" s="249"/>
      <c r="K36" s="249"/>
      <c r="L36" s="249"/>
      <c r="M36" s="214"/>
      <c r="N36" s="240">
        <v>2022</v>
      </c>
      <c r="O36" s="250"/>
      <c r="P36" s="225"/>
      <c r="Q36" s="225"/>
      <c r="R36" s="225"/>
      <c r="S36" s="225"/>
      <c r="T36" s="225"/>
      <c r="U36" s="225"/>
      <c r="V36" s="225"/>
      <c r="W36" s="225"/>
      <c r="X36" s="225"/>
      <c r="Y36" s="225"/>
      <c r="Z36" s="225"/>
      <c r="AA36" s="225"/>
      <c r="AB36" s="214"/>
      <c r="AC36" s="225"/>
      <c r="AD36" s="225"/>
      <c r="AE36" s="225"/>
      <c r="AF36" s="225"/>
      <c r="AG36" s="225"/>
      <c r="AH36" s="225"/>
      <c r="AI36" s="214"/>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row>
    <row r="37" spans="1:66" ht="15.6" customHeight="1" x14ac:dyDescent="0.3">
      <c r="A37" s="214"/>
      <c r="B37" s="232">
        <v>2023</v>
      </c>
      <c r="C37" s="251">
        <f>G22</f>
        <v>18462260585.14566</v>
      </c>
      <c r="D37" s="146">
        <f>'[97]Sheet 1'!$X$35</f>
        <v>267384.3</v>
      </c>
      <c r="E37" s="420">
        <f>(F37/1000000/D37)*100</f>
        <v>6.9169730608715634</v>
      </c>
      <c r="F37" s="146">
        <f>'[98]Sheet 1'!$U$101*10^6</f>
        <v>18494900000</v>
      </c>
      <c r="G37" s="234">
        <f>F37/C37</f>
        <v>1.001767899153184</v>
      </c>
      <c r="H37" s="242">
        <f>C37*G37</f>
        <v>18494900000</v>
      </c>
      <c r="I37" s="235">
        <f>H22*$G37</f>
        <v>20649432974.649841</v>
      </c>
      <c r="J37" s="235">
        <f>I22*$G37</f>
        <v>18007797541.179195</v>
      </c>
      <c r="K37" s="235">
        <f>J22*$G37</f>
        <v>19177185932.447014</v>
      </c>
      <c r="L37" s="235">
        <f>K22*$G37</f>
        <v>18389099698.781986</v>
      </c>
      <c r="M37" s="412">
        <f>AK22*$G37</f>
        <v>18792916034.028824</v>
      </c>
      <c r="N37" s="232">
        <v>2023</v>
      </c>
      <c r="O37" s="252">
        <f>G37</f>
        <v>1.001767899153184</v>
      </c>
      <c r="P37" s="253">
        <f>($H37-J37)/1000000</f>
        <v>487.1024588208046</v>
      </c>
      <c r="Q37" s="253">
        <f>($H37-K37)/1000000</f>
        <v>-682.28593244701381</v>
      </c>
      <c r="R37" s="253">
        <f>($H37-L37)/1000000</f>
        <v>105.80030121801376</v>
      </c>
      <c r="S37" s="253">
        <f>AVERAGE(P37:R37)</f>
        <v>-29.794390802731815</v>
      </c>
      <c r="T37" s="253">
        <f t="shared" ref="T37:V37" si="8">($I37-J37)/1000000</f>
        <v>2641.6354334706457</v>
      </c>
      <c r="U37" s="253">
        <f t="shared" si="8"/>
        <v>1472.2470422028275</v>
      </c>
      <c r="V37" s="253">
        <f t="shared" si="8"/>
        <v>2260.3332758678553</v>
      </c>
      <c r="W37" s="253">
        <f>AVERAGE(T37:V37)</f>
        <v>2124.7385838471096</v>
      </c>
      <c r="X37" s="254">
        <f>(T37-P37)/T37</f>
        <v>0.81560572187630087</v>
      </c>
      <c r="Y37" s="254">
        <f>(U37-Q37)/U37</f>
        <v>1.4634316883572434</v>
      </c>
      <c r="Z37" s="254">
        <f>(V37-R37)/V37</f>
        <v>0.9531926099803173</v>
      </c>
      <c r="AA37" s="254">
        <f>AVERAGE(X37:Z37)</f>
        <v>1.077410006737954</v>
      </c>
      <c r="AB37" s="214"/>
      <c r="AC37" s="351">
        <f>P37/$D37</f>
        <v>1.8217317128223483E-3</v>
      </c>
      <c r="AD37" s="351">
        <f>Q37/$D37</f>
        <v>-2.5517052887810312E-3</v>
      </c>
      <c r="AE37" s="351">
        <f>R37/$D37</f>
        <v>3.9568628830493696E-4</v>
      </c>
      <c r="AF37" s="351">
        <f>T37/$D37</f>
        <v>9.8795457828699963E-3</v>
      </c>
      <c r="AG37" s="351">
        <f>U37/$D37</f>
        <v>5.5061087812666174E-3</v>
      </c>
      <c r="AH37" s="351">
        <f>V37/$D37</f>
        <v>8.4535003583525864E-3</v>
      </c>
      <c r="AI37" s="214"/>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row>
    <row r="38" spans="1:66" ht="15.6" customHeight="1" x14ac:dyDescent="0.3">
      <c r="A38" s="214"/>
      <c r="B38" s="240">
        <v>2024</v>
      </c>
      <c r="C38" s="255"/>
      <c r="D38" s="256"/>
      <c r="E38" s="256"/>
      <c r="F38" s="256"/>
      <c r="G38" s="257"/>
      <c r="H38" s="256"/>
      <c r="I38" s="249"/>
      <c r="J38" s="249"/>
      <c r="K38" s="249"/>
      <c r="L38" s="249"/>
      <c r="M38" s="214"/>
      <c r="N38" s="240">
        <v>2024</v>
      </c>
      <c r="O38" s="250"/>
      <c r="P38" s="225"/>
      <c r="Q38" s="225"/>
      <c r="R38" s="225"/>
      <c r="S38" s="225"/>
      <c r="T38" s="258"/>
      <c r="U38" s="258"/>
      <c r="V38" s="258"/>
      <c r="W38" s="258"/>
      <c r="X38" s="225"/>
      <c r="Y38" s="225"/>
      <c r="Z38" s="225"/>
      <c r="AA38" s="225"/>
      <c r="AB38" s="214"/>
      <c r="AC38" s="353"/>
      <c r="AD38" s="353"/>
      <c r="AE38" s="353"/>
      <c r="AF38" s="354"/>
      <c r="AG38" s="354"/>
      <c r="AH38" s="354"/>
      <c r="AI38" s="214"/>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row>
    <row r="39" spans="1:66" ht="15.6" customHeight="1" x14ac:dyDescent="0.3">
      <c r="A39" s="214"/>
      <c r="B39" s="232">
        <v>2025</v>
      </c>
      <c r="C39" s="255"/>
      <c r="D39" s="256"/>
      <c r="E39" s="256"/>
      <c r="F39" s="256"/>
      <c r="G39" s="257"/>
      <c r="H39" s="256"/>
      <c r="I39" s="249"/>
      <c r="J39" s="249"/>
      <c r="K39" s="249"/>
      <c r="L39" s="249"/>
      <c r="M39" s="214"/>
      <c r="N39" s="232">
        <v>2025</v>
      </c>
      <c r="O39" s="250"/>
      <c r="P39" s="225"/>
      <c r="Q39" s="225"/>
      <c r="R39" s="225"/>
      <c r="S39" s="225"/>
      <c r="T39" s="258"/>
      <c r="U39" s="258"/>
      <c r="V39" s="258"/>
      <c r="W39" s="258"/>
      <c r="X39" s="225"/>
      <c r="Y39" s="225"/>
      <c r="Z39" s="225"/>
      <c r="AA39" s="225"/>
      <c r="AB39" s="214"/>
      <c r="AC39" s="353"/>
      <c r="AD39" s="353"/>
      <c r="AE39" s="353"/>
      <c r="AF39" s="354"/>
      <c r="AG39" s="354"/>
      <c r="AH39" s="354"/>
      <c r="AI39" s="214"/>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row>
    <row r="40" spans="1:66" ht="15.6" customHeight="1" x14ac:dyDescent="0.3">
      <c r="A40" s="214"/>
      <c r="B40" s="240">
        <v>2026</v>
      </c>
      <c r="C40" s="251"/>
      <c r="D40" s="256"/>
      <c r="E40" s="256"/>
      <c r="F40" s="256"/>
      <c r="G40" s="259"/>
      <c r="H40" s="256"/>
      <c r="I40" s="235"/>
      <c r="J40" s="235"/>
      <c r="K40" s="235"/>
      <c r="L40" s="235"/>
      <c r="M40" s="214"/>
      <c r="N40" s="240">
        <v>2026</v>
      </c>
      <c r="O40" s="252"/>
      <c r="P40" s="225"/>
      <c r="Q40" s="225"/>
      <c r="R40" s="225"/>
      <c r="S40" s="225"/>
      <c r="T40" s="253"/>
      <c r="U40" s="253"/>
      <c r="V40" s="253"/>
      <c r="W40" s="253"/>
      <c r="X40" s="225"/>
      <c r="Y40" s="225"/>
      <c r="Z40" s="225"/>
      <c r="AA40" s="225"/>
      <c r="AB40" s="214"/>
      <c r="AC40" s="353"/>
      <c r="AD40" s="353"/>
      <c r="AE40" s="353"/>
      <c r="AF40" s="351"/>
      <c r="AG40" s="351"/>
      <c r="AH40" s="351"/>
      <c r="AI40" s="214"/>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row>
    <row r="41" spans="1:66" ht="12.6" customHeight="1" x14ac:dyDescent="0.3">
      <c r="A41" s="214"/>
      <c r="B41" s="214"/>
      <c r="C41" s="214"/>
      <c r="D41" s="214"/>
      <c r="E41" s="214"/>
      <c r="F41" s="214"/>
      <c r="G41" s="214"/>
      <c r="H41" s="214"/>
      <c r="I41" s="260"/>
      <c r="J41" s="214"/>
      <c r="K41" s="214"/>
      <c r="L41" s="214"/>
      <c r="M41" s="214"/>
      <c r="N41" s="214"/>
      <c r="O41" s="214"/>
      <c r="P41" s="214"/>
      <c r="Q41" s="214"/>
      <c r="R41" s="214"/>
      <c r="S41" s="214"/>
      <c r="T41" s="260"/>
      <c r="U41" s="214"/>
      <c r="V41" s="214"/>
      <c r="W41" s="214"/>
      <c r="X41" s="413" t="s">
        <v>190</v>
      </c>
      <c r="Y41" s="414"/>
      <c r="Z41" s="414"/>
      <c r="AA41" s="415"/>
      <c r="AB41" s="214"/>
      <c r="AC41" s="214"/>
      <c r="AD41" s="214"/>
      <c r="AE41" s="214"/>
      <c r="AF41" s="260"/>
      <c r="AG41" s="214"/>
      <c r="AH41" s="214"/>
      <c r="AI41" s="214"/>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row>
    <row r="42" spans="1:66" ht="12.6" customHeight="1" x14ac:dyDescent="0.3">
      <c r="A42" s="214"/>
      <c r="B42" s="214"/>
      <c r="C42" s="214"/>
      <c r="D42" s="214"/>
      <c r="E42" s="214"/>
      <c r="F42" s="214"/>
      <c r="G42" s="214"/>
      <c r="H42" s="214"/>
      <c r="I42" s="214"/>
      <c r="J42" s="214"/>
      <c r="K42" s="214"/>
      <c r="L42" s="214"/>
      <c r="M42" s="214"/>
      <c r="N42" s="214"/>
      <c r="O42" s="214"/>
      <c r="P42" s="214"/>
      <c r="Q42" s="214"/>
      <c r="R42" s="214"/>
      <c r="S42" s="214"/>
      <c r="T42" s="214"/>
      <c r="U42" s="214"/>
      <c r="V42" s="214"/>
      <c r="W42" s="416">
        <v>2023</v>
      </c>
      <c r="X42" s="417">
        <f>(($M37-$H37)/1000000)/T37</f>
        <v>0.11281497448619662</v>
      </c>
      <c r="Y42" s="417">
        <f t="shared" ref="Y42:Z42" si="9">(($M37-$H37)/1000000)/U37</f>
        <v>0.20242257276531653</v>
      </c>
      <c r="Z42" s="417">
        <f t="shared" si="9"/>
        <v>0.13184605881378292</v>
      </c>
      <c r="AA42" s="417">
        <f>AVERAGE(X42:Z42)</f>
        <v>0.14902786868843201</v>
      </c>
      <c r="AB42" s="214"/>
      <c r="AC42" s="214"/>
      <c r="AD42" s="214"/>
      <c r="AE42" s="214"/>
      <c r="AF42" s="214"/>
      <c r="AG42" s="214"/>
      <c r="AH42" s="214"/>
      <c r="AI42" s="214"/>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row>
    <row r="43" spans="1:66" ht="12.6" customHeight="1" thickBot="1" x14ac:dyDescent="0.35">
      <c r="A43" s="214"/>
      <c r="B43" s="214"/>
      <c r="C43" s="214"/>
      <c r="D43" s="214"/>
      <c r="E43" s="214"/>
      <c r="F43" s="214"/>
      <c r="G43" s="214"/>
      <c r="H43" s="214"/>
      <c r="I43" s="214"/>
      <c r="J43" s="214"/>
      <c r="K43" s="214"/>
      <c r="L43" s="214"/>
      <c r="M43" s="214"/>
      <c r="N43" s="214"/>
      <c r="O43" s="214"/>
      <c r="P43" s="214"/>
      <c r="Q43" s="214"/>
      <c r="R43" s="214"/>
      <c r="S43" s="214"/>
      <c r="T43" s="214"/>
      <c r="U43" s="214"/>
      <c r="V43" s="214"/>
      <c r="W43" s="214"/>
      <c r="X43" s="214"/>
      <c r="Y43" s="214"/>
      <c r="Z43" s="214"/>
      <c r="AA43" s="214"/>
      <c r="AB43" s="214"/>
      <c r="AC43" s="214"/>
      <c r="AD43" s="214"/>
      <c r="AE43" s="214"/>
      <c r="AF43" s="214"/>
      <c r="AG43" s="214"/>
      <c r="AH43" s="214"/>
      <c r="AI43" s="214"/>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row>
    <row r="44" spans="1:66" ht="18" customHeight="1" thickBot="1" x14ac:dyDescent="0.35">
      <c r="A44" s="214"/>
      <c r="B44" s="216" t="s">
        <v>191</v>
      </c>
      <c r="C44" s="221"/>
      <c r="D44" s="222" t="s">
        <v>160</v>
      </c>
      <c r="E44" s="223"/>
      <c r="F44" s="224" t="s">
        <v>161</v>
      </c>
      <c r="G44" s="222"/>
      <c r="H44" s="222"/>
      <c r="I44" s="222"/>
      <c r="J44" s="223"/>
      <c r="K44" s="214"/>
      <c r="L44" s="214"/>
      <c r="M44" s="214"/>
      <c r="N44" s="214"/>
      <c r="O44" s="214"/>
      <c r="P44" s="214"/>
      <c r="Q44" s="214"/>
      <c r="R44" s="214"/>
      <c r="S44" s="214"/>
      <c r="T44" s="214"/>
      <c r="U44" s="216" t="s">
        <v>192</v>
      </c>
      <c r="V44" s="221"/>
      <c r="W44" s="222" t="s">
        <v>160</v>
      </c>
      <c r="X44" s="223"/>
      <c r="Y44" s="224" t="s">
        <v>161</v>
      </c>
      <c r="Z44" s="222"/>
      <c r="AA44" s="222"/>
      <c r="AB44" s="222"/>
      <c r="AC44" s="223"/>
      <c r="AD44" s="214"/>
      <c r="AE44" s="214"/>
      <c r="AF44" s="214"/>
      <c r="AG44" s="214"/>
      <c r="AH44" s="214"/>
      <c r="AI44" s="214"/>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row>
    <row r="45" spans="1:66" ht="42" customHeight="1" x14ac:dyDescent="0.3">
      <c r="A45" s="214"/>
      <c r="B45" s="227"/>
      <c r="C45" s="231" t="s">
        <v>193</v>
      </c>
      <c r="D45" s="228" t="s">
        <v>194</v>
      </c>
      <c r="E45" s="228" t="s">
        <v>170</v>
      </c>
      <c r="F45" s="229" t="s">
        <v>195</v>
      </c>
      <c r="G45" s="229" t="s">
        <v>196</v>
      </c>
      <c r="H45" s="261" t="s">
        <v>197</v>
      </c>
      <c r="I45" s="261" t="s">
        <v>198</v>
      </c>
      <c r="J45" s="261" t="s">
        <v>199</v>
      </c>
      <c r="K45" s="411" t="s">
        <v>176</v>
      </c>
      <c r="L45" s="214"/>
      <c r="M45" s="214"/>
      <c r="N45" s="214"/>
      <c r="O45" s="214"/>
      <c r="P45" s="214"/>
      <c r="Q45" s="214"/>
      <c r="R45" s="214"/>
      <c r="S45" s="214"/>
      <c r="T45" s="214"/>
      <c r="U45" s="227"/>
      <c r="V45" s="231" t="s">
        <v>193</v>
      </c>
      <c r="W45" s="228" t="s">
        <v>194</v>
      </c>
      <c r="X45" s="228" t="s">
        <v>170</v>
      </c>
      <c r="Y45" s="229" t="s">
        <v>195</v>
      </c>
      <c r="Z45" s="229" t="s">
        <v>196</v>
      </c>
      <c r="AA45" s="261" t="s">
        <v>197</v>
      </c>
      <c r="AB45" s="261" t="s">
        <v>198</v>
      </c>
      <c r="AC45" s="261" t="s">
        <v>199</v>
      </c>
      <c r="AD45" s="214"/>
      <c r="AE45" s="214"/>
      <c r="AF45" s="214"/>
      <c r="AG45" s="214"/>
      <c r="AH45" s="214"/>
      <c r="AI45" s="214"/>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row>
    <row r="46" spans="1:66" ht="15" customHeight="1" x14ac:dyDescent="0.3">
      <c r="A46" s="214"/>
      <c r="B46" s="232">
        <v>2019</v>
      </c>
      <c r="C46" s="262">
        <f>C33/1000000</f>
        <v>15106.177151080799</v>
      </c>
      <c r="D46" s="263">
        <f>F33/1000000</f>
        <v>13579.9</v>
      </c>
      <c r="E46" s="264"/>
      <c r="F46" s="262">
        <f>H33/1000000</f>
        <v>13579.9</v>
      </c>
      <c r="G46" s="264"/>
      <c r="H46" s="264"/>
      <c r="I46" s="264"/>
      <c r="J46" s="264"/>
      <c r="K46" s="214"/>
      <c r="L46" s="214"/>
      <c r="M46" s="214"/>
      <c r="N46" s="214"/>
      <c r="O46" s="214"/>
      <c r="P46" s="214"/>
      <c r="Q46" s="214"/>
      <c r="R46" s="214"/>
      <c r="S46" s="214"/>
      <c r="T46" s="214"/>
      <c r="U46" s="232">
        <v>2019</v>
      </c>
      <c r="V46" s="355">
        <f>C33/1000000/D33</f>
        <v>7.0428384511721995E-2</v>
      </c>
      <c r="W46" s="355">
        <f>F33/(D33*1000000)</f>
        <v>6.3312538259377243E-2</v>
      </c>
      <c r="X46" s="264"/>
      <c r="Y46" s="355">
        <f>H33/($D33*1000000)</f>
        <v>6.3312538259377243E-2</v>
      </c>
      <c r="Z46" s="355"/>
      <c r="AA46" s="355"/>
      <c r="AB46" s="355"/>
      <c r="AC46" s="355"/>
      <c r="AD46" s="214"/>
      <c r="AE46" s="214"/>
      <c r="AF46" s="214"/>
      <c r="AG46" s="214"/>
      <c r="AH46" s="214"/>
      <c r="AI46" s="214"/>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row>
    <row r="47" spans="1:66" ht="15" customHeight="1" x14ac:dyDescent="0.3">
      <c r="A47" s="214"/>
      <c r="B47" s="240">
        <v>2020</v>
      </c>
      <c r="C47" s="262">
        <f t="shared" ref="C47:C49" si="10">C34/1000000</f>
        <v>15384.916678039173</v>
      </c>
      <c r="D47" s="263">
        <f>F34/1000000</f>
        <v>13993.5</v>
      </c>
      <c r="E47" s="264"/>
      <c r="F47" s="264"/>
      <c r="G47" s="264"/>
      <c r="H47" s="264"/>
      <c r="I47" s="264"/>
      <c r="J47" s="264"/>
      <c r="K47" s="214"/>
      <c r="L47" s="214"/>
      <c r="M47" s="214"/>
      <c r="N47" s="214"/>
      <c r="O47" s="214"/>
      <c r="P47" s="214"/>
      <c r="Q47" s="214"/>
      <c r="R47" s="214"/>
      <c r="S47" s="214"/>
      <c r="T47" s="214"/>
      <c r="U47" s="240">
        <v>2020</v>
      </c>
      <c r="V47" s="355">
        <f t="shared" ref="V47:V50" si="11">C34/1000000/D34</f>
        <v>7.6529423710864811E-2</v>
      </c>
      <c r="W47" s="355">
        <f t="shared" ref="W47:W50" si="12">F34/(D34*1000000)</f>
        <v>6.9608078685706357E-2</v>
      </c>
      <c r="X47" s="264"/>
      <c r="Y47" s="355"/>
      <c r="Z47" s="355"/>
      <c r="AA47" s="355"/>
      <c r="AB47" s="355"/>
      <c r="AC47" s="355"/>
      <c r="AD47" s="214"/>
      <c r="AE47" s="214"/>
      <c r="AF47" s="214"/>
      <c r="AG47" s="214"/>
      <c r="AH47" s="214"/>
      <c r="AI47" s="214"/>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row>
    <row r="48" spans="1:66" ht="15" customHeight="1" x14ac:dyDescent="0.3">
      <c r="A48" s="214"/>
      <c r="B48" s="232">
        <v>2021</v>
      </c>
      <c r="C48" s="262">
        <f t="shared" si="10"/>
        <v>16522.97216561883</v>
      </c>
      <c r="D48" s="263">
        <f>F35/1000000</f>
        <v>14972.9</v>
      </c>
      <c r="E48" s="264"/>
      <c r="F48" s="264"/>
      <c r="G48" s="264"/>
      <c r="H48" s="264"/>
      <c r="I48" s="264"/>
      <c r="J48" s="264"/>
      <c r="K48" s="214"/>
      <c r="L48" s="214"/>
      <c r="M48" s="214"/>
      <c r="N48" s="214"/>
      <c r="O48" s="214"/>
      <c r="P48" s="214"/>
      <c r="Q48" s="214"/>
      <c r="R48" s="214"/>
      <c r="S48" s="214"/>
      <c r="T48" s="214"/>
      <c r="U48" s="232">
        <v>2021</v>
      </c>
      <c r="V48" s="355">
        <f t="shared" si="11"/>
        <v>7.6320799014561763E-2</v>
      </c>
      <c r="W48" s="355">
        <f t="shared" si="12"/>
        <v>6.916090398935397E-2</v>
      </c>
      <c r="X48" s="264"/>
      <c r="Y48" s="355"/>
      <c r="Z48" s="355"/>
      <c r="AA48" s="355"/>
      <c r="AB48" s="355"/>
      <c r="AC48" s="355"/>
      <c r="AD48" s="214"/>
      <c r="AE48" s="214"/>
      <c r="AF48" s="214"/>
      <c r="AG48" s="214"/>
      <c r="AH48" s="214"/>
      <c r="AI48" s="214"/>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row>
    <row r="49" spans="1:66" ht="15" customHeight="1" x14ac:dyDescent="0.3">
      <c r="A49" s="214"/>
      <c r="B49" s="240">
        <v>2022</v>
      </c>
      <c r="C49" s="262">
        <f t="shared" si="10"/>
        <v>17891.753579564385</v>
      </c>
      <c r="D49" s="263">
        <f>F36/1000000</f>
        <v>16911</v>
      </c>
      <c r="E49" s="264"/>
      <c r="F49" s="264"/>
      <c r="G49" s="264"/>
      <c r="H49" s="264"/>
      <c r="I49" s="264"/>
      <c r="J49" s="264"/>
      <c r="K49" s="214"/>
      <c r="L49" s="214"/>
      <c r="M49" s="214"/>
      <c r="N49" s="214"/>
      <c r="O49" s="214"/>
      <c r="P49" s="214"/>
      <c r="Q49" s="214"/>
      <c r="R49" s="214"/>
      <c r="S49" s="214"/>
      <c r="T49" s="214"/>
      <c r="U49" s="240">
        <v>2022</v>
      </c>
      <c r="V49" s="355">
        <f t="shared" si="11"/>
        <v>7.3339753504056179E-2</v>
      </c>
      <c r="W49" s="355">
        <f t="shared" si="12"/>
        <v>6.9319564792334393E-2</v>
      </c>
      <c r="X49" s="264"/>
      <c r="Y49" s="355"/>
      <c r="Z49" s="355"/>
      <c r="AA49" s="355"/>
      <c r="AB49" s="355"/>
      <c r="AC49" s="355"/>
      <c r="AD49" s="214"/>
      <c r="AE49" s="214"/>
      <c r="AF49" s="214"/>
      <c r="AG49" s="214"/>
      <c r="AH49" s="214"/>
      <c r="AI49" s="214"/>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row>
    <row r="50" spans="1:66" ht="15" customHeight="1" x14ac:dyDescent="0.3">
      <c r="A50" s="214"/>
      <c r="B50" s="232">
        <v>2023</v>
      </c>
      <c r="C50" s="262">
        <f>C37/1000000</f>
        <v>18462.260585145661</v>
      </c>
      <c r="D50" s="263">
        <f>F37/1000000</f>
        <v>18494.900000000001</v>
      </c>
      <c r="E50" s="264"/>
      <c r="F50" s="262">
        <f t="shared" ref="F50:J50" si="13">H37/1000000</f>
        <v>18494.900000000001</v>
      </c>
      <c r="G50" s="262">
        <f t="shared" si="13"/>
        <v>20649.432974649841</v>
      </c>
      <c r="H50" s="262">
        <f t="shared" si="13"/>
        <v>18007.797541179196</v>
      </c>
      <c r="I50" s="262">
        <f t="shared" si="13"/>
        <v>19177.185932447013</v>
      </c>
      <c r="J50" s="262">
        <f t="shared" si="13"/>
        <v>18389.099698781985</v>
      </c>
      <c r="K50" s="418">
        <f>M37/1000000</f>
        <v>18792.916034028825</v>
      </c>
      <c r="L50" s="214"/>
      <c r="M50" s="214"/>
      <c r="N50" s="214"/>
      <c r="O50" s="214"/>
      <c r="P50" s="214"/>
      <c r="Q50" s="214"/>
      <c r="R50" s="214"/>
      <c r="S50" s="214"/>
      <c r="T50" s="214"/>
      <c r="U50" s="232">
        <v>2023</v>
      </c>
      <c r="V50" s="355">
        <f t="shared" si="11"/>
        <v>6.904766130676207E-2</v>
      </c>
      <c r="W50" s="355">
        <f t="shared" si="12"/>
        <v>6.9169730608715618E-2</v>
      </c>
      <c r="X50" s="264"/>
      <c r="Y50" s="355">
        <f>H37/($D37*1000000)</f>
        <v>6.9169730608715618E-2</v>
      </c>
      <c r="Z50" s="355">
        <f t="shared" ref="Z50:AC50" si="14">I37/($D37*1000000)</f>
        <v>7.7227544678763263E-2</v>
      </c>
      <c r="AA50" s="355">
        <f t="shared" si="14"/>
        <v>6.7347998895893268E-2</v>
      </c>
      <c r="AB50" s="355">
        <f t="shared" si="14"/>
        <v>7.1721435897496646E-2</v>
      </c>
      <c r="AC50" s="355">
        <f t="shared" si="14"/>
        <v>6.8774044320410677E-2</v>
      </c>
      <c r="AD50" s="214"/>
      <c r="AE50" s="214"/>
      <c r="AF50" s="214"/>
      <c r="AG50" s="214"/>
      <c r="AH50" s="214"/>
      <c r="AI50" s="214"/>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row>
    <row r="51" spans="1:66" ht="15" customHeight="1" x14ac:dyDescent="0.3">
      <c r="A51" s="214"/>
      <c r="B51" s="240">
        <v>2024</v>
      </c>
      <c r="C51" s="264"/>
      <c r="D51" s="264"/>
      <c r="E51" s="264"/>
      <c r="F51" s="264"/>
      <c r="G51" s="264"/>
      <c r="H51" s="264"/>
      <c r="I51" s="264"/>
      <c r="J51" s="264"/>
      <c r="K51" s="215"/>
      <c r="L51" s="214"/>
      <c r="M51" s="214"/>
      <c r="N51" s="214"/>
      <c r="O51" s="214"/>
      <c r="P51" s="214"/>
      <c r="Q51" s="214"/>
      <c r="R51" s="214"/>
      <c r="S51" s="214"/>
      <c r="T51" s="214"/>
      <c r="U51" s="240">
        <v>2024</v>
      </c>
      <c r="V51" s="264"/>
      <c r="W51" s="264"/>
      <c r="X51" s="264"/>
      <c r="Y51" s="355"/>
      <c r="Z51" s="355"/>
      <c r="AA51" s="355"/>
      <c r="AB51" s="355"/>
      <c r="AC51" s="355"/>
      <c r="AD51" s="214"/>
      <c r="AE51" s="214"/>
      <c r="AF51" s="214"/>
      <c r="AG51" s="214"/>
      <c r="AH51" s="214"/>
      <c r="AI51" s="214"/>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row>
    <row r="52" spans="1:66" ht="15" customHeight="1" x14ac:dyDescent="0.3">
      <c r="A52" s="214"/>
      <c r="B52" s="232">
        <v>2025</v>
      </c>
      <c r="C52" s="264"/>
      <c r="D52" s="264"/>
      <c r="E52" s="264"/>
      <c r="F52" s="264"/>
      <c r="G52" s="264"/>
      <c r="H52" s="264"/>
      <c r="I52" s="264"/>
      <c r="J52" s="264"/>
      <c r="K52" s="215"/>
      <c r="L52" s="214"/>
      <c r="M52" s="214"/>
      <c r="N52" s="214"/>
      <c r="O52" s="214"/>
      <c r="P52" s="214"/>
      <c r="Q52" s="214"/>
      <c r="R52" s="214"/>
      <c r="S52" s="214"/>
      <c r="T52" s="214"/>
      <c r="U52" s="232">
        <v>2025</v>
      </c>
      <c r="V52" s="264"/>
      <c r="W52" s="264"/>
      <c r="X52" s="264"/>
      <c r="Y52" s="355"/>
      <c r="Z52" s="355"/>
      <c r="AA52" s="355"/>
      <c r="AB52" s="355"/>
      <c r="AC52" s="355"/>
      <c r="AD52" s="214"/>
      <c r="AE52" s="214"/>
      <c r="AF52" s="214"/>
      <c r="AG52" s="214"/>
      <c r="AH52" s="214"/>
      <c r="AI52" s="214"/>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row>
    <row r="53" spans="1:66" ht="15" customHeight="1" x14ac:dyDescent="0.3">
      <c r="A53" s="214"/>
      <c r="B53" s="240">
        <v>2026</v>
      </c>
      <c r="C53" s="262"/>
      <c r="D53" s="264"/>
      <c r="E53" s="264"/>
      <c r="F53" s="264"/>
      <c r="G53" s="262"/>
      <c r="H53" s="262"/>
      <c r="I53" s="262"/>
      <c r="J53" s="262"/>
      <c r="K53" s="365"/>
      <c r="L53" s="214"/>
      <c r="M53" s="214"/>
      <c r="N53" s="214"/>
      <c r="O53" s="214"/>
      <c r="P53" s="214"/>
      <c r="Q53" s="214"/>
      <c r="R53" s="214"/>
      <c r="S53" s="214"/>
      <c r="T53" s="214"/>
      <c r="U53" s="240">
        <v>2026</v>
      </c>
      <c r="V53" s="262"/>
      <c r="W53" s="264"/>
      <c r="X53" s="264"/>
      <c r="Y53" s="355"/>
      <c r="Z53" s="355"/>
      <c r="AA53" s="355"/>
      <c r="AB53" s="355"/>
      <c r="AC53" s="355"/>
      <c r="AD53" s="214"/>
      <c r="AE53" s="214"/>
      <c r="AF53" s="214"/>
      <c r="AG53" s="214"/>
      <c r="AH53" s="214"/>
      <c r="AI53" s="214"/>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row>
    <row r="54" spans="1:66" ht="12.6" customHeight="1" x14ac:dyDescent="0.3">
      <c r="A54" s="214"/>
      <c r="B54" s="214"/>
      <c r="C54" s="214"/>
      <c r="D54" s="214"/>
      <c r="E54" s="214"/>
      <c r="F54" s="214"/>
      <c r="G54" s="214"/>
      <c r="H54" s="214"/>
      <c r="I54" s="214"/>
      <c r="J54" s="214"/>
      <c r="K54" s="214"/>
      <c r="L54" s="214"/>
      <c r="M54" s="214"/>
      <c r="N54" s="214"/>
      <c r="O54" s="214"/>
      <c r="P54" s="214"/>
      <c r="Q54" s="214"/>
      <c r="R54" s="214"/>
      <c r="S54" s="214"/>
      <c r="T54" s="214"/>
      <c r="U54" s="214"/>
      <c r="V54" s="214"/>
      <c r="W54" s="214"/>
      <c r="X54" s="214"/>
      <c r="Y54" s="214"/>
      <c r="Z54" s="214"/>
      <c r="AA54" s="214"/>
      <c r="AB54" s="214"/>
      <c r="AC54" s="214"/>
      <c r="AD54" s="214"/>
      <c r="AE54" s="214"/>
      <c r="AF54" s="214"/>
      <c r="AG54" s="214"/>
      <c r="AH54" s="214"/>
      <c r="AI54" s="214"/>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row>
    <row r="55" spans="1:66" ht="12.6" customHeight="1" x14ac:dyDescent="0.3">
      <c r="A55" s="214"/>
      <c r="B55" s="214"/>
      <c r="C55" s="214"/>
      <c r="D55" s="214"/>
      <c r="E55" s="214"/>
      <c r="F55" s="214"/>
      <c r="G55" s="215"/>
      <c r="H55" s="214"/>
      <c r="I55" s="214"/>
      <c r="J55" s="214"/>
      <c r="K55" s="214"/>
      <c r="L55" s="214"/>
      <c r="M55" s="214"/>
      <c r="N55" s="214"/>
      <c r="O55" s="214"/>
      <c r="P55" s="214"/>
      <c r="Q55" s="214"/>
      <c r="R55" s="214"/>
      <c r="S55" s="214"/>
      <c r="T55" s="214"/>
      <c r="U55" s="214"/>
      <c r="V55" s="214"/>
      <c r="W55" s="214"/>
      <c r="X55" s="214"/>
      <c r="Y55" s="214"/>
      <c r="Z55" s="214"/>
      <c r="AA55" s="214"/>
      <c r="AB55" s="214"/>
      <c r="AC55" s="214"/>
      <c r="AD55" s="214"/>
      <c r="AE55" s="214"/>
      <c r="AF55" s="214"/>
      <c r="AG55" s="214"/>
      <c r="AH55" s="214"/>
      <c r="AI55" s="214"/>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row>
    <row r="56" spans="1:66" ht="12.6" customHeight="1" x14ac:dyDescent="0.3">
      <c r="A56" s="214"/>
      <c r="B56" s="214"/>
      <c r="C56" s="214"/>
      <c r="D56" s="214"/>
      <c r="E56" s="214"/>
      <c r="F56" s="214"/>
      <c r="G56" s="421"/>
      <c r="H56" s="214"/>
      <c r="I56" s="214"/>
      <c r="J56" s="214"/>
      <c r="K56" s="214"/>
      <c r="L56" s="214"/>
      <c r="M56" s="214"/>
      <c r="N56" s="214"/>
      <c r="O56" s="214"/>
      <c r="P56" s="214"/>
      <c r="Q56" s="214"/>
      <c r="R56" s="214"/>
      <c r="S56" s="214"/>
      <c r="T56" s="214"/>
      <c r="U56" s="214"/>
      <c r="V56" s="214"/>
      <c r="W56" s="214"/>
      <c r="X56" s="214"/>
      <c r="Y56" s="214"/>
      <c r="Z56" s="214"/>
      <c r="AA56" s="214"/>
      <c r="AB56" s="214"/>
      <c r="AC56" s="214"/>
      <c r="AD56" s="214"/>
      <c r="AE56" s="214"/>
      <c r="AF56" s="214"/>
      <c r="AG56" s="214"/>
      <c r="AH56" s="214"/>
      <c r="AI56" s="214"/>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row>
    <row r="57" spans="1:66" ht="12.6" customHeight="1" x14ac:dyDescent="0.3">
      <c r="A57" s="214"/>
      <c r="B57" s="214"/>
      <c r="C57" s="214"/>
      <c r="D57" s="214"/>
      <c r="E57" s="214"/>
      <c r="F57" s="214"/>
      <c r="G57" s="422"/>
      <c r="H57" s="214"/>
      <c r="I57" s="214"/>
      <c r="J57" s="214"/>
      <c r="K57" s="214"/>
      <c r="L57" s="214"/>
      <c r="M57" s="214"/>
      <c r="N57" s="214"/>
      <c r="O57" s="214"/>
      <c r="P57" s="214"/>
      <c r="Q57" s="214"/>
      <c r="R57" s="214"/>
      <c r="S57" s="214"/>
      <c r="T57" s="214"/>
      <c r="U57" s="214"/>
      <c r="V57" s="214"/>
      <c r="W57" s="214"/>
      <c r="X57" s="214"/>
      <c r="Y57" s="214"/>
      <c r="Z57" s="214"/>
      <c r="AA57" s="214"/>
      <c r="AB57" s="214"/>
      <c r="AC57" s="214"/>
      <c r="AD57" s="214"/>
      <c r="AE57" s="214"/>
      <c r="AF57" s="214"/>
      <c r="AG57" s="214"/>
      <c r="AH57" s="214"/>
      <c r="AI57" s="214"/>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row>
    <row r="58" spans="1:66" ht="12.6" customHeight="1" x14ac:dyDescent="0.3">
      <c r="A58" s="214"/>
      <c r="B58" s="214"/>
      <c r="C58" s="214"/>
      <c r="D58" s="214"/>
      <c r="E58" s="214"/>
      <c r="F58" s="214"/>
      <c r="G58" s="214"/>
      <c r="H58" s="214"/>
      <c r="I58" s="214"/>
      <c r="J58" s="214"/>
      <c r="K58" s="214"/>
      <c r="L58" s="214"/>
      <c r="M58" s="214"/>
      <c r="N58" s="214"/>
      <c r="O58" s="214"/>
      <c r="P58" s="214"/>
      <c r="Q58" s="214"/>
      <c r="R58" s="214"/>
      <c r="S58" s="214"/>
      <c r="T58" s="214"/>
      <c r="U58" s="214"/>
      <c r="V58" s="214"/>
      <c r="W58" s="214"/>
      <c r="X58" s="214"/>
      <c r="Y58" s="214"/>
      <c r="Z58" s="214"/>
      <c r="AA58" s="214"/>
      <c r="AB58" s="214"/>
      <c r="AC58" s="214"/>
      <c r="AD58" s="214"/>
      <c r="AE58" s="214"/>
      <c r="AF58" s="214"/>
      <c r="AG58" s="214"/>
      <c r="AH58" s="214"/>
      <c r="AI58" s="214"/>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row>
    <row r="59" spans="1:66" ht="12.6"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row>
    <row r="60" spans="1:66" ht="12" customHeight="1" thickBot="1" x14ac:dyDescent="0.35">
      <c r="A60" s="98"/>
      <c r="B60" s="98"/>
      <c r="C60" s="98"/>
      <c r="D60" s="98"/>
      <c r="E60" s="98"/>
      <c r="F60" s="98"/>
      <c r="G60" s="98"/>
      <c r="H60" s="98"/>
      <c r="I60" s="98"/>
      <c r="J60" s="98"/>
      <c r="K60" s="98"/>
      <c r="L60" s="98"/>
      <c r="M60" s="98"/>
      <c r="N60" s="98"/>
      <c r="O60" s="98"/>
      <c r="P60" s="98"/>
      <c r="Q60" s="98"/>
      <c r="R60" s="98"/>
      <c r="S60" s="98"/>
      <c r="T60" s="265"/>
      <c r="U60" s="265"/>
      <c r="V60" s="265"/>
      <c r="W60" s="265"/>
      <c r="X60" s="55"/>
      <c r="Y60" s="55"/>
      <c r="Z60" s="55"/>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row>
    <row r="61" spans="1:66" ht="12" customHeight="1" thickBot="1" x14ac:dyDescent="0.35">
      <c r="A61" s="98"/>
      <c r="B61" s="266" t="s">
        <v>200</v>
      </c>
      <c r="C61" s="267"/>
      <c r="D61" s="267"/>
      <c r="E61" s="267"/>
      <c r="F61" s="267"/>
      <c r="G61" s="267"/>
      <c r="H61" s="267"/>
      <c r="I61" s="267"/>
      <c r="J61" s="267"/>
      <c r="K61" s="267"/>
      <c r="L61" s="267"/>
      <c r="M61" s="267"/>
      <c r="N61" s="267"/>
      <c r="O61" s="267"/>
      <c r="P61" s="267"/>
      <c r="Q61" s="267"/>
      <c r="R61" s="267"/>
      <c r="S61" s="267"/>
      <c r="T61" s="268"/>
      <c r="U61" s="268"/>
      <c r="V61" s="269"/>
      <c r="W61" s="265"/>
      <c r="X61" s="55"/>
      <c r="Y61" s="55"/>
      <c r="Z61" s="55"/>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row>
    <row r="62" spans="1:66" ht="21.6" customHeight="1" x14ac:dyDescent="0.3">
      <c r="A62" s="98"/>
      <c r="B62" s="270"/>
      <c r="C62" s="98"/>
      <c r="D62" s="98"/>
      <c r="E62" s="98"/>
      <c r="F62" s="98"/>
      <c r="G62" s="98"/>
      <c r="H62" s="98"/>
      <c r="I62" s="98"/>
      <c r="J62" s="98"/>
      <c r="K62" s="98"/>
      <c r="L62" s="98"/>
      <c r="M62" s="98"/>
      <c r="N62" s="98"/>
      <c r="O62" s="98"/>
      <c r="P62" s="98"/>
      <c r="Q62" s="98"/>
      <c r="R62" s="98"/>
      <c r="S62" s="98"/>
      <c r="T62" s="98"/>
      <c r="U62" s="98"/>
      <c r="V62" s="98"/>
      <c r="W62" s="98"/>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row>
    <row r="63" spans="1:66" ht="21" customHeight="1" x14ac:dyDescent="0.3">
      <c r="A63" s="98"/>
      <c r="B63" s="98"/>
      <c r="C63" s="98"/>
      <c r="D63" s="98"/>
      <c r="E63" s="98"/>
      <c r="F63" s="98"/>
      <c r="G63" s="98"/>
      <c r="H63" s="98"/>
      <c r="I63" s="98"/>
      <c r="J63" s="98"/>
      <c r="K63" s="98"/>
      <c r="L63" s="98"/>
      <c r="M63" s="98"/>
      <c r="N63" s="98"/>
      <c r="O63" s="98"/>
      <c r="P63" s="98"/>
      <c r="Q63" s="98"/>
      <c r="R63" s="98"/>
      <c r="S63" s="98"/>
      <c r="T63" s="98"/>
      <c r="U63" s="98"/>
      <c r="V63" s="98"/>
      <c r="W63" s="98"/>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row>
    <row r="64" spans="1:66" ht="42.6" customHeight="1" x14ac:dyDescent="0.3">
      <c r="A64" s="98"/>
      <c r="B64" s="356" t="s">
        <v>201</v>
      </c>
      <c r="C64" s="271" t="s">
        <v>202</v>
      </c>
      <c r="D64" s="272" t="s">
        <v>172</v>
      </c>
      <c r="E64" s="272" t="s">
        <v>173</v>
      </c>
      <c r="F64" s="273" t="s">
        <v>174</v>
      </c>
      <c r="G64" s="272" t="s">
        <v>175</v>
      </c>
      <c r="H64" s="274"/>
      <c r="I64" s="274"/>
      <c r="J64" s="274"/>
      <c r="K64" s="274"/>
      <c r="L64" s="274"/>
      <c r="M64" s="274"/>
      <c r="N64" s="274"/>
      <c r="O64" s="274"/>
      <c r="P64" s="274"/>
      <c r="Q64" s="274"/>
      <c r="R64" s="274"/>
      <c r="S64" s="274"/>
      <c r="T64" s="274"/>
      <c r="U64" s="274"/>
      <c r="V64" s="274"/>
      <c r="W64" s="98"/>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row>
    <row r="65" spans="1:66" ht="15.6" customHeight="1" x14ac:dyDescent="0.3">
      <c r="A65" s="98"/>
      <c r="B65" s="275">
        <v>2019</v>
      </c>
      <c r="C65" s="357">
        <f>C22/P22*100</f>
        <v>13.392017270648287</v>
      </c>
      <c r="D65" s="276"/>
      <c r="E65" s="276"/>
      <c r="F65" s="276"/>
      <c r="G65" s="276"/>
      <c r="H65" s="277"/>
      <c r="I65" s="277"/>
      <c r="J65" s="277"/>
      <c r="K65" s="277"/>
      <c r="L65" s="277"/>
      <c r="M65" s="277"/>
      <c r="N65" s="277"/>
      <c r="O65" s="277"/>
      <c r="P65" s="277"/>
      <c r="Q65" s="277"/>
      <c r="R65" s="277"/>
      <c r="S65" s="277"/>
      <c r="T65" s="277"/>
      <c r="U65" s="277"/>
      <c r="V65" s="277"/>
      <c r="W65" s="278"/>
      <c r="X65" s="44"/>
      <c r="Y65" s="44"/>
      <c r="Z65" s="44"/>
      <c r="AA65" s="46"/>
      <c r="AB65" s="46"/>
      <c r="AC65" s="46"/>
      <c r="AD65" s="46"/>
      <c r="AE65" s="46"/>
      <c r="AF65" s="46"/>
      <c r="AG65" s="44"/>
      <c r="AH65" s="44"/>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row>
    <row r="66" spans="1:66" s="51" customFormat="1" ht="15.6" customHeight="1" x14ac:dyDescent="0.3">
      <c r="A66" s="279"/>
      <c r="B66" s="280">
        <v>2020</v>
      </c>
      <c r="C66" s="357">
        <f>D22/Q22*100</f>
        <v>13.487799714678001</v>
      </c>
      <c r="D66" s="276"/>
      <c r="E66" s="276"/>
      <c r="F66" s="276"/>
      <c r="G66" s="276"/>
      <c r="H66" s="281"/>
      <c r="I66" s="281"/>
      <c r="J66" s="281"/>
      <c r="K66" s="281"/>
      <c r="L66" s="281"/>
      <c r="M66" s="281"/>
      <c r="N66" s="281"/>
      <c r="O66" s="281"/>
      <c r="P66" s="281"/>
      <c r="Q66" s="281"/>
      <c r="R66" s="281"/>
      <c r="S66" s="281"/>
      <c r="T66" s="281"/>
      <c r="U66" s="281"/>
      <c r="V66" s="281"/>
      <c r="W66" s="282"/>
      <c r="X66" s="48"/>
      <c r="Y66" s="48"/>
      <c r="Z66" s="48"/>
      <c r="AA66" s="48"/>
      <c r="AB66" s="48"/>
      <c r="AC66" s="48"/>
      <c r="AD66" s="48"/>
      <c r="AE66" s="48"/>
      <c r="AF66" s="48"/>
      <c r="AG66" s="48"/>
      <c r="AH66" s="48"/>
      <c r="AI66" s="47"/>
      <c r="AJ66" s="47"/>
      <c r="AK66" s="47"/>
      <c r="AL66" s="47"/>
      <c r="AM66" s="47"/>
      <c r="AN66" s="47"/>
      <c r="AO66" s="47"/>
      <c r="AP66" s="47"/>
      <c r="AQ66" s="47"/>
      <c r="AR66" s="47"/>
      <c r="AS66" s="47"/>
      <c r="AT66" s="47"/>
      <c r="AU66" s="47"/>
      <c r="AV66" s="47"/>
      <c r="AW66" s="47"/>
      <c r="AX66" s="47"/>
      <c r="AY66" s="47"/>
      <c r="AZ66" s="47"/>
      <c r="BA66" s="47"/>
      <c r="BB66" s="47"/>
      <c r="BC66" s="47"/>
      <c r="BD66" s="47"/>
      <c r="BE66" s="47"/>
      <c r="BF66" s="47"/>
      <c r="BG66" s="47"/>
      <c r="BH66" s="47"/>
      <c r="BI66" s="47"/>
      <c r="BJ66" s="47"/>
      <c r="BK66" s="47"/>
      <c r="BL66" s="47"/>
      <c r="BM66" s="47"/>
      <c r="BN66" s="47"/>
    </row>
    <row r="67" spans="1:66" ht="15.6" customHeight="1" x14ac:dyDescent="0.3">
      <c r="A67" s="98"/>
      <c r="B67" s="275">
        <v>2021</v>
      </c>
      <c r="C67" s="357">
        <f>E22/R22*100</f>
        <v>13.967088357723116</v>
      </c>
      <c r="D67" s="276"/>
      <c r="E67" s="276"/>
      <c r="F67" s="276"/>
      <c r="G67" s="276"/>
      <c r="H67" s="281"/>
      <c r="I67" s="281"/>
      <c r="J67" s="281"/>
      <c r="K67" s="281"/>
      <c r="L67" s="281"/>
      <c r="M67" s="281"/>
      <c r="N67" s="281"/>
      <c r="O67" s="281"/>
      <c r="P67" s="281"/>
      <c r="Q67" s="281"/>
      <c r="R67" s="281"/>
      <c r="S67" s="281"/>
      <c r="T67" s="281"/>
      <c r="U67" s="281"/>
      <c r="V67" s="281"/>
      <c r="W67" s="283"/>
      <c r="X67" s="52"/>
      <c r="Y67" s="52"/>
      <c r="Z67" s="52"/>
      <c r="AA67" s="43"/>
      <c r="AB67" s="43"/>
      <c r="AC67" s="43"/>
      <c r="AD67" s="43"/>
      <c r="AE67" s="43"/>
      <c r="AF67" s="43"/>
      <c r="AG67" s="43"/>
      <c r="AH67" s="43"/>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row>
    <row r="68" spans="1:66" ht="15.6" customHeight="1" x14ac:dyDescent="0.3">
      <c r="A68" s="98"/>
      <c r="B68" s="280">
        <v>2022</v>
      </c>
      <c r="C68" s="357">
        <f>F22/S22*100</f>
        <v>14.462555569655585</v>
      </c>
      <c r="D68" s="276"/>
      <c r="E68" s="276"/>
      <c r="F68" s="276"/>
      <c r="G68" s="276"/>
      <c r="H68" s="284"/>
      <c r="I68" s="284"/>
      <c r="J68" s="284"/>
      <c r="K68" s="284"/>
      <c r="L68" s="284"/>
      <c r="M68" s="284"/>
      <c r="N68" s="284"/>
      <c r="O68" s="284"/>
      <c r="P68" s="284"/>
      <c r="Q68" s="284"/>
      <c r="R68" s="284"/>
      <c r="S68" s="284"/>
      <c r="T68" s="284"/>
      <c r="U68" s="284"/>
      <c r="V68" s="284"/>
      <c r="W68" s="98"/>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row>
    <row r="69" spans="1:66" ht="15.6" customHeight="1" x14ac:dyDescent="0.3">
      <c r="A69" s="98"/>
      <c r="B69" s="275">
        <v>2023</v>
      </c>
      <c r="C69" s="357">
        <f>G22/$T22*100</f>
        <v>13.931916457483526</v>
      </c>
      <c r="D69" s="357">
        <f>H22/$T22*100</f>
        <v>15.554892164717144</v>
      </c>
      <c r="E69" s="357">
        <f>I22/$T22*100</f>
        <v>13.564989858122281</v>
      </c>
      <c r="F69" s="357">
        <f>J22/$T22*100</f>
        <v>14.445871688978048</v>
      </c>
      <c r="G69" s="357">
        <f>K22/$T22*100</f>
        <v>13.852218759321008</v>
      </c>
      <c r="H69" s="277"/>
      <c r="I69" s="277"/>
      <c r="J69" s="277"/>
      <c r="K69" s="277"/>
      <c r="L69" s="277"/>
      <c r="M69" s="277"/>
      <c r="N69" s="277"/>
      <c r="O69" s="277"/>
      <c r="P69" s="277"/>
      <c r="Q69" s="277"/>
      <c r="R69" s="277"/>
      <c r="S69" s="277"/>
      <c r="T69" s="277"/>
      <c r="U69" s="277"/>
      <c r="V69" s="277"/>
      <c r="W69" s="98"/>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row>
    <row r="70" spans="1:66" ht="15.6" customHeight="1" x14ac:dyDescent="0.3">
      <c r="A70" s="98"/>
      <c r="B70" s="280">
        <v>2024</v>
      </c>
      <c r="C70" s="276"/>
      <c r="D70" s="358"/>
      <c r="E70" s="357"/>
      <c r="F70" s="357"/>
      <c r="G70" s="357"/>
      <c r="H70" s="284"/>
      <c r="I70" s="284"/>
      <c r="J70" s="284"/>
      <c r="K70" s="284"/>
      <c r="L70" s="284"/>
      <c r="M70" s="284"/>
      <c r="N70" s="284"/>
      <c r="O70" s="284"/>
      <c r="P70" s="284"/>
      <c r="Q70" s="284"/>
      <c r="R70" s="284"/>
      <c r="S70" s="284"/>
      <c r="T70" s="284"/>
      <c r="U70" s="284"/>
      <c r="V70" s="284"/>
      <c r="W70" s="98"/>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row>
    <row r="71" spans="1:66" ht="15.6" customHeight="1" x14ac:dyDescent="0.3">
      <c r="A71" s="98"/>
      <c r="B71" s="275">
        <v>2025</v>
      </c>
      <c r="C71" s="276"/>
      <c r="D71" s="358"/>
      <c r="E71" s="357"/>
      <c r="F71" s="357"/>
      <c r="G71" s="357"/>
      <c r="H71" s="284"/>
      <c r="I71" s="284"/>
      <c r="J71" s="284"/>
      <c r="K71" s="284"/>
      <c r="L71" s="284"/>
      <c r="M71" s="284"/>
      <c r="N71" s="284"/>
      <c r="O71" s="284"/>
      <c r="P71" s="284"/>
      <c r="Q71" s="284"/>
      <c r="R71" s="284"/>
      <c r="S71" s="284"/>
      <c r="T71" s="284"/>
      <c r="U71" s="284"/>
      <c r="V71" s="284"/>
      <c r="W71" s="98"/>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row>
    <row r="72" spans="1:66" ht="15.6" customHeight="1" x14ac:dyDescent="0.3">
      <c r="A72" s="98"/>
      <c r="B72" s="280">
        <v>2026</v>
      </c>
      <c r="C72" s="276"/>
      <c r="D72" s="357"/>
      <c r="E72" s="357"/>
      <c r="F72" s="357"/>
      <c r="G72" s="357"/>
      <c r="H72" s="277"/>
      <c r="I72" s="277"/>
      <c r="J72" s="277"/>
      <c r="K72" s="277"/>
      <c r="L72" s="277"/>
      <c r="M72" s="277"/>
      <c r="N72" s="277"/>
      <c r="O72" s="277"/>
      <c r="P72" s="277"/>
      <c r="Q72" s="277"/>
      <c r="R72" s="277"/>
      <c r="S72" s="277"/>
      <c r="T72" s="277"/>
      <c r="U72" s="277"/>
      <c r="V72" s="277"/>
      <c r="W72" s="98"/>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row>
    <row r="73" spans="1:66" ht="12.6" customHeight="1" x14ac:dyDescent="0.3">
      <c r="A73" s="98"/>
      <c r="B73" s="98"/>
      <c r="C73" s="98"/>
      <c r="D73" s="98"/>
      <c r="E73" s="98"/>
      <c r="F73" s="98"/>
      <c r="G73" s="98"/>
      <c r="H73" s="98"/>
      <c r="I73" s="98"/>
      <c r="J73" s="98"/>
      <c r="K73" s="98"/>
      <c r="L73" s="98"/>
      <c r="M73" s="98"/>
      <c r="N73" s="98"/>
      <c r="O73" s="98"/>
      <c r="P73" s="98"/>
      <c r="Q73" s="98"/>
      <c r="R73" s="98"/>
      <c r="S73" s="98"/>
      <c r="T73" s="98"/>
      <c r="U73" s="98"/>
      <c r="V73" s="98"/>
      <c r="W73" s="98"/>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row>
    <row r="74" spans="1:66" ht="12.6" customHeight="1" x14ac:dyDescent="0.3">
      <c r="A74" s="98"/>
      <c r="B74" s="98"/>
      <c r="C74" s="285"/>
      <c r="D74" s="98"/>
      <c r="E74" s="98"/>
      <c r="F74" s="98"/>
      <c r="G74" s="98"/>
      <c r="H74" s="98"/>
      <c r="I74" s="98"/>
      <c r="J74" s="98"/>
      <c r="K74" s="98"/>
      <c r="L74" s="98"/>
      <c r="M74" s="98"/>
      <c r="N74" s="98"/>
      <c r="O74" s="98"/>
      <c r="P74" s="98"/>
      <c r="Q74" s="98"/>
      <c r="R74" s="98"/>
      <c r="S74" s="98"/>
      <c r="T74" s="98"/>
      <c r="U74" s="98"/>
      <c r="V74" s="98"/>
      <c r="W74" s="98"/>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row>
    <row r="75" spans="1:66" ht="12.6" customHeight="1" x14ac:dyDescent="0.3">
      <c r="A75" s="98"/>
      <c r="B75" s="98"/>
      <c r="C75" s="98"/>
      <c r="D75" s="98"/>
      <c r="E75" s="98"/>
      <c r="F75" s="98"/>
      <c r="G75" s="98"/>
      <c r="H75" s="98"/>
      <c r="I75" s="98"/>
      <c r="J75" s="98"/>
      <c r="K75" s="98"/>
      <c r="L75" s="98"/>
      <c r="M75" s="98"/>
      <c r="N75" s="98"/>
      <c r="O75" s="98"/>
      <c r="P75" s="98"/>
      <c r="Q75" s="98"/>
      <c r="R75" s="98"/>
      <c r="S75" s="98"/>
      <c r="T75" s="98"/>
      <c r="U75" s="98"/>
      <c r="V75" s="98"/>
      <c r="W75" s="98"/>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row>
    <row r="76" spans="1:66" ht="18" customHeight="1" x14ac:dyDescent="0.3">
      <c r="A76" s="98"/>
      <c r="B76" s="98"/>
      <c r="C76" s="98"/>
      <c r="D76" s="98"/>
      <c r="E76" s="98"/>
      <c r="F76" s="98"/>
      <c r="G76" s="98"/>
      <c r="H76" s="98"/>
      <c r="I76" s="98"/>
      <c r="J76" s="98"/>
      <c r="K76" s="98"/>
      <c r="L76" s="98"/>
      <c r="M76" s="98"/>
      <c r="N76" s="98"/>
      <c r="O76" s="98"/>
      <c r="P76" s="98"/>
      <c r="Q76" s="98"/>
      <c r="R76" s="98"/>
      <c r="S76" s="98"/>
      <c r="T76" s="98"/>
      <c r="U76" s="98"/>
      <c r="V76" s="98"/>
      <c r="W76" s="98"/>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row>
    <row r="77" spans="1:66" ht="42" customHeight="1" x14ac:dyDescent="0.3">
      <c r="A77" s="98"/>
      <c r="B77" s="356" t="s">
        <v>203</v>
      </c>
      <c r="C77" s="271" t="s">
        <v>202</v>
      </c>
      <c r="D77" s="272" t="s">
        <v>172</v>
      </c>
      <c r="E77" s="272" t="s">
        <v>173</v>
      </c>
      <c r="F77" s="273" t="s">
        <v>174</v>
      </c>
      <c r="G77" s="272" t="s">
        <v>175</v>
      </c>
      <c r="H77" s="98"/>
      <c r="I77" s="98"/>
      <c r="J77" s="98"/>
      <c r="K77" s="98"/>
      <c r="L77" s="98"/>
      <c r="M77" s="98"/>
      <c r="N77" s="98"/>
      <c r="O77" s="98"/>
      <c r="P77" s="98"/>
      <c r="Q77" s="98"/>
      <c r="R77" s="98"/>
      <c r="S77" s="98"/>
      <c r="T77" s="98"/>
      <c r="U77" s="98"/>
      <c r="V77" s="98"/>
      <c r="W77" s="98"/>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row>
    <row r="78" spans="1:66" ht="15.6" customHeight="1" x14ac:dyDescent="0.3">
      <c r="A78" s="98"/>
      <c r="B78" s="275">
        <v>2019</v>
      </c>
      <c r="C78" s="357">
        <f>C65</f>
        <v>13.392017270648287</v>
      </c>
      <c r="D78" s="276"/>
      <c r="E78" s="276"/>
      <c r="F78" s="276"/>
      <c r="G78" s="276"/>
      <c r="H78" s="98"/>
      <c r="I78" s="98"/>
      <c r="J78" s="98"/>
      <c r="K78" s="98"/>
      <c r="L78" s="98"/>
      <c r="M78" s="98"/>
      <c r="N78" s="98"/>
      <c r="O78" s="98"/>
      <c r="P78" s="98"/>
      <c r="Q78" s="98"/>
      <c r="R78" s="98"/>
      <c r="S78" s="98"/>
      <c r="T78" s="98"/>
      <c r="U78" s="98"/>
      <c r="V78" s="98"/>
      <c r="W78" s="98"/>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row>
    <row r="79" spans="1:66" s="1" customFormat="1" ht="15" customHeight="1" x14ac:dyDescent="0.3">
      <c r="A79" s="98"/>
      <c r="B79" s="280">
        <v>2020</v>
      </c>
      <c r="C79" s="357">
        <f>C66</f>
        <v>13.487799714678001</v>
      </c>
      <c r="D79" s="276"/>
      <c r="E79" s="276"/>
      <c r="F79" s="276"/>
      <c r="G79" s="276"/>
      <c r="H79" s="98"/>
      <c r="I79" s="98"/>
      <c r="J79" s="98"/>
      <c r="K79" s="98"/>
      <c r="L79" s="98"/>
      <c r="M79" s="98"/>
      <c r="N79" s="98"/>
      <c r="O79" s="98"/>
      <c r="P79" s="98"/>
      <c r="Q79" s="98"/>
      <c r="R79" s="98"/>
      <c r="S79" s="98"/>
      <c r="T79" s="98"/>
      <c r="U79" s="98"/>
      <c r="V79" s="98"/>
      <c r="W79" s="98"/>
    </row>
    <row r="80" spans="1:66" s="1" customFormat="1" ht="15" customHeight="1" x14ac:dyDescent="0.3">
      <c r="A80" s="98"/>
      <c r="B80" s="275">
        <v>2021</v>
      </c>
      <c r="C80" s="357">
        <f>C67</f>
        <v>13.967088357723116</v>
      </c>
      <c r="D80" s="276"/>
      <c r="E80" s="276"/>
      <c r="F80" s="276"/>
      <c r="G80" s="276"/>
      <c r="H80" s="98"/>
      <c r="I80" s="98"/>
      <c r="J80" s="98"/>
      <c r="K80" s="98"/>
      <c r="L80" s="98"/>
      <c r="M80" s="98"/>
      <c r="N80" s="98"/>
      <c r="O80" s="98"/>
      <c r="P80" s="98"/>
      <c r="Q80" s="98"/>
      <c r="R80" s="98"/>
      <c r="S80" s="98"/>
      <c r="T80" s="98"/>
      <c r="U80" s="98"/>
      <c r="V80" s="98"/>
      <c r="W80" s="98"/>
    </row>
    <row r="81" spans="1:23" s="1" customFormat="1" ht="15" customHeight="1" x14ac:dyDescent="0.3">
      <c r="A81" s="98"/>
      <c r="B81" s="280">
        <v>2022</v>
      </c>
      <c r="C81" s="357">
        <f>C68</f>
        <v>14.462555569655585</v>
      </c>
      <c r="D81" s="276"/>
      <c r="E81" s="276"/>
      <c r="F81" s="276"/>
      <c r="G81" s="276"/>
      <c r="H81" s="98"/>
      <c r="I81" s="98"/>
      <c r="J81" s="98"/>
      <c r="K81" s="98"/>
      <c r="L81" s="98"/>
      <c r="M81" s="98"/>
      <c r="N81" s="98"/>
      <c r="O81" s="98"/>
      <c r="P81" s="98"/>
      <c r="Q81" s="98"/>
      <c r="R81" s="98"/>
      <c r="S81" s="98"/>
      <c r="T81" s="98"/>
      <c r="U81" s="98"/>
      <c r="V81" s="98"/>
      <c r="W81" s="98"/>
    </row>
    <row r="82" spans="1:23" s="1" customFormat="1" ht="15" customHeight="1" x14ac:dyDescent="0.3">
      <c r="A82" s="98"/>
      <c r="B82" s="275">
        <v>2023</v>
      </c>
      <c r="C82" s="357">
        <f>C69</f>
        <v>13.931916457483526</v>
      </c>
      <c r="D82" s="357">
        <f>D69</f>
        <v>15.554892164717144</v>
      </c>
      <c r="E82" s="357">
        <f>E69</f>
        <v>13.564989858122281</v>
      </c>
      <c r="F82" s="357">
        <f>F69</f>
        <v>14.445871688978048</v>
      </c>
      <c r="G82" s="357">
        <f>G69</f>
        <v>13.852218759321008</v>
      </c>
      <c r="H82" s="98"/>
      <c r="I82" s="98"/>
      <c r="J82" s="98"/>
      <c r="K82" s="98"/>
      <c r="L82" s="98"/>
      <c r="M82" s="98"/>
      <c r="N82" s="98"/>
      <c r="O82" s="98"/>
      <c r="P82" s="98"/>
      <c r="Q82" s="98"/>
      <c r="R82" s="98"/>
      <c r="S82" s="98"/>
      <c r="T82" s="98"/>
      <c r="U82" s="98"/>
      <c r="V82" s="98"/>
      <c r="W82" s="98"/>
    </row>
    <row r="83" spans="1:23" s="1" customFormat="1" ht="15" customHeight="1" x14ac:dyDescent="0.3">
      <c r="A83" s="98"/>
      <c r="B83" s="280">
        <v>2024</v>
      </c>
      <c r="C83" s="357"/>
      <c r="D83" s="358"/>
      <c r="E83" s="358"/>
      <c r="F83" s="358"/>
      <c r="G83" s="358"/>
      <c r="H83" s="98"/>
      <c r="I83" s="98"/>
      <c r="J83" s="98"/>
      <c r="K83" s="98"/>
      <c r="L83" s="98"/>
      <c r="M83" s="98"/>
      <c r="N83" s="98"/>
      <c r="O83" s="98"/>
      <c r="P83" s="98"/>
      <c r="Q83" s="98"/>
      <c r="R83" s="98"/>
      <c r="S83" s="98"/>
      <c r="T83" s="98"/>
      <c r="U83" s="98"/>
      <c r="V83" s="98"/>
      <c r="W83" s="98"/>
    </row>
    <row r="84" spans="1:23" s="1" customFormat="1" ht="15" customHeight="1" x14ac:dyDescent="0.3">
      <c r="A84" s="98"/>
      <c r="B84" s="275">
        <v>2025</v>
      </c>
      <c r="C84" s="357"/>
      <c r="D84" s="358"/>
      <c r="E84" s="358"/>
      <c r="F84" s="358"/>
      <c r="G84" s="358"/>
      <c r="H84" s="98"/>
      <c r="I84" s="98"/>
      <c r="J84" s="98"/>
      <c r="K84" s="98"/>
      <c r="L84" s="98"/>
      <c r="M84" s="98"/>
      <c r="N84" s="98"/>
      <c r="O84" s="98"/>
      <c r="P84" s="98"/>
      <c r="Q84" s="98"/>
      <c r="R84" s="98"/>
      <c r="S84" s="98"/>
      <c r="T84" s="98"/>
      <c r="U84" s="98"/>
      <c r="V84" s="98"/>
      <c r="W84" s="98"/>
    </row>
    <row r="85" spans="1:23" s="1" customFormat="1" ht="15" customHeight="1" x14ac:dyDescent="0.3">
      <c r="A85" s="98"/>
      <c r="B85" s="280">
        <v>2026</v>
      </c>
      <c r="C85" s="357"/>
      <c r="D85" s="357"/>
      <c r="E85" s="357"/>
      <c r="F85" s="357"/>
      <c r="G85" s="357"/>
      <c r="H85" s="98"/>
      <c r="I85" s="98"/>
      <c r="J85" s="98"/>
      <c r="K85" s="98"/>
      <c r="L85" s="98"/>
      <c r="M85" s="98"/>
      <c r="N85" s="98"/>
      <c r="O85" s="98"/>
      <c r="P85" s="98"/>
      <c r="Q85" s="98"/>
      <c r="R85" s="98"/>
      <c r="S85" s="98"/>
      <c r="T85" s="98"/>
      <c r="U85" s="98"/>
      <c r="V85" s="98"/>
      <c r="W85" s="98"/>
    </row>
    <row r="86" spans="1:23" s="1" customFormat="1" ht="12.6" customHeight="1" x14ac:dyDescent="0.3">
      <c r="A86" s="98"/>
      <c r="B86" s="98"/>
      <c r="C86" s="98"/>
      <c r="D86" s="285"/>
      <c r="E86" s="98"/>
      <c r="F86" s="98"/>
      <c r="G86" s="98"/>
      <c r="H86" s="98"/>
      <c r="I86" s="98"/>
      <c r="J86" s="98"/>
      <c r="K86" s="98"/>
      <c r="L86" s="98"/>
      <c r="M86" s="98"/>
      <c r="N86" s="98"/>
      <c r="O86" s="98"/>
      <c r="P86" s="98"/>
      <c r="Q86" s="98"/>
      <c r="R86" s="98"/>
      <c r="S86" s="98"/>
      <c r="T86" s="98"/>
      <c r="U86" s="98"/>
      <c r="V86" s="98"/>
      <c r="W86" s="98"/>
    </row>
    <row r="87" spans="1:23" s="1" customFormat="1" ht="12.6" customHeight="1" x14ac:dyDescent="0.3">
      <c r="A87" s="98"/>
      <c r="B87" s="98"/>
      <c r="C87" s="98"/>
      <c r="D87" s="98"/>
      <c r="E87" s="98"/>
      <c r="F87" s="98"/>
      <c r="G87" s="98"/>
      <c r="H87" s="98"/>
      <c r="I87" s="98"/>
      <c r="J87" s="98"/>
      <c r="K87" s="98"/>
      <c r="L87" s="98"/>
      <c r="M87" s="98"/>
      <c r="N87" s="98"/>
      <c r="O87" s="98"/>
      <c r="P87" s="98"/>
      <c r="Q87" s="98"/>
      <c r="R87" s="98"/>
      <c r="S87" s="98"/>
      <c r="T87" s="98"/>
      <c r="U87" s="98"/>
      <c r="V87" s="98"/>
      <c r="W87" s="98"/>
    </row>
    <row r="88" spans="1:23" s="1" customFormat="1" ht="12.6" customHeight="1" x14ac:dyDescent="0.3">
      <c r="A88" s="98"/>
      <c r="B88" s="98"/>
      <c r="C88" s="98"/>
      <c r="D88" s="98"/>
      <c r="E88" s="98"/>
      <c r="F88" s="98"/>
      <c r="G88" s="98"/>
      <c r="H88" s="98"/>
      <c r="I88" s="98"/>
      <c r="J88" s="98"/>
      <c r="K88" s="98"/>
      <c r="L88" s="98"/>
      <c r="M88" s="98"/>
      <c r="N88" s="98"/>
      <c r="O88" s="98"/>
      <c r="P88" s="98"/>
      <c r="Q88" s="98"/>
      <c r="R88" s="98"/>
      <c r="S88" s="98"/>
      <c r="T88" s="98"/>
      <c r="U88" s="98"/>
      <c r="V88" s="98"/>
      <c r="W88" s="98"/>
    </row>
    <row r="89" spans="1:23" s="1" customFormat="1" ht="12.6" customHeight="1" x14ac:dyDescent="0.3"/>
    <row r="90" spans="1:23" s="1" customFormat="1" ht="12.6" customHeight="1" x14ac:dyDescent="0.3"/>
    <row r="91" spans="1:23" s="1" customFormat="1" x14ac:dyDescent="0.3"/>
    <row r="92" spans="1:23" s="1" customFormat="1" x14ac:dyDescent="0.3"/>
    <row r="93" spans="1:23" s="1" customFormat="1" x14ac:dyDescent="0.3"/>
    <row r="94" spans="1:23" s="1" customFormat="1" x14ac:dyDescent="0.3"/>
    <row r="95" spans="1:23" s="1" customFormat="1" x14ac:dyDescent="0.3"/>
    <row r="96" spans="1:23" s="1" customFormat="1" x14ac:dyDescent="0.3"/>
    <row r="97" s="1" customFormat="1" x14ac:dyDescent="0.3"/>
    <row r="98" s="1" customFormat="1" x14ac:dyDescent="0.3"/>
    <row r="99" s="1" customFormat="1" x14ac:dyDescent="0.3"/>
    <row r="100" s="1" customFormat="1" x14ac:dyDescent="0.3"/>
    <row r="101" s="1" customFormat="1" x14ac:dyDescent="0.3"/>
    <row r="102" s="1" customFormat="1" x14ac:dyDescent="0.3"/>
    <row r="103" s="1" customFormat="1" x14ac:dyDescent="0.3"/>
    <row r="104" s="1" customFormat="1" x14ac:dyDescent="0.3"/>
    <row r="105" s="1" customFormat="1" x14ac:dyDescent="0.3"/>
    <row r="106" s="1" customFormat="1" x14ac:dyDescent="0.3"/>
    <row r="107" s="1" customFormat="1" x14ac:dyDescent="0.3"/>
    <row r="108" s="1" customFormat="1" x14ac:dyDescent="0.3"/>
    <row r="109" s="1" customFormat="1" x14ac:dyDescent="0.3"/>
    <row r="110" s="1" customFormat="1" x14ac:dyDescent="0.3"/>
    <row r="111" s="1" customFormat="1" x14ac:dyDescent="0.3"/>
    <row r="112" s="1" customFormat="1" x14ac:dyDescent="0.3"/>
    <row r="113" s="1" customFormat="1" x14ac:dyDescent="0.3"/>
    <row r="114" s="1" customFormat="1" x14ac:dyDescent="0.3"/>
    <row r="115" s="1" customFormat="1" x14ac:dyDescent="0.3"/>
    <row r="116" s="1" customFormat="1" x14ac:dyDescent="0.3"/>
    <row r="117" s="1" customFormat="1" x14ac:dyDescent="0.3"/>
    <row r="118" s="1" customFormat="1" x14ac:dyDescent="0.3"/>
    <row r="119" s="1" customFormat="1" x14ac:dyDescent="0.3"/>
    <row r="120" s="1" customFormat="1" x14ac:dyDescent="0.3"/>
    <row r="121" s="1" customFormat="1" x14ac:dyDescent="0.3"/>
  </sheetData>
  <pageMargins left="0.7" right="0.7" top="0.75" bottom="0.75" header="0.3" footer="0.3"/>
  <pageSetup paperSize="9" orientation="portrait" r:id="rId1"/>
  <drawing r:id="rId2"/>
  <legacyDrawing r:id="rId3"/>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715B5F-32C7-407E-BDF2-9487CF8C7FDD}">
  <dimension ref="A1:FQ27"/>
  <sheetViews>
    <sheetView zoomScale="120" zoomScaleNormal="120" workbookViewId="0">
      <selection activeCell="AH35" sqref="AH35"/>
    </sheetView>
  </sheetViews>
  <sheetFormatPr baseColWidth="10" defaultColWidth="8.6640625" defaultRowHeight="14.4" x14ac:dyDescent="0.3"/>
  <cols>
    <col min="1" max="1" width="4.33203125" customWidth="1"/>
    <col min="3" max="3" width="15.6640625" customWidth="1"/>
    <col min="4" max="7" width="14.5546875" customWidth="1"/>
    <col min="8" max="15" width="18" customWidth="1"/>
    <col min="16" max="17" width="18.6640625" customWidth="1"/>
    <col min="18" max="18" width="15.33203125" customWidth="1"/>
    <col min="19" max="22" width="18" customWidth="1"/>
    <col min="23" max="31" width="14.6640625" customWidth="1"/>
    <col min="32" max="32" width="15.33203125" customWidth="1"/>
    <col min="33" max="33" width="14.6640625" customWidth="1"/>
    <col min="34" max="41" width="13.5546875" customWidth="1"/>
    <col min="42" max="42" width="15.5546875" customWidth="1"/>
    <col min="43" max="43" width="13" customWidth="1"/>
    <col min="44" max="44" width="11.33203125" customWidth="1"/>
    <col min="45" max="45" width="12.33203125" customWidth="1"/>
    <col min="46" max="50" width="11.33203125" customWidth="1"/>
    <col min="51" max="51" width="13.44140625" customWidth="1"/>
    <col min="56" max="56" width="9.6640625" customWidth="1"/>
    <col min="60" max="60" width="16.44140625" customWidth="1"/>
    <col min="61" max="61" width="16.33203125" customWidth="1"/>
    <col min="62" max="63" width="15.33203125" customWidth="1"/>
    <col min="68" max="68" width="11.44140625" bestFit="1" customWidth="1"/>
    <col min="69" max="69" width="13.5546875" customWidth="1"/>
    <col min="70" max="70" width="13.6640625" customWidth="1"/>
    <col min="71" max="71" width="12.44140625" customWidth="1"/>
    <col min="72" max="77" width="12.6640625" customWidth="1"/>
    <col min="78" max="80" width="11.33203125" customWidth="1"/>
    <col min="81" max="85" width="11.6640625" hidden="1" customWidth="1"/>
    <col min="86" max="86" width="13.33203125" hidden="1" customWidth="1"/>
    <col min="87" max="88" width="11.6640625" hidden="1" customWidth="1"/>
    <col min="89" max="94" width="12.6640625" customWidth="1"/>
    <col min="95" max="96" width="11.33203125" customWidth="1"/>
    <col min="97" max="104" width="11.6640625" customWidth="1"/>
    <col min="105" max="108" width="13.44140625" customWidth="1"/>
    <col min="110" max="130" width="0.5546875" customWidth="1"/>
    <col min="131" max="132" width="15.5546875" customWidth="1"/>
    <col min="133" max="133" width="15.33203125" customWidth="1"/>
    <col min="134" max="134" width="14.5546875" customWidth="1"/>
    <col min="135" max="135" width="16.5546875" customWidth="1"/>
    <col min="136" max="138" width="18" customWidth="1"/>
    <col min="139" max="142" width="15.33203125" customWidth="1"/>
    <col min="143" max="143" width="11" customWidth="1"/>
    <col min="144" max="145" width="16" customWidth="1"/>
    <col min="146" max="146" width="9.33203125" customWidth="1"/>
    <col min="147" max="150" width="17" customWidth="1"/>
    <col min="153" max="153" width="10.6640625" customWidth="1"/>
    <col min="156" max="157" width="11.33203125" customWidth="1"/>
    <col min="158" max="161" width="9.6640625" customWidth="1"/>
    <col min="162" max="165" width="11.5546875" customWidth="1"/>
  </cols>
  <sheetData>
    <row r="1" spans="1:173" ht="15" thickBot="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ht="18" customHeight="1" thickBot="1" x14ac:dyDescent="0.35">
      <c r="A2" s="1"/>
      <c r="B2" s="2" t="s">
        <v>579</v>
      </c>
      <c r="C2" s="3"/>
      <c r="D2" s="3"/>
      <c r="E2" s="3"/>
      <c r="F2" s="3"/>
      <c r="G2" s="3"/>
      <c r="H2" s="4"/>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18" customHeight="1" x14ac:dyDescent="0.3">
      <c r="A3" s="1"/>
      <c r="B3" s="5" t="s">
        <v>0</v>
      </c>
      <c r="C3" s="6"/>
      <c r="D3" s="6"/>
      <c r="E3" s="6"/>
      <c r="F3" s="6"/>
      <c r="G3" s="6"/>
      <c r="H3" s="7"/>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18" customHeight="1" x14ac:dyDescent="0.3">
      <c r="A4" s="1"/>
      <c r="B4" s="8" t="s">
        <v>1</v>
      </c>
      <c r="C4" s="9"/>
      <c r="D4" s="9"/>
      <c r="E4" s="9"/>
      <c r="F4" s="9"/>
      <c r="G4" s="9"/>
      <c r="H4" s="10"/>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12.6" customHeight="1" x14ac:dyDescent="0.3">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row>
    <row r="6" spans="1:173" ht="12.6" customHeight="1" x14ac:dyDescent="0.3">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row>
    <row r="7" spans="1:173" ht="12.6" customHeight="1" x14ac:dyDescent="0.3">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c r="EU7" s="1"/>
      <c r="EV7" s="1"/>
      <c r="EW7" s="1"/>
      <c r="EX7" s="1"/>
      <c r="EY7" s="1"/>
      <c r="EZ7" s="1"/>
      <c r="FA7" s="1"/>
      <c r="FB7" s="1"/>
      <c r="FC7" s="1"/>
      <c r="FD7" s="1"/>
      <c r="FE7" s="1"/>
      <c r="FF7" s="1"/>
      <c r="FG7" s="1"/>
      <c r="FH7" s="1"/>
      <c r="FI7" s="1"/>
      <c r="FJ7" s="1"/>
      <c r="FK7" s="1"/>
      <c r="FL7" s="1"/>
      <c r="FM7" s="1"/>
      <c r="FN7" s="1"/>
      <c r="FO7" s="1"/>
      <c r="FP7" s="1"/>
      <c r="FQ7" s="1"/>
    </row>
    <row r="8" spans="1:173" ht="17.7" customHeight="1" x14ac:dyDescent="0.3">
      <c r="A8" s="1"/>
      <c r="B8" s="11" t="s">
        <v>2</v>
      </c>
      <c r="C8" s="12" t="s">
        <v>252</v>
      </c>
      <c r="D8" s="12" t="s">
        <v>253</v>
      </c>
      <c r="E8" s="385">
        <v>45706</v>
      </c>
      <c r="F8" s="125"/>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56"/>
      <c r="CD8" s="56"/>
      <c r="CE8" s="56"/>
      <c r="CF8" s="56"/>
      <c r="CG8" s="56"/>
      <c r="CH8" s="56"/>
      <c r="CI8" s="56"/>
      <c r="CJ8" s="56"/>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row>
    <row r="9" spans="1:173" ht="10.35" customHeight="1" x14ac:dyDescent="0.3">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56"/>
      <c r="CD9" s="56"/>
      <c r="CE9" s="56"/>
      <c r="CF9" s="56"/>
      <c r="CG9" s="56"/>
      <c r="CH9" s="56"/>
      <c r="CI9" s="56"/>
      <c r="CJ9" s="56"/>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row>
    <row r="10" spans="1:173" x14ac:dyDescent="0.3">
      <c r="A10" s="1"/>
      <c r="B10" s="1"/>
      <c r="C10" s="13" t="s">
        <v>6</v>
      </c>
      <c r="D10" s="14"/>
      <c r="E10" s="14"/>
      <c r="F10" s="14"/>
      <c r="G10" s="14"/>
      <c r="H10" s="14"/>
      <c r="I10" s="14"/>
      <c r="J10" s="14"/>
      <c r="K10" s="14"/>
      <c r="L10" s="14"/>
      <c r="M10" s="14"/>
      <c r="N10" s="14"/>
      <c r="O10" s="14"/>
      <c r="P10" s="15" t="s">
        <v>580</v>
      </c>
      <c r="Q10" s="16"/>
      <c r="R10" s="16"/>
      <c r="S10" s="16"/>
      <c r="T10" s="16"/>
      <c r="U10" s="16"/>
      <c r="V10" s="16"/>
      <c r="W10" s="13" t="s">
        <v>628</v>
      </c>
      <c r="X10" s="17"/>
      <c r="Y10" s="17"/>
      <c r="Z10" s="17"/>
      <c r="AA10" s="17"/>
      <c r="AB10" s="17"/>
      <c r="AC10" s="17"/>
      <c r="AD10" s="13" t="s">
        <v>629</v>
      </c>
      <c r="AE10" s="17"/>
      <c r="AF10" s="17"/>
      <c r="AG10" s="18"/>
      <c r="AH10" s="19" t="s">
        <v>630</v>
      </c>
      <c r="AI10" s="20"/>
      <c r="AJ10" s="16"/>
      <c r="AK10" s="16"/>
      <c r="AL10" s="16"/>
      <c r="AM10" s="16"/>
      <c r="AN10" s="16"/>
      <c r="AO10" s="16"/>
      <c r="AP10" s="21"/>
      <c r="AQ10" s="19" t="s">
        <v>9</v>
      </c>
      <c r="AR10" s="16"/>
      <c r="AS10" s="16"/>
      <c r="AT10" s="16"/>
      <c r="AU10" s="16"/>
      <c r="AV10" s="16"/>
      <c r="AW10" s="16"/>
      <c r="AX10" s="16"/>
      <c r="AY10" s="21"/>
      <c r="AZ10" s="22" t="s">
        <v>10</v>
      </c>
      <c r="BA10" s="23"/>
      <c r="BB10" s="23"/>
      <c r="BC10" s="23"/>
      <c r="BD10" s="23"/>
      <c r="BE10" s="23"/>
      <c r="BF10" s="23"/>
      <c r="BG10" s="23"/>
      <c r="BH10" s="23"/>
      <c r="BI10" s="23"/>
      <c r="BJ10" s="23"/>
      <c r="BK10" s="23"/>
      <c r="BL10" s="23"/>
      <c r="BM10" s="23"/>
      <c r="BN10" s="23"/>
      <c r="BO10" s="23"/>
      <c r="BP10" s="23"/>
      <c r="BQ10" s="23"/>
      <c r="BR10" s="24"/>
      <c r="BS10" s="11"/>
      <c r="BT10" s="19"/>
      <c r="BU10" s="16"/>
      <c r="BV10" s="16"/>
      <c r="BW10" s="16"/>
      <c r="BX10" s="16"/>
      <c r="BY10" s="16"/>
      <c r="BZ10" s="16"/>
      <c r="CA10" s="16"/>
      <c r="CB10" s="16"/>
      <c r="CC10" s="58" t="s">
        <v>12</v>
      </c>
      <c r="CD10" s="59"/>
      <c r="CE10" s="59"/>
      <c r="CF10" s="59"/>
      <c r="CG10" s="59"/>
      <c r="CH10" s="59"/>
      <c r="CI10" s="59"/>
      <c r="CJ10" s="59"/>
      <c r="CK10" s="19" t="s">
        <v>581</v>
      </c>
      <c r="CL10" s="16"/>
      <c r="CM10" s="16"/>
      <c r="CN10" s="16"/>
      <c r="CO10" s="16"/>
      <c r="CP10" s="16"/>
      <c r="CQ10" s="16"/>
      <c r="CR10" s="16"/>
      <c r="CS10" s="19" t="s">
        <v>582</v>
      </c>
      <c r="CT10" s="127"/>
      <c r="CU10" s="59"/>
      <c r="CV10" s="59"/>
      <c r="CW10" s="59"/>
      <c r="CX10" s="59"/>
      <c r="CY10" s="59"/>
      <c r="CZ10" s="59"/>
      <c r="DA10" s="15" t="s">
        <v>15</v>
      </c>
      <c r="DB10" s="60"/>
      <c r="DC10" s="60"/>
      <c r="DD10" s="8" t="s">
        <v>16</v>
      </c>
      <c r="DE10" s="10"/>
      <c r="DF10" s="1"/>
      <c r="DG10" s="1"/>
      <c r="DH10" s="1"/>
      <c r="DI10" s="1"/>
      <c r="DJ10" s="1"/>
      <c r="DK10" s="1"/>
      <c r="DL10" s="1"/>
      <c r="DM10" s="1"/>
      <c r="DN10" s="1"/>
      <c r="DO10" s="1"/>
      <c r="DP10" s="1"/>
      <c r="DQ10" s="1"/>
      <c r="DR10" s="1"/>
      <c r="DS10" s="1"/>
      <c r="DT10" s="1"/>
      <c r="DU10" s="1"/>
      <c r="DV10" s="1"/>
      <c r="DW10" s="1"/>
      <c r="DX10" s="1"/>
      <c r="DY10" s="1"/>
      <c r="DZ10" s="1"/>
      <c r="EA10" s="13" t="s">
        <v>17</v>
      </c>
      <c r="EB10" s="14"/>
      <c r="EC10" s="14"/>
      <c r="ED10" s="14"/>
      <c r="EE10" s="14"/>
      <c r="EF10" s="14"/>
      <c r="EG10" s="14"/>
      <c r="EH10" s="14"/>
      <c r="EI10" s="14"/>
      <c r="EJ10" s="14"/>
      <c r="EK10" s="14"/>
      <c r="EL10" s="14"/>
      <c r="EM10" s="14"/>
      <c r="EN10" s="15" t="s">
        <v>583</v>
      </c>
      <c r="EO10" s="16"/>
      <c r="EP10" s="16"/>
      <c r="EQ10" s="16"/>
      <c r="ER10" s="16"/>
      <c r="ES10" s="16"/>
      <c r="ET10" s="16"/>
      <c r="EU10" s="16"/>
      <c r="EV10" s="13" t="s">
        <v>631</v>
      </c>
      <c r="EW10" s="14"/>
      <c r="EX10" s="14"/>
      <c r="EY10" s="61"/>
      <c r="EZ10" s="62" t="s">
        <v>19</v>
      </c>
      <c r="FA10" s="10"/>
      <c r="FB10" s="14" t="s">
        <v>632</v>
      </c>
      <c r="FC10" s="17"/>
      <c r="FD10" s="17"/>
      <c r="FE10" s="17"/>
      <c r="FF10" s="17"/>
      <c r="FG10" s="17"/>
      <c r="FH10" s="17"/>
      <c r="FI10" s="18"/>
      <c r="FJ10" s="1"/>
      <c r="FK10" s="1"/>
      <c r="FL10" s="1"/>
      <c r="FM10" s="1"/>
      <c r="FN10" s="1"/>
      <c r="FO10" s="1"/>
      <c r="FP10" s="1"/>
      <c r="FQ10" s="1"/>
    </row>
    <row r="11" spans="1:173" ht="78.75" customHeight="1" x14ac:dyDescent="0.3">
      <c r="A11" s="1"/>
      <c r="B11" s="25" t="s">
        <v>20</v>
      </c>
      <c r="C11" s="26" t="s">
        <v>21</v>
      </c>
      <c r="D11" s="27" t="s">
        <v>22</v>
      </c>
      <c r="E11" s="27" t="s">
        <v>23</v>
      </c>
      <c r="F11" s="27" t="s">
        <v>24</v>
      </c>
      <c r="G11" s="27" t="s">
        <v>36</v>
      </c>
      <c r="H11" s="27" t="s">
        <v>26</v>
      </c>
      <c r="I11" s="27" t="s">
        <v>27</v>
      </c>
      <c r="J11" s="121"/>
      <c r="K11" s="27" t="s">
        <v>29</v>
      </c>
      <c r="L11" s="27" t="s">
        <v>30</v>
      </c>
      <c r="M11" s="27" t="s">
        <v>31</v>
      </c>
      <c r="N11" s="27" t="s">
        <v>32</v>
      </c>
      <c r="O11" s="27" t="s">
        <v>33</v>
      </c>
      <c r="P11" s="26" t="s">
        <v>21</v>
      </c>
      <c r="Q11" s="27" t="s">
        <v>22</v>
      </c>
      <c r="R11" s="27" t="s">
        <v>34</v>
      </c>
      <c r="S11" s="27" t="s">
        <v>29</v>
      </c>
      <c r="T11" s="27" t="s">
        <v>30</v>
      </c>
      <c r="U11" s="27" t="s">
        <v>31</v>
      </c>
      <c r="V11" s="27" t="s">
        <v>32</v>
      </c>
      <c r="W11" s="27" t="s">
        <v>22</v>
      </c>
      <c r="X11" s="27" t="s">
        <v>23</v>
      </c>
      <c r="Y11" s="27" t="s">
        <v>35</v>
      </c>
      <c r="Z11" s="27" t="s">
        <v>36</v>
      </c>
      <c r="AA11" s="27" t="s">
        <v>26</v>
      </c>
      <c r="AB11" s="27" t="s">
        <v>27</v>
      </c>
      <c r="AC11" s="27" t="s">
        <v>28</v>
      </c>
      <c r="AD11" s="27" t="s">
        <v>29</v>
      </c>
      <c r="AE11" s="27" t="s">
        <v>30</v>
      </c>
      <c r="AF11" s="27" t="s">
        <v>31</v>
      </c>
      <c r="AG11" s="27" t="s">
        <v>32</v>
      </c>
      <c r="AH11" s="27" t="s">
        <v>37</v>
      </c>
      <c r="AI11" s="27" t="s">
        <v>38</v>
      </c>
      <c r="AJ11" s="27" t="s">
        <v>39</v>
      </c>
      <c r="AK11" s="27" t="s">
        <v>40</v>
      </c>
      <c r="AL11" s="27" t="s">
        <v>41</v>
      </c>
      <c r="AM11" s="27" t="s">
        <v>42</v>
      </c>
      <c r="AN11" s="121" t="s">
        <v>43</v>
      </c>
      <c r="AO11" s="27" t="s">
        <v>44</v>
      </c>
      <c r="AP11" s="27" t="s">
        <v>45</v>
      </c>
      <c r="AQ11" s="27" t="s">
        <v>37</v>
      </c>
      <c r="AR11" s="27" t="s">
        <v>38</v>
      </c>
      <c r="AS11" s="27" t="s">
        <v>39</v>
      </c>
      <c r="AT11" s="27" t="s">
        <v>40</v>
      </c>
      <c r="AU11" s="27" t="s">
        <v>41</v>
      </c>
      <c r="AV11" s="27" t="s">
        <v>42</v>
      </c>
      <c r="AW11" s="121"/>
      <c r="AX11" s="27" t="s">
        <v>44</v>
      </c>
      <c r="AY11" s="27" t="s">
        <v>45</v>
      </c>
      <c r="AZ11" s="27" t="s">
        <v>633</v>
      </c>
      <c r="BA11" s="27" t="s">
        <v>634</v>
      </c>
      <c r="BB11" s="27" t="s">
        <v>635</v>
      </c>
      <c r="BC11" s="27" t="s">
        <v>636</v>
      </c>
      <c r="BD11" s="27" t="s">
        <v>46</v>
      </c>
      <c r="BE11" s="27" t="s">
        <v>47</v>
      </c>
      <c r="BF11" s="27" t="s">
        <v>48</v>
      </c>
      <c r="BG11" s="27" t="s">
        <v>49</v>
      </c>
      <c r="BH11" s="27" t="s">
        <v>50</v>
      </c>
      <c r="BI11" s="27" t="s">
        <v>51</v>
      </c>
      <c r="BJ11" s="27" t="s">
        <v>52</v>
      </c>
      <c r="BK11" s="27" t="s">
        <v>53</v>
      </c>
      <c r="BL11" s="27" t="s">
        <v>54</v>
      </c>
      <c r="BM11" s="27" t="s">
        <v>55</v>
      </c>
      <c r="BN11" s="27" t="s">
        <v>56</v>
      </c>
      <c r="BO11" s="27" t="s">
        <v>57</v>
      </c>
      <c r="BP11" s="27" t="s">
        <v>637</v>
      </c>
      <c r="BQ11" s="27" t="s">
        <v>638</v>
      </c>
      <c r="BR11" s="27" t="s">
        <v>273</v>
      </c>
      <c r="BS11" s="27" t="s">
        <v>584</v>
      </c>
      <c r="BT11" s="27"/>
      <c r="BU11" s="27"/>
      <c r="BV11" s="27"/>
      <c r="BW11" s="27"/>
      <c r="BX11" s="27"/>
      <c r="BY11" s="27"/>
      <c r="BZ11" s="27"/>
      <c r="CA11" s="27"/>
      <c r="CB11" s="27"/>
      <c r="CC11" s="63" t="s">
        <v>68</v>
      </c>
      <c r="CD11" s="63" t="s">
        <v>69</v>
      </c>
      <c r="CE11" s="63" t="s">
        <v>70</v>
      </c>
      <c r="CF11" s="63" t="s">
        <v>71</v>
      </c>
      <c r="CG11" s="63" t="s">
        <v>72</v>
      </c>
      <c r="CH11" s="63" t="s">
        <v>73</v>
      </c>
      <c r="CI11" s="63" t="s">
        <v>74</v>
      </c>
      <c r="CJ11" s="63" t="s">
        <v>75</v>
      </c>
      <c r="CK11" s="27" t="s">
        <v>585</v>
      </c>
      <c r="CL11" s="27" t="s">
        <v>586</v>
      </c>
      <c r="CM11" s="27" t="s">
        <v>587</v>
      </c>
      <c r="CN11" s="27" t="s">
        <v>588</v>
      </c>
      <c r="CO11" s="27" t="s">
        <v>80</v>
      </c>
      <c r="CP11" s="27" t="s">
        <v>81</v>
      </c>
      <c r="CQ11" s="27" t="s">
        <v>82</v>
      </c>
      <c r="CR11" s="27" t="s">
        <v>589</v>
      </c>
      <c r="CS11" s="128" t="s">
        <v>590</v>
      </c>
      <c r="CT11" s="128" t="s">
        <v>591</v>
      </c>
      <c r="CU11" s="128" t="s">
        <v>592</v>
      </c>
      <c r="CV11" s="128" t="s">
        <v>593</v>
      </c>
      <c r="CW11" s="128" t="s">
        <v>88</v>
      </c>
      <c r="CX11" s="128" t="s">
        <v>89</v>
      </c>
      <c r="CY11" s="128" t="s">
        <v>90</v>
      </c>
      <c r="CZ11" s="128" t="s">
        <v>91</v>
      </c>
      <c r="DA11" s="64" t="s">
        <v>92</v>
      </c>
      <c r="DB11" s="64" t="s">
        <v>93</v>
      </c>
      <c r="DC11" s="64" t="s">
        <v>94</v>
      </c>
      <c r="DD11" s="64" t="s">
        <v>95</v>
      </c>
      <c r="DE11" s="64" t="s">
        <v>96</v>
      </c>
      <c r="DF11" s="1"/>
      <c r="DG11" s="1"/>
      <c r="DH11" s="1"/>
      <c r="DI11" s="1"/>
      <c r="DJ11" s="1"/>
      <c r="DK11" s="1"/>
      <c r="DL11" s="1"/>
      <c r="DM11" s="1"/>
      <c r="DN11" s="1"/>
      <c r="DO11" s="1"/>
      <c r="DP11" s="1"/>
      <c r="DQ11" s="1"/>
      <c r="DR11" s="1"/>
      <c r="DS11" s="1"/>
      <c r="DT11" s="1"/>
      <c r="DU11" s="1"/>
      <c r="DV11" s="1"/>
      <c r="DW11" s="1"/>
      <c r="DX11" s="1"/>
      <c r="DY11" s="1"/>
      <c r="DZ11" s="1"/>
      <c r="EA11" s="26" t="s">
        <v>97</v>
      </c>
      <c r="EB11" s="27" t="s">
        <v>98</v>
      </c>
      <c r="EC11" s="27" t="s">
        <v>99</v>
      </c>
      <c r="ED11" s="27" t="s">
        <v>100</v>
      </c>
      <c r="EE11" s="27" t="s">
        <v>101</v>
      </c>
      <c r="EF11" s="27" t="s">
        <v>102</v>
      </c>
      <c r="EG11" s="27" t="s">
        <v>103</v>
      </c>
      <c r="EH11" s="121"/>
      <c r="EI11" s="27" t="s">
        <v>104</v>
      </c>
      <c r="EJ11" s="27" t="s">
        <v>105</v>
      </c>
      <c r="EK11" s="27" t="s">
        <v>106</v>
      </c>
      <c r="EL11" s="27" t="s">
        <v>107</v>
      </c>
      <c r="EM11" s="27" t="s">
        <v>33</v>
      </c>
      <c r="EN11" s="27" t="s">
        <v>97</v>
      </c>
      <c r="EO11" s="27" t="s">
        <v>98</v>
      </c>
      <c r="EP11" s="27" t="s">
        <v>108</v>
      </c>
      <c r="EQ11" s="27" t="s">
        <v>104</v>
      </c>
      <c r="ER11" s="27" t="s">
        <v>105</v>
      </c>
      <c r="ES11" s="27" t="s">
        <v>106</v>
      </c>
      <c r="ET11" s="27" t="s">
        <v>107</v>
      </c>
      <c r="EU11" s="27" t="s">
        <v>594</v>
      </c>
      <c r="EV11" s="64" t="s">
        <v>639</v>
      </c>
      <c r="EW11" s="27" t="s">
        <v>99</v>
      </c>
      <c r="EX11" s="64" t="s">
        <v>110</v>
      </c>
      <c r="EY11" s="64" t="s">
        <v>640</v>
      </c>
      <c r="EZ11" s="64" t="s">
        <v>111</v>
      </c>
      <c r="FA11" s="64" t="s">
        <v>112</v>
      </c>
      <c r="FB11" s="27" t="s">
        <v>641</v>
      </c>
      <c r="FC11" s="27" t="s">
        <v>642</v>
      </c>
      <c r="FD11" s="27" t="s">
        <v>643</v>
      </c>
      <c r="FE11" s="27" t="s">
        <v>644</v>
      </c>
      <c r="FF11" s="27" t="s">
        <v>645</v>
      </c>
      <c r="FG11" s="27" t="s">
        <v>646</v>
      </c>
      <c r="FH11" s="27" t="s">
        <v>647</v>
      </c>
      <c r="FI11" s="27" t="s">
        <v>648</v>
      </c>
      <c r="FJ11" s="1"/>
      <c r="FK11" s="1"/>
      <c r="FL11" s="1"/>
      <c r="FM11" s="1"/>
      <c r="FN11" s="1"/>
      <c r="FO11" s="1"/>
      <c r="FP11" s="1"/>
      <c r="FQ11" s="1"/>
    </row>
    <row r="12" spans="1:173" x14ac:dyDescent="0.3">
      <c r="A12" s="1"/>
      <c r="B12" s="28">
        <v>1</v>
      </c>
      <c r="C12" s="129">
        <f>'[99]2. Distributional by deciles o'!B64</f>
        <v>1914278.5907999994</v>
      </c>
      <c r="D12" s="129">
        <f>'[99]2. Distributional by deciles o'!C64</f>
        <v>2092953.801599999</v>
      </c>
      <c r="E12" s="129">
        <f>'[99]2. Distributional by deciles o'!D64</f>
        <v>1932752.7419999996</v>
      </c>
      <c r="F12" s="129">
        <f>'[99]2. Distributional by deciles o'!E64</f>
        <v>2092782.861599999</v>
      </c>
      <c r="G12" s="129">
        <f>'[99]2. Distributional by deciles o'!F64</f>
        <v>1970020.8935999998</v>
      </c>
      <c r="H12" s="129">
        <f>'[99]2. Distributional by deciles o'!G64</f>
        <v>1932752.7419999996</v>
      </c>
      <c r="I12" s="129"/>
      <c r="J12" s="122"/>
      <c r="K12" s="130" t="s">
        <v>113</v>
      </c>
      <c r="L12" s="130" t="s">
        <v>113</v>
      </c>
      <c r="M12" s="130" t="s">
        <v>113</v>
      </c>
      <c r="N12" s="130" t="s">
        <v>113</v>
      </c>
      <c r="O12" s="131">
        <f>C12/C$22*100</f>
        <v>7.4227894989197032E-2</v>
      </c>
      <c r="P12" s="129">
        <f>'[99]2. Distributional by deciles o'!B136</f>
        <v>782029151.48279965</v>
      </c>
      <c r="Q12" s="129">
        <f>'[99]2. Distributional by deciles o'!C136</f>
        <v>789851229.38519931</v>
      </c>
      <c r="R12" s="131">
        <f t="shared" ref="R12:R21" si="0">(Q12/P12-1)*100</f>
        <v>1.0002284297929709</v>
      </c>
      <c r="S12" s="130" t="s">
        <v>113</v>
      </c>
      <c r="T12" s="130" t="s">
        <v>113</v>
      </c>
      <c r="U12" s="130" t="s">
        <v>113</v>
      </c>
      <c r="V12" s="130" t="s">
        <v>113</v>
      </c>
      <c r="W12" s="132">
        <f>IF(D12&lt;&gt;0,((D12-$C12)/ABS($C12)) / ($Q12/$P12-1),0)</f>
        <v>9.3316827675070932</v>
      </c>
      <c r="X12" s="132">
        <f>IF(E12&lt;&gt;0,((E12-$C12)/ABS($C12)) / ($Q12/$P12-1),0)</f>
        <v>0.96485079057963397</v>
      </c>
      <c r="Y12" s="132">
        <f t="shared" ref="Y12:AA22" si="1">IF(F12&lt;&gt;0,MAX(((F12-$C12)/ABS($C12)) / ($Q12/$P12-1),0),0)</f>
        <v>9.322755072136621</v>
      </c>
      <c r="Z12" s="132">
        <f t="shared" si="1"/>
        <v>2.911257158342905</v>
      </c>
      <c r="AA12" s="132">
        <f t="shared" si="1"/>
        <v>0.96485079057963397</v>
      </c>
      <c r="AB12" s="132">
        <f>IF(I12&lt;&gt;0,MAX(((I12-$C12)/ABS($C12)) / ($Q12/$P12-1),0),AA12)</f>
        <v>0.96485079057963397</v>
      </c>
      <c r="AC12" s="132">
        <f>IF(J12&lt;&gt;0,MAX(((J12-$C12)/ABS($C12)) / ($Q12/$P12-1),0),AB12)</f>
        <v>0.96485079057963397</v>
      </c>
      <c r="AD12" s="130" t="s">
        <v>113</v>
      </c>
      <c r="AE12" s="130" t="s">
        <v>113</v>
      </c>
      <c r="AF12" s="130" t="s">
        <v>113</v>
      </c>
      <c r="AG12" s="130" t="s">
        <v>113</v>
      </c>
      <c r="AH12" s="133">
        <f t="shared" ref="AH12:AH22" si="2">MIN(W12,1)</f>
        <v>1</v>
      </c>
      <c r="AI12" s="134">
        <f>IF(W12&gt;1,MAX(W12-SUM(AH12,AJ12:AO12),0),0)</f>
        <v>0</v>
      </c>
      <c r="AJ12" s="134">
        <f t="shared" ref="AJ12:AJ22" si="3">IF(W12&gt;1,MIN($W12-Y12,W12-AH12),0)</f>
        <v>8.9276953704722217E-3</v>
      </c>
      <c r="AK12" s="134">
        <f t="shared" ref="AK12:AK20" si="4">IF(W12&gt;1,MAX(MIN(Y12-Z12,W12-AH12-AJ12),0),0)</f>
        <v>6.411497913793716</v>
      </c>
      <c r="AL12" s="134">
        <f>IF(W12&gt;1,MAX(MIN(Z12-AA12,W12-AH12-AJ12-AK12),0),0)</f>
        <v>1.911257158342905</v>
      </c>
      <c r="AM12" s="134">
        <f>IF(I12&lt;&gt;0,IF(W12&gt;1,MAX(MIN(AA12-AB12,W12-AH12-AJ12-AK12-AL12),0),0),0)</f>
        <v>0</v>
      </c>
      <c r="AN12" s="135">
        <f t="shared" ref="AN12:AN13" si="5">IF(J12&lt;&gt;0,IF(W12&gt;1,MAX(MIN(AB12-AC12,W12-AH12-AJ12-AK12-AL12-AM12),0),0),0)</f>
        <v>0</v>
      </c>
      <c r="AO12" s="134">
        <f>IF(W12&gt;1,MAX(0,MIN(W12-AH12-AJ12-AK12-AL12-AM12,W12-AH12-AJ12-AK12-AL12-AM12-X12+1)),0)</f>
        <v>0</v>
      </c>
      <c r="AP12" s="134">
        <f t="shared" ref="AP12:AP22" si="6">AI12+AO12</f>
        <v>0</v>
      </c>
      <c r="AQ12" s="136" t="s">
        <v>113</v>
      </c>
      <c r="AR12" s="137">
        <f t="shared" ref="AR12:AY22" si="7">AI12/($W12-1)*100</f>
        <v>0</v>
      </c>
      <c r="AS12" s="137">
        <f t="shared" si="7"/>
        <v>0.10715356812779203</v>
      </c>
      <c r="AT12" s="137">
        <f t="shared" si="7"/>
        <v>76.953216927534172</v>
      </c>
      <c r="AU12" s="137">
        <f t="shared" si="7"/>
        <v>22.939629504338036</v>
      </c>
      <c r="AV12" s="137">
        <f t="shared" si="7"/>
        <v>0</v>
      </c>
      <c r="AW12" s="138">
        <f t="shared" si="7"/>
        <v>0</v>
      </c>
      <c r="AX12" s="137">
        <f t="shared" si="7"/>
        <v>0</v>
      </c>
      <c r="AY12" s="137">
        <f t="shared" si="7"/>
        <v>0</v>
      </c>
      <c r="AZ12" s="139" t="s">
        <v>113</v>
      </c>
      <c r="BA12" s="139" t="s">
        <v>113</v>
      </c>
      <c r="BB12" s="139" t="s">
        <v>113</v>
      </c>
      <c r="BC12" s="139" t="s">
        <v>113</v>
      </c>
      <c r="BD12" s="139" t="s">
        <v>113</v>
      </c>
      <c r="BE12" s="139" t="s">
        <v>113</v>
      </c>
      <c r="BF12" s="139" t="s">
        <v>113</v>
      </c>
      <c r="BG12" s="139" t="s">
        <v>113</v>
      </c>
      <c r="BH12" s="140">
        <f>'[100]2. Distributional by deciles o'!B154</f>
        <v>205589800.52279994</v>
      </c>
      <c r="BI12" s="140">
        <f>'[100]2. Distributional by deciles o'!B172</f>
        <v>482095936.53479993</v>
      </c>
      <c r="BJ12" s="140">
        <f>'[100]2. Distributional by deciles o'!B190</f>
        <v>92907974.564400047</v>
      </c>
      <c r="BK12" s="140">
        <f>'[100]2. Distributional by deciles o'!B208</f>
        <v>1435237.1796000001</v>
      </c>
      <c r="BL12" s="141">
        <f>BH12/SUM($BH12:$BK12)</f>
        <v>0.26289282620272653</v>
      </c>
      <c r="BM12" s="141">
        <f t="shared" ref="BM12:BO12" si="8">BI12/SUM($BH12:$BK12)</f>
        <v>0.61646814644595371</v>
      </c>
      <c r="BN12" s="141">
        <f t="shared" si="8"/>
        <v>0.11880375362929271</v>
      </c>
      <c r="BO12" s="141">
        <f t="shared" si="8"/>
        <v>1.8352737220270327E-3</v>
      </c>
      <c r="BP12" s="139" t="s">
        <v>113</v>
      </c>
      <c r="BQ12" s="139" t="s">
        <v>113</v>
      </c>
      <c r="BR12" s="139" t="s">
        <v>113</v>
      </c>
      <c r="BS12" s="131">
        <f>P12/P$22*100</f>
        <v>3.0374479229711491</v>
      </c>
      <c r="BT12" s="139"/>
      <c r="BU12" s="139"/>
      <c r="BV12" s="139"/>
      <c r="BW12" s="139"/>
      <c r="BX12" s="139"/>
      <c r="BY12" s="139"/>
      <c r="BZ12" s="139"/>
      <c r="CA12" s="139"/>
      <c r="CB12" s="139"/>
      <c r="CC12" s="142" t="s">
        <v>113</v>
      </c>
      <c r="CD12" s="142" t="s">
        <v>113</v>
      </c>
      <c r="CE12" s="142" t="s">
        <v>113</v>
      </c>
      <c r="CF12" s="142" t="s">
        <v>113</v>
      </c>
      <c r="CG12" s="142" t="s">
        <v>113</v>
      </c>
      <c r="CH12" s="142" t="s">
        <v>113</v>
      </c>
      <c r="CI12" s="142" t="s">
        <v>113</v>
      </c>
      <c r="CJ12" s="142"/>
      <c r="CK12" s="139" t="s">
        <v>113</v>
      </c>
      <c r="CL12" s="139" t="s">
        <v>113</v>
      </c>
      <c r="CM12" s="139" t="s">
        <v>113</v>
      </c>
      <c r="CN12" s="139" t="s">
        <v>113</v>
      </c>
      <c r="CO12" s="139" t="s">
        <v>113</v>
      </c>
      <c r="CP12" s="139" t="s">
        <v>113</v>
      </c>
      <c r="CQ12" s="139" t="s">
        <v>113</v>
      </c>
      <c r="CR12" s="139"/>
      <c r="CS12" s="143" t="s">
        <v>113</v>
      </c>
      <c r="CT12" s="143" t="s">
        <v>113</v>
      </c>
      <c r="CU12" s="143" t="s">
        <v>113</v>
      </c>
      <c r="CV12" s="143" t="s">
        <v>113</v>
      </c>
      <c r="CW12" s="143" t="s">
        <v>113</v>
      </c>
      <c r="CX12" s="143" t="s">
        <v>113</v>
      </c>
      <c r="CY12" s="143" t="s">
        <v>113</v>
      </c>
      <c r="CZ12" s="143"/>
      <c r="DA12" s="139" t="s">
        <v>113</v>
      </c>
      <c r="DB12" s="139" t="s">
        <v>113</v>
      </c>
      <c r="DC12" s="139" t="s">
        <v>113</v>
      </c>
      <c r="DD12" s="144">
        <f>(1-DE12)*100</f>
        <v>89.125411383940673</v>
      </c>
      <c r="DE12" s="145">
        <f>'[99]2. Distributional by deciles o'!I28</f>
        <v>0.10874588616059327</v>
      </c>
      <c r="DF12" s="1"/>
      <c r="DG12" s="1"/>
      <c r="DH12" s="1"/>
      <c r="DI12" s="1"/>
      <c r="DJ12" s="1"/>
      <c r="DK12" s="1"/>
      <c r="DL12" s="1"/>
      <c r="DM12" s="1"/>
      <c r="DN12" s="1"/>
      <c r="DO12" s="1"/>
      <c r="DP12" s="1"/>
      <c r="DQ12" s="1"/>
      <c r="DR12" s="1"/>
      <c r="DS12" s="1"/>
      <c r="DT12" s="1"/>
      <c r="DU12" s="1"/>
      <c r="DV12" s="1"/>
      <c r="DW12" s="1"/>
      <c r="DX12" s="1"/>
      <c r="DY12" s="1"/>
      <c r="DZ12" s="1"/>
      <c r="EA12" s="146">
        <f>'[101]2. Distributional by deciles o'!B64</f>
        <v>2433149.6760000009</v>
      </c>
      <c r="EB12" s="146">
        <f>'[101]2. Distributional by deciles o'!C64</f>
        <v>2595007.3956000004</v>
      </c>
      <c r="EC12" s="146">
        <f>'[101]2. Distributional by deciles o'!D64</f>
        <v>2457899.9160000007</v>
      </c>
      <c r="ED12" s="147"/>
      <c r="EE12" s="147"/>
      <c r="EF12" s="147"/>
      <c r="EG12" s="129"/>
      <c r="EH12" s="122"/>
      <c r="EI12" s="130" t="s">
        <v>113</v>
      </c>
      <c r="EJ12" s="130" t="s">
        <v>113</v>
      </c>
      <c r="EK12" s="130" t="s">
        <v>113</v>
      </c>
      <c r="EL12" s="130" t="s">
        <v>113</v>
      </c>
      <c r="EM12" s="131">
        <f t="shared" ref="EM12:EM21" si="9">EA12/EA$22*100</f>
        <v>7.6558780056407386E-2</v>
      </c>
      <c r="EN12" s="146">
        <f>'[102]2. Distributional by deciles o'!B136</f>
        <v>980614476.55079937</v>
      </c>
      <c r="EO12" s="146">
        <f>'[102]2. Distributional by deciles o'!C136</f>
        <v>990421059.85559988</v>
      </c>
      <c r="EP12" s="131">
        <f t="shared" ref="EP12:EP21" si="10">(EO12/EN12-1)*100</f>
        <v>1.0000447208666552</v>
      </c>
      <c r="EQ12" s="130" t="s">
        <v>113</v>
      </c>
      <c r="ER12" s="130" t="s">
        <v>113</v>
      </c>
      <c r="ES12" s="130" t="s">
        <v>113</v>
      </c>
      <c r="ET12" s="130" t="s">
        <v>113</v>
      </c>
      <c r="EU12" s="131">
        <f>EN12/EN$22*100</f>
        <v>3.0286396380382716</v>
      </c>
      <c r="EV12" s="132">
        <f>((EB12-$EA12)/ABS($EA12)) / ($EO12/$EN12-1)</f>
        <v>6.6518917065666745</v>
      </c>
      <c r="EW12" s="132">
        <f>IF(EC12&lt;&gt;0,((EC12-$EA12)/ABS($EA12)) / ($EO12/$EN12-1),0)</f>
        <v>1.0171644367559327</v>
      </c>
      <c r="EX12" s="132"/>
      <c r="EY12" s="148">
        <f t="shared" ref="EY12:EY22" si="11">EV12-W12</f>
        <v>-2.6797910609404187</v>
      </c>
      <c r="EZ12" s="144">
        <f>(1-FA12)*100</f>
        <v>90.311852177032833</v>
      </c>
      <c r="FA12" s="145">
        <f>'[101]2. Distributional by deciles o'!F28</f>
        <v>9.6881478229671608E-2</v>
      </c>
      <c r="FB12" s="130" t="s">
        <v>113</v>
      </c>
      <c r="FC12" s="130" t="s">
        <v>113</v>
      </c>
      <c r="FD12" s="130" t="s">
        <v>113</v>
      </c>
      <c r="FE12" s="130" t="s">
        <v>113</v>
      </c>
      <c r="FF12" s="130" t="s">
        <v>113</v>
      </c>
      <c r="FG12" s="130" t="s">
        <v>113</v>
      </c>
      <c r="FH12" s="130" t="s">
        <v>113</v>
      </c>
      <c r="FI12" s="130" t="s">
        <v>113</v>
      </c>
      <c r="FJ12" s="1"/>
      <c r="FK12" s="1"/>
      <c r="FL12" s="1"/>
      <c r="FM12" s="1"/>
      <c r="FN12" s="1"/>
      <c r="FO12" s="1"/>
      <c r="FP12" s="1"/>
      <c r="FQ12" s="1"/>
    </row>
    <row r="13" spans="1:173" x14ac:dyDescent="0.3">
      <c r="A13" s="1"/>
      <c r="B13" s="28">
        <v>2</v>
      </c>
      <c r="C13" s="129">
        <f>'[99]2. Distributional by deciles o'!B65</f>
        <v>13911125.677199993</v>
      </c>
      <c r="D13" s="129">
        <f>'[99]2. Distributional by deciles o'!C65</f>
        <v>14679927.497999996</v>
      </c>
      <c r="E13" s="129">
        <f>'[99]2. Distributional by deciles o'!D65</f>
        <v>14050686.76679999</v>
      </c>
      <c r="F13" s="129">
        <f>'[99]2. Distributional by deciles o'!E65</f>
        <v>14672007.643199997</v>
      </c>
      <c r="G13" s="129">
        <f>'[99]2. Distributional by deciles o'!F65</f>
        <v>14241275.054399997</v>
      </c>
      <c r="H13" s="129">
        <f>'[99]2. Distributional by deciles o'!G65</f>
        <v>14050686.76679999</v>
      </c>
      <c r="I13" s="129"/>
      <c r="J13" s="122"/>
      <c r="K13" s="130" t="s">
        <v>113</v>
      </c>
      <c r="L13" s="130" t="s">
        <v>113</v>
      </c>
      <c r="M13" s="130" t="s">
        <v>113</v>
      </c>
      <c r="N13" s="130" t="s">
        <v>113</v>
      </c>
      <c r="O13" s="131">
        <f t="shared" ref="O13:O21" si="12">C13/C$22*100</f>
        <v>0.53941656188987142</v>
      </c>
      <c r="P13" s="129">
        <f>'[99]2. Distributional by deciles o'!B137</f>
        <v>1341534907.6140008</v>
      </c>
      <c r="Q13" s="129">
        <f>'[99]2. Distributional by deciles o'!C137</f>
        <v>1354950985.0067987</v>
      </c>
      <c r="R13" s="131">
        <f t="shared" si="0"/>
        <v>1.0000542898029652</v>
      </c>
      <c r="S13" s="130" t="s">
        <v>113</v>
      </c>
      <c r="T13" s="130" t="s">
        <v>113</v>
      </c>
      <c r="U13" s="130" t="s">
        <v>113</v>
      </c>
      <c r="V13" s="130" t="s">
        <v>113</v>
      </c>
      <c r="W13" s="132">
        <f t="shared" ref="W13:X22" si="13">IF(D13&lt;&gt;0,((D13-$C13)/ABS($C13)) / ($Q13/$P13-1),0)</f>
        <v>5.5262248563136911</v>
      </c>
      <c r="X13" s="132">
        <f t="shared" si="13"/>
        <v>1.0031791567808446</v>
      </c>
      <c r="Y13" s="132">
        <f t="shared" si="1"/>
        <v>5.4692961429963809</v>
      </c>
      <c r="Z13" s="132">
        <f t="shared" si="1"/>
        <v>2.3731469479099587</v>
      </c>
      <c r="AA13" s="132">
        <f t="shared" si="1"/>
        <v>1.0031791567808446</v>
      </c>
      <c r="AB13" s="132">
        <f t="shared" ref="AB13:AC22" si="14">IF(I13&lt;&gt;0,MAX(((I13-$C13)/ABS($C13)) / ($Q13/$P13-1),0),AA13)</f>
        <v>1.0031791567808446</v>
      </c>
      <c r="AC13" s="132">
        <f t="shared" si="14"/>
        <v>1.0031791567808446</v>
      </c>
      <c r="AD13" s="130" t="s">
        <v>113</v>
      </c>
      <c r="AE13" s="130" t="s">
        <v>113</v>
      </c>
      <c r="AF13" s="130" t="s">
        <v>113</v>
      </c>
      <c r="AG13" s="130" t="s">
        <v>113</v>
      </c>
      <c r="AH13" s="133">
        <f t="shared" si="2"/>
        <v>1</v>
      </c>
      <c r="AI13" s="134">
        <f t="shared" ref="AI13:AI22" si="15">IF(W13&gt;1,MAX(W13-SUM(AH13,AJ13:AO13),0),0)</f>
        <v>3.179156780844572E-3</v>
      </c>
      <c r="AJ13" s="134">
        <f t="shared" si="3"/>
        <v>5.6928713317310198E-2</v>
      </c>
      <c r="AK13" s="134">
        <f t="shared" si="4"/>
        <v>3.0961491950864222</v>
      </c>
      <c r="AL13" s="134">
        <f t="shared" ref="AL13:AL22" si="16">IF(W13&gt;1,MAX(MIN(Z13-AA13,W13-AH13-AJ13-AK13),0),0)</f>
        <v>1.3699677911291142</v>
      </c>
      <c r="AM13" s="134">
        <f t="shared" ref="AM13:AM22" si="17">IF(I13&lt;&gt;0,IF(W13&gt;1,MAX(MIN(AA13-AB13,W13-AH13-AJ13-AK13-AL13),0),0),0)</f>
        <v>0</v>
      </c>
      <c r="AN13" s="135">
        <f t="shared" si="5"/>
        <v>0</v>
      </c>
      <c r="AO13" s="134">
        <f t="shared" ref="AO13:AO22" si="18">IF(W13&gt;1,MAX(0,MIN(W13-AH13-AJ13-AK13-AL13-AM13,W13-AH13-AJ13-AK13-AL13-AM13-X13+1)),0)</f>
        <v>0</v>
      </c>
      <c r="AP13" s="134">
        <f t="shared" si="6"/>
        <v>3.179156780844572E-3</v>
      </c>
      <c r="AQ13" s="136" t="s">
        <v>113</v>
      </c>
      <c r="AR13" s="137">
        <f t="shared" si="7"/>
        <v>7.0238595778332219E-2</v>
      </c>
      <c r="AS13" s="137">
        <f t="shared" si="7"/>
        <v>1.2577526553480785</v>
      </c>
      <c r="AT13" s="137">
        <f t="shared" si="7"/>
        <v>68.404670412420245</v>
      </c>
      <c r="AU13" s="137">
        <f t="shared" si="7"/>
        <v>30.267338336453349</v>
      </c>
      <c r="AV13" s="137">
        <f t="shared" si="7"/>
        <v>0</v>
      </c>
      <c r="AW13" s="138">
        <f t="shared" si="7"/>
        <v>0</v>
      </c>
      <c r="AX13" s="137">
        <f t="shared" si="7"/>
        <v>0</v>
      </c>
      <c r="AY13" s="137">
        <f t="shared" si="7"/>
        <v>7.0238595778332219E-2</v>
      </c>
      <c r="AZ13" s="139" t="s">
        <v>113</v>
      </c>
      <c r="BA13" s="139" t="s">
        <v>113</v>
      </c>
      <c r="BB13" s="139" t="s">
        <v>113</v>
      </c>
      <c r="BC13" s="139" t="s">
        <v>113</v>
      </c>
      <c r="BD13" s="139" t="s">
        <v>113</v>
      </c>
      <c r="BE13" s="139" t="s">
        <v>113</v>
      </c>
      <c r="BF13" s="139" t="s">
        <v>113</v>
      </c>
      <c r="BG13" s="139" t="s">
        <v>113</v>
      </c>
      <c r="BH13" s="140">
        <f>'[100]2. Distributional by deciles o'!B155</f>
        <v>413429831.77560031</v>
      </c>
      <c r="BI13" s="140">
        <f>'[100]2. Distributional by deciles o'!B173</f>
        <v>822663079.50719869</v>
      </c>
      <c r="BJ13" s="140">
        <f>'[100]2. Distributional by deciles o'!B191</f>
        <v>102289082.90760005</v>
      </c>
      <c r="BK13" s="140">
        <f>'[100]2. Distributional by deciles o'!B209</f>
        <v>3153067.5335999997</v>
      </c>
      <c r="BL13" s="141">
        <f t="shared" ref="BL13:BL22" si="19">BH13/SUM($BH13:$BK13)</f>
        <v>0.30817668771497031</v>
      </c>
      <c r="BM13" s="141">
        <f t="shared" ref="BM13:BM22" si="20">BI13/SUM($BH13:$BK13)</f>
        <v>0.61322517985478442</v>
      </c>
      <c r="BN13" s="141">
        <f t="shared" ref="BN13:BO22" si="21">BJ13/SUM($BH13:$BK13)</f>
        <v>7.6247789436191787E-2</v>
      </c>
      <c r="BO13" s="141">
        <f t="shared" si="21"/>
        <v>2.3503429940534017E-3</v>
      </c>
      <c r="BP13" s="139" t="s">
        <v>113</v>
      </c>
      <c r="BQ13" s="139" t="s">
        <v>113</v>
      </c>
      <c r="BR13" s="139" t="s">
        <v>113</v>
      </c>
      <c r="BS13" s="131">
        <f t="shared" ref="BS13:BS21" si="22">P13/P$22*100</f>
        <v>5.2106016904857828</v>
      </c>
      <c r="BT13" s="139"/>
      <c r="BU13" s="139"/>
      <c r="BV13" s="139"/>
      <c r="BW13" s="139"/>
      <c r="BX13" s="139"/>
      <c r="BY13" s="139"/>
      <c r="BZ13" s="139"/>
      <c r="CA13" s="139"/>
      <c r="CB13" s="139"/>
      <c r="CC13" s="142" t="s">
        <v>113</v>
      </c>
      <c r="CD13" s="142" t="s">
        <v>113</v>
      </c>
      <c r="CE13" s="142" t="s">
        <v>113</v>
      </c>
      <c r="CF13" s="142" t="s">
        <v>113</v>
      </c>
      <c r="CG13" s="142" t="s">
        <v>113</v>
      </c>
      <c r="CH13" s="142" t="s">
        <v>113</v>
      </c>
      <c r="CI13" s="142" t="s">
        <v>113</v>
      </c>
      <c r="CJ13" s="142"/>
      <c r="CK13" s="139" t="s">
        <v>113</v>
      </c>
      <c r="CL13" s="139" t="s">
        <v>113</v>
      </c>
      <c r="CM13" s="139" t="s">
        <v>113</v>
      </c>
      <c r="CN13" s="139" t="s">
        <v>113</v>
      </c>
      <c r="CO13" s="139" t="s">
        <v>113</v>
      </c>
      <c r="CP13" s="139" t="s">
        <v>113</v>
      </c>
      <c r="CQ13" s="139" t="s">
        <v>113</v>
      </c>
      <c r="CR13" s="139"/>
      <c r="CS13" s="143" t="s">
        <v>113</v>
      </c>
      <c r="CT13" s="143" t="s">
        <v>113</v>
      </c>
      <c r="CU13" s="143" t="s">
        <v>113</v>
      </c>
      <c r="CV13" s="143" t="s">
        <v>113</v>
      </c>
      <c r="CW13" s="143" t="s">
        <v>113</v>
      </c>
      <c r="CX13" s="143" t="s">
        <v>113</v>
      </c>
      <c r="CY13" s="143" t="s">
        <v>113</v>
      </c>
      <c r="CZ13" s="143"/>
      <c r="DA13" s="139" t="s">
        <v>113</v>
      </c>
      <c r="DB13" s="139" t="s">
        <v>113</v>
      </c>
      <c r="DC13" s="139" t="s">
        <v>113</v>
      </c>
      <c r="DD13" s="144">
        <f t="shared" ref="DD13:DD22" si="23">(1-DE13)*100</f>
        <v>63.91034764409099</v>
      </c>
      <c r="DE13" s="145">
        <f>'[99]2. Distributional by deciles o'!I29</f>
        <v>0.36089652355909008</v>
      </c>
      <c r="DF13" s="1"/>
      <c r="DG13" s="1"/>
      <c r="DH13" s="1"/>
      <c r="DI13" s="1"/>
      <c r="DJ13" s="1"/>
      <c r="DK13" s="1"/>
      <c r="DL13" s="1"/>
      <c r="DM13" s="1"/>
      <c r="DN13" s="1"/>
      <c r="DO13" s="1"/>
      <c r="DP13" s="1"/>
      <c r="DQ13" s="1"/>
      <c r="DR13" s="1"/>
      <c r="DS13" s="1"/>
      <c r="DT13" s="1"/>
      <c r="DU13" s="1"/>
      <c r="DV13" s="1"/>
      <c r="DW13" s="1"/>
      <c r="DX13" s="1"/>
      <c r="DY13" s="1"/>
      <c r="DZ13" s="1"/>
      <c r="EA13" s="146">
        <f>'[101]2. Distributional by deciles o'!B65</f>
        <v>15990500.424000006</v>
      </c>
      <c r="EB13" s="146">
        <f>'[101]2. Distributional by deciles o'!C65</f>
        <v>16847397.816</v>
      </c>
      <c r="EC13" s="146">
        <f>'[101]2. Distributional by deciles o'!D65</f>
        <v>16151173.222799996</v>
      </c>
      <c r="ED13" s="147"/>
      <c r="EE13" s="147"/>
      <c r="EF13" s="147"/>
      <c r="EG13" s="129"/>
      <c r="EH13" s="122"/>
      <c r="EI13" s="130" t="s">
        <v>113</v>
      </c>
      <c r="EJ13" s="130" t="s">
        <v>113</v>
      </c>
      <c r="EK13" s="130" t="s">
        <v>113</v>
      </c>
      <c r="EL13" s="130" t="s">
        <v>113</v>
      </c>
      <c r="EM13" s="131">
        <f t="shared" si="9"/>
        <v>0.50313929185214046</v>
      </c>
      <c r="EN13" s="146">
        <f>'[102]2. Distributional by deciles o'!B137</f>
        <v>1671072393.0864005</v>
      </c>
      <c r="EO13" s="146">
        <f>'[102]2. Distributional by deciles o'!C137</f>
        <v>1687782567.7188001</v>
      </c>
      <c r="EP13" s="131">
        <f t="shared" si="10"/>
        <v>0.99996712898455797</v>
      </c>
      <c r="EQ13" s="130" t="s">
        <v>113</v>
      </c>
      <c r="ER13" s="130" t="s">
        <v>113</v>
      </c>
      <c r="ES13" s="130" t="s">
        <v>113</v>
      </c>
      <c r="ET13" s="130" t="s">
        <v>113</v>
      </c>
      <c r="EU13" s="131">
        <f t="shared" ref="EU13:EU21" si="24">EN13/EN$22*100</f>
        <v>5.1611272408854365</v>
      </c>
      <c r="EV13" s="132">
        <f t="shared" ref="EV13:EV22" si="25">((EB13-$EA13)/ABS($EA13)) / ($EO13/$EN13-1)</f>
        <v>5.3589664944266353</v>
      </c>
      <c r="EW13" s="132">
        <f t="shared" ref="EW13:EW22" si="26">IF(EC13&lt;&gt;0,((EC13-$EA13)/ABS($EA13)) / ($EO13/$EN13-1),0)</f>
        <v>1.0048345967365293</v>
      </c>
      <c r="EX13" s="132"/>
      <c r="EY13" s="148">
        <f t="shared" si="11"/>
        <v>-0.16725836188705578</v>
      </c>
      <c r="EZ13" s="144">
        <f t="shared" ref="EZ13:EZ22" si="27">(1-FA13)*100</f>
        <v>64.211878567866322</v>
      </c>
      <c r="FA13" s="145">
        <f>'[101]2. Distributional by deciles o'!F29</f>
        <v>0.35788121432133674</v>
      </c>
      <c r="FB13" s="130" t="s">
        <v>113</v>
      </c>
      <c r="FC13" s="130" t="s">
        <v>113</v>
      </c>
      <c r="FD13" s="130" t="s">
        <v>113</v>
      </c>
      <c r="FE13" s="130" t="s">
        <v>113</v>
      </c>
      <c r="FF13" s="130" t="s">
        <v>113</v>
      </c>
      <c r="FG13" s="130" t="s">
        <v>113</v>
      </c>
      <c r="FH13" s="130" t="s">
        <v>113</v>
      </c>
      <c r="FI13" s="130" t="s">
        <v>113</v>
      </c>
      <c r="FJ13" s="1"/>
      <c r="FK13" s="1"/>
      <c r="FL13" s="1"/>
      <c r="FM13" s="1"/>
      <c r="FN13" s="1"/>
      <c r="FO13" s="1"/>
      <c r="FP13" s="1"/>
      <c r="FQ13" s="1"/>
    </row>
    <row r="14" spans="1:173" x14ac:dyDescent="0.3">
      <c r="A14" s="1"/>
      <c r="B14" s="28">
        <v>3</v>
      </c>
      <c r="C14" s="129">
        <f>'[99]2. Distributional by deciles o'!B66</f>
        <v>40979101.076400027</v>
      </c>
      <c r="D14" s="129">
        <f>'[99]2. Distributional by deciles o'!C66</f>
        <v>42642647.284799993</v>
      </c>
      <c r="E14" s="129">
        <f>'[99]2. Distributional by deciles o'!D66</f>
        <v>41391108.500400022</v>
      </c>
      <c r="F14" s="129">
        <f>'[99]2. Distributional by deciles o'!E66</f>
        <v>42574906.224000037</v>
      </c>
      <c r="G14" s="129">
        <f>'[99]2. Distributional by deciles o'!F66</f>
        <v>41588792.185200028</v>
      </c>
      <c r="H14" s="129">
        <f>'[99]2. Distributional by deciles o'!G66</f>
        <v>41391989.362800017</v>
      </c>
      <c r="I14" s="129"/>
      <c r="J14" s="122"/>
      <c r="K14" s="130" t="s">
        <v>113</v>
      </c>
      <c r="L14" s="130" t="s">
        <v>113</v>
      </c>
      <c r="M14" s="130" t="s">
        <v>113</v>
      </c>
      <c r="N14" s="130" t="s">
        <v>113</v>
      </c>
      <c r="O14" s="131">
        <f t="shared" si="12"/>
        <v>1.5890019488644607</v>
      </c>
      <c r="P14" s="129">
        <f>'[99]2. Distributional by deciles o'!B138</f>
        <v>1649030756.2632022</v>
      </c>
      <c r="Q14" s="129">
        <f>'[99]2. Distributional by deciles o'!C138</f>
        <v>1665523275.2580009</v>
      </c>
      <c r="R14" s="131">
        <f t="shared" si="0"/>
        <v>1.0001341049679091</v>
      </c>
      <c r="S14" s="130" t="s">
        <v>113</v>
      </c>
      <c r="T14" s="130" t="s">
        <v>113</v>
      </c>
      <c r="U14" s="130" t="s">
        <v>113</v>
      </c>
      <c r="V14" s="130" t="s">
        <v>113</v>
      </c>
      <c r="W14" s="132">
        <f t="shared" si="13"/>
        <v>4.0589546983997318</v>
      </c>
      <c r="X14" s="132">
        <f t="shared" si="13"/>
        <v>1.0052738306733433</v>
      </c>
      <c r="Y14" s="132">
        <f t="shared" si="1"/>
        <v>3.8936705027337606</v>
      </c>
      <c r="Z14" s="132">
        <f t="shared" si="1"/>
        <v>1.4876103700278542</v>
      </c>
      <c r="AA14" s="132">
        <f t="shared" si="1"/>
        <v>1.0074230830109405</v>
      </c>
      <c r="AB14" s="132">
        <f t="shared" si="14"/>
        <v>1.0074230830109405</v>
      </c>
      <c r="AC14" s="132">
        <f t="shared" si="14"/>
        <v>1.0074230830109405</v>
      </c>
      <c r="AD14" s="130" t="s">
        <v>113</v>
      </c>
      <c r="AE14" s="130" t="s">
        <v>113</v>
      </c>
      <c r="AF14" s="130" t="s">
        <v>113</v>
      </c>
      <c r="AG14" s="130" t="s">
        <v>113</v>
      </c>
      <c r="AH14" s="133">
        <f t="shared" si="2"/>
        <v>1</v>
      </c>
      <c r="AI14" s="134">
        <f t="shared" si="15"/>
        <v>5.2738306733433049E-3</v>
      </c>
      <c r="AJ14" s="134">
        <f t="shared" si="3"/>
        <v>0.16528419566597119</v>
      </c>
      <c r="AK14" s="134">
        <f t="shared" si="4"/>
        <v>2.4060601327059064</v>
      </c>
      <c r="AL14" s="134">
        <f t="shared" si="16"/>
        <v>0.48018728701691371</v>
      </c>
      <c r="AM14" s="134">
        <f t="shared" si="17"/>
        <v>0</v>
      </c>
      <c r="AN14" s="135">
        <f>IF(J14&lt;&gt;0,IF(W14&gt;1,MAX(MIN(AB14-AC14,W14-AH14-AJ14-AK14-AL14-AM14),0),0),0)</f>
        <v>0</v>
      </c>
      <c r="AO14" s="134">
        <f t="shared" si="18"/>
        <v>2.1492523375972183E-3</v>
      </c>
      <c r="AP14" s="134">
        <f t="shared" si="6"/>
        <v>7.4230830109405233E-3</v>
      </c>
      <c r="AQ14" s="136" t="s">
        <v>113</v>
      </c>
      <c r="AR14" s="137">
        <f t="shared" si="7"/>
        <v>0.17240630193386872</v>
      </c>
      <c r="AS14" s="137">
        <f t="shared" si="7"/>
        <v>5.4032900765885259</v>
      </c>
      <c r="AT14" s="137">
        <f t="shared" si="7"/>
        <v>78.656285232488671</v>
      </c>
      <c r="AU14" s="137">
        <f t="shared" si="7"/>
        <v>15.697757383204136</v>
      </c>
      <c r="AV14" s="137">
        <f t="shared" si="7"/>
        <v>0</v>
      </c>
      <c r="AW14" s="138">
        <f t="shared" si="7"/>
        <v>0</v>
      </c>
      <c r="AX14" s="137">
        <f t="shared" si="7"/>
        <v>7.0261005784805597E-2</v>
      </c>
      <c r="AY14" s="137">
        <f t="shared" si="7"/>
        <v>0.24266730771867434</v>
      </c>
      <c r="AZ14" s="139" t="s">
        <v>113</v>
      </c>
      <c r="BA14" s="139" t="s">
        <v>113</v>
      </c>
      <c r="BB14" s="139" t="s">
        <v>113</v>
      </c>
      <c r="BC14" s="139" t="s">
        <v>113</v>
      </c>
      <c r="BD14" s="139" t="s">
        <v>113</v>
      </c>
      <c r="BE14" s="139" t="s">
        <v>113</v>
      </c>
      <c r="BF14" s="139" t="s">
        <v>113</v>
      </c>
      <c r="BG14" s="139" t="s">
        <v>113</v>
      </c>
      <c r="BH14" s="140">
        <f>'[100]2. Distributional by deciles o'!B156</f>
        <v>668494748.56319988</v>
      </c>
      <c r="BI14" s="140">
        <f>'[100]2. Distributional by deciles o'!B174</f>
        <v>859617721.65000093</v>
      </c>
      <c r="BJ14" s="140">
        <f>'[100]2. Distributional by deciles o'!B192</f>
        <v>114656159.85959999</v>
      </c>
      <c r="BK14" s="140">
        <f>'[100]2. Distributional by deciles o'!B210</f>
        <v>6262213.2384000001</v>
      </c>
      <c r="BL14" s="141">
        <f t="shared" si="19"/>
        <v>0.40538644336141338</v>
      </c>
      <c r="BM14" s="141">
        <f t="shared" si="20"/>
        <v>0.52128662428406503</v>
      </c>
      <c r="BN14" s="141">
        <f t="shared" si="21"/>
        <v>6.9529421068543582E-2</v>
      </c>
      <c r="BO14" s="141">
        <f t="shared" si="21"/>
        <v>3.797511285977937E-3</v>
      </c>
      <c r="BP14" s="139" t="s">
        <v>113</v>
      </c>
      <c r="BQ14" s="139" t="s">
        <v>113</v>
      </c>
      <c r="BR14" s="139" t="s">
        <v>113</v>
      </c>
      <c r="BS14" s="131">
        <f t="shared" si="22"/>
        <v>6.4049339286521123</v>
      </c>
      <c r="BT14" s="139"/>
      <c r="BU14" s="139"/>
      <c r="BV14" s="139"/>
      <c r="BW14" s="139"/>
      <c r="BX14" s="139"/>
      <c r="BY14" s="139"/>
      <c r="BZ14" s="139"/>
      <c r="CA14" s="139"/>
      <c r="CB14" s="139"/>
      <c r="CC14" s="142" t="s">
        <v>113</v>
      </c>
      <c r="CD14" s="142" t="s">
        <v>113</v>
      </c>
      <c r="CE14" s="142" t="s">
        <v>113</v>
      </c>
      <c r="CF14" s="142" t="s">
        <v>113</v>
      </c>
      <c r="CG14" s="142" t="s">
        <v>113</v>
      </c>
      <c r="CH14" s="142" t="s">
        <v>113</v>
      </c>
      <c r="CI14" s="142" t="s">
        <v>113</v>
      </c>
      <c r="CJ14" s="142"/>
      <c r="CK14" s="139" t="s">
        <v>113</v>
      </c>
      <c r="CL14" s="139" t="s">
        <v>113</v>
      </c>
      <c r="CM14" s="139" t="s">
        <v>113</v>
      </c>
      <c r="CN14" s="139" t="s">
        <v>113</v>
      </c>
      <c r="CO14" s="139" t="s">
        <v>113</v>
      </c>
      <c r="CP14" s="139" t="s">
        <v>113</v>
      </c>
      <c r="CQ14" s="139" t="s">
        <v>113</v>
      </c>
      <c r="CR14" s="139"/>
      <c r="CS14" s="143" t="s">
        <v>113</v>
      </c>
      <c r="CT14" s="143" t="s">
        <v>113</v>
      </c>
      <c r="CU14" s="143" t="s">
        <v>113</v>
      </c>
      <c r="CV14" s="143" t="s">
        <v>113</v>
      </c>
      <c r="CW14" s="143" t="s">
        <v>113</v>
      </c>
      <c r="CX14" s="143" t="s">
        <v>113</v>
      </c>
      <c r="CY14" s="143" t="s">
        <v>113</v>
      </c>
      <c r="CZ14" s="143"/>
      <c r="DA14" s="139" t="s">
        <v>113</v>
      </c>
      <c r="DB14" s="139" t="s">
        <v>113</v>
      </c>
      <c r="DC14" s="139" t="s">
        <v>113</v>
      </c>
      <c r="DD14" s="144">
        <f t="shared" si="23"/>
        <v>41.23878646103546</v>
      </c>
      <c r="DE14" s="145">
        <f>'[99]2. Distributional by deciles o'!I30</f>
        <v>0.58761213538964541</v>
      </c>
      <c r="DF14" s="1"/>
      <c r="DG14" s="1"/>
      <c r="DH14" s="1"/>
      <c r="DI14" s="1"/>
      <c r="DJ14" s="1"/>
      <c r="DK14" s="1"/>
      <c r="DL14" s="1"/>
      <c r="DM14" s="1"/>
      <c r="DN14" s="1"/>
      <c r="DO14" s="1"/>
      <c r="DP14" s="1"/>
      <c r="DQ14" s="1"/>
      <c r="DR14" s="1"/>
      <c r="DS14" s="1"/>
      <c r="DT14" s="1"/>
      <c r="DU14" s="1"/>
      <c r="DV14" s="1"/>
      <c r="DW14" s="1"/>
      <c r="DX14" s="1"/>
      <c r="DY14" s="1"/>
      <c r="DZ14" s="1"/>
      <c r="EA14" s="146">
        <f>'[101]2. Distributional by deciles o'!B66</f>
        <v>51599348.341200009</v>
      </c>
      <c r="EB14" s="146">
        <f>'[101]2. Distributional by deciles o'!C66</f>
        <v>53552519.752800018</v>
      </c>
      <c r="EC14" s="146">
        <f>'[101]2. Distributional by deciles o'!D66</f>
        <v>52116621.554400012</v>
      </c>
      <c r="ED14" s="147"/>
      <c r="EE14" s="147"/>
      <c r="EF14" s="147"/>
      <c r="EG14" s="129"/>
      <c r="EH14" s="122"/>
      <c r="EI14" s="130" t="s">
        <v>113</v>
      </c>
      <c r="EJ14" s="130" t="s">
        <v>113</v>
      </c>
      <c r="EK14" s="130" t="s">
        <v>113</v>
      </c>
      <c r="EL14" s="130" t="s">
        <v>113</v>
      </c>
      <c r="EM14" s="131">
        <f t="shared" si="9"/>
        <v>1.6235676743085323</v>
      </c>
      <c r="EN14" s="146">
        <f>'[102]2. Distributional by deciles o'!B138</f>
        <v>2053147266.4847996</v>
      </c>
      <c r="EO14" s="146">
        <f>'[102]2. Distributional by deciles o'!C138</f>
        <v>2073680773.4292018</v>
      </c>
      <c r="EP14" s="131">
        <f t="shared" si="10"/>
        <v>1.0000990810346444</v>
      </c>
      <c r="EQ14" s="130" t="s">
        <v>113</v>
      </c>
      <c r="ER14" s="130" t="s">
        <v>113</v>
      </c>
      <c r="ES14" s="130" t="s">
        <v>113</v>
      </c>
      <c r="ET14" s="130" t="s">
        <v>113</v>
      </c>
      <c r="EU14" s="131">
        <f t="shared" si="24"/>
        <v>6.341170095589205</v>
      </c>
      <c r="EV14" s="132">
        <f t="shared" si="25"/>
        <v>3.7848887075359041</v>
      </c>
      <c r="EW14" s="132">
        <f t="shared" si="26"/>
        <v>1.002380810882177</v>
      </c>
      <c r="EX14" s="132"/>
      <c r="EY14" s="148">
        <f t="shared" si="11"/>
        <v>-0.27406599086382766</v>
      </c>
      <c r="EZ14" s="144">
        <f t="shared" si="27"/>
        <v>41.437031829467749</v>
      </c>
      <c r="FA14" s="145">
        <f>'[101]2. Distributional by deciles o'!F30</f>
        <v>0.58562968170532248</v>
      </c>
      <c r="FB14" s="130" t="s">
        <v>113</v>
      </c>
      <c r="FC14" s="130" t="s">
        <v>113</v>
      </c>
      <c r="FD14" s="130" t="s">
        <v>113</v>
      </c>
      <c r="FE14" s="130" t="s">
        <v>113</v>
      </c>
      <c r="FF14" s="130" t="s">
        <v>113</v>
      </c>
      <c r="FG14" s="130" t="s">
        <v>113</v>
      </c>
      <c r="FH14" s="130" t="s">
        <v>113</v>
      </c>
      <c r="FI14" s="130" t="s">
        <v>113</v>
      </c>
      <c r="FJ14" s="1"/>
      <c r="FK14" s="1"/>
      <c r="FL14" s="1"/>
      <c r="FM14" s="1"/>
      <c r="FN14" s="1"/>
      <c r="FO14" s="1"/>
      <c r="FP14" s="1"/>
      <c r="FQ14" s="1"/>
    </row>
    <row r="15" spans="1:173" x14ac:dyDescent="0.3">
      <c r="A15" s="1"/>
      <c r="B15" s="28">
        <v>4</v>
      </c>
      <c r="C15" s="129">
        <f>'[99]2. Distributional by deciles o'!B67</f>
        <v>83695844.079599991</v>
      </c>
      <c r="D15" s="129">
        <f>'[99]2. Distributional by deciles o'!C67</f>
        <v>86368635.27959995</v>
      </c>
      <c r="E15" s="129">
        <f>'[99]2. Distributional by deciles o'!D67</f>
        <v>84538453.796400055</v>
      </c>
      <c r="F15" s="129">
        <f>'[99]2. Distributional by deciles o'!E67</f>
        <v>86083050.369599998</v>
      </c>
      <c r="G15" s="129">
        <f>'[99]2. Distributional by deciles o'!F67</f>
        <v>84802029.921599999</v>
      </c>
      <c r="H15" s="129">
        <f>'[99]2. Distributional by deciles o'!G67</f>
        <v>84540747.375600055</v>
      </c>
      <c r="I15" s="129"/>
      <c r="J15" s="122"/>
      <c r="K15" s="130" t="s">
        <v>113</v>
      </c>
      <c r="L15" s="130" t="s">
        <v>113</v>
      </c>
      <c r="M15" s="130" t="s">
        <v>113</v>
      </c>
      <c r="N15" s="130" t="s">
        <v>113</v>
      </c>
      <c r="O15" s="131">
        <f t="shared" si="12"/>
        <v>3.2453825452733356</v>
      </c>
      <c r="P15" s="129">
        <f>'[99]2. Distributional by deciles o'!B139</f>
        <v>1864374819.1248007</v>
      </c>
      <c r="Q15" s="129">
        <f>'[99]2. Distributional by deciles o'!C139</f>
        <v>1883023459.5335989</v>
      </c>
      <c r="R15" s="131">
        <f t="shared" si="0"/>
        <v>1.0002624052577902</v>
      </c>
      <c r="S15" s="130" t="s">
        <v>113</v>
      </c>
      <c r="T15" s="130" t="s">
        <v>113</v>
      </c>
      <c r="U15" s="130" t="s">
        <v>113</v>
      </c>
      <c r="V15" s="130" t="s">
        <v>113</v>
      </c>
      <c r="W15" s="132">
        <f t="shared" si="13"/>
        <v>3.1926197279109783</v>
      </c>
      <c r="X15" s="132">
        <f t="shared" si="13"/>
        <v>1.0064880506885117</v>
      </c>
      <c r="Y15" s="132">
        <f t="shared" si="1"/>
        <v>2.8514916900531984</v>
      </c>
      <c r="Z15" s="132">
        <f t="shared" si="1"/>
        <v>1.3213268368681756</v>
      </c>
      <c r="AA15" s="132">
        <f t="shared" si="1"/>
        <v>1.0092277058480488</v>
      </c>
      <c r="AB15" s="132">
        <f t="shared" si="14"/>
        <v>1.0092277058480488</v>
      </c>
      <c r="AC15" s="132">
        <f t="shared" si="14"/>
        <v>1.0092277058480488</v>
      </c>
      <c r="AD15" s="130" t="s">
        <v>113</v>
      </c>
      <c r="AE15" s="130" t="s">
        <v>113</v>
      </c>
      <c r="AF15" s="130" t="s">
        <v>113</v>
      </c>
      <c r="AG15" s="130" t="s">
        <v>113</v>
      </c>
      <c r="AH15" s="133">
        <f t="shared" si="2"/>
        <v>1</v>
      </c>
      <c r="AI15" s="134">
        <f t="shared" si="15"/>
        <v>6.4880506885112155E-3</v>
      </c>
      <c r="AJ15" s="134">
        <f t="shared" si="3"/>
        <v>0.3411280378577799</v>
      </c>
      <c r="AK15" s="134">
        <f t="shared" si="4"/>
        <v>1.5301648531850227</v>
      </c>
      <c r="AL15" s="134">
        <f t="shared" si="16"/>
        <v>0.31209913102012687</v>
      </c>
      <c r="AM15" s="134">
        <f t="shared" si="17"/>
        <v>0</v>
      </c>
      <c r="AN15" s="135">
        <f t="shared" ref="AN15:AN22" si="28">IF(J15&lt;&gt;0,IF(W15&gt;1,MAX(MIN(AB15-AC15,W15-AH15-AJ15-AK15-AL15-AM15),0),0),0)</f>
        <v>0</v>
      </c>
      <c r="AO15" s="134">
        <f t="shared" si="18"/>
        <v>2.7396551595371132E-3</v>
      </c>
      <c r="AP15" s="134">
        <f t="shared" si="6"/>
        <v>9.2277058480483287E-3</v>
      </c>
      <c r="AQ15" s="136" t="s">
        <v>113</v>
      </c>
      <c r="AR15" s="137">
        <f t="shared" si="7"/>
        <v>0.2959040551319273</v>
      </c>
      <c r="AS15" s="137">
        <f t="shared" si="7"/>
        <v>15.55801188484198</v>
      </c>
      <c r="AT15" s="137">
        <f t="shared" si="7"/>
        <v>69.787060369236471</v>
      </c>
      <c r="AU15" s="137">
        <f t="shared" si="7"/>
        <v>14.234074748450787</v>
      </c>
      <c r="AV15" s="137">
        <f t="shared" si="7"/>
        <v>0</v>
      </c>
      <c r="AW15" s="138">
        <f t="shared" si="7"/>
        <v>0</v>
      </c>
      <c r="AX15" s="137">
        <f t="shared" si="7"/>
        <v>0.12494894233882151</v>
      </c>
      <c r="AY15" s="137">
        <f t="shared" si="7"/>
        <v>0.42085299747074884</v>
      </c>
      <c r="AZ15" s="139" t="s">
        <v>113</v>
      </c>
      <c r="BA15" s="139" t="s">
        <v>113</v>
      </c>
      <c r="BB15" s="139" t="s">
        <v>113</v>
      </c>
      <c r="BC15" s="139" t="s">
        <v>113</v>
      </c>
      <c r="BD15" s="139" t="s">
        <v>113</v>
      </c>
      <c r="BE15" s="139" t="s">
        <v>113</v>
      </c>
      <c r="BF15" s="139" t="s">
        <v>113</v>
      </c>
      <c r="BG15" s="139" t="s">
        <v>113</v>
      </c>
      <c r="BH15" s="140">
        <f>'[100]2. Distributional by deciles o'!B157</f>
        <v>1033236543.9060004</v>
      </c>
      <c r="BI15" s="140">
        <f>'[100]2. Distributional by deciles o'!B175</f>
        <v>718928667.90120053</v>
      </c>
      <c r="BJ15" s="140">
        <f>'[100]2. Distributional by deciles o'!B193</f>
        <v>106700358.09720004</v>
      </c>
      <c r="BK15" s="140">
        <f>'[100]2. Distributional by deciles o'!B211</f>
        <v>5509376.6940000011</v>
      </c>
      <c r="BL15" s="141">
        <f t="shared" si="19"/>
        <v>0.5541999723774268</v>
      </c>
      <c r="BM15" s="141">
        <f t="shared" si="20"/>
        <v>0.38561377860869889</v>
      </c>
      <c r="BN15" s="141">
        <f t="shared" si="21"/>
        <v>5.7231169240864091E-2</v>
      </c>
      <c r="BO15" s="141">
        <f t="shared" si="21"/>
        <v>2.9550797730102511E-3</v>
      </c>
      <c r="BP15" s="139" t="s">
        <v>113</v>
      </c>
      <c r="BQ15" s="139" t="s">
        <v>113</v>
      </c>
      <c r="BR15" s="139" t="s">
        <v>113</v>
      </c>
      <c r="BS15" s="131">
        <f t="shared" si="22"/>
        <v>7.2413431280060028</v>
      </c>
      <c r="BT15" s="139"/>
      <c r="BU15" s="139"/>
      <c r="BV15" s="139"/>
      <c r="BW15" s="139"/>
      <c r="BX15" s="139"/>
      <c r="BY15" s="139"/>
      <c r="BZ15" s="139"/>
      <c r="CA15" s="139"/>
      <c r="CB15" s="139"/>
      <c r="CC15" s="142" t="s">
        <v>113</v>
      </c>
      <c r="CD15" s="142" t="s">
        <v>113</v>
      </c>
      <c r="CE15" s="142" t="s">
        <v>113</v>
      </c>
      <c r="CF15" s="142" t="s">
        <v>113</v>
      </c>
      <c r="CG15" s="142" t="s">
        <v>113</v>
      </c>
      <c r="CH15" s="142" t="s">
        <v>113</v>
      </c>
      <c r="CI15" s="142" t="s">
        <v>113</v>
      </c>
      <c r="CJ15" s="142"/>
      <c r="CK15" s="139" t="s">
        <v>113</v>
      </c>
      <c r="CL15" s="139" t="s">
        <v>113</v>
      </c>
      <c r="CM15" s="139" t="s">
        <v>113</v>
      </c>
      <c r="CN15" s="139" t="s">
        <v>113</v>
      </c>
      <c r="CO15" s="139" t="s">
        <v>113</v>
      </c>
      <c r="CP15" s="139" t="s">
        <v>113</v>
      </c>
      <c r="CQ15" s="139" t="s">
        <v>113</v>
      </c>
      <c r="CR15" s="139"/>
      <c r="CS15" s="143" t="s">
        <v>113</v>
      </c>
      <c r="CT15" s="143" t="s">
        <v>113</v>
      </c>
      <c r="CU15" s="143" t="s">
        <v>113</v>
      </c>
      <c r="CV15" s="143" t="s">
        <v>113</v>
      </c>
      <c r="CW15" s="143" t="s">
        <v>113</v>
      </c>
      <c r="CX15" s="143" t="s">
        <v>113</v>
      </c>
      <c r="CY15" s="143" t="s">
        <v>113</v>
      </c>
      <c r="CZ15" s="143"/>
      <c r="DA15" s="139" t="s">
        <v>113</v>
      </c>
      <c r="DB15" s="139" t="s">
        <v>113</v>
      </c>
      <c r="DC15" s="139" t="s">
        <v>113</v>
      </c>
      <c r="DD15" s="144">
        <f t="shared" si="23"/>
        <v>12.973579163134463</v>
      </c>
      <c r="DE15" s="145">
        <f>'[99]2. Distributional by deciles o'!I31</f>
        <v>0.87026420836865537</v>
      </c>
      <c r="DF15" s="1"/>
      <c r="DG15" s="1"/>
      <c r="DH15" s="1"/>
      <c r="DI15" s="1"/>
      <c r="DJ15" s="1"/>
      <c r="DK15" s="1"/>
      <c r="DL15" s="1"/>
      <c r="DM15" s="1"/>
      <c r="DN15" s="1"/>
      <c r="DO15" s="1"/>
      <c r="DP15" s="1"/>
      <c r="DQ15" s="1"/>
      <c r="DR15" s="1"/>
      <c r="DS15" s="1"/>
      <c r="DT15" s="1"/>
      <c r="DU15" s="1"/>
      <c r="DV15" s="1"/>
      <c r="DW15" s="1"/>
      <c r="DX15" s="1"/>
      <c r="DY15" s="1"/>
      <c r="DZ15" s="1"/>
      <c r="EA15" s="146">
        <f>'[101]2. Distributional by deciles o'!B67</f>
        <v>102512422.8672</v>
      </c>
      <c r="EB15" s="146">
        <f>'[101]2. Distributional by deciles o'!C67</f>
        <v>105460706.00520003</v>
      </c>
      <c r="EC15" s="146">
        <f>'[101]2. Distributional by deciles o'!D67</f>
        <v>103544865.39959994</v>
      </c>
      <c r="ED15" s="147"/>
      <c r="EE15" s="147"/>
      <c r="EF15" s="147"/>
      <c r="EG15" s="129"/>
      <c r="EH15" s="122"/>
      <c r="EI15" s="130" t="s">
        <v>113</v>
      </c>
      <c r="EJ15" s="130" t="s">
        <v>113</v>
      </c>
      <c r="EK15" s="130" t="s">
        <v>113</v>
      </c>
      <c r="EL15" s="130" t="s">
        <v>113</v>
      </c>
      <c r="EM15" s="131">
        <f t="shared" si="9"/>
        <v>3.2255418204446662</v>
      </c>
      <c r="EN15" s="146">
        <f>'[102]2. Distributional by deciles o'!B139</f>
        <v>2337286127.313602</v>
      </c>
      <c r="EO15" s="146">
        <f>'[102]2. Distributional by deciles o'!C139</f>
        <v>2360662172.4492011</v>
      </c>
      <c r="EP15" s="131">
        <f t="shared" si="10"/>
        <v>1.000136220483494</v>
      </c>
      <c r="EQ15" s="130" t="s">
        <v>113</v>
      </c>
      <c r="ER15" s="130" t="s">
        <v>113</v>
      </c>
      <c r="ES15" s="130" t="s">
        <v>113</v>
      </c>
      <c r="ET15" s="130" t="s">
        <v>113</v>
      </c>
      <c r="EU15" s="131">
        <f t="shared" si="24"/>
        <v>7.2187363942635345</v>
      </c>
      <c r="EV15" s="132">
        <f t="shared" si="25"/>
        <v>2.8756335024539239</v>
      </c>
      <c r="EW15" s="132">
        <f t="shared" si="26"/>
        <v>1.0070017690165294</v>
      </c>
      <c r="EX15" s="132"/>
      <c r="EY15" s="148">
        <f t="shared" si="11"/>
        <v>-0.31698622545705435</v>
      </c>
      <c r="EZ15" s="144">
        <f t="shared" si="27"/>
        <v>16.112947361266659</v>
      </c>
      <c r="FA15" s="145">
        <f>'[101]2. Distributional by deciles o'!F31</f>
        <v>0.83887052638733339</v>
      </c>
      <c r="FB15" s="130" t="s">
        <v>113</v>
      </c>
      <c r="FC15" s="130" t="s">
        <v>113</v>
      </c>
      <c r="FD15" s="130" t="s">
        <v>113</v>
      </c>
      <c r="FE15" s="130" t="s">
        <v>113</v>
      </c>
      <c r="FF15" s="130" t="s">
        <v>113</v>
      </c>
      <c r="FG15" s="130" t="s">
        <v>113</v>
      </c>
      <c r="FH15" s="130" t="s">
        <v>113</v>
      </c>
      <c r="FI15" s="130" t="s">
        <v>113</v>
      </c>
      <c r="FJ15" s="1"/>
      <c r="FK15" s="1"/>
      <c r="FL15" s="1"/>
      <c r="FM15" s="1"/>
      <c r="FN15" s="1"/>
      <c r="FO15" s="1"/>
      <c r="FP15" s="1"/>
      <c r="FQ15" s="1"/>
    </row>
    <row r="16" spans="1:173" x14ac:dyDescent="0.3">
      <c r="A16" s="1"/>
      <c r="B16" s="28">
        <v>5</v>
      </c>
      <c r="C16" s="129">
        <f>'[99]2. Distributional by deciles o'!B68</f>
        <v>128038100.8091999</v>
      </c>
      <c r="D16" s="129">
        <f>'[99]2. Distributional by deciles o'!C68</f>
        <v>131447826.83639991</v>
      </c>
      <c r="E16" s="129">
        <f>'[99]2. Distributional by deciles o'!D68</f>
        <v>129328163.49600011</v>
      </c>
      <c r="F16" s="129">
        <f>'[99]2. Distributional by deciles o'!E68</f>
        <v>130906567.33199993</v>
      </c>
      <c r="G16" s="129">
        <f>'[99]2. Distributional by deciles o'!F68</f>
        <v>129642226.3608001</v>
      </c>
      <c r="H16" s="129">
        <f>'[99]2. Distributional by deciles o'!G68</f>
        <v>129329514.85920012</v>
      </c>
      <c r="I16" s="129"/>
      <c r="J16" s="122"/>
      <c r="K16" s="130" t="s">
        <v>113</v>
      </c>
      <c r="L16" s="130" t="s">
        <v>113</v>
      </c>
      <c r="M16" s="130" t="s">
        <v>113</v>
      </c>
      <c r="N16" s="130" t="s">
        <v>113</v>
      </c>
      <c r="O16" s="131">
        <f t="shared" si="12"/>
        <v>4.964793916182118</v>
      </c>
      <c r="P16" s="129">
        <f>'[99]2. Distributional by deciles o'!B140</f>
        <v>2103498219.6936021</v>
      </c>
      <c r="Q16" s="129">
        <f>'[99]2. Distributional by deciles o'!C140</f>
        <v>2124534263.5692022</v>
      </c>
      <c r="R16" s="131">
        <f t="shared" si="0"/>
        <v>1.0000504720495629</v>
      </c>
      <c r="S16" s="130" t="s">
        <v>113</v>
      </c>
      <c r="T16" s="130" t="s">
        <v>113</v>
      </c>
      <c r="U16" s="130" t="s">
        <v>113</v>
      </c>
      <c r="V16" s="130" t="s">
        <v>113</v>
      </c>
      <c r="W16" s="132">
        <f t="shared" si="13"/>
        <v>2.662921363622397</v>
      </c>
      <c r="X16" s="132">
        <f t="shared" si="13"/>
        <v>1.0075107095667182</v>
      </c>
      <c r="Y16" s="132">
        <f t="shared" si="1"/>
        <v>2.2402095427803048</v>
      </c>
      <c r="Z16" s="132">
        <f t="shared" si="1"/>
        <v>1.2527869298626695</v>
      </c>
      <c r="AA16" s="132">
        <f t="shared" si="1"/>
        <v>1.0085660946347883</v>
      </c>
      <c r="AB16" s="132">
        <f t="shared" si="14"/>
        <v>1.0085660946347883</v>
      </c>
      <c r="AC16" s="132">
        <f t="shared" si="14"/>
        <v>1.0085660946347883</v>
      </c>
      <c r="AD16" s="130" t="s">
        <v>113</v>
      </c>
      <c r="AE16" s="130" t="s">
        <v>113</v>
      </c>
      <c r="AF16" s="130" t="s">
        <v>113</v>
      </c>
      <c r="AG16" s="130" t="s">
        <v>113</v>
      </c>
      <c r="AH16" s="133">
        <f t="shared" si="2"/>
        <v>1</v>
      </c>
      <c r="AI16" s="134">
        <f t="shared" si="15"/>
        <v>7.5107095667181767E-3</v>
      </c>
      <c r="AJ16" s="134">
        <f t="shared" si="3"/>
        <v>0.42271182084209213</v>
      </c>
      <c r="AK16" s="134">
        <f t="shared" si="4"/>
        <v>0.98742261291763533</v>
      </c>
      <c r="AL16" s="134">
        <f t="shared" si="16"/>
        <v>0.24422083522788118</v>
      </c>
      <c r="AM16" s="134">
        <f t="shared" si="17"/>
        <v>0</v>
      </c>
      <c r="AN16" s="135">
        <f t="shared" si="28"/>
        <v>0</v>
      </c>
      <c r="AO16" s="134">
        <f t="shared" si="18"/>
        <v>1.0553850680701249E-3</v>
      </c>
      <c r="AP16" s="134">
        <f t="shared" si="6"/>
        <v>8.5660946347883016E-3</v>
      </c>
      <c r="AQ16" s="136" t="s">
        <v>113</v>
      </c>
      <c r="AR16" s="137">
        <f t="shared" si="7"/>
        <v>0.45165753059767955</v>
      </c>
      <c r="AS16" s="137">
        <f t="shared" si="7"/>
        <v>25.419832235559525</v>
      </c>
      <c r="AT16" s="137">
        <f t="shared" si="7"/>
        <v>59.378791716687061</v>
      </c>
      <c r="AU16" s="137">
        <f t="shared" si="7"/>
        <v>14.686252794051956</v>
      </c>
      <c r="AV16" s="137">
        <f t="shared" si="7"/>
        <v>0</v>
      </c>
      <c r="AW16" s="138">
        <f t="shared" si="7"/>
        <v>0</v>
      </c>
      <c r="AX16" s="137">
        <f t="shared" si="7"/>
        <v>6.3465723103775906E-2</v>
      </c>
      <c r="AY16" s="137">
        <f t="shared" si="7"/>
        <v>0.5151232537014554</v>
      </c>
      <c r="AZ16" s="139" t="s">
        <v>113</v>
      </c>
      <c r="BA16" s="139" t="s">
        <v>113</v>
      </c>
      <c r="BB16" s="139" t="s">
        <v>113</v>
      </c>
      <c r="BC16" s="139" t="s">
        <v>113</v>
      </c>
      <c r="BD16" s="139" t="s">
        <v>113</v>
      </c>
      <c r="BE16" s="139" t="s">
        <v>113</v>
      </c>
      <c r="BF16" s="139" t="s">
        <v>113</v>
      </c>
      <c r="BG16" s="139" t="s">
        <v>113</v>
      </c>
      <c r="BH16" s="140">
        <f>'[100]2. Distributional by deciles o'!B158</f>
        <v>1336425689.884799</v>
      </c>
      <c r="BI16" s="140">
        <f>'[100]2. Distributional by deciles o'!B176</f>
        <v>656188380.2256</v>
      </c>
      <c r="BJ16" s="140">
        <f>'[100]2. Distributional by deciles o'!B194</f>
        <v>102431930.64839999</v>
      </c>
      <c r="BK16" s="140">
        <f>'[100]2. Distributional by deciles o'!B212</f>
        <v>8452255.3788000029</v>
      </c>
      <c r="BL16" s="141">
        <f t="shared" si="19"/>
        <v>0.63533482187844403</v>
      </c>
      <c r="BM16" s="141">
        <f t="shared" si="20"/>
        <v>0.31195099796777576</v>
      </c>
      <c r="BN16" s="141">
        <f t="shared" si="21"/>
        <v>4.8695990286430492E-2</v>
      </c>
      <c r="BO16" s="141">
        <f t="shared" si="21"/>
        <v>4.0181898673497659E-3</v>
      </c>
      <c r="BP16" s="139" t="s">
        <v>113</v>
      </c>
      <c r="BQ16" s="139" t="s">
        <v>113</v>
      </c>
      <c r="BR16" s="139" t="s">
        <v>113</v>
      </c>
      <c r="BS16" s="131">
        <f t="shared" si="22"/>
        <v>8.1701126949899496</v>
      </c>
      <c r="BT16" s="139"/>
      <c r="BU16" s="139"/>
      <c r="BV16" s="139"/>
      <c r="BW16" s="139"/>
      <c r="BX16" s="139"/>
      <c r="BY16" s="139"/>
      <c r="BZ16" s="139"/>
      <c r="CA16" s="139"/>
      <c r="CB16" s="139"/>
      <c r="CC16" s="142" t="s">
        <v>113</v>
      </c>
      <c r="CD16" s="142" t="s">
        <v>113</v>
      </c>
      <c r="CE16" s="142" t="s">
        <v>113</v>
      </c>
      <c r="CF16" s="142" t="s">
        <v>113</v>
      </c>
      <c r="CG16" s="142" t="s">
        <v>113</v>
      </c>
      <c r="CH16" s="142" t="s">
        <v>113</v>
      </c>
      <c r="CI16" s="142" t="s">
        <v>113</v>
      </c>
      <c r="CJ16" s="142"/>
      <c r="CK16" s="139" t="s">
        <v>113</v>
      </c>
      <c r="CL16" s="139" t="s">
        <v>113</v>
      </c>
      <c r="CM16" s="139" t="s">
        <v>113</v>
      </c>
      <c r="CN16" s="139" t="s">
        <v>113</v>
      </c>
      <c r="CO16" s="139" t="s">
        <v>113</v>
      </c>
      <c r="CP16" s="139" t="s">
        <v>113</v>
      </c>
      <c r="CQ16" s="139" t="s">
        <v>113</v>
      </c>
      <c r="CR16" s="139"/>
      <c r="CS16" s="143" t="s">
        <v>113</v>
      </c>
      <c r="CT16" s="143" t="s">
        <v>113</v>
      </c>
      <c r="CU16" s="143" t="s">
        <v>113</v>
      </c>
      <c r="CV16" s="143" t="s">
        <v>113</v>
      </c>
      <c r="CW16" s="143" t="s">
        <v>113</v>
      </c>
      <c r="CX16" s="143" t="s">
        <v>113</v>
      </c>
      <c r="CY16" s="143" t="s">
        <v>113</v>
      </c>
      <c r="CZ16" s="143"/>
      <c r="DA16" s="139" t="s">
        <v>113</v>
      </c>
      <c r="DB16" s="139" t="s">
        <v>113</v>
      </c>
      <c r="DC16" s="139" t="s">
        <v>113</v>
      </c>
      <c r="DD16" s="144">
        <f t="shared" si="23"/>
        <v>3.0729597082895577</v>
      </c>
      <c r="DE16" s="145">
        <f>'[99]2. Distributional by deciles o'!I32</f>
        <v>0.96927040291710442</v>
      </c>
      <c r="DF16" s="1"/>
      <c r="DG16" s="1"/>
      <c r="DH16" s="1"/>
      <c r="DI16" s="1"/>
      <c r="DJ16" s="1"/>
      <c r="DK16" s="1"/>
      <c r="DL16" s="1"/>
      <c r="DM16" s="1"/>
      <c r="DN16" s="1"/>
      <c r="DO16" s="1"/>
      <c r="DP16" s="1"/>
      <c r="DQ16" s="1"/>
      <c r="DR16" s="1"/>
      <c r="DS16" s="1"/>
      <c r="DT16" s="1"/>
      <c r="DU16" s="1"/>
      <c r="DV16" s="1"/>
      <c r="DW16" s="1"/>
      <c r="DX16" s="1"/>
      <c r="DY16" s="1"/>
      <c r="DZ16" s="1"/>
      <c r="EA16" s="146">
        <f>'[101]2. Distributional by deciles o'!B68</f>
        <v>160342654.65840012</v>
      </c>
      <c r="EB16" s="146">
        <f>'[101]2. Distributional by deciles o'!C68</f>
        <v>164377076.81519997</v>
      </c>
      <c r="EC16" s="146">
        <f>'[101]2. Distributional by deciles o'!D68</f>
        <v>161958489.54120004</v>
      </c>
      <c r="ED16" s="147"/>
      <c r="EE16" s="147"/>
      <c r="EF16" s="147"/>
      <c r="EG16" s="129"/>
      <c r="EH16" s="122"/>
      <c r="EI16" s="130" t="s">
        <v>113</v>
      </c>
      <c r="EJ16" s="130" t="s">
        <v>113</v>
      </c>
      <c r="EK16" s="130" t="s">
        <v>113</v>
      </c>
      <c r="EL16" s="130" t="s">
        <v>113</v>
      </c>
      <c r="EM16" s="131">
        <f t="shared" si="9"/>
        <v>5.0451635395622638</v>
      </c>
      <c r="EN16" s="146">
        <f>'[102]2. Distributional by deciles o'!B140</f>
        <v>2651227486.6104002</v>
      </c>
      <c r="EO16" s="146">
        <f>'[102]2. Distributional by deciles o'!C140</f>
        <v>2677743373.9823995</v>
      </c>
      <c r="EP16" s="131">
        <f t="shared" si="10"/>
        <v>1.0001362578621942</v>
      </c>
      <c r="EQ16" s="130" t="s">
        <v>113</v>
      </c>
      <c r="ER16" s="130" t="s">
        <v>113</v>
      </c>
      <c r="ES16" s="130" t="s">
        <v>113</v>
      </c>
      <c r="ET16" s="130" t="s">
        <v>113</v>
      </c>
      <c r="EU16" s="131">
        <f t="shared" si="24"/>
        <v>8.1883480689048085</v>
      </c>
      <c r="EV16" s="132">
        <f t="shared" si="25"/>
        <v>2.5157825399293738</v>
      </c>
      <c r="EW16" s="132">
        <f t="shared" si="26"/>
        <v>1.0076013435295392</v>
      </c>
      <c r="EX16" s="132"/>
      <c r="EY16" s="148">
        <f t="shared" si="11"/>
        <v>-0.14713882369302311</v>
      </c>
      <c r="EZ16" s="144">
        <f t="shared" si="27"/>
        <v>3.0029976192566421</v>
      </c>
      <c r="FA16" s="145">
        <f>'[101]2. Distributional by deciles o'!F32</f>
        <v>0.96997002380743358</v>
      </c>
      <c r="FB16" s="130" t="s">
        <v>113</v>
      </c>
      <c r="FC16" s="130" t="s">
        <v>113</v>
      </c>
      <c r="FD16" s="130" t="s">
        <v>113</v>
      </c>
      <c r="FE16" s="130" t="s">
        <v>113</v>
      </c>
      <c r="FF16" s="130" t="s">
        <v>113</v>
      </c>
      <c r="FG16" s="130" t="s">
        <v>113</v>
      </c>
      <c r="FH16" s="130" t="s">
        <v>113</v>
      </c>
      <c r="FI16" s="130" t="s">
        <v>113</v>
      </c>
      <c r="FJ16" s="1"/>
      <c r="FK16" s="1"/>
      <c r="FL16" s="1"/>
      <c r="FM16" s="1"/>
      <c r="FN16" s="1"/>
      <c r="FO16" s="1"/>
      <c r="FP16" s="1"/>
      <c r="FQ16" s="1"/>
    </row>
    <row r="17" spans="1:173" x14ac:dyDescent="0.3">
      <c r="A17" s="1"/>
      <c r="B17" s="28">
        <v>6</v>
      </c>
      <c r="C17" s="129">
        <f>'[99]2. Distributional by deciles o'!B69</f>
        <v>184167839.90639994</v>
      </c>
      <c r="D17" s="129">
        <f>'[99]2. Distributional by deciles o'!C69</f>
        <v>188528249.70239979</v>
      </c>
      <c r="E17" s="129">
        <f>'[99]2. Distributional by deciles o'!D69</f>
        <v>186023649.3179999</v>
      </c>
      <c r="F17" s="129">
        <f>'[99]2. Distributional by deciles o'!E69</f>
        <v>187810740.57840008</v>
      </c>
      <c r="G17" s="129">
        <f>'[99]2. Distributional by deciles o'!F69</f>
        <v>186348490.03439996</v>
      </c>
      <c r="H17" s="129">
        <f>'[99]2. Distributional by deciles o'!G69</f>
        <v>186024498.13079992</v>
      </c>
      <c r="I17" s="129"/>
      <c r="J17" s="122"/>
      <c r="K17" s="130" t="s">
        <v>113</v>
      </c>
      <c r="L17" s="130" t="s">
        <v>113</v>
      </c>
      <c r="M17" s="130" t="s">
        <v>113</v>
      </c>
      <c r="N17" s="130" t="s">
        <v>113</v>
      </c>
      <c r="O17" s="131">
        <f t="shared" si="12"/>
        <v>7.1412756464285003</v>
      </c>
      <c r="P17" s="129">
        <f>'[99]2. Distributional by deciles o'!B141</f>
        <v>2397674159.1071987</v>
      </c>
      <c r="Q17" s="129">
        <f>'[99]2. Distributional by deciles o'!C141</f>
        <v>2421652735.2168007</v>
      </c>
      <c r="R17" s="131">
        <f t="shared" si="0"/>
        <v>1.0000765124202893</v>
      </c>
      <c r="S17" s="130" t="s">
        <v>113</v>
      </c>
      <c r="T17" s="130" t="s">
        <v>113</v>
      </c>
      <c r="U17" s="130" t="s">
        <v>113</v>
      </c>
      <c r="V17" s="130" t="s">
        <v>113</v>
      </c>
      <c r="W17" s="132">
        <f t="shared" si="13"/>
        <v>2.3674471059840765</v>
      </c>
      <c r="X17" s="132">
        <f t="shared" si="13"/>
        <v>1.0075958055091232</v>
      </c>
      <c r="Y17" s="132">
        <f t="shared" si="1"/>
        <v>1.9778816801177705</v>
      </c>
      <c r="Z17" s="132">
        <f t="shared" si="1"/>
        <v>1.183965286802513</v>
      </c>
      <c r="AA17" s="132">
        <f t="shared" si="1"/>
        <v>1.0080566611398885</v>
      </c>
      <c r="AB17" s="132">
        <f t="shared" si="14"/>
        <v>1.0080566611398885</v>
      </c>
      <c r="AC17" s="132">
        <f t="shared" si="14"/>
        <v>1.0080566611398885</v>
      </c>
      <c r="AD17" s="130" t="s">
        <v>113</v>
      </c>
      <c r="AE17" s="130" t="s">
        <v>113</v>
      </c>
      <c r="AF17" s="130" t="s">
        <v>113</v>
      </c>
      <c r="AG17" s="130" t="s">
        <v>113</v>
      </c>
      <c r="AH17" s="133">
        <f t="shared" si="2"/>
        <v>1</v>
      </c>
      <c r="AI17" s="134">
        <f t="shared" si="15"/>
        <v>7.5958055091231991E-3</v>
      </c>
      <c r="AJ17" s="134">
        <f t="shared" si="3"/>
        <v>0.38956542586630594</v>
      </c>
      <c r="AK17" s="134">
        <f t="shared" si="4"/>
        <v>0.79391639331525754</v>
      </c>
      <c r="AL17" s="134">
        <f t="shared" si="16"/>
        <v>0.17590862566262455</v>
      </c>
      <c r="AM17" s="134">
        <f t="shared" si="17"/>
        <v>0</v>
      </c>
      <c r="AN17" s="135">
        <f t="shared" si="28"/>
        <v>0</v>
      </c>
      <c r="AO17" s="134">
        <f t="shared" si="18"/>
        <v>4.608556307652556E-4</v>
      </c>
      <c r="AP17" s="134">
        <f t="shared" si="6"/>
        <v>8.0566611398884547E-3</v>
      </c>
      <c r="AQ17" s="136" t="s">
        <v>113</v>
      </c>
      <c r="AR17" s="137">
        <f t="shared" si="7"/>
        <v>0.55547344214509242</v>
      </c>
      <c r="AS17" s="137">
        <f t="shared" si="7"/>
        <v>28.488518799852013</v>
      </c>
      <c r="AT17" s="137">
        <f t="shared" si="7"/>
        <v>58.058289043942182</v>
      </c>
      <c r="AU17" s="137">
        <f t="shared" si="7"/>
        <v>12.864016815921579</v>
      </c>
      <c r="AV17" s="137">
        <f t="shared" si="7"/>
        <v>0</v>
      </c>
      <c r="AW17" s="138">
        <f t="shared" si="7"/>
        <v>0</v>
      </c>
      <c r="AX17" s="137">
        <f t="shared" si="7"/>
        <v>3.3701898139131541E-2</v>
      </c>
      <c r="AY17" s="137">
        <f t="shared" si="7"/>
        <v>0.58917534028422391</v>
      </c>
      <c r="AZ17" s="139" t="s">
        <v>113</v>
      </c>
      <c r="BA17" s="139" t="s">
        <v>113</v>
      </c>
      <c r="BB17" s="139" t="s">
        <v>113</v>
      </c>
      <c r="BC17" s="139" t="s">
        <v>113</v>
      </c>
      <c r="BD17" s="139" t="s">
        <v>113</v>
      </c>
      <c r="BE17" s="139" t="s">
        <v>113</v>
      </c>
      <c r="BF17" s="139" t="s">
        <v>113</v>
      </c>
      <c r="BG17" s="139" t="s">
        <v>113</v>
      </c>
      <c r="BH17" s="140">
        <f>'[100]2. Distributional by deciles o'!B159</f>
        <v>1687548084.9216003</v>
      </c>
      <c r="BI17" s="140">
        <f>'[100]2. Distributional by deciles o'!B177</f>
        <v>578651552.9016</v>
      </c>
      <c r="BJ17" s="140">
        <f>'[100]2. Distributional by deciles o'!B195</f>
        <v>120416109.9384001</v>
      </c>
      <c r="BK17" s="140">
        <f>'[100]2. Distributional by deciles o'!B213</f>
        <v>11058349.597200006</v>
      </c>
      <c r="BL17" s="141">
        <f t="shared" si="19"/>
        <v>0.7038271326284703</v>
      </c>
      <c r="BM17" s="141">
        <f t="shared" si="20"/>
        <v>0.24133870134353275</v>
      </c>
      <c r="BN17" s="141">
        <f t="shared" si="21"/>
        <v>5.0222050641096957E-2</v>
      </c>
      <c r="BO17" s="141">
        <f t="shared" si="21"/>
        <v>4.6121153868999643E-3</v>
      </c>
      <c r="BP17" s="139" t="s">
        <v>113</v>
      </c>
      <c r="BQ17" s="139" t="s">
        <v>113</v>
      </c>
      <c r="BR17" s="139" t="s">
        <v>113</v>
      </c>
      <c r="BS17" s="131">
        <f t="shared" si="22"/>
        <v>9.3127096102912201</v>
      </c>
      <c r="BT17" s="139"/>
      <c r="BU17" s="139"/>
      <c r="BV17" s="139"/>
      <c r="BW17" s="139"/>
      <c r="BX17" s="139"/>
      <c r="BY17" s="139"/>
      <c r="BZ17" s="139"/>
      <c r="CA17" s="139"/>
      <c r="CB17" s="139"/>
      <c r="CC17" s="142" t="s">
        <v>113</v>
      </c>
      <c r="CD17" s="142" t="s">
        <v>113</v>
      </c>
      <c r="CE17" s="142" t="s">
        <v>113</v>
      </c>
      <c r="CF17" s="142" t="s">
        <v>113</v>
      </c>
      <c r="CG17" s="142" t="s">
        <v>113</v>
      </c>
      <c r="CH17" s="142" t="s">
        <v>113</v>
      </c>
      <c r="CI17" s="142" t="s">
        <v>113</v>
      </c>
      <c r="CJ17" s="142"/>
      <c r="CK17" s="139" t="s">
        <v>113</v>
      </c>
      <c r="CL17" s="139" t="s">
        <v>113</v>
      </c>
      <c r="CM17" s="139" t="s">
        <v>113</v>
      </c>
      <c r="CN17" s="139" t="s">
        <v>113</v>
      </c>
      <c r="CO17" s="139" t="s">
        <v>113</v>
      </c>
      <c r="CP17" s="139" t="s">
        <v>113</v>
      </c>
      <c r="CQ17" s="139" t="s">
        <v>113</v>
      </c>
      <c r="CR17" s="139"/>
      <c r="CS17" s="143" t="s">
        <v>113</v>
      </c>
      <c r="CT17" s="143" t="s">
        <v>113</v>
      </c>
      <c r="CU17" s="143" t="s">
        <v>113</v>
      </c>
      <c r="CV17" s="143" t="s">
        <v>113</v>
      </c>
      <c r="CW17" s="143" t="s">
        <v>113</v>
      </c>
      <c r="CX17" s="143" t="s">
        <v>113</v>
      </c>
      <c r="CY17" s="143" t="s">
        <v>113</v>
      </c>
      <c r="CZ17" s="143"/>
      <c r="DA17" s="139" t="s">
        <v>113</v>
      </c>
      <c r="DB17" s="139" t="s">
        <v>113</v>
      </c>
      <c r="DC17" s="139" t="s">
        <v>113</v>
      </c>
      <c r="DD17" s="144">
        <f t="shared" si="23"/>
        <v>9.0214384612730125E-2</v>
      </c>
      <c r="DE17" s="145">
        <f>'[99]2. Distributional by deciles o'!I33</f>
        <v>0.9990978561538727</v>
      </c>
      <c r="DF17" s="1"/>
      <c r="DG17" s="1"/>
      <c r="DH17" s="1"/>
      <c r="DI17" s="1"/>
      <c r="DJ17" s="1"/>
      <c r="DK17" s="1"/>
      <c r="DL17" s="1"/>
      <c r="DM17" s="1"/>
      <c r="DN17" s="1"/>
      <c r="DO17" s="1"/>
      <c r="DP17" s="1"/>
      <c r="DQ17" s="1"/>
      <c r="DR17" s="1"/>
      <c r="DS17" s="1"/>
      <c r="DT17" s="1"/>
      <c r="DU17" s="1"/>
      <c r="DV17" s="1"/>
      <c r="DW17" s="1"/>
      <c r="DX17" s="1"/>
      <c r="DY17" s="1"/>
      <c r="DZ17" s="1"/>
      <c r="EA17" s="146">
        <f>'[101]2. Distributional by deciles o'!B69</f>
        <v>231708421.04399991</v>
      </c>
      <c r="EB17" s="146">
        <f>'[101]2. Distributional by deciles o'!C69</f>
        <v>236984807.03759986</v>
      </c>
      <c r="EC17" s="146">
        <f>'[101]2. Distributional by deciles o'!D69</f>
        <v>234042736.35360008</v>
      </c>
      <c r="ED17" s="147"/>
      <c r="EE17" s="147"/>
      <c r="EF17" s="147"/>
      <c r="EG17" s="129"/>
      <c r="EH17" s="122"/>
      <c r="EI17" s="130" t="s">
        <v>113</v>
      </c>
      <c r="EJ17" s="130" t="s">
        <v>113</v>
      </c>
      <c r="EK17" s="130" t="s">
        <v>113</v>
      </c>
      <c r="EL17" s="130" t="s">
        <v>113</v>
      </c>
      <c r="EM17" s="131">
        <f t="shared" si="9"/>
        <v>7.2906793276637778</v>
      </c>
      <c r="EN17" s="146">
        <f>'[102]2. Distributional by deciles o'!B141</f>
        <v>3028960859.5428038</v>
      </c>
      <c r="EO17" s="146">
        <f>'[102]2. Distributional by deciles o'!C141</f>
        <v>3059251157.4971991</v>
      </c>
      <c r="EP17" s="131">
        <f t="shared" si="10"/>
        <v>1.0000227589262112</v>
      </c>
      <c r="EQ17" s="130" t="s">
        <v>113</v>
      </c>
      <c r="ER17" s="130" t="s">
        <v>113</v>
      </c>
      <c r="ES17" s="130" t="s">
        <v>113</v>
      </c>
      <c r="ET17" s="130" t="s">
        <v>113</v>
      </c>
      <c r="EU17" s="131">
        <f t="shared" si="24"/>
        <v>9.3549821470564254</v>
      </c>
      <c r="EV17" s="132">
        <f t="shared" si="25"/>
        <v>2.2771144387762559</v>
      </c>
      <c r="EW17" s="132">
        <f t="shared" si="26"/>
        <v>1.0074136165539289</v>
      </c>
      <c r="EX17" s="132"/>
      <c r="EY17" s="148">
        <f t="shared" si="11"/>
        <v>-9.0332667207820627E-2</v>
      </c>
      <c r="EZ17" s="144">
        <f t="shared" si="27"/>
        <v>7.5596750864015405E-2</v>
      </c>
      <c r="FA17" s="145">
        <f>'[101]2. Distributional by deciles o'!F33</f>
        <v>0.99924403249135985</v>
      </c>
      <c r="FB17" s="130" t="s">
        <v>113</v>
      </c>
      <c r="FC17" s="130" t="s">
        <v>113</v>
      </c>
      <c r="FD17" s="130" t="s">
        <v>113</v>
      </c>
      <c r="FE17" s="130" t="s">
        <v>113</v>
      </c>
      <c r="FF17" s="130" t="s">
        <v>113</v>
      </c>
      <c r="FG17" s="130" t="s">
        <v>113</v>
      </c>
      <c r="FH17" s="130" t="s">
        <v>113</v>
      </c>
      <c r="FI17" s="130" t="s">
        <v>113</v>
      </c>
      <c r="FJ17" s="1"/>
      <c r="FK17" s="1"/>
      <c r="FL17" s="1"/>
      <c r="FM17" s="1"/>
      <c r="FN17" s="1"/>
      <c r="FO17" s="1"/>
      <c r="FP17" s="1"/>
      <c r="FQ17" s="1"/>
    </row>
    <row r="18" spans="1:173" x14ac:dyDescent="0.3">
      <c r="A18" s="1"/>
      <c r="B18" s="28">
        <v>7</v>
      </c>
      <c r="C18" s="129">
        <f>'[99]2. Distributional by deciles o'!B70</f>
        <v>255157272.22679946</v>
      </c>
      <c r="D18" s="129">
        <f>'[99]2. Distributional by deciles o'!C70</f>
        <v>260463531.43679994</v>
      </c>
      <c r="E18" s="129">
        <f>'[99]2. Distributional by deciles o'!D70</f>
        <v>257731369.76880017</v>
      </c>
      <c r="F18" s="129">
        <f>'[99]2. Distributional by deciles o'!E70</f>
        <v>259529004.17279953</v>
      </c>
      <c r="G18" s="129">
        <f>'[99]2. Distributional by deciles o'!F70</f>
        <v>258067534.61879998</v>
      </c>
      <c r="H18" s="129">
        <f>'[99]2. Distributional by deciles o'!G70</f>
        <v>257732381.78640014</v>
      </c>
      <c r="I18" s="129"/>
      <c r="J18" s="122"/>
      <c r="K18" s="130" t="s">
        <v>113</v>
      </c>
      <c r="L18" s="130" t="s">
        <v>113</v>
      </c>
      <c r="M18" s="130" t="s">
        <v>113</v>
      </c>
      <c r="N18" s="130" t="s">
        <v>113</v>
      </c>
      <c r="O18" s="131">
        <f t="shared" si="12"/>
        <v>9.8939555086732032</v>
      </c>
      <c r="P18" s="129">
        <f>'[99]2. Distributional by deciles o'!B142</f>
        <v>2736190970.2955999</v>
      </c>
      <c r="Q18" s="129">
        <f>'[99]2. Distributional by deciles o'!C142</f>
        <v>2763562550.3831978</v>
      </c>
      <c r="R18" s="131">
        <f t="shared" si="0"/>
        <v>1.0003534250623058</v>
      </c>
      <c r="S18" s="130" t="s">
        <v>113</v>
      </c>
      <c r="T18" s="130" t="s">
        <v>113</v>
      </c>
      <c r="U18" s="130" t="s">
        <v>113</v>
      </c>
      <c r="V18" s="130" t="s">
        <v>113</v>
      </c>
      <c r="W18" s="132">
        <f t="shared" si="13"/>
        <v>2.0788686370892608</v>
      </c>
      <c r="X18" s="132">
        <f t="shared" si="13"/>
        <v>1.0084713989826639</v>
      </c>
      <c r="Y18" s="132">
        <f t="shared" si="1"/>
        <v>1.7127426446059193</v>
      </c>
      <c r="Z18" s="132">
        <f t="shared" si="1"/>
        <v>1.1401729491518211</v>
      </c>
      <c r="AA18" s="132">
        <f t="shared" si="1"/>
        <v>1.008867883882006</v>
      </c>
      <c r="AB18" s="132">
        <f t="shared" si="14"/>
        <v>1.008867883882006</v>
      </c>
      <c r="AC18" s="132">
        <f t="shared" si="14"/>
        <v>1.008867883882006</v>
      </c>
      <c r="AD18" s="130" t="s">
        <v>113</v>
      </c>
      <c r="AE18" s="130" t="s">
        <v>113</v>
      </c>
      <c r="AF18" s="130" t="s">
        <v>113</v>
      </c>
      <c r="AG18" s="130" t="s">
        <v>113</v>
      </c>
      <c r="AH18" s="133">
        <f t="shared" si="2"/>
        <v>1</v>
      </c>
      <c r="AI18" s="134">
        <f t="shared" si="15"/>
        <v>8.4713989826634695E-3</v>
      </c>
      <c r="AJ18" s="134">
        <f t="shared" si="3"/>
        <v>0.36612599248334154</v>
      </c>
      <c r="AK18" s="134">
        <f t="shared" si="4"/>
        <v>0.57256969545409819</v>
      </c>
      <c r="AL18" s="134">
        <f t="shared" si="16"/>
        <v>0.13130506526981511</v>
      </c>
      <c r="AM18" s="134">
        <f t="shared" si="17"/>
        <v>0</v>
      </c>
      <c r="AN18" s="135">
        <f t="shared" si="28"/>
        <v>0</v>
      </c>
      <c r="AO18" s="134">
        <f t="shared" si="18"/>
        <v>3.9648489934207554E-4</v>
      </c>
      <c r="AP18" s="134">
        <f t="shared" si="6"/>
        <v>8.867883882005545E-3</v>
      </c>
      <c r="AQ18" s="136" t="s">
        <v>113</v>
      </c>
      <c r="AR18" s="137">
        <f t="shared" si="7"/>
        <v>0.78521134931857173</v>
      </c>
      <c r="AS18" s="137">
        <f t="shared" si="7"/>
        <v>33.93610490625931</v>
      </c>
      <c r="AT18" s="137">
        <f t="shared" si="7"/>
        <v>53.071307828436417</v>
      </c>
      <c r="AU18" s="137">
        <f t="shared" si="7"/>
        <v>12.170625853400493</v>
      </c>
      <c r="AV18" s="137">
        <f t="shared" si="7"/>
        <v>0</v>
      </c>
      <c r="AW18" s="138">
        <f t="shared" si="7"/>
        <v>0</v>
      </c>
      <c r="AX18" s="137">
        <f t="shared" si="7"/>
        <v>3.6750062585170148E-2</v>
      </c>
      <c r="AY18" s="137">
        <f t="shared" si="7"/>
        <v>0.82196141190374195</v>
      </c>
      <c r="AZ18" s="139" t="s">
        <v>113</v>
      </c>
      <c r="BA18" s="139" t="s">
        <v>113</v>
      </c>
      <c r="BB18" s="139" t="s">
        <v>113</v>
      </c>
      <c r="BC18" s="139" t="s">
        <v>113</v>
      </c>
      <c r="BD18" s="139" t="s">
        <v>113</v>
      </c>
      <c r="BE18" s="139" t="s">
        <v>113</v>
      </c>
      <c r="BF18" s="139" t="s">
        <v>113</v>
      </c>
      <c r="BG18" s="139" t="s">
        <v>113</v>
      </c>
      <c r="BH18" s="140">
        <f>'[100]2. Distributional by deciles o'!B160</f>
        <v>2047676393.5548041</v>
      </c>
      <c r="BI18" s="140">
        <f>'[100]2. Distributional by deciles o'!B178</f>
        <v>528439691.81879944</v>
      </c>
      <c r="BJ18" s="140">
        <f>'[100]2. Distributional by deciles o'!B196</f>
        <v>142387475.61960003</v>
      </c>
      <c r="BK18" s="140">
        <f>'[100]2. Distributional by deciles o'!B214</f>
        <v>17687579.003999993</v>
      </c>
      <c r="BL18" s="141">
        <f t="shared" si="19"/>
        <v>0.74836745270540461</v>
      </c>
      <c r="BM18" s="141">
        <f t="shared" si="20"/>
        <v>0.19312966996133887</v>
      </c>
      <c r="BN18" s="141">
        <f t="shared" si="21"/>
        <v>5.2038570529011202E-2</v>
      </c>
      <c r="BO18" s="141">
        <f t="shared" si="21"/>
        <v>6.4643068042454345E-3</v>
      </c>
      <c r="BP18" s="139" t="s">
        <v>113</v>
      </c>
      <c r="BQ18" s="139" t="s">
        <v>113</v>
      </c>
      <c r="BR18" s="139" t="s">
        <v>113</v>
      </c>
      <c r="BS18" s="131">
        <f t="shared" si="22"/>
        <v>10.627529119366312</v>
      </c>
      <c r="BT18" s="139"/>
      <c r="BU18" s="139"/>
      <c r="BV18" s="139"/>
      <c r="BW18" s="139"/>
      <c r="BX18" s="139"/>
      <c r="BY18" s="139"/>
      <c r="BZ18" s="139"/>
      <c r="CA18" s="139"/>
      <c r="CB18" s="139"/>
      <c r="CC18" s="142" t="s">
        <v>113</v>
      </c>
      <c r="CD18" s="142" t="s">
        <v>113</v>
      </c>
      <c r="CE18" s="142" t="s">
        <v>113</v>
      </c>
      <c r="CF18" s="142" t="s">
        <v>113</v>
      </c>
      <c r="CG18" s="142" t="s">
        <v>113</v>
      </c>
      <c r="CH18" s="142" t="s">
        <v>113</v>
      </c>
      <c r="CI18" s="142" t="s">
        <v>113</v>
      </c>
      <c r="CJ18" s="142"/>
      <c r="CK18" s="139" t="s">
        <v>113</v>
      </c>
      <c r="CL18" s="139" t="s">
        <v>113</v>
      </c>
      <c r="CM18" s="139" t="s">
        <v>113</v>
      </c>
      <c r="CN18" s="139" t="s">
        <v>113</v>
      </c>
      <c r="CO18" s="139" t="s">
        <v>113</v>
      </c>
      <c r="CP18" s="139" t="s">
        <v>113</v>
      </c>
      <c r="CQ18" s="139" t="s">
        <v>113</v>
      </c>
      <c r="CR18" s="139"/>
      <c r="CS18" s="143" t="s">
        <v>113</v>
      </c>
      <c r="CT18" s="143" t="s">
        <v>113</v>
      </c>
      <c r="CU18" s="143" t="s">
        <v>113</v>
      </c>
      <c r="CV18" s="143" t="s">
        <v>113</v>
      </c>
      <c r="CW18" s="143" t="s">
        <v>113</v>
      </c>
      <c r="CX18" s="143" t="s">
        <v>113</v>
      </c>
      <c r="CY18" s="143" t="s">
        <v>113</v>
      </c>
      <c r="CZ18" s="143"/>
      <c r="DA18" s="139" t="s">
        <v>113</v>
      </c>
      <c r="DB18" s="139" t="s">
        <v>113</v>
      </c>
      <c r="DC18" s="139" t="s">
        <v>113</v>
      </c>
      <c r="DD18" s="144">
        <f t="shared" si="23"/>
        <v>0</v>
      </c>
      <c r="DE18" s="145">
        <f>'[99]2. Distributional by deciles o'!I34</f>
        <v>1</v>
      </c>
      <c r="DF18" s="1"/>
      <c r="DG18" s="1"/>
      <c r="DH18" s="1"/>
      <c r="DI18" s="1"/>
      <c r="DJ18" s="1"/>
      <c r="DK18" s="1"/>
      <c r="DL18" s="1"/>
      <c r="DM18" s="1"/>
      <c r="DN18" s="1"/>
      <c r="DO18" s="1"/>
      <c r="DP18" s="1"/>
      <c r="DQ18" s="1"/>
      <c r="DR18" s="1"/>
      <c r="DS18" s="1"/>
      <c r="DT18" s="1"/>
      <c r="DU18" s="1"/>
      <c r="DV18" s="1"/>
      <c r="DW18" s="1"/>
      <c r="DX18" s="1"/>
      <c r="DY18" s="1"/>
      <c r="DZ18" s="1"/>
      <c r="EA18" s="146">
        <f>'[101]2. Distributional by deciles o'!B70</f>
        <v>313947972.47040039</v>
      </c>
      <c r="EB18" s="146">
        <f>'[101]2. Distributional by deciles o'!C70</f>
        <v>320340467.14920026</v>
      </c>
      <c r="EC18" s="146">
        <f>'[101]2. Distributional by deciles o'!D70</f>
        <v>317115381.53039998</v>
      </c>
      <c r="ED18" s="147"/>
      <c r="EE18" s="147"/>
      <c r="EF18" s="147"/>
      <c r="EG18" s="129"/>
      <c r="EH18" s="122"/>
      <c r="EI18" s="130" t="s">
        <v>113</v>
      </c>
      <c r="EJ18" s="130" t="s">
        <v>113</v>
      </c>
      <c r="EK18" s="130" t="s">
        <v>113</v>
      </c>
      <c r="EL18" s="130" t="s">
        <v>113</v>
      </c>
      <c r="EM18" s="131">
        <f t="shared" si="9"/>
        <v>9.8783375353339409</v>
      </c>
      <c r="EN18" s="146">
        <f>'[102]2. Distributional by deciles o'!B142</f>
        <v>3468938019.3060017</v>
      </c>
      <c r="EO18" s="146">
        <f>'[102]2. Distributional by deciles o'!C142</f>
        <v>3503638962.1872015</v>
      </c>
      <c r="EP18" s="131">
        <f t="shared" si="10"/>
        <v>1.000333320689939</v>
      </c>
      <c r="EQ18" s="130" t="s">
        <v>113</v>
      </c>
      <c r="ER18" s="130" t="s">
        <v>113</v>
      </c>
      <c r="ES18" s="130" t="s">
        <v>113</v>
      </c>
      <c r="ET18" s="130" t="s">
        <v>113</v>
      </c>
      <c r="EU18" s="131">
        <f t="shared" si="24"/>
        <v>10.713856911558524</v>
      </c>
      <c r="EV18" s="132">
        <f t="shared" si="25"/>
        <v>2.0354852390875839</v>
      </c>
      <c r="EW18" s="132">
        <f t="shared" si="26"/>
        <v>1.0085599928871338</v>
      </c>
      <c r="EX18" s="132"/>
      <c r="EY18" s="148">
        <f t="shared" si="11"/>
        <v>-4.3383398001676898E-2</v>
      </c>
      <c r="EZ18" s="144">
        <f t="shared" si="27"/>
        <v>0</v>
      </c>
      <c r="FA18" s="145">
        <f>'[101]2. Distributional by deciles o'!F34</f>
        <v>1</v>
      </c>
      <c r="FB18" s="130" t="s">
        <v>113</v>
      </c>
      <c r="FC18" s="130" t="s">
        <v>113</v>
      </c>
      <c r="FD18" s="130" t="s">
        <v>113</v>
      </c>
      <c r="FE18" s="130" t="s">
        <v>113</v>
      </c>
      <c r="FF18" s="130" t="s">
        <v>113</v>
      </c>
      <c r="FG18" s="130" t="s">
        <v>113</v>
      </c>
      <c r="FH18" s="130" t="s">
        <v>113</v>
      </c>
      <c r="FI18" s="130" t="s">
        <v>113</v>
      </c>
      <c r="FJ18" s="1"/>
      <c r="FK18" s="1"/>
      <c r="FL18" s="1"/>
      <c r="FM18" s="1"/>
      <c r="FN18" s="1"/>
      <c r="FO18" s="1"/>
      <c r="FP18" s="1"/>
      <c r="FQ18" s="1"/>
    </row>
    <row r="19" spans="1:173" x14ac:dyDescent="0.3">
      <c r="A19" s="1"/>
      <c r="B19" s="28">
        <v>8</v>
      </c>
      <c r="C19" s="129">
        <f>'[99]2. Distributional by deciles o'!B71</f>
        <v>330810455.1408</v>
      </c>
      <c r="D19" s="129">
        <f>'[99]2. Distributional by deciles o'!C71</f>
        <v>337143636.88559985</v>
      </c>
      <c r="E19" s="129">
        <f>'[99]2. Distributional by deciles o'!D71</f>
        <v>334143752.20440018</v>
      </c>
      <c r="F19" s="129">
        <f>'[99]2. Distributional by deciles o'!E71</f>
        <v>336001270.10760015</v>
      </c>
      <c r="G19" s="129">
        <f>'[99]2. Distributional by deciles o'!F71</f>
        <v>334535666.70000011</v>
      </c>
      <c r="H19" s="129">
        <f>'[99]2. Distributional by deciles o'!G71</f>
        <v>334145726.97720027</v>
      </c>
      <c r="I19" s="129"/>
      <c r="J19" s="122"/>
      <c r="K19" s="130" t="s">
        <v>113</v>
      </c>
      <c r="L19" s="130" t="s">
        <v>113</v>
      </c>
      <c r="M19" s="130" t="s">
        <v>113</v>
      </c>
      <c r="N19" s="130" t="s">
        <v>113</v>
      </c>
      <c r="O19" s="131">
        <f t="shared" si="12"/>
        <v>12.827476545750743</v>
      </c>
      <c r="P19" s="129">
        <f>'[99]2. Distributional by deciles o'!B143</f>
        <v>3128656821.1968007</v>
      </c>
      <c r="Q19" s="129">
        <f>'[99]2. Distributional by deciles o'!C143</f>
        <v>3159949562.5319996</v>
      </c>
      <c r="R19" s="131">
        <f t="shared" si="0"/>
        <v>1.000197309055717</v>
      </c>
      <c r="S19" s="130" t="s">
        <v>113</v>
      </c>
      <c r="T19" s="130" t="s">
        <v>113</v>
      </c>
      <c r="U19" s="130" t="s">
        <v>113</v>
      </c>
      <c r="V19" s="130" t="s">
        <v>113</v>
      </c>
      <c r="W19" s="132">
        <f t="shared" si="13"/>
        <v>1.9140665897342004</v>
      </c>
      <c r="X19" s="132">
        <f t="shared" si="13"/>
        <v>1.0074166193532881</v>
      </c>
      <c r="Y19" s="132">
        <f t="shared" si="1"/>
        <v>1.56881104977012</v>
      </c>
      <c r="Z19" s="132">
        <f t="shared" si="1"/>
        <v>1.1258642610424427</v>
      </c>
      <c r="AA19" s="132">
        <f t="shared" si="1"/>
        <v>1.0080134515288477</v>
      </c>
      <c r="AB19" s="132">
        <f t="shared" si="14"/>
        <v>1.0080134515288477</v>
      </c>
      <c r="AC19" s="132">
        <f t="shared" si="14"/>
        <v>1.0080134515288477</v>
      </c>
      <c r="AD19" s="130" t="s">
        <v>113</v>
      </c>
      <c r="AE19" s="130" t="s">
        <v>113</v>
      </c>
      <c r="AF19" s="130" t="s">
        <v>113</v>
      </c>
      <c r="AG19" s="130" t="s">
        <v>113</v>
      </c>
      <c r="AH19" s="133">
        <f t="shared" si="2"/>
        <v>1</v>
      </c>
      <c r="AI19" s="134">
        <f t="shared" si="15"/>
        <v>7.4166193532880786E-3</v>
      </c>
      <c r="AJ19" s="134">
        <f t="shared" si="3"/>
        <v>0.34525553996408043</v>
      </c>
      <c r="AK19" s="134">
        <f t="shared" si="4"/>
        <v>0.44294678872767723</v>
      </c>
      <c r="AL19" s="134">
        <f t="shared" si="16"/>
        <v>0.11785080951359506</v>
      </c>
      <c r="AM19" s="134">
        <f t="shared" si="17"/>
        <v>0</v>
      </c>
      <c r="AN19" s="135">
        <f t="shared" si="28"/>
        <v>0</v>
      </c>
      <c r="AO19" s="134">
        <f t="shared" si="18"/>
        <v>5.9683217555961399E-4</v>
      </c>
      <c r="AP19" s="134">
        <f t="shared" si="6"/>
        <v>8.0134515288476926E-3</v>
      </c>
      <c r="AQ19" s="136" t="s">
        <v>113</v>
      </c>
      <c r="AR19" s="137">
        <f t="shared" si="7"/>
        <v>0.81138720489113847</v>
      </c>
      <c r="AS19" s="137">
        <f t="shared" si="7"/>
        <v>37.771377254306671</v>
      </c>
      <c r="AT19" s="137">
        <f t="shared" si="7"/>
        <v>48.458919044014159</v>
      </c>
      <c r="AU19" s="137">
        <f t="shared" si="7"/>
        <v>12.89302232869759</v>
      </c>
      <c r="AV19" s="137">
        <f t="shared" si="7"/>
        <v>0</v>
      </c>
      <c r="AW19" s="138">
        <f t="shared" si="7"/>
        <v>0</v>
      </c>
      <c r="AX19" s="137">
        <f t="shared" si="7"/>
        <v>6.5294168090441376E-2</v>
      </c>
      <c r="AY19" s="137">
        <f t="shared" si="7"/>
        <v>0.87668137298157978</v>
      </c>
      <c r="AZ19" s="139" t="s">
        <v>113</v>
      </c>
      <c r="BA19" s="139" t="s">
        <v>113</v>
      </c>
      <c r="BB19" s="139" t="s">
        <v>113</v>
      </c>
      <c r="BC19" s="139" t="s">
        <v>113</v>
      </c>
      <c r="BD19" s="139" t="s">
        <v>113</v>
      </c>
      <c r="BE19" s="139" t="s">
        <v>113</v>
      </c>
      <c r="BF19" s="139" t="s">
        <v>113</v>
      </c>
      <c r="BG19" s="139" t="s">
        <v>113</v>
      </c>
      <c r="BH19" s="140">
        <f>'[100]2. Distributional by deciles o'!B161</f>
        <v>2439099837.4727993</v>
      </c>
      <c r="BI19" s="140">
        <f>'[100]2. Distributional by deciles o'!B179</f>
        <v>564075030.56160021</v>
      </c>
      <c r="BJ19" s="140">
        <f>'[100]2. Distributional by deciles o'!B197</f>
        <v>110741909.07599989</v>
      </c>
      <c r="BK19" s="140">
        <f>'[100]2. Distributional by deciles o'!B215</f>
        <v>14739875.409600008</v>
      </c>
      <c r="BL19" s="141">
        <f t="shared" si="19"/>
        <v>0.77959971590625288</v>
      </c>
      <c r="BM19" s="141">
        <f t="shared" si="20"/>
        <v>0.18029304369569027</v>
      </c>
      <c r="BN19" s="141">
        <f t="shared" si="21"/>
        <v>3.5395993033240647E-2</v>
      </c>
      <c r="BO19" s="141">
        <f t="shared" si="21"/>
        <v>4.7112473648163568E-3</v>
      </c>
      <c r="BP19" s="139" t="s">
        <v>113</v>
      </c>
      <c r="BQ19" s="139" t="s">
        <v>113</v>
      </c>
      <c r="BR19" s="139" t="s">
        <v>113</v>
      </c>
      <c r="BS19" s="131">
        <f t="shared" si="22"/>
        <v>12.15188992023497</v>
      </c>
      <c r="BT19" s="139"/>
      <c r="BU19" s="139"/>
      <c r="BV19" s="139"/>
      <c r="BW19" s="139"/>
      <c r="BX19" s="139"/>
      <c r="BY19" s="139"/>
      <c r="BZ19" s="139"/>
      <c r="CA19" s="139"/>
      <c r="CB19" s="139"/>
      <c r="CC19" s="142" t="s">
        <v>113</v>
      </c>
      <c r="CD19" s="142" t="s">
        <v>113</v>
      </c>
      <c r="CE19" s="142" t="s">
        <v>113</v>
      </c>
      <c r="CF19" s="142" t="s">
        <v>113</v>
      </c>
      <c r="CG19" s="142" t="s">
        <v>113</v>
      </c>
      <c r="CH19" s="142" t="s">
        <v>113</v>
      </c>
      <c r="CI19" s="142" t="s">
        <v>113</v>
      </c>
      <c r="CJ19" s="142"/>
      <c r="CK19" s="139" t="s">
        <v>113</v>
      </c>
      <c r="CL19" s="139" t="s">
        <v>113</v>
      </c>
      <c r="CM19" s="139" t="s">
        <v>113</v>
      </c>
      <c r="CN19" s="139" t="s">
        <v>113</v>
      </c>
      <c r="CO19" s="139" t="s">
        <v>113</v>
      </c>
      <c r="CP19" s="139" t="s">
        <v>113</v>
      </c>
      <c r="CQ19" s="139" t="s">
        <v>113</v>
      </c>
      <c r="CR19" s="139"/>
      <c r="CS19" s="143" t="s">
        <v>113</v>
      </c>
      <c r="CT19" s="143" t="s">
        <v>113</v>
      </c>
      <c r="CU19" s="143" t="s">
        <v>113</v>
      </c>
      <c r="CV19" s="143" t="s">
        <v>113</v>
      </c>
      <c r="CW19" s="143" t="s">
        <v>113</v>
      </c>
      <c r="CX19" s="143" t="s">
        <v>113</v>
      </c>
      <c r="CY19" s="143" t="s">
        <v>113</v>
      </c>
      <c r="CZ19" s="143"/>
      <c r="DA19" s="139" t="s">
        <v>113</v>
      </c>
      <c r="DB19" s="139" t="s">
        <v>113</v>
      </c>
      <c r="DC19" s="139" t="s">
        <v>113</v>
      </c>
      <c r="DD19" s="144">
        <f t="shared" si="23"/>
        <v>0</v>
      </c>
      <c r="DE19" s="145">
        <f>'[99]2. Distributional by deciles o'!I35</f>
        <v>1</v>
      </c>
      <c r="DF19" s="1"/>
      <c r="DG19" s="1"/>
      <c r="DH19" s="1"/>
      <c r="DI19" s="1"/>
      <c r="DJ19" s="1"/>
      <c r="DK19" s="1"/>
      <c r="DL19" s="1"/>
      <c r="DM19" s="1"/>
      <c r="DN19" s="1"/>
      <c r="DO19" s="1"/>
      <c r="DP19" s="1"/>
      <c r="DQ19" s="1"/>
      <c r="DR19" s="1"/>
      <c r="DS19" s="1"/>
      <c r="DT19" s="1"/>
      <c r="DU19" s="1"/>
      <c r="DV19" s="1"/>
      <c r="DW19" s="1"/>
      <c r="DX19" s="1"/>
      <c r="DY19" s="1"/>
      <c r="DZ19" s="1"/>
      <c r="EA19" s="146">
        <f>'[101]2. Distributional by deciles o'!B71</f>
        <v>416379621.92039979</v>
      </c>
      <c r="EB19" s="146">
        <f>'[101]2. Distributional by deciles o'!C71</f>
        <v>424073815.77119994</v>
      </c>
      <c r="EC19" s="146">
        <f>'[101]2. Distributional by deciles o'!D71</f>
        <v>420576294.14880013</v>
      </c>
      <c r="ED19" s="147"/>
      <c r="EE19" s="147"/>
      <c r="EF19" s="147"/>
      <c r="EG19" s="129"/>
      <c r="EH19" s="122"/>
      <c r="EI19" s="130" t="s">
        <v>113</v>
      </c>
      <c r="EJ19" s="130" t="s">
        <v>113</v>
      </c>
      <c r="EK19" s="130" t="s">
        <v>113</v>
      </c>
      <c r="EL19" s="130" t="s">
        <v>113</v>
      </c>
      <c r="EM19" s="131">
        <f t="shared" si="9"/>
        <v>13.101337829318945</v>
      </c>
      <c r="EN19" s="146">
        <f>'[102]2. Distributional by deciles o'!B143</f>
        <v>3958415155.6464028</v>
      </c>
      <c r="EO19" s="146">
        <f>'[102]2. Distributional by deciles o'!C143</f>
        <v>3998005766.8187933</v>
      </c>
      <c r="EP19" s="131">
        <f t="shared" si="10"/>
        <v>1.0001631869238636</v>
      </c>
      <c r="EQ19" s="130" t="s">
        <v>113</v>
      </c>
      <c r="ER19" s="130" t="s">
        <v>113</v>
      </c>
      <c r="ES19" s="130" t="s">
        <v>113</v>
      </c>
      <c r="ET19" s="130" t="s">
        <v>113</v>
      </c>
      <c r="EU19" s="131">
        <f t="shared" si="24"/>
        <v>12.22561295073954</v>
      </c>
      <c r="EV19" s="132">
        <f t="shared" si="25"/>
        <v>1.8475780414891312</v>
      </c>
      <c r="EW19" s="132">
        <f t="shared" si="26"/>
        <v>1.0077312330405352</v>
      </c>
      <c r="EX19" s="132"/>
      <c r="EY19" s="148">
        <f t="shared" si="11"/>
        <v>-6.6488548245069223E-2</v>
      </c>
      <c r="EZ19" s="144">
        <f t="shared" si="27"/>
        <v>0</v>
      </c>
      <c r="FA19" s="145">
        <f>'[101]2. Distributional by deciles o'!F35</f>
        <v>1</v>
      </c>
      <c r="FB19" s="130" t="s">
        <v>113</v>
      </c>
      <c r="FC19" s="130" t="s">
        <v>113</v>
      </c>
      <c r="FD19" s="130" t="s">
        <v>113</v>
      </c>
      <c r="FE19" s="130" t="s">
        <v>113</v>
      </c>
      <c r="FF19" s="130" t="s">
        <v>113</v>
      </c>
      <c r="FG19" s="130" t="s">
        <v>113</v>
      </c>
      <c r="FH19" s="130" t="s">
        <v>113</v>
      </c>
      <c r="FI19" s="130" t="s">
        <v>113</v>
      </c>
      <c r="FJ19" s="1"/>
      <c r="FK19" s="1"/>
      <c r="FL19" s="1"/>
      <c r="FM19" s="1"/>
      <c r="FN19" s="1"/>
      <c r="FO19" s="1"/>
      <c r="FP19" s="1"/>
      <c r="FQ19" s="1"/>
    </row>
    <row r="20" spans="1:173" x14ac:dyDescent="0.3">
      <c r="A20" s="1"/>
      <c r="B20" s="28">
        <v>9</v>
      </c>
      <c r="C20" s="129">
        <f>'[99]2. Distributional by deciles o'!B72</f>
        <v>467030223.78360003</v>
      </c>
      <c r="D20" s="129">
        <f>'[99]2. Distributional by deciles o'!C72</f>
        <v>475134977.3760007</v>
      </c>
      <c r="E20" s="129">
        <f>'[99]2. Distributional by deciles o'!D72</f>
        <v>471733590.4320004</v>
      </c>
      <c r="F20" s="129">
        <f>'[99]2. Distributional by deciles o'!E72</f>
        <v>473587669.82160044</v>
      </c>
      <c r="G20" s="129">
        <f>'[99]2. Distributional by deciles o'!F72</f>
        <v>472118052.17640018</v>
      </c>
      <c r="H20" s="129">
        <f>'[99]2. Distributional by deciles o'!G72</f>
        <v>471736375.81800038</v>
      </c>
      <c r="I20" s="129"/>
      <c r="J20" s="122"/>
      <c r="K20" s="130" t="s">
        <v>113</v>
      </c>
      <c r="L20" s="130" t="s">
        <v>113</v>
      </c>
      <c r="M20" s="130" t="s">
        <v>113</v>
      </c>
      <c r="N20" s="130" t="s">
        <v>113</v>
      </c>
      <c r="O20" s="131">
        <f t="shared" si="12"/>
        <v>18.109522080222735</v>
      </c>
      <c r="P20" s="129">
        <f>'[99]2. Distributional by deciles o'!B144</f>
        <v>3741548753.2608032</v>
      </c>
      <c r="Q20" s="129">
        <f>'[99]2. Distributional by deciles o'!C144</f>
        <v>3778965319.0223999</v>
      </c>
      <c r="R20" s="131">
        <f t="shared" si="0"/>
        <v>1.0000288177185457</v>
      </c>
      <c r="S20" s="130" t="s">
        <v>113</v>
      </c>
      <c r="T20" s="130" t="s">
        <v>113</v>
      </c>
      <c r="U20" s="130" t="s">
        <v>113</v>
      </c>
      <c r="V20" s="130" t="s">
        <v>113</v>
      </c>
      <c r="W20" s="132">
        <f t="shared" si="13"/>
        <v>1.735330954165079</v>
      </c>
      <c r="X20" s="132">
        <f t="shared" si="13"/>
        <v>1.0070506944726521</v>
      </c>
      <c r="Y20" s="132">
        <f t="shared" si="1"/>
        <v>1.4040327025708672</v>
      </c>
      <c r="Z20" s="132">
        <f t="shared" si="1"/>
        <v>1.0893688498789822</v>
      </c>
      <c r="AA20" s="132">
        <f t="shared" si="1"/>
        <v>1.0076470810857616</v>
      </c>
      <c r="AB20" s="132">
        <f t="shared" si="14"/>
        <v>1.0076470810857616</v>
      </c>
      <c r="AC20" s="132">
        <f t="shared" si="14"/>
        <v>1.0076470810857616</v>
      </c>
      <c r="AD20" s="130" t="s">
        <v>113</v>
      </c>
      <c r="AE20" s="130" t="s">
        <v>113</v>
      </c>
      <c r="AF20" s="130" t="s">
        <v>113</v>
      </c>
      <c r="AG20" s="130" t="s">
        <v>113</v>
      </c>
      <c r="AH20" s="133">
        <f t="shared" si="2"/>
        <v>1</v>
      </c>
      <c r="AI20" s="134">
        <f t="shared" si="15"/>
        <v>7.0506944726520526E-3</v>
      </c>
      <c r="AJ20" s="134">
        <f t="shared" si="3"/>
        <v>0.33129825159421178</v>
      </c>
      <c r="AK20" s="134">
        <f t="shared" si="4"/>
        <v>0.31466385269188502</v>
      </c>
      <c r="AL20" s="134">
        <f t="shared" si="16"/>
        <v>8.1721768793220573E-2</v>
      </c>
      <c r="AM20" s="134">
        <f t="shared" si="17"/>
        <v>0</v>
      </c>
      <c r="AN20" s="135">
        <f t="shared" si="28"/>
        <v>0</v>
      </c>
      <c r="AO20" s="134">
        <f t="shared" si="18"/>
        <v>5.9638661310956742E-4</v>
      </c>
      <c r="AP20" s="134">
        <f t="shared" si="6"/>
        <v>7.64708108576162E-3</v>
      </c>
      <c r="AQ20" s="136" t="s">
        <v>113</v>
      </c>
      <c r="AR20" s="137">
        <f t="shared" si="7"/>
        <v>0.95884641231480083</v>
      </c>
      <c r="AS20" s="137">
        <f t="shared" si="7"/>
        <v>45.054305101351218</v>
      </c>
      <c r="AT20" s="137">
        <f t="shared" si="7"/>
        <v>42.792140179814083</v>
      </c>
      <c r="AU20" s="137">
        <f t="shared" si="7"/>
        <v>11.113603790283843</v>
      </c>
      <c r="AV20" s="137">
        <f t="shared" si="7"/>
        <v>0</v>
      </c>
      <c r="AW20" s="138">
        <f t="shared" si="7"/>
        <v>0</v>
      </c>
      <c r="AX20" s="137">
        <f t="shared" si="7"/>
        <v>8.1104516236056745E-2</v>
      </c>
      <c r="AY20" s="137">
        <f t="shared" si="7"/>
        <v>1.0399509285508577</v>
      </c>
      <c r="AZ20" s="139" t="s">
        <v>113</v>
      </c>
      <c r="BA20" s="139" t="s">
        <v>113</v>
      </c>
      <c r="BB20" s="139" t="s">
        <v>113</v>
      </c>
      <c r="BC20" s="139" t="s">
        <v>113</v>
      </c>
      <c r="BD20" s="139" t="s">
        <v>113</v>
      </c>
      <c r="BE20" s="139" t="s">
        <v>113</v>
      </c>
      <c r="BF20" s="139" t="s">
        <v>113</v>
      </c>
      <c r="BG20" s="139" t="s">
        <v>113</v>
      </c>
      <c r="BH20" s="140">
        <f>'[100]2. Distributional by deciles o'!B162</f>
        <v>3124451132.4120016</v>
      </c>
      <c r="BI20" s="140">
        <f>'[100]2. Distributional by deciles o'!B180</f>
        <v>462376609.18079978</v>
      </c>
      <c r="BJ20" s="140">
        <f>'[100]2. Distributional by deciles o'!B198</f>
        <v>125452288.90080005</v>
      </c>
      <c r="BK20" s="140">
        <f>'[100]2. Distributional by deciles o'!B216</f>
        <v>29268816.497999996</v>
      </c>
      <c r="BL20" s="141">
        <f t="shared" si="19"/>
        <v>0.83506891402051886</v>
      </c>
      <c r="BM20" s="141">
        <f t="shared" si="20"/>
        <v>0.1235789316375154</v>
      </c>
      <c r="BN20" s="141">
        <f t="shared" si="21"/>
        <v>3.3529507172322538E-2</v>
      </c>
      <c r="BO20" s="141">
        <f t="shared" si="21"/>
        <v>7.8226471696430291E-3</v>
      </c>
      <c r="BP20" s="139" t="s">
        <v>113</v>
      </c>
      <c r="BQ20" s="139" t="s">
        <v>113</v>
      </c>
      <c r="BR20" s="139" t="s">
        <v>113</v>
      </c>
      <c r="BS20" s="131">
        <f t="shared" si="22"/>
        <v>14.53239878301043</v>
      </c>
      <c r="BT20" s="139"/>
      <c r="BU20" s="139"/>
      <c r="BV20" s="139"/>
      <c r="BW20" s="139"/>
      <c r="BX20" s="139"/>
      <c r="BY20" s="139"/>
      <c r="BZ20" s="139"/>
      <c r="CA20" s="139"/>
      <c r="CB20" s="139"/>
      <c r="CC20" s="142" t="s">
        <v>113</v>
      </c>
      <c r="CD20" s="142" t="s">
        <v>113</v>
      </c>
      <c r="CE20" s="142" t="s">
        <v>113</v>
      </c>
      <c r="CF20" s="142" t="s">
        <v>113</v>
      </c>
      <c r="CG20" s="142" t="s">
        <v>113</v>
      </c>
      <c r="CH20" s="142" t="s">
        <v>113</v>
      </c>
      <c r="CI20" s="142" t="s">
        <v>113</v>
      </c>
      <c r="CJ20" s="142"/>
      <c r="CK20" s="139" t="s">
        <v>113</v>
      </c>
      <c r="CL20" s="139" t="s">
        <v>113</v>
      </c>
      <c r="CM20" s="139" t="s">
        <v>113</v>
      </c>
      <c r="CN20" s="139" t="s">
        <v>113</v>
      </c>
      <c r="CO20" s="139" t="s">
        <v>113</v>
      </c>
      <c r="CP20" s="139" t="s">
        <v>113</v>
      </c>
      <c r="CQ20" s="139" t="s">
        <v>113</v>
      </c>
      <c r="CR20" s="139"/>
      <c r="CS20" s="143" t="s">
        <v>113</v>
      </c>
      <c r="CT20" s="143" t="s">
        <v>113</v>
      </c>
      <c r="CU20" s="143" t="s">
        <v>113</v>
      </c>
      <c r="CV20" s="143" t="s">
        <v>113</v>
      </c>
      <c r="CW20" s="143" t="s">
        <v>113</v>
      </c>
      <c r="CX20" s="143" t="s">
        <v>113</v>
      </c>
      <c r="CY20" s="143" t="s">
        <v>113</v>
      </c>
      <c r="CZ20" s="143"/>
      <c r="DA20" s="139" t="s">
        <v>113</v>
      </c>
      <c r="DB20" s="139" t="s">
        <v>113</v>
      </c>
      <c r="DC20" s="139" t="s">
        <v>113</v>
      </c>
      <c r="DD20" s="144">
        <f t="shared" si="23"/>
        <v>0</v>
      </c>
      <c r="DE20" s="145">
        <f>'[99]2. Distributional by deciles o'!I36</f>
        <v>1</v>
      </c>
      <c r="DF20" s="1"/>
      <c r="DG20" s="1"/>
      <c r="DH20" s="1"/>
      <c r="DI20" s="1"/>
      <c r="DJ20" s="1"/>
      <c r="DK20" s="1"/>
      <c r="DL20" s="1"/>
      <c r="DM20" s="1"/>
      <c r="DN20" s="1"/>
      <c r="DO20" s="1"/>
      <c r="DP20" s="1"/>
      <c r="DQ20" s="1"/>
      <c r="DR20" s="1"/>
      <c r="DS20" s="1"/>
      <c r="DT20" s="1"/>
      <c r="DU20" s="1"/>
      <c r="DV20" s="1"/>
      <c r="DW20" s="1"/>
      <c r="DX20" s="1"/>
      <c r="DY20" s="1"/>
      <c r="DZ20" s="1"/>
      <c r="EA20" s="146">
        <f>'[101]2. Distributional by deciles o'!B72</f>
        <v>574760402.38799906</v>
      </c>
      <c r="EB20" s="146">
        <f>'[101]2. Distributional by deciles o'!C72</f>
        <v>584597513.69159985</v>
      </c>
      <c r="EC20" s="146">
        <f>'[101]2. Distributional by deciles o'!D72</f>
        <v>580547336.97359955</v>
      </c>
      <c r="ED20" s="147"/>
      <c r="EE20" s="147"/>
      <c r="EF20" s="147"/>
      <c r="EG20" s="129"/>
      <c r="EH20" s="122"/>
      <c r="EI20" s="130" t="s">
        <v>113</v>
      </c>
      <c r="EJ20" s="130" t="s">
        <v>113</v>
      </c>
      <c r="EK20" s="130" t="s">
        <v>113</v>
      </c>
      <c r="EL20" s="130" t="s">
        <v>113</v>
      </c>
      <c r="EM20" s="131">
        <f t="shared" si="9"/>
        <v>18.084771218799041</v>
      </c>
      <c r="EN20" s="146">
        <f>'[102]2. Distributional by deciles o'!B144</f>
        <v>4756985208.0024014</v>
      </c>
      <c r="EO20" s="146">
        <f>'[102]2. Distributional by deciles o'!C144</f>
        <v>4804555766.0436068</v>
      </c>
      <c r="EP20" s="131">
        <f t="shared" si="10"/>
        <v>1.0000148405166387</v>
      </c>
      <c r="EQ20" s="130" t="s">
        <v>113</v>
      </c>
      <c r="ER20" s="130" t="s">
        <v>113</v>
      </c>
      <c r="ES20" s="130" t="s">
        <v>113</v>
      </c>
      <c r="ET20" s="130" t="s">
        <v>113</v>
      </c>
      <c r="EU20" s="131">
        <f t="shared" si="24"/>
        <v>14.692006189010669</v>
      </c>
      <c r="EV20" s="132">
        <f t="shared" si="25"/>
        <v>1.7114897402609774</v>
      </c>
      <c r="EW20" s="132">
        <f t="shared" si="26"/>
        <v>1.0068280072414433</v>
      </c>
      <c r="EX20" s="132"/>
      <c r="EY20" s="148">
        <f t="shared" si="11"/>
        <v>-2.3841213904101544E-2</v>
      </c>
      <c r="EZ20" s="144">
        <f t="shared" si="27"/>
        <v>0</v>
      </c>
      <c r="FA20" s="145">
        <f>'[101]2. Distributional by deciles o'!F36</f>
        <v>1</v>
      </c>
      <c r="FB20" s="130" t="s">
        <v>113</v>
      </c>
      <c r="FC20" s="130" t="s">
        <v>113</v>
      </c>
      <c r="FD20" s="130" t="s">
        <v>113</v>
      </c>
      <c r="FE20" s="130" t="s">
        <v>113</v>
      </c>
      <c r="FF20" s="130" t="s">
        <v>113</v>
      </c>
      <c r="FG20" s="130" t="s">
        <v>113</v>
      </c>
      <c r="FH20" s="130" t="s">
        <v>113</v>
      </c>
      <c r="FI20" s="130" t="s">
        <v>113</v>
      </c>
      <c r="FJ20" s="1"/>
      <c r="FK20" s="1"/>
      <c r="FL20" s="1"/>
      <c r="FM20" s="1"/>
      <c r="FN20" s="1"/>
      <c r="FO20" s="1"/>
      <c r="FP20" s="1"/>
      <c r="FQ20" s="1"/>
    </row>
    <row r="21" spans="1:173" x14ac:dyDescent="0.3">
      <c r="A21" s="1"/>
      <c r="B21" s="33">
        <v>10</v>
      </c>
      <c r="C21" s="129">
        <f>'[99]2. Distributional by deciles o'!B73</f>
        <v>1073216514.954</v>
      </c>
      <c r="D21" s="129">
        <f>'[99]2. Distributional by deciles o'!C73</f>
        <v>1089073722.9779999</v>
      </c>
      <c r="E21" s="129">
        <f>'[99]2. Distributional by deciles o'!D73</f>
        <v>1084022582.4756017</v>
      </c>
      <c r="F21" s="129">
        <f>'[99]2. Distributional by deciles o'!E73</f>
        <v>1086118047.2003992</v>
      </c>
      <c r="G21" s="129">
        <f>'[99]2. Distributional by deciles o'!F73</f>
        <v>1084473110.9112008</v>
      </c>
      <c r="H21" s="129">
        <f>'[99]2. Distributional by deciles o'!G73</f>
        <v>1084024786.1844015</v>
      </c>
      <c r="I21" s="149"/>
      <c r="J21" s="122"/>
      <c r="K21" s="130" t="s">
        <v>113</v>
      </c>
      <c r="L21" s="130" t="s">
        <v>113</v>
      </c>
      <c r="M21" s="130" t="s">
        <v>113</v>
      </c>
      <c r="N21" s="130" t="s">
        <v>113</v>
      </c>
      <c r="O21" s="131">
        <f t="shared" si="12"/>
        <v>41.61494735172564</v>
      </c>
      <c r="P21" s="129">
        <f>'[99]2. Distributional by deciles o'!B145</f>
        <v>6001718540.5139952</v>
      </c>
      <c r="Q21" s="129">
        <f>'[99]2. Distributional by deciles o'!C145</f>
        <v>6061748318.2235937</v>
      </c>
      <c r="R21" s="131">
        <f t="shared" si="0"/>
        <v>1.0002098116460134</v>
      </c>
      <c r="S21" s="130" t="s">
        <v>113</v>
      </c>
      <c r="T21" s="130" t="s">
        <v>113</v>
      </c>
      <c r="U21" s="130" t="s">
        <v>113</v>
      </c>
      <c r="V21" s="130" t="s">
        <v>113</v>
      </c>
      <c r="W21" s="132">
        <f t="shared" si="13"/>
        <v>1.4772305004703854</v>
      </c>
      <c r="X21" s="132">
        <f t="shared" si="13"/>
        <v>1.0066748515181421</v>
      </c>
      <c r="Y21" s="132">
        <f t="shared" si="1"/>
        <v>1.2018847774676287</v>
      </c>
      <c r="Z21" s="132">
        <f t="shared" si="1"/>
        <v>1.0486453134928413</v>
      </c>
      <c r="AA21" s="132">
        <f t="shared" si="1"/>
        <v>1.0068801452778224</v>
      </c>
      <c r="AB21" s="132">
        <f t="shared" si="14"/>
        <v>1.0068801452778224</v>
      </c>
      <c r="AC21" s="132">
        <f t="shared" si="14"/>
        <v>1.0068801452778224</v>
      </c>
      <c r="AD21" s="130" t="s">
        <v>113</v>
      </c>
      <c r="AE21" s="130" t="s">
        <v>113</v>
      </c>
      <c r="AF21" s="130" t="s">
        <v>113</v>
      </c>
      <c r="AG21" s="130" t="s">
        <v>113</v>
      </c>
      <c r="AH21" s="133">
        <f t="shared" si="2"/>
        <v>1</v>
      </c>
      <c r="AI21" s="134">
        <f t="shared" si="15"/>
        <v>6.6748515181420665E-3</v>
      </c>
      <c r="AJ21" s="134">
        <f t="shared" si="3"/>
        <v>0.27534572300275673</v>
      </c>
      <c r="AK21" s="134">
        <f>IF(W21&gt;1,MAX(MIN(Y21-Z21,W21-AH21-AJ21),0),0)</f>
        <v>0.15323946397478738</v>
      </c>
      <c r="AL21" s="134">
        <f t="shared" si="16"/>
        <v>4.1765168215018855E-2</v>
      </c>
      <c r="AM21" s="134">
        <f t="shared" si="17"/>
        <v>0</v>
      </c>
      <c r="AN21" s="135">
        <f t="shared" si="28"/>
        <v>0</v>
      </c>
      <c r="AO21" s="134">
        <f t="shared" si="18"/>
        <v>2.0529375968036945E-4</v>
      </c>
      <c r="AP21" s="134">
        <f t="shared" si="6"/>
        <v>6.8801452778224359E-3</v>
      </c>
      <c r="AQ21" s="136" t="s">
        <v>113</v>
      </c>
      <c r="AR21" s="137">
        <f t="shared" si="7"/>
        <v>1.3986640651766713</v>
      </c>
      <c r="AS21" s="137">
        <f t="shared" si="7"/>
        <v>57.696589537206947</v>
      </c>
      <c r="AT21" s="137">
        <f t="shared" si="7"/>
        <v>32.110157214123127</v>
      </c>
      <c r="AU21" s="137">
        <f t="shared" si="7"/>
        <v>8.7515714468904946</v>
      </c>
      <c r="AV21" s="137">
        <f t="shared" si="7"/>
        <v>0</v>
      </c>
      <c r="AW21" s="138">
        <f t="shared" si="7"/>
        <v>0</v>
      </c>
      <c r="AX21" s="137">
        <f t="shared" si="7"/>
        <v>4.3017736602757005E-2</v>
      </c>
      <c r="AY21" s="137">
        <f t="shared" si="7"/>
        <v>1.4416818017794284</v>
      </c>
      <c r="AZ21" s="139" t="s">
        <v>113</v>
      </c>
      <c r="BA21" s="139" t="s">
        <v>113</v>
      </c>
      <c r="BB21" s="139" t="s">
        <v>113</v>
      </c>
      <c r="BC21" s="139" t="s">
        <v>113</v>
      </c>
      <c r="BD21" s="139" t="s">
        <v>113</v>
      </c>
      <c r="BE21" s="139" t="s">
        <v>113</v>
      </c>
      <c r="BF21" s="139" t="s">
        <v>113</v>
      </c>
      <c r="BG21" s="139" t="s">
        <v>113</v>
      </c>
      <c r="BH21" s="140">
        <f>'[100]2. Distributional by deciles o'!B163</f>
        <v>4833465771.5280018</v>
      </c>
      <c r="BI21" s="140">
        <f>'[100]2. Distributional by deciles o'!B181</f>
        <v>419248417.68840015</v>
      </c>
      <c r="BJ21" s="140">
        <f>'[100]2. Distributional by deciles o'!B199</f>
        <v>276904867.73760003</v>
      </c>
      <c r="BK21" s="140">
        <f>'[100]2. Distributional by deciles o'!B217</f>
        <v>472099602.45359999</v>
      </c>
      <c r="BL21" s="141">
        <f t="shared" si="19"/>
        <v>0.80534694240484228</v>
      </c>
      <c r="BM21" s="141">
        <f t="shared" si="20"/>
        <v>6.9854726867483979E-2</v>
      </c>
      <c r="BN21" s="141">
        <f t="shared" si="21"/>
        <v>4.6137595487511875E-2</v>
      </c>
      <c r="BO21" s="141">
        <f t="shared" si="21"/>
        <v>7.8660735240161761E-2</v>
      </c>
      <c r="BP21" s="139" t="s">
        <v>113</v>
      </c>
      <c r="BQ21" s="139" t="s">
        <v>113</v>
      </c>
      <c r="BR21" s="139" t="s">
        <v>113</v>
      </c>
      <c r="BS21" s="131">
        <f t="shared" si="22"/>
        <v>23.311033201992633</v>
      </c>
      <c r="BT21" s="139"/>
      <c r="BU21" s="139"/>
      <c r="BV21" s="139"/>
      <c r="BW21" s="139"/>
      <c r="BX21" s="139"/>
      <c r="BY21" s="139"/>
      <c r="BZ21" s="139"/>
      <c r="CA21" s="139"/>
      <c r="CB21" s="139"/>
      <c r="CC21" s="142" t="s">
        <v>113</v>
      </c>
      <c r="CD21" s="142" t="s">
        <v>113</v>
      </c>
      <c r="CE21" s="142" t="s">
        <v>113</v>
      </c>
      <c r="CF21" s="142" t="s">
        <v>113</v>
      </c>
      <c r="CG21" s="142" t="s">
        <v>113</v>
      </c>
      <c r="CH21" s="142" t="s">
        <v>113</v>
      </c>
      <c r="CI21" s="142" t="s">
        <v>113</v>
      </c>
      <c r="CJ21" s="142"/>
      <c r="CK21" s="139" t="s">
        <v>113</v>
      </c>
      <c r="CL21" s="139" t="s">
        <v>113</v>
      </c>
      <c r="CM21" s="139" t="s">
        <v>113</v>
      </c>
      <c r="CN21" s="139" t="s">
        <v>113</v>
      </c>
      <c r="CO21" s="139" t="s">
        <v>113</v>
      </c>
      <c r="CP21" s="139" t="s">
        <v>113</v>
      </c>
      <c r="CQ21" s="139" t="s">
        <v>113</v>
      </c>
      <c r="CR21" s="139"/>
      <c r="CS21" s="143" t="s">
        <v>113</v>
      </c>
      <c r="CT21" s="143" t="s">
        <v>113</v>
      </c>
      <c r="CU21" s="143" t="s">
        <v>113</v>
      </c>
      <c r="CV21" s="143" t="s">
        <v>113</v>
      </c>
      <c r="CW21" s="143" t="s">
        <v>113</v>
      </c>
      <c r="CX21" s="143" t="s">
        <v>113</v>
      </c>
      <c r="CY21" s="143" t="s">
        <v>113</v>
      </c>
      <c r="CZ21" s="143"/>
      <c r="DA21" s="139" t="s">
        <v>113</v>
      </c>
      <c r="DB21" s="139" t="s">
        <v>113</v>
      </c>
      <c r="DC21" s="139" t="s">
        <v>113</v>
      </c>
      <c r="DD21" s="144">
        <f t="shared" si="23"/>
        <v>0</v>
      </c>
      <c r="DE21" s="145">
        <f>'[99]2. Distributional by deciles o'!I37</f>
        <v>1</v>
      </c>
      <c r="DF21" s="1"/>
      <c r="DG21" s="1"/>
      <c r="DH21" s="1"/>
      <c r="DI21" s="1"/>
      <c r="DJ21" s="1"/>
      <c r="DK21" s="1"/>
      <c r="DL21" s="1"/>
      <c r="DM21" s="1"/>
      <c r="DN21" s="1"/>
      <c r="DO21" s="1"/>
      <c r="DP21" s="1"/>
      <c r="DQ21" s="1"/>
      <c r="DR21" s="1"/>
      <c r="DS21" s="1"/>
      <c r="DT21" s="1"/>
      <c r="DU21" s="1"/>
      <c r="DV21" s="1"/>
      <c r="DW21" s="1"/>
      <c r="DX21" s="1"/>
      <c r="DY21" s="1"/>
      <c r="DZ21" s="1"/>
      <c r="EA21" s="146">
        <f>'[101]2. Distributional by deciles o'!B73</f>
        <v>1308471336.3912005</v>
      </c>
      <c r="EB21" s="146">
        <f>'[101]2. Distributional by deciles o'!C73</f>
        <v>1328120486.3544006</v>
      </c>
      <c r="EC21" s="146">
        <f>'[101]2. Distributional by deciles o'!D73</f>
        <v>1321641705.0324006</v>
      </c>
      <c r="ED21" s="147"/>
      <c r="EE21" s="147"/>
      <c r="EF21" s="147"/>
      <c r="EG21" s="129"/>
      <c r="EH21" s="122"/>
      <c r="EI21" s="130" t="s">
        <v>113</v>
      </c>
      <c r="EJ21" s="130" t="s">
        <v>113</v>
      </c>
      <c r="EK21" s="130" t="s">
        <v>113</v>
      </c>
      <c r="EL21" s="130" t="s">
        <v>113</v>
      </c>
      <c r="EM21" s="131">
        <f t="shared" si="9"/>
        <v>41.170902982660294</v>
      </c>
      <c r="EN21" s="146">
        <f>'[102]2. Distributional by deciles o'!B145</f>
        <v>7471403675.312396</v>
      </c>
      <c r="EO21" s="146">
        <f>'[102]2. Distributional by deciles o'!C145</f>
        <v>7546133974.7220068</v>
      </c>
      <c r="EP21" s="131">
        <f t="shared" si="10"/>
        <v>1.0002176653436612</v>
      </c>
      <c r="EQ21" s="130" t="s">
        <v>113</v>
      </c>
      <c r="ER21" s="130" t="s">
        <v>113</v>
      </c>
      <c r="ES21" s="130" t="s">
        <v>113</v>
      </c>
      <c r="ET21" s="130" t="s">
        <v>113</v>
      </c>
      <c r="EU21" s="131">
        <f t="shared" si="24"/>
        <v>23.075520363953881</v>
      </c>
      <c r="EV21" s="132">
        <f t="shared" si="25"/>
        <v>1.5013606648152187</v>
      </c>
      <c r="EW21" s="132">
        <f t="shared" si="26"/>
        <v>1.0063271671317278</v>
      </c>
      <c r="EX21" s="132"/>
      <c r="EY21" s="148">
        <f t="shared" si="11"/>
        <v>2.4130164344833283E-2</v>
      </c>
      <c r="EZ21" s="144">
        <f t="shared" si="27"/>
        <v>0</v>
      </c>
      <c r="FA21" s="145">
        <f>'[101]2. Distributional by deciles o'!F37</f>
        <v>1</v>
      </c>
      <c r="FB21" s="130" t="s">
        <v>113</v>
      </c>
      <c r="FC21" s="130" t="s">
        <v>113</v>
      </c>
      <c r="FD21" s="130" t="s">
        <v>113</v>
      </c>
      <c r="FE21" s="130" t="s">
        <v>113</v>
      </c>
      <c r="FF21" s="130" t="s">
        <v>113</v>
      </c>
      <c r="FG21" s="130" t="s">
        <v>113</v>
      </c>
      <c r="FH21" s="130" t="s">
        <v>113</v>
      </c>
      <c r="FI21" s="130" t="s">
        <v>113</v>
      </c>
      <c r="FJ21" s="1"/>
      <c r="FK21" s="1"/>
      <c r="FL21" s="1"/>
      <c r="FM21" s="1"/>
      <c r="FN21" s="1"/>
      <c r="FO21" s="1"/>
      <c r="FP21" s="1"/>
      <c r="FQ21" s="1"/>
    </row>
    <row r="22" spans="1:173" ht="13.2" customHeight="1" x14ac:dyDescent="0.3">
      <c r="A22" s="1"/>
      <c r="B22" s="34" t="s">
        <v>114</v>
      </c>
      <c r="C22" s="151">
        <f>'[99]2. Distributional by deciles o'!B74</f>
        <v>2578920756.2448044</v>
      </c>
      <c r="D22" s="151">
        <f>'[99]2. Distributional by deciles o'!C74</f>
        <v>2627576109.0791979</v>
      </c>
      <c r="E22" s="151">
        <f>'[99]2. Distributional by deciles o'!D74</f>
        <v>2604896109.5004015</v>
      </c>
      <c r="F22" s="151">
        <f>'[99]2. Distributional by deciles o'!E74</f>
        <v>2619376046.3111949</v>
      </c>
      <c r="G22" s="151">
        <f>'[99]2. Distributional by deciles o'!F74</f>
        <v>2607787198.8563957</v>
      </c>
      <c r="H22" s="151">
        <f>'[99]2. Distributional by deciles o'!G74</f>
        <v>2604909460.003202</v>
      </c>
      <c r="I22" s="150"/>
      <c r="J22" s="122"/>
      <c r="K22" s="151">
        <f>'[100]2. Distributional by deciles o'!D74</f>
        <v>2618274745.8395967</v>
      </c>
      <c r="L22" s="151">
        <f>'[100]2. Distributional by deciles o'!E74</f>
        <v>2583533010.3696022</v>
      </c>
      <c r="M22" s="151">
        <f>'[100]2. Distributional by deciles o'!F74</f>
        <v>2582143446.8556132</v>
      </c>
      <c r="N22" s="151">
        <f>'[100]2. Distributional by deciles o'!G74</f>
        <v>2580345720.1836014</v>
      </c>
      <c r="O22" s="152" t="s">
        <v>113</v>
      </c>
      <c r="P22" s="151">
        <f>'[99]2. Distributional by deciles o'!B146</f>
        <v>25746257098.552658</v>
      </c>
      <c r="Q22" s="151">
        <f>'[99]2. Distributional by deciles o'!C146</f>
        <v>26003761698.130692</v>
      </c>
      <c r="R22" s="153">
        <f>(Q22/P22-1)*100</f>
        <v>1.0001632415630235</v>
      </c>
      <c r="S22" s="151">
        <f>'[100]2. Distributional by deciles o'!D146</f>
        <v>25924184587.885262</v>
      </c>
      <c r="T22" s="151">
        <f>'[100]2. Distributional by deciles o'!E146</f>
        <v>25807182514.600834</v>
      </c>
      <c r="U22" s="151">
        <f>'[100]2. Distributional by deciles o'!F146</f>
        <v>25759211918.167149</v>
      </c>
      <c r="V22" s="151">
        <f>'[100]2. Distributional by deciles o'!G146</f>
        <v>25751953087.457855</v>
      </c>
      <c r="W22" s="154">
        <f>IF(D22&lt;&gt;0,((D22-$C22)/ABS($C22)) / ($Q22/$P22-1),0)</f>
        <v>1.8863476683839748</v>
      </c>
      <c r="X22" s="154">
        <f t="shared" si="13"/>
        <v>1.0070535757066712</v>
      </c>
      <c r="Y22" s="154">
        <f t="shared" si="1"/>
        <v>1.5684346663824653</v>
      </c>
      <c r="Z22" s="154">
        <f t="shared" si="1"/>
        <v>1.1191399001925231</v>
      </c>
      <c r="AA22" s="154">
        <f t="shared" si="1"/>
        <v>1.0075711691134055</v>
      </c>
      <c r="AB22" s="154">
        <f t="shared" si="14"/>
        <v>1.0075711691134055</v>
      </c>
      <c r="AC22" s="154">
        <f t="shared" si="14"/>
        <v>1.0075711691134055</v>
      </c>
      <c r="AD22" s="155">
        <f>(K22/$C22-1) / (S22/$P22-1)</f>
        <v>2.2081156713004653</v>
      </c>
      <c r="AE22" s="155">
        <f>(L22/$C22-1) / (T22/$P22-1)</f>
        <v>0.75577205303893757</v>
      </c>
      <c r="AF22" s="155">
        <f>(M22/$C22-1) / (U22/$P22-1)</f>
        <v>2.4834953306538483</v>
      </c>
      <c r="AG22" s="155">
        <f>(N22/$C22-1) / (V22/$P22-1)</f>
        <v>2.49753074624559</v>
      </c>
      <c r="AH22" s="156">
        <f t="shared" si="2"/>
        <v>1</v>
      </c>
      <c r="AI22" s="155">
        <f t="shared" si="15"/>
        <v>7.0535757066712002E-3</v>
      </c>
      <c r="AJ22" s="155">
        <f t="shared" si="3"/>
        <v>0.31791300200150951</v>
      </c>
      <c r="AK22" s="155">
        <f>IF(W22&gt;1,MAX(MIN(Y22-Z22,W22-AH22-AJ22),0),0)</f>
        <v>0.44929476618994224</v>
      </c>
      <c r="AL22" s="155">
        <f t="shared" si="16"/>
        <v>0.11156873107911758</v>
      </c>
      <c r="AM22" s="155">
        <f t="shared" si="17"/>
        <v>0</v>
      </c>
      <c r="AN22" s="157">
        <f t="shared" si="28"/>
        <v>0</v>
      </c>
      <c r="AO22" s="155">
        <f t="shared" si="18"/>
        <v>5.1759340673429577E-4</v>
      </c>
      <c r="AP22" s="155">
        <f t="shared" si="6"/>
        <v>7.5711691134054959E-3</v>
      </c>
      <c r="AQ22" s="136" t="s">
        <v>113</v>
      </c>
      <c r="AR22" s="137">
        <f>AI22/($W22-1)*100</f>
        <v>0.79580236494913636</v>
      </c>
      <c r="AS22" s="137">
        <f t="shared" si="7"/>
        <v>35.867754081323575</v>
      </c>
      <c r="AT22" s="137">
        <f t="shared" si="7"/>
        <v>50.69057912783984</v>
      </c>
      <c r="AU22" s="137">
        <f t="shared" si="7"/>
        <v>12.587468220290379</v>
      </c>
      <c r="AV22" s="137">
        <f t="shared" si="7"/>
        <v>0</v>
      </c>
      <c r="AW22" s="138">
        <f t="shared" si="7"/>
        <v>0</v>
      </c>
      <c r="AX22" s="137">
        <f t="shared" si="7"/>
        <v>5.8396205597064765E-2</v>
      </c>
      <c r="AY22" s="137">
        <f t="shared" si="7"/>
        <v>0.85419857054620119</v>
      </c>
      <c r="AZ22" s="158">
        <v>2.14</v>
      </c>
      <c r="BA22" s="158">
        <v>2.15</v>
      </c>
      <c r="BB22" s="158">
        <v>2.19</v>
      </c>
      <c r="BC22" s="158">
        <v>1.64</v>
      </c>
      <c r="BD22" s="159">
        <f>W22-AZ22</f>
        <v>-0.25365233161602529</v>
      </c>
      <c r="BE22" s="159">
        <f>AD22-BA22</f>
        <v>5.8115671300465355E-2</v>
      </c>
      <c r="BF22" s="159">
        <f>AF22-BB22</f>
        <v>0.29349533065384836</v>
      </c>
      <c r="BG22" s="159">
        <f>AG22-BC22</f>
        <v>0.85753074624559011</v>
      </c>
      <c r="BH22" s="151">
        <f>'[100]2. Distributional by deciles o'!B164</f>
        <v>17789417834.541637</v>
      </c>
      <c r="BI22" s="151">
        <f>'[100]2. Distributional by deciles o'!B182</f>
        <v>6092285087.9699945</v>
      </c>
      <c r="BJ22" s="151">
        <f>'[100]2. Distributional by deciles o'!B200</f>
        <v>1294888157.3495998</v>
      </c>
      <c r="BK22" s="151">
        <f>'[100]2. Distributional by deciles o'!B218</f>
        <v>569666372.98679972</v>
      </c>
      <c r="BL22" s="141">
        <f t="shared" si="19"/>
        <v>0.69095160207736472</v>
      </c>
      <c r="BM22" s="141">
        <f t="shared" si="20"/>
        <v>0.2366279875483833</v>
      </c>
      <c r="BN22" s="141">
        <f t="shared" si="21"/>
        <v>5.0294228577534884E-2</v>
      </c>
      <c r="BO22" s="141">
        <f t="shared" si="21"/>
        <v>2.2126181796717166E-2</v>
      </c>
      <c r="BP22" s="159">
        <f>(AD22*BL22+AF22*BN22+AG22*BO22)/(BL22+BN22+BO22)</f>
        <v>2.234647503442206</v>
      </c>
      <c r="BQ22" s="159">
        <f>W22-BP22</f>
        <v>-0.34829983505823114</v>
      </c>
      <c r="BR22" s="159">
        <f>BP22-AZ22</f>
        <v>9.4647503442205849E-2</v>
      </c>
      <c r="BS22" s="152" t="s">
        <v>113</v>
      </c>
      <c r="BT22" s="161"/>
      <c r="BU22" s="161"/>
      <c r="BV22" s="161"/>
      <c r="BW22" s="161"/>
      <c r="BX22" s="162"/>
      <c r="BY22" s="162"/>
      <c r="BZ22" s="163"/>
      <c r="CA22" s="164"/>
      <c r="CB22" s="165"/>
      <c r="CC22" s="166"/>
      <c r="CD22" s="166"/>
      <c r="CE22" s="166"/>
      <c r="CF22" s="166"/>
      <c r="CG22" s="167"/>
      <c r="CH22" s="167"/>
      <c r="CI22" s="168"/>
      <c r="CJ22" s="169"/>
      <c r="CK22" s="161">
        <f>'[100]3. Inequality and Poverty'!$B$7</f>
        <v>0.30941219711948098</v>
      </c>
      <c r="CL22" s="161">
        <f>'[100]3. Inequality and Poverty'!$B$8</f>
        <v>0.27805196325074799</v>
      </c>
      <c r="CM22" s="161">
        <f>'[100]3. Inequality and Poverty'!$C$7</f>
        <v>0.30941226601982103</v>
      </c>
      <c r="CN22" s="161">
        <f>'[100]3. Inequality and Poverty'!$C$8</f>
        <v>0.27799545156963901</v>
      </c>
      <c r="CO22" s="162">
        <f t="shared" ref="CO22" si="29">(CK22-CL22)/CK22</f>
        <v>0.10135422637079522</v>
      </c>
      <c r="CP22" s="162">
        <f>(CM22-CN22)/CM22</f>
        <v>0.10153706850189788</v>
      </c>
      <c r="CQ22" s="163">
        <f>(CP22-CO22)*100</f>
        <v>1.8284213110265901E-2</v>
      </c>
      <c r="CR22" s="165">
        <f>CN22-CL22</f>
        <v>-5.6511681108983858E-5</v>
      </c>
      <c r="CS22" s="170">
        <f>(SUM(P20:P21))/(SUM(P12:P13))</f>
        <v>4.5881673557419456</v>
      </c>
      <c r="CT22" s="170">
        <f>(SUM(P20:P21)-SUM(C20:C21))/(SUM(P12:P13)-SUM(C12:C13))</f>
        <v>3.89185847886985</v>
      </c>
      <c r="CU22" s="170">
        <f>(SUM(Q20:Q21))/(SUM(Q12:Q13))</f>
        <v>4.5881683500758648</v>
      </c>
      <c r="CV22" s="170">
        <f>(SUM(Q20:Q21)-SUM(D20:D21))/(SUM(Q12:Q13)-SUM(D12:D13))</f>
        <v>3.8892814155267246</v>
      </c>
      <c r="CW22" s="162">
        <f>(CS22-CT22)/CS22</f>
        <v>0.15176187416108244</v>
      </c>
      <c r="CX22" s="162">
        <f>(CU22-CV22)/CU22</f>
        <v>0.15232373383543876</v>
      </c>
      <c r="CY22" s="163">
        <f>(CX22-CW22)*100</f>
        <v>5.6185967435631867E-2</v>
      </c>
      <c r="CZ22" s="165">
        <f>CV22-CT22</f>
        <v>-2.577063343125463E-3</v>
      </c>
      <c r="DA22" s="171">
        <f>'[100]3. Inequality and Poverty'!$B$34</f>
        <v>0.279900009196414</v>
      </c>
      <c r="DB22" s="171">
        <f>'[100]3. Inequality and Poverty'!$C$34</f>
        <v>0.27769014895452898</v>
      </c>
      <c r="DC22" s="172">
        <f>DB22-DA22</f>
        <v>-2.2098602418850199E-3</v>
      </c>
      <c r="DD22" s="144">
        <f t="shared" si="23"/>
        <v>26.271192381372099</v>
      </c>
      <c r="DE22" s="145">
        <f>'[99]2. Distributional by deciles o'!I38</f>
        <v>0.73728807618627901</v>
      </c>
      <c r="DF22" s="1"/>
      <c r="DG22" s="1"/>
      <c r="DH22" s="1"/>
      <c r="DI22" s="1"/>
      <c r="DJ22" s="1"/>
      <c r="DK22" s="1"/>
      <c r="DL22" s="1"/>
      <c r="DM22" s="1"/>
      <c r="DN22" s="1"/>
      <c r="DO22" s="1"/>
      <c r="DP22" s="1"/>
      <c r="DQ22" s="1"/>
      <c r="DR22" s="1"/>
      <c r="DS22" s="1"/>
      <c r="DT22" s="1"/>
      <c r="DU22" s="1"/>
      <c r="DV22" s="1"/>
      <c r="DW22" s="1"/>
      <c r="DX22" s="1"/>
      <c r="DY22" s="1"/>
      <c r="DZ22" s="1"/>
      <c r="EA22" s="146">
        <f>'[101]2. Distributional by deciles o'!B74</f>
        <v>3178145830.1807995</v>
      </c>
      <c r="EB22" s="146">
        <f>'[101]2. Distributional by deciles o'!C74</f>
        <v>3236949797.7888012</v>
      </c>
      <c r="EC22" s="146">
        <f>'[101]2. Distributional by deciles o'!D74</f>
        <v>3210152503.6728139</v>
      </c>
      <c r="ED22" s="173"/>
      <c r="EE22" s="173"/>
      <c r="EF22" s="173"/>
      <c r="EG22" s="150"/>
      <c r="EH22" s="123"/>
      <c r="EI22" s="151">
        <f>'[102]2. Distributional by deciles o'!D74</f>
        <v>3226875131.2632055</v>
      </c>
      <c r="EJ22" s="151">
        <f>'[102]2. Distributional by deciles o'!E74</f>
        <v>3183227363.5776043</v>
      </c>
      <c r="EK22" s="151">
        <f>'[102]2. Distributional by deciles o'!F74</f>
        <v>3181748997.0995932</v>
      </c>
      <c r="EL22" s="151">
        <f>'[102]2. Distributional by deciles o'!G74</f>
        <v>3179454934.0344048</v>
      </c>
      <c r="EM22" s="152" t="s">
        <v>113</v>
      </c>
      <c r="EN22" s="151">
        <f>'[102]2. Distributional by deciles o'!B146</f>
        <v>32378050667.855911</v>
      </c>
      <c r="EO22" s="151">
        <f>'[102]2. Distributional by deciles o'!C146</f>
        <v>32701875574.703857</v>
      </c>
      <c r="EP22" s="153">
        <f>(EO22/EN22-1)*100</f>
        <v>1.0001371304586559</v>
      </c>
      <c r="EQ22" s="151">
        <f>'[102]2. Distributional by deciles o'!D146</f>
        <v>32606084926.0896</v>
      </c>
      <c r="ER22" s="151">
        <f>'[102]2. Distributional by deciles o'!E146</f>
        <v>32453008289.513985</v>
      </c>
      <c r="ES22" s="151">
        <f>'[102]2. Distributional by deciles o'!F146</f>
        <v>32393647696.657196</v>
      </c>
      <c r="ET22" s="151">
        <f>'[102]2. Distributional by deciles o'!G146</f>
        <v>32383286013.916763</v>
      </c>
      <c r="EU22" s="152" t="s">
        <v>113</v>
      </c>
      <c r="EV22" s="154">
        <f t="shared" si="25"/>
        <v>1.850006514498143</v>
      </c>
      <c r="EW22" s="154">
        <f t="shared" si="26"/>
        <v>1.006948287271425</v>
      </c>
      <c r="EX22" s="174">
        <f>EW22-X22</f>
        <v>-1.0528843524615361E-4</v>
      </c>
      <c r="EY22" s="175">
        <f t="shared" si="11"/>
        <v>-3.6341153885831812E-2</v>
      </c>
      <c r="EZ22" s="144">
        <f t="shared" si="27"/>
        <v>27.02548721939888</v>
      </c>
      <c r="FA22" s="155">
        <f>'[101]2. Distributional by deciles o'!F38</f>
        <v>0.7297451278060112</v>
      </c>
      <c r="FB22" s="155">
        <f>(EI22/$EA22-1) / (EQ22/$EN22-1)</f>
        <v>2.177042776295222</v>
      </c>
      <c r="FC22" s="155">
        <f>(EJ22/$EA22-1) / (ER22/$EN22-1)</f>
        <v>0.69064657617918013</v>
      </c>
      <c r="FD22" s="155">
        <f>(EK22/$EA22-1) / (ES22/$EN22-1)</f>
        <v>2.3535280824446203</v>
      </c>
      <c r="FE22" s="155">
        <f>(EL22/$EA22-1) / (ET22/$EN22-1)</f>
        <v>2.5474495056435833</v>
      </c>
      <c r="FF22" s="75">
        <f>FB22-AD22</f>
        <v>-3.107289500524324E-2</v>
      </c>
      <c r="FG22" s="75">
        <f>FC22-AE22</f>
        <v>-6.5125476859757447E-2</v>
      </c>
      <c r="FH22" s="75">
        <f>FD22-AF22</f>
        <v>-0.129967248209228</v>
      </c>
      <c r="FI22" s="75">
        <f>FE22-AG22</f>
        <v>4.9918759397993284E-2</v>
      </c>
      <c r="FJ22" s="1"/>
      <c r="FK22" s="1"/>
      <c r="FL22" s="1"/>
      <c r="FM22" s="1"/>
      <c r="FN22" s="1"/>
      <c r="FO22" s="1"/>
      <c r="FP22" s="1"/>
      <c r="FQ22" s="1"/>
    </row>
    <row r="23" spans="1:173" x14ac:dyDescent="0.3">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c r="ET23" s="1"/>
      <c r="EU23" s="1"/>
      <c r="EV23" s="1"/>
      <c r="EW23" s="1"/>
      <c r="EX23" s="1"/>
      <c r="EY23" s="1"/>
      <c r="EZ23" s="1"/>
      <c r="FA23" s="1"/>
      <c r="FB23" s="1"/>
      <c r="FC23" s="1"/>
      <c r="FD23" s="1"/>
      <c r="FE23" s="1"/>
      <c r="FF23" s="1"/>
      <c r="FG23" s="1"/>
      <c r="FH23" s="1"/>
      <c r="FI23" s="1"/>
      <c r="FJ23" s="1"/>
      <c r="FK23" s="1"/>
      <c r="FL23" s="1"/>
      <c r="FM23" s="1"/>
      <c r="FN23" s="1"/>
      <c r="FO23" s="1"/>
      <c r="FP23" s="1"/>
      <c r="FQ23" s="1"/>
    </row>
    <row r="24" spans="1:173" x14ac:dyDescent="0.3">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c r="EJ24" s="1"/>
      <c r="EK24" s="1"/>
      <c r="EL24" s="1"/>
      <c r="EM24" s="1"/>
      <c r="EN24" s="1"/>
      <c r="EO24" s="1"/>
      <c r="EP24" s="1"/>
      <c r="EQ24" s="1"/>
      <c r="ER24" s="1"/>
      <c r="ES24" s="1"/>
      <c r="ET24" s="1"/>
      <c r="EU24" s="1"/>
      <c r="EV24" s="1"/>
      <c r="EW24" s="1"/>
      <c r="EX24" s="1"/>
      <c r="EY24" s="1"/>
      <c r="EZ24" s="1"/>
      <c r="FA24" s="1"/>
      <c r="FB24" s="1"/>
      <c r="FC24" s="1"/>
      <c r="FD24" s="1"/>
      <c r="FE24" s="1"/>
      <c r="FF24" s="1"/>
      <c r="FG24" s="1"/>
      <c r="FH24" s="1"/>
      <c r="FI24" s="1"/>
      <c r="FJ24" s="1"/>
      <c r="FK24" s="1"/>
      <c r="FL24" s="1"/>
      <c r="FM24" s="1"/>
      <c r="FN24" s="1"/>
      <c r="FO24" s="1"/>
      <c r="FP24" s="1"/>
      <c r="FQ24" s="1"/>
    </row>
    <row r="25" spans="1:173" x14ac:dyDescent="0.3">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Q25" s="1"/>
    </row>
    <row r="26" spans="1:173" x14ac:dyDescent="0.3">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c r="ER26" s="1"/>
      <c r="ES26" s="1"/>
      <c r="ET26" s="1"/>
      <c r="EU26" s="1"/>
      <c r="EV26" s="1"/>
      <c r="EW26" s="1"/>
      <c r="EX26" s="1"/>
      <c r="EY26" s="1"/>
      <c r="EZ26" s="1"/>
      <c r="FA26" s="1"/>
      <c r="FB26" s="1"/>
      <c r="FC26" s="1"/>
      <c r="FD26" s="1"/>
      <c r="FE26" s="1"/>
      <c r="FF26" s="1"/>
      <c r="FG26" s="1"/>
      <c r="FH26" s="1"/>
      <c r="FI26" s="1"/>
      <c r="FJ26" s="1"/>
      <c r="FK26" s="1"/>
      <c r="FL26" s="1"/>
      <c r="FM26" s="1"/>
      <c r="FN26" s="1"/>
      <c r="FO26" s="1"/>
      <c r="FP26" s="1"/>
      <c r="FQ26" s="1"/>
    </row>
    <row r="27" spans="1:173" x14ac:dyDescent="0.3">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c r="CW27" s="1"/>
      <c r="CX27" s="1"/>
      <c r="CY27" s="1"/>
      <c r="CZ27" s="1"/>
      <c r="DA27" s="1"/>
      <c r="DB27" s="1"/>
      <c r="DC27" s="1"/>
      <c r="DD27" s="1"/>
      <c r="DE27" s="1"/>
      <c r="DF27" s="1"/>
      <c r="DG27" s="1"/>
      <c r="DH27" s="1"/>
      <c r="DI27" s="1"/>
      <c r="DJ27" s="1"/>
      <c r="DK27" s="1"/>
      <c r="DL27" s="1"/>
      <c r="DM27" s="1"/>
      <c r="DN27" s="1"/>
      <c r="DO27" s="1"/>
      <c r="DP27" s="1"/>
      <c r="DQ27" s="1"/>
      <c r="DR27" s="1"/>
      <c r="DS27" s="1"/>
      <c r="DT27" s="1"/>
      <c r="DU27" s="1"/>
      <c r="DV27" s="1"/>
      <c r="DW27" s="1"/>
      <c r="DX27" s="1"/>
      <c r="DY27" s="1"/>
      <c r="DZ27" s="1"/>
      <c r="EA27" s="1"/>
      <c r="EB27" s="1"/>
      <c r="EC27" s="1"/>
      <c r="ED27" s="1"/>
      <c r="EE27" s="1"/>
      <c r="EF27" s="1"/>
      <c r="EG27" s="1"/>
      <c r="EH27" s="1"/>
      <c r="EI27" s="1"/>
      <c r="EJ27" s="1"/>
      <c r="EK27" s="1"/>
      <c r="EL27" s="1"/>
      <c r="EM27" s="1"/>
      <c r="EN27" s="1"/>
      <c r="EO27" s="1"/>
      <c r="EP27" s="1"/>
      <c r="EQ27" s="1"/>
      <c r="ER27" s="1"/>
      <c r="ES27" s="1"/>
      <c r="ET27" s="1"/>
      <c r="EU27" s="1"/>
      <c r="EV27" s="1"/>
      <c r="EW27" s="1"/>
      <c r="EX27" s="1"/>
      <c r="EY27" s="1"/>
      <c r="EZ27" s="1"/>
      <c r="FA27" s="1"/>
      <c r="FB27" s="1"/>
      <c r="FC27" s="1"/>
      <c r="FD27" s="1"/>
      <c r="FE27" s="1"/>
      <c r="FF27" s="1"/>
      <c r="FG27" s="1"/>
      <c r="FH27" s="1"/>
      <c r="FI27" s="1"/>
      <c r="FJ27" s="1"/>
      <c r="FK27" s="1"/>
      <c r="FL27" s="1"/>
      <c r="FM27" s="1"/>
      <c r="FN27" s="1"/>
      <c r="FO27" s="1"/>
      <c r="FP27" s="1"/>
      <c r="FQ27" s="1"/>
    </row>
  </sheetData>
  <pageMargins left="0.7" right="0.7" top="0.75" bottom="0.75" header="0.3" footer="0.3"/>
  <pageSetup paperSize="9" orientation="portrait"/>
  <headerFooter>
    <oddHeader>&amp;R&amp;"Arial"&amp;10&amp;K000000 ECB-RESTRICTED&amp;1#_x000D_</oddHeader>
  </headerFooter>
  <legacyDrawing r:id="rId1"/>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23FF74-DF87-48D0-9DDC-5F1073003780}">
  <dimension ref="A1:BN121"/>
  <sheetViews>
    <sheetView zoomScale="55" zoomScaleNormal="55" workbookViewId="0">
      <selection activeCell="O4" sqref="O4"/>
    </sheetView>
  </sheetViews>
  <sheetFormatPr baseColWidth="10" defaultColWidth="8.6640625" defaultRowHeight="14.4" x14ac:dyDescent="0.3"/>
  <cols>
    <col min="1" max="1" width="4.33203125" customWidth="1"/>
    <col min="3" max="3" width="17.33203125" customWidth="1"/>
    <col min="4" max="4" width="15.6640625" customWidth="1"/>
    <col min="5" max="5" width="16.33203125" customWidth="1"/>
    <col min="6" max="6" width="15.6640625" customWidth="1"/>
    <col min="7" max="7" width="16" customWidth="1"/>
    <col min="8" max="8" width="19" customWidth="1"/>
    <col min="9" max="12" width="17" customWidth="1"/>
    <col min="13" max="13" width="17.33203125" customWidth="1"/>
    <col min="14" max="18" width="16.33203125" customWidth="1"/>
    <col min="19" max="19" width="17" customWidth="1"/>
    <col min="20" max="33" width="16.33203125" customWidth="1"/>
    <col min="34" max="34" width="14.6640625" customWidth="1"/>
    <col min="35" max="36" width="12.6640625" customWidth="1"/>
    <col min="37" max="37" width="17.33203125" customWidth="1"/>
    <col min="38" max="38" width="12.33203125" customWidth="1"/>
    <col min="39" max="39" width="9.6640625" customWidth="1"/>
    <col min="40" max="42" width="16.44140625" customWidth="1"/>
    <col min="43" max="50" width="9.6640625" customWidth="1"/>
    <col min="51" max="59" width="0.5546875" customWidth="1"/>
  </cols>
  <sheetData>
    <row r="1" spans="1:66" ht="15" thickBot="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row>
    <row r="2" spans="1:66" ht="18" customHeight="1" thickBot="1" x14ac:dyDescent="0.35">
      <c r="A2" s="1"/>
      <c r="B2" s="2" t="s">
        <v>654</v>
      </c>
      <c r="C2" s="3"/>
      <c r="D2" s="3"/>
      <c r="E2" s="3"/>
      <c r="F2" s="3"/>
      <c r="G2" s="3"/>
      <c r="H2" s="3"/>
      <c r="I2" s="3"/>
      <c r="J2" s="3"/>
      <c r="K2" s="3"/>
      <c r="L2" s="3"/>
      <c r="M2" s="4"/>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row>
    <row r="3" spans="1:66" ht="18" customHeight="1" x14ac:dyDescent="0.3">
      <c r="A3" s="1"/>
      <c r="B3" s="5" t="s">
        <v>115</v>
      </c>
      <c r="C3" s="6"/>
      <c r="D3" s="6"/>
      <c r="E3" s="6"/>
      <c r="F3" s="6"/>
      <c r="G3" s="6"/>
      <c r="H3" s="6"/>
      <c r="I3" s="6"/>
      <c r="J3" s="6"/>
      <c r="K3" s="6"/>
      <c r="L3" s="6"/>
      <c r="M3" s="7"/>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row>
    <row r="4" spans="1:66" ht="18" customHeight="1" x14ac:dyDescent="0.3">
      <c r="A4" s="1"/>
      <c r="B4" s="99" t="s">
        <v>1</v>
      </c>
      <c r="C4" s="296"/>
      <c r="D4" s="296"/>
      <c r="E4" s="296"/>
      <c r="F4" s="296"/>
      <c r="G4" s="296"/>
      <c r="H4" s="296"/>
      <c r="I4" s="296"/>
      <c r="J4" s="296"/>
      <c r="K4" s="296"/>
      <c r="L4" s="296"/>
      <c r="M4" s="100"/>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row>
    <row r="5" spans="1:66" ht="14.25" customHeight="1" x14ac:dyDescent="0.3">
      <c r="A5" s="1"/>
      <c r="B5" s="293" t="s">
        <v>116</v>
      </c>
      <c r="C5" s="294"/>
      <c r="D5" s="294"/>
      <c r="E5" s="294"/>
      <c r="F5" s="294"/>
      <c r="G5" s="294"/>
      <c r="H5" s="294"/>
      <c r="I5" s="294"/>
      <c r="J5" s="294"/>
      <c r="K5" s="294"/>
      <c r="L5" s="294"/>
      <c r="M5" s="295"/>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row>
    <row r="6" spans="1:66" ht="12.6" customHeight="1" x14ac:dyDescent="0.3">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row>
    <row r="7" spans="1:66" ht="12.6" customHeight="1" x14ac:dyDescent="0.3">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row>
    <row r="8" spans="1:66" ht="17.7" customHeight="1" x14ac:dyDescent="0.3">
      <c r="A8" s="1"/>
      <c r="B8" s="11" t="s">
        <v>2</v>
      </c>
      <c r="C8" s="12" t="s">
        <v>252</v>
      </c>
      <c r="D8" s="12" t="s">
        <v>253</v>
      </c>
      <c r="E8" s="124" t="s">
        <v>525</v>
      </c>
      <c r="F8" s="125"/>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row>
    <row r="9" spans="1:66" ht="10.35" customHeight="1" x14ac:dyDescent="0.3">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row>
    <row r="10" spans="1:66" x14ac:dyDescent="0.3">
      <c r="A10" s="1"/>
      <c r="B10" s="1"/>
      <c r="C10" s="13" t="s">
        <v>6</v>
      </c>
      <c r="D10" s="14"/>
      <c r="E10" s="14"/>
      <c r="F10" s="14"/>
      <c r="G10" s="14"/>
      <c r="H10" s="14"/>
      <c r="I10" s="14"/>
      <c r="J10" s="14"/>
      <c r="K10" s="14"/>
      <c r="L10" s="14"/>
      <c r="M10" s="14"/>
      <c r="N10" s="14"/>
      <c r="O10" s="14"/>
      <c r="P10" s="15" t="s">
        <v>596</v>
      </c>
      <c r="Q10" s="16"/>
      <c r="R10" s="16"/>
      <c r="S10" s="16"/>
      <c r="T10" s="16"/>
      <c r="U10" s="16"/>
      <c r="V10" s="16"/>
      <c r="W10" s="16"/>
      <c r="X10" s="13"/>
      <c r="Y10" s="17"/>
      <c r="Z10" s="17"/>
      <c r="AA10" s="17"/>
      <c r="AB10" s="17"/>
      <c r="AC10" s="17"/>
      <c r="AD10" s="17"/>
      <c r="AE10" s="19"/>
      <c r="AF10" s="16"/>
      <c r="AG10" s="16"/>
      <c r="AH10" s="16"/>
      <c r="AI10" s="16"/>
      <c r="AJ10" s="16"/>
      <c r="AK10" s="1"/>
      <c r="AL10" s="1"/>
      <c r="AM10" s="99" t="s">
        <v>562</v>
      </c>
      <c r="AN10" s="9"/>
      <c r="AO10" s="9"/>
      <c r="AP10" s="9"/>
      <c r="AQ10" s="9"/>
      <c r="AR10" s="9"/>
      <c r="AS10" s="10"/>
      <c r="AT10" s="1"/>
      <c r="AU10" s="1"/>
      <c r="AV10" s="1"/>
      <c r="AW10" s="1"/>
      <c r="AX10" s="1"/>
      <c r="AY10" s="1"/>
      <c r="AZ10" s="1"/>
      <c r="BA10" s="1"/>
      <c r="BB10" s="1"/>
      <c r="BC10" s="1"/>
      <c r="BD10" s="1"/>
      <c r="BE10" s="1"/>
      <c r="BF10" s="1"/>
      <c r="BG10" s="1"/>
      <c r="BH10" s="1"/>
      <c r="BI10" s="1"/>
      <c r="BJ10" s="1"/>
      <c r="BK10" s="1"/>
      <c r="BL10" s="1"/>
      <c r="BM10" s="1"/>
      <c r="BN10" s="1"/>
    </row>
    <row r="11" spans="1:66" ht="78.75" customHeight="1" x14ac:dyDescent="0.3">
      <c r="A11" s="1"/>
      <c r="B11" s="25" t="s">
        <v>20</v>
      </c>
      <c r="C11" s="26" t="s">
        <v>119</v>
      </c>
      <c r="D11" s="27" t="s">
        <v>120</v>
      </c>
      <c r="E11" s="26" t="s">
        <v>121</v>
      </c>
      <c r="F11" s="27" t="s">
        <v>122</v>
      </c>
      <c r="G11" s="27" t="s">
        <v>123</v>
      </c>
      <c r="H11" s="27" t="s">
        <v>124</v>
      </c>
      <c r="I11" s="27" t="s">
        <v>125</v>
      </c>
      <c r="J11" s="27" t="s">
        <v>126</v>
      </c>
      <c r="K11" s="27" t="s">
        <v>127</v>
      </c>
      <c r="L11" s="27"/>
      <c r="M11" s="27"/>
      <c r="N11" s="27"/>
      <c r="O11" s="27"/>
      <c r="P11" s="26" t="s">
        <v>119</v>
      </c>
      <c r="Q11" s="27" t="s">
        <v>120</v>
      </c>
      <c r="R11" s="27" t="s">
        <v>121</v>
      </c>
      <c r="S11" s="27" t="s">
        <v>122</v>
      </c>
      <c r="T11" s="27" t="s">
        <v>123</v>
      </c>
      <c r="U11" s="27" t="s">
        <v>130</v>
      </c>
      <c r="V11" s="27"/>
      <c r="W11" s="27"/>
      <c r="X11" s="27"/>
      <c r="Y11" s="27"/>
      <c r="Z11" s="27"/>
      <c r="AA11" s="27"/>
      <c r="AB11" s="27"/>
      <c r="AC11" s="27"/>
      <c r="AD11" s="27"/>
      <c r="AE11" s="27"/>
      <c r="AF11" s="27"/>
      <c r="AG11" s="27"/>
      <c r="AH11" s="27"/>
      <c r="AI11" s="27"/>
      <c r="AJ11" s="27"/>
      <c r="AK11" s="27" t="s">
        <v>150</v>
      </c>
      <c r="AL11" s="1"/>
      <c r="AM11" s="522" t="s">
        <v>563</v>
      </c>
      <c r="AN11" s="523" t="s">
        <v>568</v>
      </c>
      <c r="AO11" s="523" t="s">
        <v>569</v>
      </c>
      <c r="AP11" s="523" t="s">
        <v>570</v>
      </c>
      <c r="AQ11" s="523" t="s">
        <v>564</v>
      </c>
      <c r="AR11" s="523" t="s">
        <v>565</v>
      </c>
      <c r="AS11" s="523" t="s">
        <v>566</v>
      </c>
      <c r="AT11" s="1"/>
      <c r="AU11" s="1"/>
      <c r="AV11" s="1"/>
      <c r="AW11" s="1"/>
      <c r="AX11" s="1"/>
      <c r="AY11" s="1"/>
      <c r="AZ11" s="1"/>
      <c r="BA11" s="1"/>
      <c r="BB11" s="1"/>
      <c r="BC11" s="1"/>
      <c r="BD11" s="1"/>
      <c r="BE11" s="1"/>
      <c r="BF11" s="1"/>
      <c r="BG11" s="1"/>
      <c r="BH11" s="1"/>
      <c r="BI11" s="1"/>
      <c r="BJ11" s="1"/>
      <c r="BK11" s="1"/>
      <c r="BL11" s="1"/>
      <c r="BM11" s="1"/>
      <c r="BN11" s="1"/>
    </row>
    <row r="12" spans="1:66" x14ac:dyDescent="0.3">
      <c r="A12" s="1"/>
      <c r="B12" s="28">
        <v>1</v>
      </c>
      <c r="C12" s="129">
        <f>'[103]2. Distributional by deciles o'!B64</f>
        <v>1914278.5907999994</v>
      </c>
      <c r="D12" s="129">
        <f>'[103]2. Distributional by deciles o'!C64</f>
        <v>1903975.4567999998</v>
      </c>
      <c r="E12" s="129">
        <f>'[103]2. Distributional by deciles o'!D64</f>
        <v>3528215.0099999979</v>
      </c>
      <c r="F12" s="129">
        <f>'[103]2. Distributional by deciles o'!E64</f>
        <v>2883418.9956</v>
      </c>
      <c r="G12" s="129">
        <f>'[103]2. Distributional by deciles o'!F64</f>
        <v>2620689.4116000012</v>
      </c>
      <c r="H12" s="129">
        <f>'[103]2. Distributional by deciles o'!H64</f>
        <v>8250491.7672000015</v>
      </c>
      <c r="I12" s="129">
        <f>'[103]2. Distributional by deciles o'!I64</f>
        <v>2336048.1587999999</v>
      </c>
      <c r="J12" s="129">
        <f>'[103]2. Distributional by deciles o'!J64</f>
        <v>4771736.5343999993</v>
      </c>
      <c r="K12" s="129">
        <f>'[103]2. Distributional by deciles o'!K64</f>
        <v>3513223.3284</v>
      </c>
      <c r="L12" s="139"/>
      <c r="M12" s="139"/>
      <c r="N12" s="139"/>
      <c r="O12" s="139"/>
      <c r="P12" s="129">
        <f>'[103]2. Distributional by deciles o'!B136</f>
        <v>782029151.48279965</v>
      </c>
      <c r="Q12" s="129">
        <f>'[103]2. Distributional by deciles o'!C136</f>
        <v>807809478.31560016</v>
      </c>
      <c r="R12" s="129">
        <f>'[103]2. Distributional by deciles o'!D136</f>
        <v>864381406.72439969</v>
      </c>
      <c r="S12" s="129">
        <f>'[103]2. Distributional by deciles o'!E136</f>
        <v>913210217.86200047</v>
      </c>
      <c r="T12" s="129">
        <f>'[103]2. Distributional by deciles o'!F136</f>
        <v>966673074.29159927</v>
      </c>
      <c r="U12" s="209">
        <f t="shared" ref="U12:U22" si="0">T12/P12-1</f>
        <v>0.23610874666078319</v>
      </c>
      <c r="V12" s="139"/>
      <c r="W12" s="209"/>
      <c r="X12" s="132"/>
      <c r="Y12" s="132"/>
      <c r="Z12" s="132"/>
      <c r="AA12" s="132"/>
      <c r="AB12" s="132"/>
      <c r="AC12" s="132"/>
      <c r="AD12" s="132"/>
      <c r="AE12" s="139"/>
      <c r="AF12" s="139"/>
      <c r="AG12" s="139"/>
      <c r="AH12" s="139"/>
      <c r="AI12" s="139"/>
      <c r="AJ12" s="139"/>
      <c r="AK12" s="408">
        <f>'[103]2. Distributional by deciles o'!L64</f>
        <v>2837135.026800001</v>
      </c>
      <c r="AL12" s="1"/>
      <c r="AM12" s="32" cm="1">
        <f t="array" aca="1" ref="AM12" ca="1">INDIRECT("'1"&amp;$C$8&amp;"'!W12")</f>
        <v>9.3316827675070932</v>
      </c>
      <c r="AN12" s="524">
        <f t="shared" ref="AN12:AN21" ca="1" si="1">C12+C12*U12*AM12</f>
        <v>6131993.1472709673</v>
      </c>
      <c r="AO12" s="524">
        <f t="shared" ref="AO12:AO21" ca="1" si="2">C12+C12*U$22*AM12</f>
        <v>6515594.0220842119</v>
      </c>
      <c r="AP12" s="524">
        <f t="shared" ref="AP12:AP21" ca="1" si="3">C12+C12*AR12*AM12</f>
        <v>6131993.1472709673</v>
      </c>
      <c r="AQ12" s="525">
        <f t="shared" ref="AQ12:AQ21" si="4">U12</f>
        <v>0.23610874666078319</v>
      </c>
      <c r="AR12" s="344">
        <f>AQ12</f>
        <v>0.23610874666078319</v>
      </c>
      <c r="AS12" s="41">
        <f>P12/P$22</f>
        <v>3.0374479229711489E-2</v>
      </c>
      <c r="AT12" s="1"/>
      <c r="AU12" s="1"/>
      <c r="AV12" s="1"/>
      <c r="AW12" s="1"/>
      <c r="AX12" s="1"/>
      <c r="AY12" s="1"/>
      <c r="AZ12" s="1"/>
      <c r="BA12" s="1"/>
      <c r="BB12" s="1"/>
      <c r="BC12" s="1"/>
      <c r="BD12" s="1"/>
      <c r="BE12" s="1"/>
      <c r="BF12" s="1"/>
      <c r="BG12" s="1"/>
      <c r="BH12" s="1"/>
      <c r="BI12" s="1"/>
      <c r="BJ12" s="1"/>
      <c r="BK12" s="1"/>
      <c r="BL12" s="1"/>
      <c r="BM12" s="1"/>
      <c r="BN12" s="1"/>
    </row>
    <row r="13" spans="1:66" x14ac:dyDescent="0.3">
      <c r="A13" s="1"/>
      <c r="B13" s="28">
        <v>2</v>
      </c>
      <c r="C13" s="129">
        <f>'[103]2. Distributional by deciles o'!B65</f>
        <v>13911125.677199993</v>
      </c>
      <c r="D13" s="129">
        <f>'[103]2. Distributional by deciles o'!C65</f>
        <v>13520543.215199998</v>
      </c>
      <c r="E13" s="129">
        <f>'[103]2. Distributional by deciles o'!D65</f>
        <v>20557369.507199988</v>
      </c>
      <c r="F13" s="129">
        <f>'[103]2. Distributional by deciles o'!E65</f>
        <v>18223846.474800002</v>
      </c>
      <c r="G13" s="129">
        <f>'[103]2. Distributional by deciles o'!F65</f>
        <v>17812947.092400003</v>
      </c>
      <c r="H13" s="129">
        <f>'[103]2. Distributional by deciles o'!H65</f>
        <v>34476351.00720001</v>
      </c>
      <c r="I13" s="129">
        <f>'[103]2. Distributional by deciles o'!I65</f>
        <v>17986308.494399998</v>
      </c>
      <c r="J13" s="129">
        <f>'[103]2. Distributional by deciles o'!J65</f>
        <v>25577028.363600001</v>
      </c>
      <c r="K13" s="129">
        <f>'[103]2. Distributional by deciles o'!K65</f>
        <v>21902425.237199996</v>
      </c>
      <c r="L13" s="139"/>
      <c r="M13" s="139"/>
      <c r="N13" s="139"/>
      <c r="O13" s="139"/>
      <c r="P13" s="129">
        <f>'[103]2. Distributional by deciles o'!B137</f>
        <v>1341534907.6140008</v>
      </c>
      <c r="Q13" s="129">
        <f>'[103]2. Distributional by deciles o'!C137</f>
        <v>1389987012.3216</v>
      </c>
      <c r="R13" s="129">
        <f>'[103]2. Distributional by deciles o'!D137</f>
        <v>1481979849.5172012</v>
      </c>
      <c r="S13" s="129">
        <f>'[103]2. Distributional by deciles o'!E137</f>
        <v>1565499771.3300004</v>
      </c>
      <c r="T13" s="129">
        <f>'[103]2. Distributional by deciles o'!F137</f>
        <v>1662837387.3623993</v>
      </c>
      <c r="U13" s="209">
        <f t="shared" si="0"/>
        <v>0.23950362970416772</v>
      </c>
      <c r="V13" s="139"/>
      <c r="W13" s="209"/>
      <c r="X13" s="132"/>
      <c r="Y13" s="132"/>
      <c r="Z13" s="132"/>
      <c r="AA13" s="132"/>
      <c r="AB13" s="132"/>
      <c r="AC13" s="132"/>
      <c r="AD13" s="132"/>
      <c r="AE13" s="139"/>
      <c r="AF13" s="139"/>
      <c r="AG13" s="139"/>
      <c r="AH13" s="139"/>
      <c r="AI13" s="139"/>
      <c r="AJ13" s="139"/>
      <c r="AK13" s="408">
        <f>'[103]2. Distributional by deciles o'!L65</f>
        <v>18400674.152399987</v>
      </c>
      <c r="AL13" s="1"/>
      <c r="AM13" s="32" cm="1">
        <f t="array" aca="1" ref="AM13" ca="1">INDIRECT("'1"&amp;$C$8&amp;"'!W13")</f>
        <v>5.5262248563136911</v>
      </c>
      <c r="AN13" s="524">
        <f t="shared" ca="1" si="1"/>
        <v>32323208.749315202</v>
      </c>
      <c r="AO13" s="524">
        <f t="shared" ca="1" si="2"/>
        <v>33713064.919483908</v>
      </c>
      <c r="AP13" s="524">
        <f t="shared" ca="1" si="3"/>
        <v>32323208.749315202</v>
      </c>
      <c r="AQ13" s="525">
        <f t="shared" si="4"/>
        <v>0.23950362970416772</v>
      </c>
      <c r="AR13" s="344">
        <f t="shared" ref="AR13:AR18" si="5">AQ13</f>
        <v>0.23950362970416772</v>
      </c>
      <c r="AS13" s="41">
        <f t="shared" ref="AS13:AS21" si="6">P13/P$22</f>
        <v>5.2106016904857833E-2</v>
      </c>
      <c r="AT13" s="1"/>
      <c r="AU13" s="1"/>
      <c r="AV13" s="1"/>
      <c r="AW13" s="1"/>
      <c r="AX13" s="1"/>
      <c r="AY13" s="1"/>
      <c r="AZ13" s="1"/>
      <c r="BA13" s="1"/>
      <c r="BB13" s="1"/>
      <c r="BC13" s="1"/>
      <c r="BD13" s="1"/>
      <c r="BE13" s="1"/>
      <c r="BF13" s="1"/>
      <c r="BG13" s="1"/>
      <c r="BH13" s="1"/>
      <c r="BI13" s="1"/>
      <c r="BJ13" s="1"/>
      <c r="BK13" s="1"/>
      <c r="BL13" s="1"/>
      <c r="BM13" s="1"/>
      <c r="BN13" s="1"/>
    </row>
    <row r="14" spans="1:66" x14ac:dyDescent="0.3">
      <c r="A14" s="1"/>
      <c r="B14" s="28">
        <v>3</v>
      </c>
      <c r="C14" s="129">
        <f>'[103]2. Distributional by deciles o'!B66</f>
        <v>40979101.076400027</v>
      </c>
      <c r="D14" s="129">
        <f>'[103]2. Distributional by deciles o'!C66</f>
        <v>42379211.642399997</v>
      </c>
      <c r="E14" s="129">
        <f>'[103]2. Distributional by deciles o'!D66</f>
        <v>57246247.0524</v>
      </c>
      <c r="F14" s="129">
        <f>'[103]2. Distributional by deciles o'!E66</f>
        <v>53385681.717599988</v>
      </c>
      <c r="G14" s="129">
        <f>'[103]2. Distributional by deciles o'!F66</f>
        <v>53799760.112400055</v>
      </c>
      <c r="H14" s="129">
        <f>'[103]2. Distributional by deciles o'!H66</f>
        <v>87802143.226800069</v>
      </c>
      <c r="I14" s="129">
        <f>'[103]2. Distributional by deciles o'!I66</f>
        <v>52959872.09040004</v>
      </c>
      <c r="J14" s="129">
        <f>'[103]2. Distributional by deciles o'!J66</f>
        <v>68790252.772800043</v>
      </c>
      <c r="K14" s="129">
        <f>'[103]2. Distributional by deciles o'!K66</f>
        <v>61120574.961600021</v>
      </c>
      <c r="L14" s="139"/>
      <c r="M14" s="139"/>
      <c r="N14" s="139"/>
      <c r="O14" s="139"/>
      <c r="P14" s="129">
        <f>'[103]2. Distributional by deciles o'!B138</f>
        <v>1649030756.2632022</v>
      </c>
      <c r="Q14" s="129">
        <f>'[103]2. Distributional by deciles o'!C138</f>
        <v>1705500484.4315996</v>
      </c>
      <c r="R14" s="129">
        <f>'[103]2. Distributional by deciles o'!D138</f>
        <v>1824241984.9704013</v>
      </c>
      <c r="S14" s="129">
        <f>'[103]2. Distributional by deciles o'!E138</f>
        <v>1925187219.1452036</v>
      </c>
      <c r="T14" s="129">
        <f>'[103]2. Distributional by deciles o'!F138</f>
        <v>2053346915.0615995</v>
      </c>
      <c r="U14" s="209">
        <f t="shared" si="0"/>
        <v>0.24518412240812348</v>
      </c>
      <c r="V14" s="139"/>
      <c r="W14" s="209"/>
      <c r="X14" s="132"/>
      <c r="Y14" s="132"/>
      <c r="Z14" s="132"/>
      <c r="AA14" s="132"/>
      <c r="AB14" s="132"/>
      <c r="AC14" s="132"/>
      <c r="AD14" s="132"/>
      <c r="AE14" s="139"/>
      <c r="AF14" s="139"/>
      <c r="AG14" s="139"/>
      <c r="AH14" s="139"/>
      <c r="AI14" s="139"/>
      <c r="AJ14" s="139"/>
      <c r="AK14" s="408">
        <f>'[103]2. Distributional by deciles o'!L66</f>
        <v>54872313.817200005</v>
      </c>
      <c r="AL14" s="1"/>
      <c r="AM14" s="32" cm="1">
        <f t="array" aca="1" ref="AM14" ca="1">INDIRECT("'1"&amp;$C$8&amp;"'!W14")</f>
        <v>4.0589546983997318</v>
      </c>
      <c r="AN14" s="524">
        <f t="shared" ca="1" si="1"/>
        <v>81761143.721070588</v>
      </c>
      <c r="AO14" s="524">
        <f t="shared" ca="1" si="2"/>
        <v>83823448.189411312</v>
      </c>
      <c r="AP14" s="524">
        <f t="shared" ca="1" si="3"/>
        <v>81761143.721070588</v>
      </c>
      <c r="AQ14" s="525">
        <f t="shared" si="4"/>
        <v>0.24518412240812348</v>
      </c>
      <c r="AR14" s="344">
        <f t="shared" si="5"/>
        <v>0.24518412240812348</v>
      </c>
      <c r="AS14" s="41">
        <f t="shared" si="6"/>
        <v>6.4049339286521123E-2</v>
      </c>
      <c r="AT14" s="1"/>
      <c r="AU14" s="1"/>
      <c r="AV14" s="1"/>
      <c r="AW14" s="1"/>
      <c r="AX14" s="1"/>
      <c r="AY14" s="1"/>
      <c r="AZ14" s="1"/>
      <c r="BA14" s="1"/>
      <c r="BB14" s="1"/>
      <c r="BC14" s="1"/>
      <c r="BD14" s="1"/>
      <c r="BE14" s="1"/>
      <c r="BF14" s="1"/>
      <c r="BG14" s="1"/>
      <c r="BH14" s="1"/>
      <c r="BI14" s="1"/>
      <c r="BJ14" s="1"/>
      <c r="BK14" s="1"/>
      <c r="BL14" s="1"/>
      <c r="BM14" s="1"/>
      <c r="BN14" s="1"/>
    </row>
    <row r="15" spans="1:66" x14ac:dyDescent="0.3">
      <c r="A15" s="1"/>
      <c r="B15" s="28">
        <v>4</v>
      </c>
      <c r="C15" s="129">
        <f>'[103]2. Distributional by deciles o'!B67</f>
        <v>83695844.079599991</v>
      </c>
      <c r="D15" s="129">
        <f>'[103]2. Distributional by deciles o'!C67</f>
        <v>85258715.527199879</v>
      </c>
      <c r="E15" s="129">
        <f>'[103]2. Distributional by deciles o'!D67</f>
        <v>105887942.94120005</v>
      </c>
      <c r="F15" s="129">
        <f>'[103]2. Distributional by deciles o'!E67</f>
        <v>98896674.51000002</v>
      </c>
      <c r="G15" s="129">
        <f>'[103]2. Distributional by deciles o'!F67</f>
        <v>105439857.12239999</v>
      </c>
      <c r="H15" s="129">
        <f>'[103]2. Distributional by deciles o'!H67</f>
        <v>156764920.55160004</v>
      </c>
      <c r="I15" s="129">
        <f>'[103]2. Distributional by deciles o'!I67</f>
        <v>107414561.71800002</v>
      </c>
      <c r="J15" s="129">
        <f>'[103]2. Distributional by deciles o'!J67</f>
        <v>130581502.15079993</v>
      </c>
      <c r="K15" s="129">
        <f>'[103]2. Distributional by deciles o'!K67</f>
        <v>119432878.56359994</v>
      </c>
      <c r="L15" s="139"/>
      <c r="M15" s="139"/>
      <c r="N15" s="139"/>
      <c r="O15" s="139"/>
      <c r="P15" s="129">
        <f>'[103]2. Distributional by deciles o'!B139</f>
        <v>1864374819.1248007</v>
      </c>
      <c r="Q15" s="129">
        <f>'[103]2. Distributional by deciles o'!C139</f>
        <v>1926947269.2275982</v>
      </c>
      <c r="R15" s="129">
        <f>'[103]2. Distributional by deciles o'!D139</f>
        <v>2069129400.3899996</v>
      </c>
      <c r="S15" s="129">
        <f>'[103]2. Distributional by deciles o'!E139</f>
        <v>2180940760.6476021</v>
      </c>
      <c r="T15" s="129">
        <f>'[103]2. Distributional by deciles o'!F139</f>
        <v>2342204803.9296021</v>
      </c>
      <c r="U15" s="209">
        <f t="shared" si="0"/>
        <v>0.2562950217430584</v>
      </c>
      <c r="V15" s="139"/>
      <c r="W15" s="209"/>
      <c r="X15" s="132"/>
      <c r="Y15" s="132"/>
      <c r="Z15" s="132"/>
      <c r="AA15" s="132"/>
      <c r="AB15" s="132"/>
      <c r="AC15" s="132"/>
      <c r="AD15" s="132"/>
      <c r="AE15" s="139"/>
      <c r="AF15" s="139"/>
      <c r="AG15" s="139"/>
      <c r="AH15" s="139"/>
      <c r="AI15" s="139"/>
      <c r="AJ15" s="139"/>
      <c r="AK15" s="408">
        <f>'[103]2. Distributional by deciles o'!L67</f>
        <v>107324199.7608</v>
      </c>
      <c r="AL15" s="1"/>
      <c r="AM15" s="32" cm="1">
        <f t="array" aca="1" ref="AM15" ca="1">INDIRECT("'1"&amp;$C$8&amp;"'!W15")</f>
        <v>3.1926197279109783</v>
      </c>
      <c r="AN15" s="524">
        <f t="shared" ca="1" si="1"/>
        <v>152180181.30130118</v>
      </c>
      <c r="AO15" s="524">
        <f t="shared" ca="1" si="2"/>
        <v>152524293.22692153</v>
      </c>
      <c r="AP15" s="524">
        <f t="shared" ca="1" si="3"/>
        <v>152180181.30130118</v>
      </c>
      <c r="AQ15" s="525">
        <f t="shared" si="4"/>
        <v>0.2562950217430584</v>
      </c>
      <c r="AR15" s="344">
        <f t="shared" si="5"/>
        <v>0.2562950217430584</v>
      </c>
      <c r="AS15" s="41">
        <f t="shared" si="6"/>
        <v>7.2413431280060031E-2</v>
      </c>
      <c r="AT15" s="1"/>
      <c r="AU15" s="1"/>
      <c r="AV15" s="1"/>
      <c r="AW15" s="1"/>
      <c r="AX15" s="1"/>
      <c r="AY15" s="1"/>
      <c r="AZ15" s="1"/>
      <c r="BA15" s="1"/>
      <c r="BB15" s="1"/>
      <c r="BC15" s="1"/>
      <c r="BD15" s="1"/>
      <c r="BE15" s="1"/>
      <c r="BF15" s="1"/>
      <c r="BG15" s="1"/>
      <c r="BH15" s="1"/>
      <c r="BI15" s="1"/>
      <c r="BJ15" s="1"/>
      <c r="BK15" s="1"/>
      <c r="BL15" s="1"/>
      <c r="BM15" s="1"/>
      <c r="BN15" s="1"/>
    </row>
    <row r="16" spans="1:66" x14ac:dyDescent="0.3">
      <c r="A16" s="1"/>
      <c r="B16" s="28">
        <v>5</v>
      </c>
      <c r="C16" s="129">
        <f>'[103]2. Distributional by deciles o'!B68</f>
        <v>128038100.8091999</v>
      </c>
      <c r="D16" s="129">
        <f>'[103]2. Distributional by deciles o'!C68</f>
        <v>128312114.45759994</v>
      </c>
      <c r="E16" s="129">
        <f>'[103]2. Distributional by deciles o'!D68</f>
        <v>155259609.15240008</v>
      </c>
      <c r="F16" s="129">
        <f>'[103]2. Distributional by deciles o'!E68</f>
        <v>146625506.83559996</v>
      </c>
      <c r="G16" s="129">
        <f>'[103]2. Distributional by deciles o'!F68</f>
        <v>159239565.08760008</v>
      </c>
      <c r="H16" s="129">
        <f>'[103]2. Distributional by deciles o'!H68</f>
        <v>221443900.78920013</v>
      </c>
      <c r="I16" s="129">
        <f>'[103]2. Distributional by deciles o'!I68</f>
        <v>164619374.74919975</v>
      </c>
      <c r="J16" s="129">
        <f>'[103]2. Distributional by deciles o'!J68</f>
        <v>191246872.05119976</v>
      </c>
      <c r="K16" s="129">
        <f>'[103]2. Distributional by deciles o'!K68</f>
        <v>178121791.46040013</v>
      </c>
      <c r="L16" s="139"/>
      <c r="M16" s="139"/>
      <c r="N16" s="139"/>
      <c r="O16" s="139"/>
      <c r="P16" s="129">
        <f>'[103]2. Distributional by deciles o'!B140</f>
        <v>2103498219.6936021</v>
      </c>
      <c r="Q16" s="129">
        <f>'[103]2. Distributional by deciles o'!C140</f>
        <v>2171595017.6352015</v>
      </c>
      <c r="R16" s="129">
        <f>'[103]2. Distributional by deciles o'!D140</f>
        <v>2336253482.3027992</v>
      </c>
      <c r="S16" s="129">
        <f>'[103]2. Distributional by deciles o'!E140</f>
        <v>2461767961.4724007</v>
      </c>
      <c r="T16" s="129">
        <f>'[103]2. Distributional by deciles o'!F140</f>
        <v>2651549550.3528032</v>
      </c>
      <c r="U16" s="209">
        <f t="shared" si="0"/>
        <v>0.26054280699083776</v>
      </c>
      <c r="V16" s="139"/>
      <c r="W16" s="209"/>
      <c r="X16" s="132"/>
      <c r="Y16" s="132"/>
      <c r="Z16" s="132"/>
      <c r="AA16" s="132"/>
      <c r="AB16" s="132"/>
      <c r="AC16" s="132"/>
      <c r="AD16" s="132"/>
      <c r="AE16" s="139"/>
      <c r="AF16" s="139"/>
      <c r="AG16" s="139"/>
      <c r="AH16" s="139"/>
      <c r="AI16" s="139"/>
      <c r="AJ16" s="139"/>
      <c r="AK16" s="408">
        <f>'[103]2. Distributional by deciles o'!L68</f>
        <v>162017860.27560008</v>
      </c>
      <c r="AL16" s="1"/>
      <c r="AM16" s="32" cm="1">
        <f t="array" aca="1" ref="AM16" ca="1">INDIRECT("'1"&amp;$C$8&amp;"'!W16")</f>
        <v>2.662921363622397</v>
      </c>
      <c r="AN16" s="524">
        <f t="shared" ca="1" si="1"/>
        <v>216871576.22126698</v>
      </c>
      <c r="AO16" s="524">
        <f t="shared" ca="1" si="2"/>
        <v>215862353.50385118</v>
      </c>
      <c r="AP16" s="524">
        <f t="shared" ca="1" si="3"/>
        <v>216871576.22126698</v>
      </c>
      <c r="AQ16" s="525">
        <f t="shared" si="4"/>
        <v>0.26054280699083776</v>
      </c>
      <c r="AR16" s="344">
        <f t="shared" si="5"/>
        <v>0.26054280699083776</v>
      </c>
      <c r="AS16" s="41">
        <f t="shared" si="6"/>
        <v>8.1701126949899505E-2</v>
      </c>
      <c r="AT16" s="1"/>
      <c r="AU16" s="1"/>
      <c r="AV16" s="1"/>
      <c r="AW16" s="1"/>
      <c r="AX16" s="1"/>
      <c r="AY16" s="1"/>
      <c r="AZ16" s="1"/>
      <c r="BA16" s="1"/>
      <c r="BB16" s="1"/>
      <c r="BC16" s="1"/>
      <c r="BD16" s="1"/>
      <c r="BE16" s="1"/>
      <c r="BF16" s="1"/>
      <c r="BG16" s="1"/>
      <c r="BH16" s="1"/>
      <c r="BI16" s="1"/>
      <c r="BJ16" s="1"/>
      <c r="BK16" s="1"/>
      <c r="BL16" s="1"/>
      <c r="BM16" s="1"/>
      <c r="BN16" s="1"/>
    </row>
    <row r="17" spans="1:66" x14ac:dyDescent="0.3">
      <c r="A17" s="1"/>
      <c r="B17" s="28">
        <v>6</v>
      </c>
      <c r="C17" s="129">
        <f>'[103]2. Distributional by deciles o'!B69</f>
        <v>184167839.90639994</v>
      </c>
      <c r="D17" s="129">
        <f>'[103]2. Distributional by deciles o'!C69</f>
        <v>184016845.35239986</v>
      </c>
      <c r="E17" s="129">
        <f>'[103]2. Distributional by deciles o'!D69</f>
        <v>218975161.33439994</v>
      </c>
      <c r="F17" s="129">
        <f>'[103]2. Distributional by deciles o'!E69</f>
        <v>210321868.78559977</v>
      </c>
      <c r="G17" s="129">
        <f>'[103]2. Distributional by deciles o'!F69</f>
        <v>229639050.56279996</v>
      </c>
      <c r="H17" s="129">
        <f>'[103]2. Distributional by deciles o'!H69</f>
        <v>302991011.61119974</v>
      </c>
      <c r="I17" s="129">
        <f>'[103]2. Distributional by deciles o'!I69</f>
        <v>236960862.34320003</v>
      </c>
      <c r="J17" s="129">
        <f>'[103]2. Distributional by deciles o'!J69</f>
        <v>268857178.30440003</v>
      </c>
      <c r="K17" s="129">
        <f>'[103]2. Distributional by deciles o'!K69</f>
        <v>253216400.87039971</v>
      </c>
      <c r="L17" s="139"/>
      <c r="M17" s="139"/>
      <c r="N17" s="139"/>
      <c r="O17" s="139"/>
      <c r="P17" s="129">
        <f>'[103]2. Distributional by deciles o'!B141</f>
        <v>2397674159.1071987</v>
      </c>
      <c r="Q17" s="129">
        <f>'[103]2. Distributional by deciles o'!C141</f>
        <v>2471772502.0631967</v>
      </c>
      <c r="R17" s="129">
        <f>'[103]2. Distributional by deciles o'!D141</f>
        <v>2664952079.9532003</v>
      </c>
      <c r="S17" s="129">
        <f>'[103]2. Distributional by deciles o'!E141</f>
        <v>2805017694.3227968</v>
      </c>
      <c r="T17" s="129">
        <f>'[103]2. Distributional by deciles o'!F141</f>
        <v>3030058078.4988031</v>
      </c>
      <c r="U17" s="209">
        <f t="shared" si="0"/>
        <v>0.26374889890254294</v>
      </c>
      <c r="V17" s="139"/>
      <c r="W17" s="209"/>
      <c r="X17" s="132"/>
      <c r="Y17" s="132"/>
      <c r="Z17" s="132"/>
      <c r="AA17" s="132"/>
      <c r="AB17" s="132"/>
      <c r="AC17" s="132"/>
      <c r="AD17" s="132"/>
      <c r="AE17" s="139"/>
      <c r="AF17" s="139"/>
      <c r="AG17" s="139"/>
      <c r="AH17" s="139"/>
      <c r="AI17" s="139"/>
      <c r="AJ17" s="139"/>
      <c r="AK17" s="408">
        <f>'[103]2. Distributional by deciles o'!L69</f>
        <v>233080604.50680012</v>
      </c>
      <c r="AL17" s="1"/>
      <c r="AM17" s="32" cm="1">
        <f t="array" aca="1" ref="AM17" ca="1">INDIRECT("'1"&amp;$C$8&amp;"'!W17")</f>
        <v>2.3674471059840765</v>
      </c>
      <c r="AN17" s="524">
        <f t="shared" ca="1" si="1"/>
        <v>299164369.48947906</v>
      </c>
      <c r="AO17" s="524">
        <f t="shared" ca="1" si="2"/>
        <v>296475913.14492208</v>
      </c>
      <c r="AP17" s="524">
        <f t="shared" ca="1" si="3"/>
        <v>299164369.48947906</v>
      </c>
      <c r="AQ17" s="525">
        <f t="shared" si="4"/>
        <v>0.26374889890254294</v>
      </c>
      <c r="AR17" s="344">
        <f t="shared" si="5"/>
        <v>0.26374889890254294</v>
      </c>
      <c r="AS17" s="41">
        <f t="shared" si="6"/>
        <v>9.3127096102912199E-2</v>
      </c>
      <c r="AT17" s="1"/>
      <c r="AU17" s="1"/>
      <c r="AV17" s="1"/>
      <c r="AW17" s="1"/>
      <c r="AX17" s="1"/>
      <c r="AY17" s="1"/>
      <c r="AZ17" s="1"/>
      <c r="BA17" s="1"/>
      <c r="BB17" s="1"/>
      <c r="BC17" s="1"/>
      <c r="BD17" s="1"/>
      <c r="BE17" s="1"/>
      <c r="BF17" s="1"/>
      <c r="BG17" s="1"/>
      <c r="BH17" s="1"/>
      <c r="BI17" s="1"/>
      <c r="BJ17" s="1"/>
      <c r="BK17" s="1"/>
      <c r="BL17" s="1"/>
      <c r="BM17" s="1"/>
      <c r="BN17" s="1"/>
    </row>
    <row r="18" spans="1:66" x14ac:dyDescent="0.3">
      <c r="A18" s="1"/>
      <c r="B18" s="28">
        <v>7</v>
      </c>
      <c r="C18" s="129">
        <f>'[103]2. Distributional by deciles o'!B70</f>
        <v>255157272.22679946</v>
      </c>
      <c r="D18" s="129">
        <f>'[103]2. Distributional by deciles o'!C70</f>
        <v>252891894.61199969</v>
      </c>
      <c r="E18" s="129">
        <f>'[103]2. Distributional by deciles o'!D70</f>
        <v>296467250.24040002</v>
      </c>
      <c r="F18" s="129">
        <f>'[103]2. Distributional by deciles o'!E70</f>
        <v>288111903.27959996</v>
      </c>
      <c r="G18" s="129">
        <f>'[103]2. Distributional by deciles o'!F70</f>
        <v>315875125.31520027</v>
      </c>
      <c r="H18" s="129">
        <f>'[103]2. Distributional by deciles o'!H70</f>
        <v>400793275.03799999</v>
      </c>
      <c r="I18" s="129">
        <f>'[103]2. Distributional by deciles o'!I70</f>
        <v>327282462.33599961</v>
      </c>
      <c r="J18" s="129">
        <f>'[103]2. Distributional by deciles o'!J70</f>
        <v>361789000.00200003</v>
      </c>
      <c r="K18" s="129">
        <f>'[103]2. Distributional by deciles o'!K70</f>
        <v>344873178.20040023</v>
      </c>
      <c r="L18" s="139"/>
      <c r="M18" s="139"/>
      <c r="N18" s="139"/>
      <c r="O18" s="139"/>
      <c r="P18" s="129">
        <f>'[103]2. Distributional by deciles o'!B142</f>
        <v>2736190970.2955999</v>
      </c>
      <c r="Q18" s="129">
        <f>'[103]2. Distributional by deciles o'!C142</f>
        <v>2818150770.2388029</v>
      </c>
      <c r="R18" s="129">
        <f>'[103]2. Distributional by deciles o'!D142</f>
        <v>3044045700.8087988</v>
      </c>
      <c r="S18" s="129">
        <f>'[103]2. Distributional by deciles o'!E142</f>
        <v>3200788536.7560015</v>
      </c>
      <c r="T18" s="129">
        <f>'[103]2. Distributional by deciles o'!F142</f>
        <v>3465025918.0175986</v>
      </c>
      <c r="U18" s="209">
        <f t="shared" si="0"/>
        <v>0.26636845002206111</v>
      </c>
      <c r="V18" s="139"/>
      <c r="W18" s="209"/>
      <c r="X18" s="132"/>
      <c r="Y18" s="132"/>
      <c r="Z18" s="132"/>
      <c r="AA18" s="132"/>
      <c r="AB18" s="132"/>
      <c r="AC18" s="132"/>
      <c r="AD18" s="132"/>
      <c r="AE18" s="139"/>
      <c r="AF18" s="139"/>
      <c r="AG18" s="139"/>
      <c r="AH18" s="139"/>
      <c r="AI18" s="139"/>
      <c r="AJ18" s="139"/>
      <c r="AK18" s="408">
        <f>'[103]2. Distributional by deciles o'!L70</f>
        <v>319804915.30080014</v>
      </c>
      <c r="AL18" s="1"/>
      <c r="AM18" s="32" cm="1">
        <f t="array" aca="1" ref="AM18" ca="1">INDIRECT("'1"&amp;$C$8&amp;"'!W18")</f>
        <v>2.0788686370892608</v>
      </c>
      <c r="AN18" s="524">
        <f t="shared" ca="1" si="1"/>
        <v>396449340.1871888</v>
      </c>
      <c r="AO18" s="524">
        <f t="shared" ca="1" si="2"/>
        <v>391789105.47462279</v>
      </c>
      <c r="AP18" s="524">
        <f t="shared" ca="1" si="3"/>
        <v>396449340.1871888</v>
      </c>
      <c r="AQ18" s="525">
        <f t="shared" si="4"/>
        <v>0.26636845002206111</v>
      </c>
      <c r="AR18" s="344">
        <f t="shared" si="5"/>
        <v>0.26636845002206111</v>
      </c>
      <c r="AS18" s="41">
        <f t="shared" si="6"/>
        <v>0.10627529119366312</v>
      </c>
      <c r="AT18" s="1"/>
      <c r="AU18" s="1"/>
      <c r="AV18" s="1"/>
      <c r="AW18" s="1"/>
      <c r="AX18" s="1"/>
      <c r="AY18" s="1"/>
      <c r="AZ18" s="1"/>
      <c r="BA18" s="1"/>
      <c r="BB18" s="1"/>
      <c r="BC18" s="1"/>
      <c r="BD18" s="1"/>
      <c r="BE18" s="1"/>
      <c r="BF18" s="1"/>
      <c r="BG18" s="1"/>
      <c r="BH18" s="1"/>
      <c r="BI18" s="1"/>
      <c r="BJ18" s="1"/>
      <c r="BK18" s="1"/>
      <c r="BL18" s="1"/>
      <c r="BM18" s="1"/>
      <c r="BN18" s="1"/>
    </row>
    <row r="19" spans="1:66" x14ac:dyDescent="0.3">
      <c r="A19" s="1"/>
      <c r="B19" s="28">
        <v>8</v>
      </c>
      <c r="C19" s="129">
        <f>'[103]2. Distributional by deciles o'!B71</f>
        <v>330810455.1408</v>
      </c>
      <c r="D19" s="129">
        <f>'[103]2. Distributional by deciles o'!C71</f>
        <v>327487513.58160007</v>
      </c>
      <c r="E19" s="129">
        <f>'[103]2. Distributional by deciles o'!D71</f>
        <v>377001602.10120016</v>
      </c>
      <c r="F19" s="129">
        <f>'[103]2. Distributional by deciles o'!E71</f>
        <v>371754377.68080026</v>
      </c>
      <c r="G19" s="129">
        <f>'[103]2. Distributional by deciles o'!F71</f>
        <v>409866307.61519998</v>
      </c>
      <c r="H19" s="129">
        <f>'[103]2. Distributional by deciles o'!H71</f>
        <v>509273035.43279946</v>
      </c>
      <c r="I19" s="129">
        <f>'[103]2. Distributional by deciles o'!I71</f>
        <v>425108362.01759988</v>
      </c>
      <c r="J19" s="129">
        <f>'[103]2. Distributional by deciles o'!J71</f>
        <v>464131529.80920017</v>
      </c>
      <c r="K19" s="129">
        <f>'[103]2. Distributional by deciles o'!K71</f>
        <v>444644402.86799979</v>
      </c>
      <c r="L19" s="139"/>
      <c r="M19" s="139"/>
      <c r="N19" s="139"/>
      <c r="O19" s="139"/>
      <c r="P19" s="129">
        <f>'[103]2. Distributional by deciles o'!B143</f>
        <v>3128656821.1968007</v>
      </c>
      <c r="Q19" s="129">
        <f>'[103]2. Distributional by deciles o'!C143</f>
        <v>3226823263.8647985</v>
      </c>
      <c r="R19" s="129">
        <f>'[103]2. Distributional by deciles o'!D143</f>
        <v>3480652822.8719974</v>
      </c>
      <c r="S19" s="129">
        <f>'[103]2. Distributional by deciles o'!E143</f>
        <v>3661330995.7043982</v>
      </c>
      <c r="T19" s="129">
        <f>'[103]2. Distributional by deciles o'!F143</f>
        <v>3969500748.1608024</v>
      </c>
      <c r="U19" s="209">
        <f t="shared" si="0"/>
        <v>0.26875556349524921</v>
      </c>
      <c r="V19" s="139"/>
      <c r="W19" s="209"/>
      <c r="X19" s="132"/>
      <c r="Y19" s="132"/>
      <c r="Z19" s="132"/>
      <c r="AA19" s="132"/>
      <c r="AB19" s="132"/>
      <c r="AC19" s="132"/>
      <c r="AD19" s="132"/>
      <c r="AE19" s="139"/>
      <c r="AF19" s="139"/>
      <c r="AG19" s="139"/>
      <c r="AH19" s="139"/>
      <c r="AI19" s="139"/>
      <c r="AJ19" s="139"/>
      <c r="AK19" s="408">
        <f>'[103]2. Distributional by deciles o'!L71</f>
        <v>414573708.56639993</v>
      </c>
      <c r="AL19" s="1"/>
      <c r="AM19" s="32" cm="1">
        <f t="array" aca="1" ref="AM19" ca="1">INDIRECT("'1"&amp;$C$8&amp;"'!W19")</f>
        <v>1.9140665897342004</v>
      </c>
      <c r="AN19" s="524">
        <f t="shared" ca="1" si="1"/>
        <v>500984661.08306909</v>
      </c>
      <c r="AO19" s="524">
        <f t="shared" ca="1" si="2"/>
        <v>493910156.94312227</v>
      </c>
      <c r="AP19" s="524">
        <f t="shared" ca="1" si="3"/>
        <v>473327209.1671977</v>
      </c>
      <c r="AQ19" s="525">
        <f t="shared" si="4"/>
        <v>0.26875556349524921</v>
      </c>
      <c r="AR19" s="526">
        <f>U19-AP31*AS21/SUM(AS19:AS20)</f>
        <v>0.22507624068992088</v>
      </c>
      <c r="AS19" s="41">
        <f t="shared" si="6"/>
        <v>0.12151889920234969</v>
      </c>
      <c r="AT19" s="1"/>
      <c r="AU19" s="1"/>
      <c r="AV19" s="1"/>
      <c r="AW19" s="1"/>
      <c r="AX19" s="1"/>
      <c r="AY19" s="1"/>
      <c r="AZ19" s="1"/>
      <c r="BA19" s="1"/>
      <c r="BB19" s="1"/>
      <c r="BC19" s="1"/>
      <c r="BD19" s="1"/>
      <c r="BE19" s="1"/>
      <c r="BF19" s="1"/>
      <c r="BG19" s="1"/>
      <c r="BH19" s="1"/>
      <c r="BI19" s="1"/>
      <c r="BJ19" s="1"/>
      <c r="BK19" s="1"/>
      <c r="BL19" s="1"/>
      <c r="BM19" s="1"/>
      <c r="BN19" s="1"/>
    </row>
    <row r="20" spans="1:66" x14ac:dyDescent="0.3">
      <c r="A20" s="1"/>
      <c r="B20" s="28">
        <v>9</v>
      </c>
      <c r="C20" s="129">
        <f>'[103]2. Distributional by deciles o'!B72</f>
        <v>467030223.78360003</v>
      </c>
      <c r="D20" s="129">
        <f>'[103]2. Distributional by deciles o'!C72</f>
        <v>458289376.47359973</v>
      </c>
      <c r="E20" s="129">
        <f>'[103]2. Distributional by deciles o'!D72</f>
        <v>522324331.07519978</v>
      </c>
      <c r="F20" s="129">
        <f>'[103]2. Distributional by deciles o'!E72</f>
        <v>521259237.5292002</v>
      </c>
      <c r="G20" s="129">
        <f>'[103]2. Distributional by deciles o'!F72</f>
        <v>576767616.06839895</v>
      </c>
      <c r="H20" s="129">
        <f>'[103]2. Distributional by deciles o'!H72</f>
        <v>699337149.45239973</v>
      </c>
      <c r="I20" s="129">
        <f>'[103]2. Distributional by deciles o'!I72</f>
        <v>599320391.74319983</v>
      </c>
      <c r="J20" s="129">
        <f>'[103]2. Distributional by deciles o'!J72</f>
        <v>645309395.57999992</v>
      </c>
      <c r="K20" s="129">
        <f>'[103]2. Distributional by deciles o'!K72</f>
        <v>622231972.30919981</v>
      </c>
      <c r="L20" s="139"/>
      <c r="M20" s="139"/>
      <c r="N20" s="139"/>
      <c r="O20" s="139"/>
      <c r="P20" s="129">
        <f>'[103]2. Distributional by deciles o'!B144</f>
        <v>3741548753.2608032</v>
      </c>
      <c r="Q20" s="129">
        <f>'[103]2. Distributional by deciles o'!C144</f>
        <v>3851803109.9712057</v>
      </c>
      <c r="R20" s="129">
        <f>'[103]2. Distributional by deciles o'!D144</f>
        <v>4164078316.8360028</v>
      </c>
      <c r="S20" s="129">
        <f>'[103]2. Distributional by deciles o'!E144</f>
        <v>4377149632.0979948</v>
      </c>
      <c r="T20" s="129">
        <f>'[103]2. Distributional by deciles o'!F144</f>
        <v>4755852695.2140017</v>
      </c>
      <c r="U20" s="209">
        <f t="shared" si="0"/>
        <v>0.27109200196020988</v>
      </c>
      <c r="V20" s="139"/>
      <c r="W20" s="209"/>
      <c r="X20" s="132"/>
      <c r="Y20" s="132"/>
      <c r="Z20" s="132"/>
      <c r="AA20" s="132"/>
      <c r="AB20" s="132"/>
      <c r="AC20" s="132"/>
      <c r="AD20" s="132"/>
      <c r="AE20" s="139"/>
      <c r="AF20" s="139"/>
      <c r="AG20" s="139"/>
      <c r="AH20" s="139"/>
      <c r="AI20" s="139"/>
      <c r="AJ20" s="139"/>
      <c r="AK20" s="408">
        <f>'[103]2. Distributional by deciles o'!L72</f>
        <v>582800508.64440012</v>
      </c>
      <c r="AL20" s="1"/>
      <c r="AM20" s="32" cm="1">
        <f t="array" aca="1" ref="AM20" ca="1">INDIRECT("'1"&amp;$C$8&amp;"'!W20")</f>
        <v>1.735330954165079</v>
      </c>
      <c r="AN20" s="524">
        <f t="shared" ca="1" si="1"/>
        <v>686737280.0033015</v>
      </c>
      <c r="AO20" s="524">
        <f t="shared" ca="1" si="2"/>
        <v>675788738.34629524</v>
      </c>
      <c r="AP20" s="524">
        <f t="shared" ca="1" si="3"/>
        <v>651337285.30837381</v>
      </c>
      <c r="AQ20" s="525">
        <f t="shared" si="4"/>
        <v>0.27109200196020988</v>
      </c>
      <c r="AR20" s="526">
        <f>U20-AP31*AS21/SUM(AS19:AS20)</f>
        <v>0.22741267915488156</v>
      </c>
      <c r="AS20" s="41">
        <f t="shared" si="6"/>
        <v>0.14532398783010431</v>
      </c>
      <c r="AT20" s="1"/>
      <c r="AU20" s="1"/>
      <c r="AV20" s="1"/>
      <c r="AW20" s="1"/>
      <c r="AX20" s="1"/>
      <c r="AY20" s="1"/>
      <c r="AZ20" s="1"/>
      <c r="BA20" s="1"/>
      <c r="BB20" s="1"/>
      <c r="BC20" s="1"/>
      <c r="BD20" s="1"/>
      <c r="BE20" s="1"/>
      <c r="BF20" s="1"/>
      <c r="BG20" s="1"/>
      <c r="BH20" s="1"/>
      <c r="BI20" s="1"/>
      <c r="BJ20" s="1"/>
      <c r="BK20" s="1"/>
      <c r="BL20" s="1"/>
      <c r="BM20" s="1"/>
      <c r="BN20" s="1"/>
    </row>
    <row r="21" spans="1:66" x14ac:dyDescent="0.3">
      <c r="A21" s="1"/>
      <c r="B21" s="33">
        <v>10</v>
      </c>
      <c r="C21" s="129">
        <f>'[103]2. Distributional by deciles o'!B73</f>
        <v>1073216514.954</v>
      </c>
      <c r="D21" s="129">
        <f>'[103]2. Distributional by deciles o'!C73</f>
        <v>1020964446.5087996</v>
      </c>
      <c r="E21" s="129">
        <f>'[103]2. Distributional by deciles o'!D73</f>
        <v>1171430451.9935992</v>
      </c>
      <c r="F21" s="129">
        <f>'[103]2. Distributional by deciles o'!E73</f>
        <v>1177817173.5708017</v>
      </c>
      <c r="G21" s="129">
        <f>'[103]2. Distributional by deciles o'!F73</f>
        <v>1307084911.7928004</v>
      </c>
      <c r="H21" s="129">
        <f>'[103]2. Distributional by deciles o'!H73</f>
        <v>1474831380.1955993</v>
      </c>
      <c r="I21" s="129">
        <f>'[103]2. Distributional by deciles o'!I73</f>
        <v>1333507228.4135997</v>
      </c>
      <c r="J21" s="129">
        <f>'[103]2. Distributional by deciles o'!J73</f>
        <v>1399509565.9163997</v>
      </c>
      <c r="K21" s="129">
        <f>'[103]2. Distributional by deciles o'!K73</f>
        <v>1366791487.1291986</v>
      </c>
      <c r="L21" s="139"/>
      <c r="M21" s="139"/>
      <c r="N21" s="139"/>
      <c r="O21" s="139"/>
      <c r="P21" s="129">
        <f>'[103]2. Distributional by deciles o'!B145</f>
        <v>6001718540.5139952</v>
      </c>
      <c r="Q21" s="129">
        <f>'[103]2. Distributional by deciles o'!C145</f>
        <v>6016952799.1896076</v>
      </c>
      <c r="R21" s="129">
        <f>'[103]2. Distributional by deciles o'!D145</f>
        <v>6588303207.2136021</v>
      </c>
      <c r="S21" s="129">
        <f>'[103]2. Distributional by deciles o'!E145</f>
        <v>6910012923.7631979</v>
      </c>
      <c r="T21" s="129">
        <f>'[103]2. Distributional by deciles o'!F145</f>
        <v>7481001496.9667959</v>
      </c>
      <c r="U21" s="209">
        <f t="shared" si="0"/>
        <v>0.24647656274899443</v>
      </c>
      <c r="V21" s="139"/>
      <c r="W21" s="209"/>
      <c r="X21" s="132"/>
      <c r="Y21" s="132"/>
      <c r="Z21" s="132"/>
      <c r="AA21" s="132"/>
      <c r="AB21" s="132"/>
      <c r="AC21" s="132"/>
      <c r="AD21" s="132"/>
      <c r="AE21" s="139"/>
      <c r="AF21" s="139"/>
      <c r="AG21" s="139"/>
      <c r="AH21" s="139"/>
      <c r="AI21" s="139"/>
      <c r="AJ21" s="139"/>
      <c r="AK21" s="408">
        <f>'[103]2. Distributional by deciles o'!L73</f>
        <v>1319283683.0855994</v>
      </c>
      <c r="AL21" s="1"/>
      <c r="AM21" s="32" cm="1">
        <f t="array" aca="1" ref="AM21" ca="1">INDIRECT("'1"&amp;$C$8&amp;"'!W21")</f>
        <v>1.4772305004703854</v>
      </c>
      <c r="AN21" s="524">
        <f t="shared" ca="1" si="1"/>
        <v>1463977541.5949302</v>
      </c>
      <c r="AO21" s="524">
        <f t="shared" ca="1" si="2"/>
        <v>1481585274.2297392</v>
      </c>
      <c r="AP21" s="524">
        <f t="shared" ca="1" si="3"/>
        <v>1543246950.0698593</v>
      </c>
      <c r="AQ21" s="525">
        <f t="shared" si="4"/>
        <v>0.24647656274899443</v>
      </c>
      <c r="AR21" s="527">
        <f>U21+AP31</f>
        <v>0.29647656274899442</v>
      </c>
      <c r="AS21" s="41">
        <f t="shared" si="6"/>
        <v>0.23311033201992631</v>
      </c>
      <c r="AT21" s="1"/>
      <c r="AU21" s="1"/>
      <c r="AV21" s="1"/>
      <c r="AW21" s="1"/>
      <c r="AX21" s="1"/>
      <c r="AY21" s="1"/>
      <c r="AZ21" s="1"/>
      <c r="BA21" s="1"/>
      <c r="BB21" s="1"/>
      <c r="BC21" s="1"/>
      <c r="BD21" s="1"/>
      <c r="BE21" s="1"/>
      <c r="BF21" s="1"/>
      <c r="BG21" s="1"/>
      <c r="BH21" s="1"/>
      <c r="BI21" s="1"/>
      <c r="BJ21" s="1"/>
      <c r="BK21" s="1"/>
      <c r="BL21" s="1"/>
      <c r="BM21" s="1"/>
      <c r="BN21" s="1"/>
    </row>
    <row r="22" spans="1:66" ht="13.2" customHeight="1" x14ac:dyDescent="0.3">
      <c r="A22" s="1"/>
      <c r="B22" s="34" t="s">
        <v>114</v>
      </c>
      <c r="C22" s="150">
        <f>'[103]2. Distributional by deciles o'!B74</f>
        <v>2578920756.2448044</v>
      </c>
      <c r="D22" s="150">
        <f>'[103]2. Distributional by deciles o'!C74</f>
        <v>2515024636.8275995</v>
      </c>
      <c r="E22" s="150">
        <f>'[103]2. Distributional by deciles o'!D74</f>
        <v>2928678180.4080019</v>
      </c>
      <c r="F22" s="150">
        <f>'[103]2. Distributional by deciles o'!E74</f>
        <v>2889279689.3795948</v>
      </c>
      <c r="G22" s="150">
        <f>'[103]2. Distributional by deciles o'!F74</f>
        <v>3178145830.1807995</v>
      </c>
      <c r="H22" s="150">
        <f>'[103]2. Distributional by deciles o'!H74</f>
        <v>3895963659.072011</v>
      </c>
      <c r="I22" s="150">
        <f>'[103]2. Distributional by deciles o'!I74</f>
        <v>3267495472.0643935</v>
      </c>
      <c r="J22" s="150">
        <f>'[103]2. Distributional by deciles o'!J74</f>
        <v>3560564061.484787</v>
      </c>
      <c r="K22" s="150">
        <f>'[103]2. Distributional by deciles o'!K74</f>
        <v>3415848334.9284139</v>
      </c>
      <c r="L22" s="139"/>
      <c r="M22" s="139"/>
      <c r="N22" s="139"/>
      <c r="O22" s="139"/>
      <c r="P22" s="150">
        <f>'[103]2. Distributional by deciles o'!B146</f>
        <v>25746257098.552658</v>
      </c>
      <c r="Q22" s="150">
        <f>'[103]2. Distributional by deciles o'!C146</f>
        <v>26387341707.259171</v>
      </c>
      <c r="R22" s="150">
        <f>'[103]2. Distributional by deciles o'!D146</f>
        <v>28518018251.58828</v>
      </c>
      <c r="S22" s="150">
        <f>'[103]2. Distributional by deciles o'!E146</f>
        <v>30000905713.101597</v>
      </c>
      <c r="T22" s="150">
        <f>'[103]2. Distributional by deciles o'!F146</f>
        <v>32378050667.855911</v>
      </c>
      <c r="U22" s="210">
        <f t="shared" si="0"/>
        <v>0.25758282238531915</v>
      </c>
      <c r="V22" s="139"/>
      <c r="W22" s="210"/>
      <c r="X22" s="154"/>
      <c r="Y22" s="154"/>
      <c r="Z22" s="154"/>
      <c r="AA22" s="154"/>
      <c r="AB22" s="154"/>
      <c r="AC22" s="154"/>
      <c r="AD22" s="154"/>
      <c r="AE22" s="161"/>
      <c r="AF22" s="161"/>
      <c r="AG22" s="161"/>
      <c r="AH22" s="161"/>
      <c r="AI22" s="162"/>
      <c r="AJ22" s="162"/>
      <c r="AK22" s="409">
        <f>'[103]2. Distributional by deciles o'!L74</f>
        <v>3214995603.136796</v>
      </c>
      <c r="AL22" s="1"/>
      <c r="AM22" s="534" cm="1">
        <f t="array" aca="1" ref="AM22" ca="1">INDIRECT("'1"&amp;$C$8&amp;"'!W22")</f>
        <v>1.8863476683839748</v>
      </c>
      <c r="AN22" s="528">
        <f ca="1">SUM(AN12:AN21)</f>
        <v>3836581295.4981937</v>
      </c>
      <c r="AO22" s="528">
        <f ca="1">SUM(AO12:AO21)</f>
        <v>3831987942.0004539</v>
      </c>
      <c r="AP22" s="528">
        <f ca="1">SUM(AP12:AP21)</f>
        <v>3852793257.3623238</v>
      </c>
      <c r="AQ22" s="529">
        <f>SUMPRODUCT(AQ12:AQ21,AS12:AS21)</f>
        <v>0.25758282238531721</v>
      </c>
      <c r="AR22" s="529">
        <f>SUMPRODUCT(AR12:AR21,AS12:AS21)</f>
        <v>0.25758282238531716</v>
      </c>
      <c r="AS22" s="530"/>
      <c r="AT22" s="1"/>
      <c r="AU22" s="1"/>
      <c r="AV22" s="1"/>
      <c r="AW22" s="1"/>
      <c r="AX22" s="1"/>
      <c r="AY22" s="1"/>
      <c r="AZ22" s="1"/>
      <c r="BA22" s="1"/>
      <c r="BB22" s="1"/>
      <c r="BC22" s="1"/>
      <c r="BD22" s="1"/>
      <c r="BE22" s="1"/>
      <c r="BF22" s="1"/>
      <c r="BG22" s="1"/>
      <c r="BH22" s="1"/>
      <c r="BI22" s="1"/>
      <c r="BJ22" s="1"/>
      <c r="BK22" s="1"/>
      <c r="BL22" s="1"/>
      <c r="BM22" s="1"/>
      <c r="BN22" s="1"/>
    </row>
    <row r="23" spans="1:66" ht="12.6" customHeight="1" x14ac:dyDescent="0.3">
      <c r="A23" s="1"/>
      <c r="B23" s="1"/>
      <c r="C23" s="1"/>
      <c r="D23" s="1"/>
      <c r="E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531"/>
      <c r="AO23" s="531"/>
      <c r="AP23" s="1"/>
      <c r="AQ23" s="1"/>
      <c r="AR23" s="525">
        <f>U22</f>
        <v>0.25758282238531915</v>
      </c>
      <c r="AS23" s="1"/>
      <c r="AT23" s="1"/>
      <c r="AU23" s="1"/>
      <c r="AV23" s="1"/>
      <c r="AW23" s="1"/>
      <c r="AX23" s="1"/>
      <c r="AY23" s="1"/>
      <c r="AZ23" s="1"/>
      <c r="BA23" s="1"/>
      <c r="BB23" s="1"/>
      <c r="BC23" s="1"/>
      <c r="BD23" s="1"/>
      <c r="BE23" s="1"/>
      <c r="BF23" s="1"/>
      <c r="BG23" s="1"/>
      <c r="BH23" s="1"/>
      <c r="BI23" s="1"/>
      <c r="BJ23" s="1"/>
      <c r="BK23" s="1"/>
      <c r="BL23" s="1"/>
      <c r="BM23" s="1"/>
      <c r="BN23" s="1"/>
    </row>
    <row r="24" spans="1:66" ht="13.95" customHeight="1" x14ac:dyDescent="0.3">
      <c r="A24" s="1"/>
      <c r="B24" s="1"/>
      <c r="C24" s="1"/>
      <c r="D24" s="1"/>
      <c r="E24" s="1"/>
      <c r="F24" s="1"/>
      <c r="G24" s="11" t="s">
        <v>151</v>
      </c>
      <c r="H24" s="212">
        <f>U22</f>
        <v>0.25758282238531915</v>
      </c>
      <c r="I24" s="1"/>
      <c r="J24" s="1"/>
      <c r="K24" s="11" t="s">
        <v>151</v>
      </c>
      <c r="L24" s="212"/>
      <c r="M24" s="1"/>
      <c r="O24" s="1"/>
      <c r="P24" s="1"/>
      <c r="Q24" s="1"/>
      <c r="R24" s="1"/>
      <c r="S24" s="1"/>
      <c r="T24" s="1"/>
      <c r="U24" s="1"/>
      <c r="V24" s="1"/>
      <c r="W24" s="1"/>
      <c r="X24" s="1"/>
      <c r="Y24" s="55"/>
      <c r="Z24" s="55"/>
      <c r="AA24" s="55"/>
      <c r="AB24" s="55"/>
      <c r="AC24" s="55"/>
      <c r="AD24" s="55"/>
      <c r="AE24" s="55"/>
      <c r="AF24" s="55"/>
      <c r="AG24" s="55"/>
      <c r="AH24" s="1"/>
      <c r="AI24" s="1"/>
      <c r="AJ24" s="1"/>
      <c r="AK24" s="1"/>
      <c r="AL24" s="1"/>
      <c r="AM24" s="1"/>
      <c r="AN24" s="531">
        <f ca="1">AN22/G22-1</f>
        <v>0.20717597633961837</v>
      </c>
      <c r="AO24" s="531"/>
      <c r="AP24" s="1"/>
      <c r="AQ24" s="1"/>
      <c r="AR24" s="532" t="str">
        <f>IF(AR23-AR22&lt;0.0000000001,"ok","wrong")</f>
        <v>ok</v>
      </c>
      <c r="AS24" s="1"/>
      <c r="AT24" s="1"/>
      <c r="AU24" s="1"/>
      <c r="AV24" s="1"/>
      <c r="AW24" s="1"/>
      <c r="AX24" s="1"/>
      <c r="AY24" s="1"/>
      <c r="AZ24" s="1"/>
      <c r="BA24" s="1"/>
      <c r="BB24" s="1"/>
      <c r="BC24" s="1"/>
      <c r="BD24" s="1"/>
      <c r="BE24" s="1"/>
      <c r="BF24" s="1"/>
      <c r="BG24" s="1"/>
      <c r="BH24" s="1"/>
      <c r="BI24" s="1"/>
      <c r="BJ24" s="1"/>
      <c r="BK24" s="1"/>
      <c r="BL24" s="1"/>
      <c r="BM24" s="1"/>
      <c r="BN24" s="1"/>
    </row>
    <row r="25" spans="1:66" ht="13.95" customHeight="1" x14ac:dyDescent="0.3">
      <c r="A25" s="1"/>
      <c r="B25" s="1"/>
      <c r="C25" s="1"/>
      <c r="D25" s="1"/>
      <c r="E25" s="1"/>
      <c r="F25" s="1"/>
      <c r="G25" s="11" t="s">
        <v>152</v>
      </c>
      <c r="H25" s="213">
        <v>0.13138544891640858</v>
      </c>
      <c r="I25" s="1"/>
      <c r="J25" s="1"/>
      <c r="K25" s="11" t="s">
        <v>152</v>
      </c>
      <c r="L25" s="139"/>
      <c r="M25" s="1"/>
      <c r="N25" s="1"/>
      <c r="O25" s="1"/>
      <c r="P25" s="1"/>
      <c r="Q25" s="1"/>
      <c r="R25" s="1"/>
      <c r="S25" s="1"/>
      <c r="T25" s="1"/>
      <c r="U25" s="1"/>
      <c r="V25" s="1"/>
      <c r="W25" s="1"/>
      <c r="X25" s="1"/>
      <c r="Y25" s="55"/>
      <c r="Z25" s="55"/>
      <c r="AA25" s="55"/>
      <c r="AB25" s="55"/>
      <c r="AC25" s="55"/>
      <c r="AD25" s="55"/>
      <c r="AE25" s="55"/>
      <c r="AF25" s="55"/>
      <c r="AG25" s="55"/>
      <c r="AH25" s="1"/>
      <c r="AI25" s="1"/>
      <c r="AJ25" s="1"/>
      <c r="AK25" s="1"/>
      <c r="AL25" s="1"/>
      <c r="AM25" s="1"/>
      <c r="AN25" s="1"/>
      <c r="AO25" s="531"/>
      <c r="AP25" s="1"/>
      <c r="AQ25" s="1"/>
      <c r="AR25" s="532" t="str">
        <f>IF(AQ22-AR22&lt;0.0000000001,"ok","wrong")</f>
        <v>ok</v>
      </c>
      <c r="AS25" s="1"/>
      <c r="AT25" s="1"/>
      <c r="AU25" s="1"/>
      <c r="AV25" s="1"/>
      <c r="AW25" s="1"/>
      <c r="AX25" s="1"/>
      <c r="AY25" s="1"/>
      <c r="AZ25" s="1"/>
      <c r="BA25" s="1"/>
      <c r="BB25" s="1"/>
      <c r="BC25" s="1"/>
      <c r="BD25" s="1"/>
      <c r="BE25" s="1"/>
      <c r="BF25" s="1"/>
      <c r="BG25" s="1"/>
      <c r="BH25" s="1"/>
      <c r="BI25" s="1"/>
      <c r="BJ25" s="1"/>
      <c r="BK25" s="1"/>
      <c r="BL25" s="1"/>
      <c r="BM25" s="1"/>
      <c r="BN25" s="1"/>
    </row>
    <row r="26" spans="1:66" ht="13.95" customHeight="1" x14ac:dyDescent="0.3">
      <c r="A26" s="1"/>
      <c r="B26" s="1"/>
      <c r="C26" s="1"/>
      <c r="D26" s="1"/>
      <c r="E26" s="1"/>
      <c r="F26" s="1"/>
      <c r="G26" s="11" t="s">
        <v>153</v>
      </c>
      <c r="H26" s="213">
        <v>0.19284559033393589</v>
      </c>
      <c r="I26" s="1"/>
      <c r="J26" s="1"/>
      <c r="K26" s="11" t="s">
        <v>153</v>
      </c>
      <c r="L26" s="139"/>
      <c r="M26" s="1"/>
      <c r="N26" s="1"/>
      <c r="O26" s="1"/>
      <c r="P26" s="1"/>
      <c r="Q26" s="1"/>
      <c r="R26" s="1"/>
      <c r="S26" s="1"/>
      <c r="T26" s="1"/>
      <c r="U26" s="1"/>
      <c r="V26" s="1"/>
      <c r="W26" s="1"/>
      <c r="X26" s="1"/>
      <c r="Y26" s="55"/>
      <c r="Z26" s="55"/>
      <c r="AA26" s="55"/>
      <c r="AB26" s="55"/>
      <c r="AC26" s="55"/>
      <c r="AD26" s="55"/>
      <c r="AE26" s="55"/>
      <c r="AF26" s="55"/>
      <c r="AG26" s="55"/>
      <c r="AH26" s="1"/>
      <c r="AI26" s="1"/>
      <c r="AJ26" s="1"/>
      <c r="AK26" s="1"/>
      <c r="AL26" s="1"/>
      <c r="AM26" s="8" t="s">
        <v>571</v>
      </c>
      <c r="AN26" s="533"/>
      <c r="AO26" s="535">
        <f ca="1">AO22/$AN22-1</f>
        <v>-1.1972517050868881E-3</v>
      </c>
      <c r="AP26" s="536">
        <f ca="1">AP22/$AN22-1</f>
        <v>4.2256270923159978E-3</v>
      </c>
      <c r="AQ26" s="1"/>
      <c r="AR26" s="1"/>
      <c r="AS26" s="1"/>
      <c r="AT26" s="1"/>
      <c r="AU26" s="1"/>
      <c r="AV26" s="1"/>
      <c r="AW26" s="1"/>
      <c r="AX26" s="1"/>
      <c r="AY26" s="1"/>
      <c r="AZ26" s="1"/>
      <c r="BA26" s="1"/>
      <c r="BB26" s="1"/>
      <c r="BC26" s="1"/>
      <c r="BD26" s="1"/>
      <c r="BE26" s="1"/>
      <c r="BF26" s="1"/>
      <c r="BG26" s="1"/>
      <c r="BH26" s="1"/>
      <c r="BI26" s="1"/>
      <c r="BJ26" s="1"/>
      <c r="BK26" s="1"/>
      <c r="BL26" s="1"/>
      <c r="BM26" s="1"/>
      <c r="BN26" s="1"/>
    </row>
    <row r="27" spans="1:66" ht="9" customHeight="1" x14ac:dyDescent="0.3">
      <c r="A27" s="1"/>
      <c r="B27" s="1"/>
      <c r="C27" s="1"/>
      <c r="D27" s="1"/>
      <c r="E27" s="1"/>
      <c r="F27" s="1"/>
      <c r="G27" s="1"/>
      <c r="H27" s="1"/>
      <c r="I27" s="1"/>
      <c r="J27" s="1"/>
      <c r="K27" s="1"/>
      <c r="L27" s="1"/>
      <c r="M27" s="1"/>
      <c r="N27" s="1"/>
      <c r="O27" s="1"/>
      <c r="P27" s="1"/>
      <c r="Q27" s="1"/>
      <c r="R27" s="1"/>
      <c r="S27" s="1"/>
      <c r="T27" s="55"/>
      <c r="U27" s="55"/>
      <c r="V27" s="55"/>
      <c r="W27" s="55"/>
      <c r="X27" s="55"/>
      <c r="Y27" s="55"/>
      <c r="Z27" s="55"/>
      <c r="AA27" s="55"/>
      <c r="AB27" s="55"/>
      <c r="AC27" s="55"/>
      <c r="AD27" s="55"/>
      <c r="AE27" s="55"/>
      <c r="AF27" s="55"/>
      <c r="AG27" s="55"/>
      <c r="AH27" s="1"/>
      <c r="AI27" s="1"/>
      <c r="AJ27" s="1"/>
      <c r="AK27" s="1"/>
      <c r="AL27" s="1"/>
      <c r="AM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row>
    <row r="28" spans="1:66" ht="12" customHeight="1" thickBot="1" x14ac:dyDescent="0.35">
      <c r="A28" s="214"/>
      <c r="B28" s="214"/>
      <c r="C28" s="214"/>
      <c r="D28" s="214"/>
      <c r="E28" s="214"/>
      <c r="F28" s="214"/>
      <c r="G28" s="214"/>
      <c r="H28" s="214"/>
      <c r="I28" s="214"/>
      <c r="J28" s="214"/>
      <c r="K28" s="214"/>
      <c r="L28" s="214"/>
      <c r="M28" s="214"/>
      <c r="N28" s="214"/>
      <c r="O28" s="214"/>
      <c r="P28" s="214"/>
      <c r="Q28" s="214"/>
      <c r="R28" s="214"/>
      <c r="S28" s="214"/>
      <c r="T28" s="215"/>
      <c r="U28" s="215"/>
      <c r="V28" s="215"/>
      <c r="W28" s="215"/>
      <c r="X28" s="215"/>
      <c r="Y28" s="215"/>
      <c r="Z28" s="215"/>
      <c r="AA28" s="214"/>
      <c r="AB28" s="214"/>
      <c r="AC28" s="214"/>
      <c r="AD28" s="214"/>
      <c r="AE28" s="214"/>
      <c r="AF28" s="214"/>
      <c r="AG28" s="214"/>
      <c r="AH28" s="214"/>
      <c r="AI28" s="214"/>
      <c r="AJ28" s="1"/>
      <c r="AK28" s="1"/>
      <c r="AL28" s="1"/>
      <c r="AM28" s="8" t="s">
        <v>572</v>
      </c>
      <c r="AN28" s="8"/>
      <c r="AO28" s="535">
        <f ca="1">(AO22-$AN22)/($W$37*1000000)</f>
        <v>-9.3551298864857201E-3</v>
      </c>
      <c r="AP28" s="536">
        <f ca="1">(AP22-$AN22)/($W$37*1000000)</f>
        <v>3.3018362080845264E-2</v>
      </c>
      <c r="AQ28" s="1"/>
      <c r="AR28" s="1"/>
      <c r="AS28" s="1"/>
      <c r="AT28" s="1"/>
      <c r="AU28" s="1"/>
      <c r="AV28" s="1"/>
      <c r="AW28" s="1"/>
      <c r="AX28" s="1"/>
      <c r="AY28" s="1"/>
      <c r="AZ28" s="1"/>
      <c r="BA28" s="1"/>
      <c r="BB28" s="1"/>
      <c r="BC28" s="1"/>
      <c r="BD28" s="1"/>
      <c r="BE28" s="1"/>
      <c r="BF28" s="1"/>
      <c r="BG28" s="1"/>
      <c r="BH28" s="1"/>
      <c r="BI28" s="1"/>
      <c r="BJ28" s="1"/>
      <c r="BK28" s="1"/>
      <c r="BL28" s="1"/>
      <c r="BM28" s="1"/>
      <c r="BN28" s="1"/>
    </row>
    <row r="29" spans="1:66" ht="12" customHeight="1" thickBot="1" x14ac:dyDescent="0.35">
      <c r="A29" s="214"/>
      <c r="B29" s="216" t="s">
        <v>154</v>
      </c>
      <c r="C29" s="217"/>
      <c r="D29" s="217"/>
      <c r="E29" s="217"/>
      <c r="F29" s="217"/>
      <c r="G29" s="217"/>
      <c r="H29" s="217"/>
      <c r="I29" s="217"/>
      <c r="J29" s="217"/>
      <c r="K29" s="217"/>
      <c r="L29" s="217"/>
      <c r="M29" s="217"/>
      <c r="N29" s="217"/>
      <c r="O29" s="217"/>
      <c r="P29" s="217"/>
      <c r="Q29" s="217"/>
      <c r="R29" s="217"/>
      <c r="S29" s="217"/>
      <c r="T29" s="218"/>
      <c r="U29" s="218"/>
      <c r="V29" s="219"/>
      <c r="W29" s="215"/>
      <c r="X29" s="215"/>
      <c r="Y29" s="215"/>
      <c r="Z29" s="215"/>
      <c r="AA29" s="214"/>
      <c r="AB29" s="214"/>
      <c r="AC29" s="214"/>
      <c r="AD29" s="214"/>
      <c r="AE29" s="214"/>
      <c r="AF29" s="214"/>
      <c r="AG29" s="214"/>
      <c r="AH29" s="214"/>
      <c r="AI29" s="214"/>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row>
    <row r="30" spans="1:66" ht="21.6" customHeight="1" thickBot="1" x14ac:dyDescent="0.35">
      <c r="A30" s="214"/>
      <c r="B30" s="220"/>
      <c r="C30" s="214"/>
      <c r="D30" s="214"/>
      <c r="E30" s="214"/>
      <c r="F30" s="214"/>
      <c r="G30" s="214"/>
      <c r="H30" s="214"/>
      <c r="I30" s="214"/>
      <c r="J30" s="214"/>
      <c r="K30" s="214"/>
      <c r="L30" s="214"/>
      <c r="M30" s="214"/>
      <c r="N30" s="214"/>
      <c r="O30" s="214"/>
      <c r="P30" s="214"/>
      <c r="Q30" s="214"/>
      <c r="R30" s="214"/>
      <c r="S30" s="214"/>
      <c r="T30" s="214"/>
      <c r="U30" s="214"/>
      <c r="V30" s="214"/>
      <c r="W30" s="214"/>
      <c r="X30" s="214"/>
      <c r="Y30" s="214"/>
      <c r="Z30" s="214"/>
      <c r="AA30" s="214"/>
      <c r="AB30" s="214"/>
      <c r="AC30" s="216" t="s">
        <v>158</v>
      </c>
      <c r="AD30" s="221"/>
      <c r="AE30" s="214"/>
      <c r="AF30" s="214"/>
      <c r="AG30" s="214"/>
      <c r="AH30" s="214"/>
      <c r="AI30" s="214"/>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row>
    <row r="31" spans="1:66" ht="21" customHeight="1" thickBot="1" x14ac:dyDescent="0.35">
      <c r="A31" s="214"/>
      <c r="B31" s="216" t="s">
        <v>159</v>
      </c>
      <c r="C31" s="221"/>
      <c r="D31" s="223"/>
      <c r="E31" s="222" t="s">
        <v>160</v>
      </c>
      <c r="F31" s="222" t="s">
        <v>160</v>
      </c>
      <c r="G31" s="223"/>
      <c r="H31" s="224" t="s">
        <v>161</v>
      </c>
      <c r="I31" s="222"/>
      <c r="J31" s="222"/>
      <c r="K31" s="222"/>
      <c r="L31" s="222"/>
      <c r="M31" s="223"/>
      <c r="N31" s="216" t="s">
        <v>162</v>
      </c>
      <c r="O31" s="221"/>
      <c r="P31" s="222" t="s">
        <v>163</v>
      </c>
      <c r="Q31" s="222"/>
      <c r="R31" s="222"/>
      <c r="S31" s="223"/>
      <c r="T31" s="224" t="s">
        <v>164</v>
      </c>
      <c r="U31" s="222"/>
      <c r="V31" s="222"/>
      <c r="W31" s="223"/>
      <c r="X31" s="225" t="s">
        <v>165</v>
      </c>
      <c r="Y31" s="222"/>
      <c r="Z31" s="222"/>
      <c r="AA31" s="223"/>
      <c r="AB31" s="214"/>
      <c r="AC31" s="347" t="s">
        <v>163</v>
      </c>
      <c r="AD31" s="348"/>
      <c r="AE31" s="223"/>
      <c r="AF31" s="224" t="s">
        <v>164</v>
      </c>
      <c r="AG31" s="222"/>
      <c r="AH31" s="223"/>
      <c r="AI31" s="214"/>
      <c r="AJ31" s="1"/>
      <c r="AK31" s="1"/>
      <c r="AL31" s="1"/>
      <c r="AM31" s="1"/>
      <c r="AN31" s="1"/>
      <c r="AO31" s="8" t="s">
        <v>567</v>
      </c>
      <c r="AP31" s="10">
        <v>0.05</v>
      </c>
      <c r="AQ31" s="1"/>
      <c r="AR31" s="1"/>
      <c r="AS31" s="1"/>
      <c r="AT31" s="1"/>
      <c r="AU31" s="1"/>
      <c r="AV31" s="1"/>
      <c r="AW31" s="1"/>
      <c r="AX31" s="1"/>
      <c r="AY31" s="1"/>
      <c r="AZ31" s="1"/>
      <c r="BA31" s="1"/>
      <c r="BB31" s="1"/>
      <c r="BC31" s="1"/>
      <c r="BD31" s="1"/>
      <c r="BE31" s="1"/>
      <c r="BF31" s="1"/>
      <c r="BG31" s="1"/>
      <c r="BH31" s="1"/>
      <c r="BI31" s="1"/>
      <c r="BJ31" s="1"/>
      <c r="BK31" s="1"/>
      <c r="BL31" s="1"/>
      <c r="BM31" s="1"/>
      <c r="BN31" s="1"/>
    </row>
    <row r="32" spans="1:66" ht="51" customHeight="1" x14ac:dyDescent="0.3">
      <c r="A32" s="214"/>
      <c r="B32" s="226"/>
      <c r="C32" s="227" t="s">
        <v>166</v>
      </c>
      <c r="D32" s="228" t="s">
        <v>167</v>
      </c>
      <c r="E32" s="228" t="s">
        <v>168</v>
      </c>
      <c r="F32" s="410" t="s">
        <v>169</v>
      </c>
      <c r="G32" s="228" t="s">
        <v>170</v>
      </c>
      <c r="H32" s="228" t="s">
        <v>171</v>
      </c>
      <c r="I32" s="229" t="s">
        <v>172</v>
      </c>
      <c r="J32" s="229" t="s">
        <v>173</v>
      </c>
      <c r="K32" s="230" t="s">
        <v>174</v>
      </c>
      <c r="L32" s="229" t="s">
        <v>175</v>
      </c>
      <c r="M32" s="411" t="s">
        <v>176</v>
      </c>
      <c r="N32" s="227"/>
      <c r="O32" s="227" t="s">
        <v>177</v>
      </c>
      <c r="P32" s="231" t="s">
        <v>178</v>
      </c>
      <c r="Q32" s="231" t="s">
        <v>179</v>
      </c>
      <c r="R32" s="231" t="s">
        <v>180</v>
      </c>
      <c r="S32" s="231" t="s">
        <v>181</v>
      </c>
      <c r="T32" s="231" t="s">
        <v>182</v>
      </c>
      <c r="U32" s="231" t="s">
        <v>183</v>
      </c>
      <c r="V32" s="231" t="s">
        <v>184</v>
      </c>
      <c r="W32" s="231" t="s">
        <v>185</v>
      </c>
      <c r="X32" s="231" t="s">
        <v>186</v>
      </c>
      <c r="Y32" s="231" t="s">
        <v>187</v>
      </c>
      <c r="Z32" s="231" t="s">
        <v>188</v>
      </c>
      <c r="AA32" s="231" t="s">
        <v>189</v>
      </c>
      <c r="AB32" s="214"/>
      <c r="AC32" s="231" t="s">
        <v>178</v>
      </c>
      <c r="AD32" s="231" t="s">
        <v>179</v>
      </c>
      <c r="AE32" s="231" t="s">
        <v>180</v>
      </c>
      <c r="AF32" s="231" t="s">
        <v>182</v>
      </c>
      <c r="AG32" s="231" t="s">
        <v>183</v>
      </c>
      <c r="AH32" s="231" t="s">
        <v>184</v>
      </c>
      <c r="AI32" s="214"/>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row>
    <row r="33" spans="1:66" ht="15.6" customHeight="1" x14ac:dyDescent="0.3">
      <c r="A33" s="214"/>
      <c r="B33" s="232">
        <v>2019</v>
      </c>
      <c r="C33" s="233">
        <f>C22</f>
        <v>2578920756.2448044</v>
      </c>
      <c r="D33" s="146">
        <v>48156.5</v>
      </c>
      <c r="E33" s="259">
        <f>(F33/1000000/D33)*100</f>
        <v>5.2819453240995502</v>
      </c>
      <c r="F33" s="146">
        <v>2543600000</v>
      </c>
      <c r="G33" s="234">
        <f>F33/C33</f>
        <v>0.98630405522958553</v>
      </c>
      <c r="H33" s="235">
        <f>C33*G33</f>
        <v>2543600000</v>
      </c>
      <c r="I33" s="235" t="s">
        <v>113</v>
      </c>
      <c r="J33" s="235" t="s">
        <v>113</v>
      </c>
      <c r="K33" s="235" t="s">
        <v>113</v>
      </c>
      <c r="L33" s="235" t="s">
        <v>113</v>
      </c>
      <c r="M33" s="214"/>
      <c r="N33" s="232">
        <v>2019</v>
      </c>
      <c r="O33" s="236">
        <f>G33</f>
        <v>0.98630405522958553</v>
      </c>
      <c r="P33" s="237"/>
      <c r="Q33" s="237"/>
      <c r="R33" s="237"/>
      <c r="S33" s="237"/>
      <c r="T33" s="237"/>
      <c r="U33" s="237"/>
      <c r="V33" s="238"/>
      <c r="W33" s="238"/>
      <c r="X33" s="238"/>
      <c r="Y33" s="238"/>
      <c r="Z33" s="238"/>
      <c r="AA33" s="238"/>
      <c r="AB33" s="214"/>
      <c r="AC33" s="237"/>
      <c r="AD33" s="237"/>
      <c r="AE33" s="237"/>
      <c r="AF33" s="237"/>
      <c r="AG33" s="237"/>
      <c r="AH33" s="238"/>
      <c r="AI33" s="214"/>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row>
    <row r="34" spans="1:66" s="51" customFormat="1" ht="15.6" customHeight="1" x14ac:dyDescent="0.3">
      <c r="A34" s="239"/>
      <c r="B34" s="240">
        <v>2020</v>
      </c>
      <c r="C34" s="241">
        <f>D22</f>
        <v>2515024636.8275995</v>
      </c>
      <c r="D34" s="146">
        <v>46738.7</v>
      </c>
      <c r="E34" s="259">
        <f t="shared" ref="E34:E36" si="7">(F34/1000000/D34)*100</f>
        <v>5.2650159289839049</v>
      </c>
      <c r="F34" s="146">
        <v>2460800000</v>
      </c>
      <c r="G34" s="234">
        <f>F34/C34</f>
        <v>0.9784397194231873</v>
      </c>
      <c r="H34" s="242">
        <f>C34*G34</f>
        <v>2460800000</v>
      </c>
      <c r="I34" s="243"/>
      <c r="J34" s="243"/>
      <c r="K34" s="243"/>
      <c r="L34" s="243"/>
      <c r="M34" s="214"/>
      <c r="N34" s="240">
        <v>2020</v>
      </c>
      <c r="O34" s="244"/>
      <c r="P34" s="245"/>
      <c r="Q34" s="245"/>
      <c r="R34" s="245"/>
      <c r="S34" s="245"/>
      <c r="T34" s="245"/>
      <c r="U34" s="245"/>
      <c r="V34" s="245"/>
      <c r="W34" s="245"/>
      <c r="X34" s="245"/>
      <c r="Y34" s="245"/>
      <c r="Z34" s="245"/>
      <c r="AA34" s="245"/>
      <c r="AB34" s="239"/>
      <c r="AC34" s="245"/>
      <c r="AD34" s="245"/>
      <c r="AE34" s="245"/>
      <c r="AF34" s="245"/>
      <c r="AG34" s="245"/>
      <c r="AH34" s="245"/>
      <c r="AI34" s="239"/>
      <c r="AJ34" s="47"/>
      <c r="AK34" s="47"/>
      <c r="AL34" s="47"/>
      <c r="AM34" s="47"/>
      <c r="AN34" s="47"/>
      <c r="AO34" s="47"/>
      <c r="AP34" s="47"/>
      <c r="AQ34" s="47"/>
      <c r="AR34" s="47"/>
      <c r="AS34" s="47"/>
      <c r="AT34" s="47"/>
      <c r="AU34" s="47"/>
      <c r="AV34" s="47"/>
      <c r="AW34" s="47"/>
      <c r="AX34" s="47"/>
      <c r="AY34" s="47"/>
      <c r="AZ34" s="47"/>
      <c r="BA34" s="47"/>
      <c r="BB34" s="47"/>
      <c r="BC34" s="47"/>
      <c r="BD34" s="47"/>
      <c r="BE34" s="47"/>
      <c r="BF34" s="47"/>
      <c r="BG34" s="47"/>
      <c r="BH34" s="47"/>
      <c r="BI34" s="47"/>
      <c r="BJ34" s="47"/>
      <c r="BK34" s="47"/>
      <c r="BL34" s="47"/>
      <c r="BM34" s="47"/>
      <c r="BN34" s="47"/>
    </row>
    <row r="35" spans="1:66" ht="15.6" customHeight="1" x14ac:dyDescent="0.3">
      <c r="A35" s="214"/>
      <c r="B35" s="232">
        <v>2021</v>
      </c>
      <c r="C35" s="241">
        <f>E22</f>
        <v>2928678180.4080019</v>
      </c>
      <c r="D35" s="146">
        <v>52022.6</v>
      </c>
      <c r="E35" s="259">
        <f t="shared" si="7"/>
        <v>5.4289866327326974</v>
      </c>
      <c r="F35" s="146">
        <v>2824300000</v>
      </c>
      <c r="G35" s="234">
        <f>F35/C35</f>
        <v>0.96435996924951972</v>
      </c>
      <c r="H35" s="242">
        <f>C35*G35</f>
        <v>2824300000</v>
      </c>
      <c r="I35" s="243"/>
      <c r="J35" s="243"/>
      <c r="K35" s="243"/>
      <c r="L35" s="243"/>
      <c r="M35" s="214"/>
      <c r="N35" s="232">
        <v>2021</v>
      </c>
      <c r="O35" s="244"/>
      <c r="P35" s="246"/>
      <c r="Q35" s="246"/>
      <c r="R35" s="246"/>
      <c r="S35" s="246"/>
      <c r="T35" s="246"/>
      <c r="U35" s="246"/>
      <c r="V35" s="247"/>
      <c r="W35" s="247"/>
      <c r="X35" s="247"/>
      <c r="Y35" s="247"/>
      <c r="Z35" s="247"/>
      <c r="AA35" s="247"/>
      <c r="AB35" s="214"/>
      <c r="AC35" s="246"/>
      <c r="AD35" s="246"/>
      <c r="AE35" s="246"/>
      <c r="AF35" s="246"/>
      <c r="AG35" s="246"/>
      <c r="AH35" s="247"/>
      <c r="AI35" s="214"/>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row>
    <row r="36" spans="1:66" ht="15.6" customHeight="1" x14ac:dyDescent="0.3">
      <c r="A36" s="214"/>
      <c r="B36" s="240">
        <v>2022</v>
      </c>
      <c r="C36" s="248">
        <f>F22</f>
        <v>2889279689.3795948</v>
      </c>
      <c r="D36" s="146">
        <v>56908.800000000003</v>
      </c>
      <c r="E36" s="259">
        <f t="shared" si="7"/>
        <v>5.1781095366621681</v>
      </c>
      <c r="F36" s="146">
        <v>2946800000</v>
      </c>
      <c r="G36" s="234">
        <f>F36/C36</f>
        <v>1.0199081836320099</v>
      </c>
      <c r="H36" s="242">
        <f>C36*G36</f>
        <v>2946800000</v>
      </c>
      <c r="I36" s="249"/>
      <c r="J36" s="249"/>
      <c r="K36" s="249"/>
      <c r="L36" s="249"/>
      <c r="M36" s="214"/>
      <c r="N36" s="240">
        <v>2022</v>
      </c>
      <c r="O36" s="250"/>
      <c r="P36" s="225"/>
      <c r="Q36" s="225"/>
      <c r="R36" s="225"/>
      <c r="S36" s="225"/>
      <c r="T36" s="225"/>
      <c r="U36" s="225"/>
      <c r="V36" s="225"/>
      <c r="W36" s="225"/>
      <c r="X36" s="225"/>
      <c r="Y36" s="225"/>
      <c r="Z36" s="225"/>
      <c r="AA36" s="225"/>
      <c r="AB36" s="214"/>
      <c r="AC36" s="225"/>
      <c r="AD36" s="225"/>
      <c r="AE36" s="225"/>
      <c r="AF36" s="225"/>
      <c r="AG36" s="225"/>
      <c r="AH36" s="225"/>
      <c r="AI36" s="214"/>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row>
    <row r="37" spans="1:66" ht="15.6" customHeight="1" x14ac:dyDescent="0.3">
      <c r="A37" s="214"/>
      <c r="B37" s="232">
        <v>2023</v>
      </c>
      <c r="C37" s="251">
        <f>G22</f>
        <v>3178145830.1807995</v>
      </c>
      <c r="D37" s="146">
        <v>63951.199999999997</v>
      </c>
      <c r="E37" s="259">
        <f>(F37/1000000/D37)*100</f>
        <v>5.0694904864959529</v>
      </c>
      <c r="F37" s="146">
        <v>3242000000</v>
      </c>
      <c r="G37" s="234">
        <f>F37/C37</f>
        <v>1.0200916424957025</v>
      </c>
      <c r="H37" s="242">
        <f>C37*G37</f>
        <v>3241999999.9999995</v>
      </c>
      <c r="I37" s="235">
        <f>H22*$G37</f>
        <v>3974239968.0863347</v>
      </c>
      <c r="J37" s="235">
        <f>I22*$G37</f>
        <v>3333144822.9454379</v>
      </c>
      <c r="K37" s="235">
        <f>J22*$G37</f>
        <v>3632101641.691186</v>
      </c>
      <c r="L37" s="235">
        <f>K22*$G37</f>
        <v>3484478338.4933362</v>
      </c>
      <c r="M37" s="412">
        <f>AK22*$G37</f>
        <v>3279590145.4202762</v>
      </c>
      <c r="N37" s="232">
        <v>2023</v>
      </c>
      <c r="O37" s="252">
        <f>G37</f>
        <v>1.0200916424957025</v>
      </c>
      <c r="P37" s="253">
        <f>($H37-J37)/1000000</f>
        <v>-91.144822945438392</v>
      </c>
      <c r="Q37" s="253">
        <f>($H37-K37)/1000000</f>
        <v>-390.10164169118644</v>
      </c>
      <c r="R37" s="253">
        <f>($H37-L37)/1000000</f>
        <v>-242.47833849333668</v>
      </c>
      <c r="S37" s="253">
        <f>AVERAGE(P37:R37)</f>
        <v>-241.24160104332051</v>
      </c>
      <c r="T37" s="253">
        <f t="shared" ref="T37:V37" si="8">($I37-J37)/1000000</f>
        <v>641.09514514089676</v>
      </c>
      <c r="U37" s="253">
        <f t="shared" si="8"/>
        <v>342.13832639514874</v>
      </c>
      <c r="V37" s="253">
        <f t="shared" si="8"/>
        <v>489.76162959299853</v>
      </c>
      <c r="W37" s="253">
        <f>AVERAGE(T37:V37)</f>
        <v>490.9983670430147</v>
      </c>
      <c r="X37" s="254">
        <f>(T37-P37)/T37</f>
        <v>1.1421705087556184</v>
      </c>
      <c r="Y37" s="254">
        <f>(U37-Q37)/U37</f>
        <v>2.140186911537771</v>
      </c>
      <c r="Z37" s="254">
        <f>(V37-R37)/V37</f>
        <v>1.4950946008057857</v>
      </c>
      <c r="AA37" s="254">
        <f>AVERAGE(X37:Z37)</f>
        <v>1.5924840070330584</v>
      </c>
      <c r="AB37" s="214"/>
      <c r="AC37" s="351">
        <f>P37/$D37</f>
        <v>-1.4252245922740838E-3</v>
      </c>
      <c r="AD37" s="351">
        <f>Q37/$D37</f>
        <v>-6.0999893933372084E-3</v>
      </c>
      <c r="AE37" s="351">
        <f>R37/$D37</f>
        <v>-3.7916151455068348E-3</v>
      </c>
      <c r="AF37" s="351">
        <f>T37/$D37</f>
        <v>1.0024755518909681E-2</v>
      </c>
      <c r="AG37" s="351">
        <f>U37/$D37</f>
        <v>5.3499907178465572E-3</v>
      </c>
      <c r="AH37" s="351">
        <f>V37/$D37</f>
        <v>7.6583649656769308E-3</v>
      </c>
      <c r="AI37" s="214"/>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row>
    <row r="38" spans="1:66" ht="15.6" customHeight="1" x14ac:dyDescent="0.3">
      <c r="A38" s="214"/>
      <c r="B38" s="240">
        <v>2024</v>
      </c>
      <c r="C38" s="255"/>
      <c r="D38" s="256"/>
      <c r="E38" s="256"/>
      <c r="F38" s="256"/>
      <c r="G38" s="257"/>
      <c r="H38" s="256"/>
      <c r="I38" s="249"/>
      <c r="J38" s="249"/>
      <c r="K38" s="249"/>
      <c r="L38" s="249"/>
      <c r="M38" s="214"/>
      <c r="N38" s="240">
        <v>2024</v>
      </c>
      <c r="O38" s="250"/>
      <c r="P38" s="225"/>
      <c r="Q38" s="225"/>
      <c r="R38" s="225"/>
      <c r="S38" s="225"/>
      <c r="T38" s="258"/>
      <c r="U38" s="258"/>
      <c r="V38" s="258"/>
      <c r="W38" s="258"/>
      <c r="X38" s="225"/>
      <c r="Y38" s="225"/>
      <c r="Z38" s="225"/>
      <c r="AA38" s="225"/>
      <c r="AB38" s="214"/>
      <c r="AC38" s="353"/>
      <c r="AD38" s="353"/>
      <c r="AE38" s="353"/>
      <c r="AF38" s="354"/>
      <c r="AG38" s="354"/>
      <c r="AH38" s="354"/>
      <c r="AI38" s="214"/>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row>
    <row r="39" spans="1:66" ht="15.6" customHeight="1" x14ac:dyDescent="0.3">
      <c r="A39" s="214"/>
      <c r="B39" s="232">
        <v>2025</v>
      </c>
      <c r="C39" s="255"/>
      <c r="D39" s="256"/>
      <c r="E39" s="256"/>
      <c r="F39" s="256"/>
      <c r="G39" s="257"/>
      <c r="H39" s="256"/>
      <c r="I39" s="249"/>
      <c r="J39" s="249"/>
      <c r="K39" s="249"/>
      <c r="L39" s="249"/>
      <c r="M39" s="214"/>
      <c r="N39" s="232">
        <v>2025</v>
      </c>
      <c r="O39" s="250"/>
      <c r="P39" s="225"/>
      <c r="Q39" s="225"/>
      <c r="R39" s="225"/>
      <c r="S39" s="225"/>
      <c r="T39" s="258"/>
      <c r="U39" s="258"/>
      <c r="V39" s="258"/>
      <c r="W39" s="258"/>
      <c r="X39" s="225"/>
      <c r="Y39" s="225"/>
      <c r="Z39" s="225"/>
      <c r="AA39" s="225"/>
      <c r="AB39" s="214"/>
      <c r="AC39" s="353"/>
      <c r="AD39" s="353"/>
      <c r="AE39" s="353"/>
      <c r="AF39" s="354"/>
      <c r="AG39" s="354"/>
      <c r="AH39" s="354"/>
      <c r="AI39" s="214"/>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row>
    <row r="40" spans="1:66" ht="15.6" customHeight="1" x14ac:dyDescent="0.3">
      <c r="A40" s="214"/>
      <c r="B40" s="240">
        <v>2026</v>
      </c>
      <c r="C40" s="251"/>
      <c r="D40" s="256"/>
      <c r="E40" s="256"/>
      <c r="F40" s="256"/>
      <c r="G40" s="259"/>
      <c r="H40" s="256"/>
      <c r="I40" s="235"/>
      <c r="J40" s="235"/>
      <c r="K40" s="235"/>
      <c r="L40" s="235"/>
      <c r="M40" s="214"/>
      <c r="N40" s="240">
        <v>2026</v>
      </c>
      <c r="O40" s="252"/>
      <c r="P40" s="225"/>
      <c r="Q40" s="225"/>
      <c r="R40" s="225"/>
      <c r="S40" s="225"/>
      <c r="T40" s="253"/>
      <c r="U40" s="253"/>
      <c r="V40" s="253"/>
      <c r="W40" s="253"/>
      <c r="X40" s="225"/>
      <c r="Y40" s="225"/>
      <c r="Z40" s="225"/>
      <c r="AA40" s="225"/>
      <c r="AB40" s="214"/>
      <c r="AC40" s="353"/>
      <c r="AD40" s="353"/>
      <c r="AE40" s="353"/>
      <c r="AF40" s="351"/>
      <c r="AG40" s="351"/>
      <c r="AH40" s="351"/>
      <c r="AI40" s="214"/>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row>
    <row r="41" spans="1:66" ht="12.6" customHeight="1" x14ac:dyDescent="0.3">
      <c r="A41" s="214"/>
      <c r="B41" s="214"/>
      <c r="C41" s="214"/>
      <c r="D41" s="214"/>
      <c r="E41" s="214"/>
      <c r="F41" s="214"/>
      <c r="G41" s="214"/>
      <c r="H41" s="214"/>
      <c r="I41" s="260"/>
      <c r="J41" s="214"/>
      <c r="K41" s="214"/>
      <c r="L41" s="214"/>
      <c r="M41" s="214"/>
      <c r="N41" s="214"/>
      <c r="O41" s="214"/>
      <c r="P41" s="214"/>
      <c r="Q41" s="214"/>
      <c r="R41" s="214"/>
      <c r="S41" s="214"/>
      <c r="T41" s="260"/>
      <c r="U41" s="214"/>
      <c r="V41" s="214"/>
      <c r="W41" s="214"/>
      <c r="X41" s="413" t="s">
        <v>190</v>
      </c>
      <c r="Y41" s="414"/>
      <c r="Z41" s="414"/>
      <c r="AA41" s="415"/>
      <c r="AB41" s="214"/>
      <c r="AC41" s="214"/>
      <c r="AD41" s="214"/>
      <c r="AE41" s="214"/>
      <c r="AF41" s="260"/>
      <c r="AG41" s="214"/>
      <c r="AH41" s="214"/>
      <c r="AI41" s="214"/>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row>
    <row r="42" spans="1:66" ht="12.6" customHeight="1" x14ac:dyDescent="0.3">
      <c r="A42" s="214"/>
      <c r="B42" s="214"/>
      <c r="C42" s="214"/>
      <c r="D42" s="214"/>
      <c r="E42" s="214"/>
      <c r="F42" s="214"/>
      <c r="G42" s="214"/>
      <c r="H42" s="214"/>
      <c r="I42" s="214"/>
      <c r="J42" s="214"/>
      <c r="K42" s="214"/>
      <c r="L42" s="214"/>
      <c r="M42" s="214"/>
      <c r="N42" s="214"/>
      <c r="O42" s="214"/>
      <c r="P42" s="214"/>
      <c r="Q42" s="214"/>
      <c r="R42" s="214"/>
      <c r="S42" s="214"/>
      <c r="T42" s="214"/>
      <c r="U42" s="214"/>
      <c r="V42" s="214"/>
      <c r="W42" s="416">
        <v>2023</v>
      </c>
      <c r="X42" s="417">
        <f>(($M37-$H37)/1000000)/T37</f>
        <v>5.8634269351728226E-2</v>
      </c>
      <c r="Y42" s="417">
        <f t="shared" ref="Y42:Z42" si="9">(($M37-$H37)/1000000)/U37</f>
        <v>0.1098682682420745</v>
      </c>
      <c r="Z42" s="417">
        <f t="shared" si="9"/>
        <v>7.6751920013649874E-2</v>
      </c>
      <c r="AA42" s="417">
        <f>AVERAGE(X42:Z42)</f>
        <v>8.1751485869150875E-2</v>
      </c>
      <c r="AB42" s="214"/>
      <c r="AC42" s="214"/>
      <c r="AD42" s="214"/>
      <c r="AE42" s="214"/>
      <c r="AF42" s="214"/>
      <c r="AG42" s="214"/>
      <c r="AH42" s="214"/>
      <c r="AI42" s="214"/>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row>
    <row r="43" spans="1:66" ht="12.6" customHeight="1" thickBot="1" x14ac:dyDescent="0.35">
      <c r="A43" s="214"/>
      <c r="B43" s="214"/>
      <c r="C43" s="214"/>
      <c r="D43" s="214"/>
      <c r="E43" s="214"/>
      <c r="F43" s="214"/>
      <c r="G43" s="214"/>
      <c r="H43" s="214"/>
      <c r="I43" s="214"/>
      <c r="J43" s="214"/>
      <c r="K43" s="214"/>
      <c r="L43" s="214"/>
      <c r="M43" s="214"/>
      <c r="N43" s="214"/>
      <c r="O43" s="214"/>
      <c r="P43" s="214"/>
      <c r="Q43" s="214"/>
      <c r="R43" s="214"/>
      <c r="S43" s="214"/>
      <c r="T43" s="214"/>
      <c r="U43" s="214"/>
      <c r="V43" s="214"/>
      <c r="W43" s="214"/>
      <c r="X43" s="214"/>
      <c r="Y43" s="214"/>
      <c r="Z43" s="214"/>
      <c r="AA43" s="214"/>
      <c r="AB43" s="214"/>
      <c r="AC43" s="214"/>
      <c r="AD43" s="214"/>
      <c r="AE43" s="214"/>
      <c r="AF43" s="214"/>
      <c r="AG43" s="214"/>
      <c r="AH43" s="214"/>
      <c r="AI43" s="214"/>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row>
    <row r="44" spans="1:66" ht="18" customHeight="1" thickBot="1" x14ac:dyDescent="0.35">
      <c r="A44" s="214"/>
      <c r="B44" s="216" t="s">
        <v>191</v>
      </c>
      <c r="C44" s="221"/>
      <c r="D44" s="222" t="s">
        <v>160</v>
      </c>
      <c r="E44" s="223"/>
      <c r="F44" s="224" t="s">
        <v>161</v>
      </c>
      <c r="G44" s="222"/>
      <c r="H44" s="222"/>
      <c r="I44" s="222"/>
      <c r="J44" s="223"/>
      <c r="K44" s="214"/>
      <c r="L44" s="214"/>
      <c r="M44" s="214"/>
      <c r="N44" s="214"/>
      <c r="O44" s="214"/>
      <c r="P44" s="214"/>
      <c r="Q44" s="214"/>
      <c r="R44" s="214"/>
      <c r="S44" s="214"/>
      <c r="T44" s="214"/>
      <c r="U44" s="216" t="s">
        <v>192</v>
      </c>
      <c r="V44" s="221"/>
      <c r="W44" s="222" t="s">
        <v>160</v>
      </c>
      <c r="X44" s="223"/>
      <c r="Y44" s="224" t="s">
        <v>161</v>
      </c>
      <c r="Z44" s="222"/>
      <c r="AA44" s="222"/>
      <c r="AB44" s="222"/>
      <c r="AC44" s="223"/>
      <c r="AD44" s="214"/>
      <c r="AE44" s="214"/>
      <c r="AF44" s="214"/>
      <c r="AG44" s="214"/>
      <c r="AH44" s="214"/>
      <c r="AI44" s="214"/>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row>
    <row r="45" spans="1:66" ht="42" customHeight="1" x14ac:dyDescent="0.3">
      <c r="A45" s="214"/>
      <c r="B45" s="227"/>
      <c r="C45" s="231" t="s">
        <v>193</v>
      </c>
      <c r="D45" s="228" t="s">
        <v>194</v>
      </c>
      <c r="E45" s="228" t="s">
        <v>170</v>
      </c>
      <c r="F45" s="229" t="s">
        <v>195</v>
      </c>
      <c r="G45" s="229" t="s">
        <v>196</v>
      </c>
      <c r="H45" s="261" t="s">
        <v>197</v>
      </c>
      <c r="I45" s="261" t="s">
        <v>198</v>
      </c>
      <c r="J45" s="261" t="s">
        <v>199</v>
      </c>
      <c r="K45" s="411" t="s">
        <v>176</v>
      </c>
      <c r="L45" s="214"/>
      <c r="M45" s="214"/>
      <c r="N45" s="214"/>
      <c r="O45" s="214"/>
      <c r="P45" s="214"/>
      <c r="Q45" s="214"/>
      <c r="R45" s="214"/>
      <c r="S45" s="214"/>
      <c r="T45" s="214"/>
      <c r="U45" s="227"/>
      <c r="V45" s="231" t="s">
        <v>193</v>
      </c>
      <c r="W45" s="228" t="s">
        <v>194</v>
      </c>
      <c r="X45" s="228" t="s">
        <v>170</v>
      </c>
      <c r="Y45" s="229" t="s">
        <v>195</v>
      </c>
      <c r="Z45" s="229" t="s">
        <v>196</v>
      </c>
      <c r="AA45" s="261" t="s">
        <v>197</v>
      </c>
      <c r="AB45" s="261" t="s">
        <v>198</v>
      </c>
      <c r="AC45" s="261" t="s">
        <v>199</v>
      </c>
      <c r="AD45" s="214"/>
      <c r="AE45" s="214"/>
      <c r="AF45" s="214"/>
      <c r="AG45" s="214"/>
      <c r="AH45" s="214"/>
      <c r="AI45" s="214"/>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row>
    <row r="46" spans="1:66" ht="15" customHeight="1" x14ac:dyDescent="0.3">
      <c r="A46" s="214"/>
      <c r="B46" s="232">
        <v>2019</v>
      </c>
      <c r="C46" s="262">
        <f>C33/1000000</f>
        <v>2578.9207562448046</v>
      </c>
      <c r="D46" s="263">
        <f>F33/1000000</f>
        <v>2543.6</v>
      </c>
      <c r="E46" s="264"/>
      <c r="F46" s="262">
        <f>H33/1000000</f>
        <v>2543.6</v>
      </c>
      <c r="G46" s="264"/>
      <c r="H46" s="264"/>
      <c r="I46" s="264"/>
      <c r="J46" s="264"/>
      <c r="K46" s="214"/>
      <c r="L46" s="214"/>
      <c r="M46" s="214"/>
      <c r="N46" s="214"/>
      <c r="O46" s="214"/>
      <c r="P46" s="214"/>
      <c r="Q46" s="214"/>
      <c r="R46" s="214"/>
      <c r="S46" s="214"/>
      <c r="T46" s="214"/>
      <c r="U46" s="232">
        <v>2019</v>
      </c>
      <c r="V46" s="355">
        <f>C33/1000000/D33</f>
        <v>5.3552910951684705E-2</v>
      </c>
      <c r="W46" s="355">
        <f>F33/(D33*1000000)</f>
        <v>5.2819453240995504E-2</v>
      </c>
      <c r="X46" s="264"/>
      <c r="Y46" s="355">
        <f>H33/($D33*1000000)</f>
        <v>5.2819453240995504E-2</v>
      </c>
      <c r="Z46" s="355"/>
      <c r="AA46" s="355"/>
      <c r="AB46" s="355"/>
      <c r="AC46" s="355"/>
      <c r="AD46" s="214"/>
      <c r="AE46" s="214"/>
      <c r="AF46" s="214"/>
      <c r="AG46" s="214"/>
      <c r="AH46" s="214"/>
      <c r="AI46" s="214"/>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row>
    <row r="47" spans="1:66" ht="15" customHeight="1" x14ac:dyDescent="0.3">
      <c r="A47" s="214"/>
      <c r="B47" s="240">
        <v>2020</v>
      </c>
      <c r="C47" s="262">
        <f t="shared" ref="C47:C49" si="10">C34/1000000</f>
        <v>2515.0246368275994</v>
      </c>
      <c r="D47" s="263">
        <f>F34/1000000</f>
        <v>2460.8000000000002</v>
      </c>
      <c r="E47" s="264"/>
      <c r="F47" s="264"/>
      <c r="G47" s="264"/>
      <c r="H47" s="264"/>
      <c r="I47" s="264"/>
      <c r="J47" s="264"/>
      <c r="K47" s="214"/>
      <c r="L47" s="214"/>
      <c r="M47" s="214"/>
      <c r="N47" s="214"/>
      <c r="O47" s="214"/>
      <c r="P47" s="214"/>
      <c r="Q47" s="214"/>
      <c r="R47" s="214"/>
      <c r="S47" s="214"/>
      <c r="T47" s="214"/>
      <c r="U47" s="240">
        <v>2020</v>
      </c>
      <c r="V47" s="355">
        <f t="shared" ref="V47:V50" si="11">C34/1000000/D34</f>
        <v>5.3810324994653241E-2</v>
      </c>
      <c r="W47" s="355">
        <f t="shared" ref="W47:W50" si="12">F34/(D34*1000000)</f>
        <v>5.2650159289839044E-2</v>
      </c>
      <c r="X47" s="264"/>
      <c r="Y47" s="355"/>
      <c r="Z47" s="355"/>
      <c r="AA47" s="355"/>
      <c r="AB47" s="355"/>
      <c r="AC47" s="355"/>
      <c r="AD47" s="214"/>
      <c r="AE47" s="214"/>
      <c r="AF47" s="214"/>
      <c r="AG47" s="214"/>
      <c r="AH47" s="214"/>
      <c r="AI47" s="214"/>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row>
    <row r="48" spans="1:66" ht="15" customHeight="1" x14ac:dyDescent="0.3">
      <c r="A48" s="214"/>
      <c r="B48" s="232">
        <v>2021</v>
      </c>
      <c r="C48" s="262">
        <f t="shared" si="10"/>
        <v>2928.6781804080019</v>
      </c>
      <c r="D48" s="263">
        <f>F35/1000000</f>
        <v>2824.3</v>
      </c>
      <c r="E48" s="264"/>
      <c r="F48" s="264"/>
      <c r="G48" s="264"/>
      <c r="H48" s="264"/>
      <c r="I48" s="264"/>
      <c r="J48" s="264"/>
      <c r="K48" s="214"/>
      <c r="L48" s="214"/>
      <c r="M48" s="214"/>
      <c r="N48" s="214"/>
      <c r="O48" s="214"/>
      <c r="P48" s="214"/>
      <c r="Q48" s="214"/>
      <c r="R48" s="214"/>
      <c r="S48" s="214"/>
      <c r="T48" s="214"/>
      <c r="U48" s="232">
        <v>2021</v>
      </c>
      <c r="V48" s="355">
        <f t="shared" si="11"/>
        <v>5.6296267014874342E-2</v>
      </c>
      <c r="W48" s="355">
        <f t="shared" si="12"/>
        <v>5.428986632732697E-2</v>
      </c>
      <c r="X48" s="264"/>
      <c r="Y48" s="355"/>
      <c r="Z48" s="355"/>
      <c r="AA48" s="355"/>
      <c r="AB48" s="355"/>
      <c r="AC48" s="355"/>
      <c r="AD48" s="214"/>
      <c r="AE48" s="214"/>
      <c r="AF48" s="214"/>
      <c r="AG48" s="214"/>
      <c r="AH48" s="214"/>
      <c r="AI48" s="214"/>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row>
    <row r="49" spans="1:66" ht="15" customHeight="1" x14ac:dyDescent="0.3">
      <c r="A49" s="214"/>
      <c r="B49" s="240">
        <v>2022</v>
      </c>
      <c r="C49" s="262">
        <f t="shared" si="10"/>
        <v>2889.2796893795949</v>
      </c>
      <c r="D49" s="263">
        <f>F36/1000000</f>
        <v>2946.8</v>
      </c>
      <c r="E49" s="264"/>
      <c r="F49" s="264"/>
      <c r="G49" s="264"/>
      <c r="H49" s="264"/>
      <c r="I49" s="264"/>
      <c r="J49" s="264"/>
      <c r="K49" s="214"/>
      <c r="L49" s="214"/>
      <c r="M49" s="214"/>
      <c r="N49" s="214"/>
      <c r="O49" s="214"/>
      <c r="P49" s="214"/>
      <c r="Q49" s="214"/>
      <c r="R49" s="214"/>
      <c r="S49" s="214"/>
      <c r="T49" s="214"/>
      <c r="U49" s="240">
        <v>2022</v>
      </c>
      <c r="V49" s="355">
        <f t="shared" si="11"/>
        <v>5.0770349917404596E-2</v>
      </c>
      <c r="W49" s="355">
        <f t="shared" si="12"/>
        <v>5.1781095366621684E-2</v>
      </c>
      <c r="X49" s="264"/>
      <c r="Y49" s="355"/>
      <c r="Z49" s="355"/>
      <c r="AA49" s="355"/>
      <c r="AB49" s="355"/>
      <c r="AC49" s="355"/>
      <c r="AD49" s="214"/>
      <c r="AE49" s="214"/>
      <c r="AF49" s="214"/>
      <c r="AG49" s="214"/>
      <c r="AH49" s="214"/>
      <c r="AI49" s="214"/>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row>
    <row r="50" spans="1:66" ht="15" customHeight="1" x14ac:dyDescent="0.3">
      <c r="A50" s="214"/>
      <c r="B50" s="232">
        <v>2023</v>
      </c>
      <c r="C50" s="262">
        <f>C37/1000000</f>
        <v>3178.1458301807993</v>
      </c>
      <c r="D50" s="263">
        <f>F37/1000000</f>
        <v>3242</v>
      </c>
      <c r="E50" s="264"/>
      <c r="F50" s="262">
        <f t="shared" ref="F50:K50" si="13">H37/1000000</f>
        <v>3241.9999999999995</v>
      </c>
      <c r="G50" s="262">
        <f t="shared" si="13"/>
        <v>3974.2399680863346</v>
      </c>
      <c r="H50" s="262">
        <f t="shared" si="13"/>
        <v>3333.1448229454377</v>
      </c>
      <c r="I50" s="262">
        <f t="shared" si="13"/>
        <v>3632.1016416911862</v>
      </c>
      <c r="J50" s="262">
        <f t="shared" si="13"/>
        <v>3484.4783384933362</v>
      </c>
      <c r="K50" s="418">
        <f t="shared" si="13"/>
        <v>3279.5901454202763</v>
      </c>
      <c r="L50" s="214"/>
      <c r="M50" s="214"/>
      <c r="N50" s="214"/>
      <c r="O50" s="214"/>
      <c r="P50" s="214"/>
      <c r="Q50" s="214"/>
      <c r="R50" s="214"/>
      <c r="S50" s="214"/>
      <c r="T50" s="214"/>
      <c r="U50" s="232">
        <v>2023</v>
      </c>
      <c r="V50" s="355">
        <f t="shared" si="11"/>
        <v>4.9696422118440303E-2</v>
      </c>
      <c r="W50" s="355">
        <f t="shared" si="12"/>
        <v>5.0694904864959534E-2</v>
      </c>
      <c r="X50" s="264"/>
      <c r="Y50" s="355">
        <f>H37/($D37*1000000)</f>
        <v>5.0694904864959527E-2</v>
      </c>
      <c r="Z50" s="355">
        <f t="shared" ref="Z50:AC50" si="14">I37/($D37*1000000)</f>
        <v>6.2144884976143289E-2</v>
      </c>
      <c r="AA50" s="355">
        <f t="shared" si="14"/>
        <v>5.2120129457233606E-2</v>
      </c>
      <c r="AB50" s="355">
        <f t="shared" si="14"/>
        <v>5.679489425829673E-2</v>
      </c>
      <c r="AC50" s="355">
        <f t="shared" si="14"/>
        <v>5.4486520010466361E-2</v>
      </c>
      <c r="AD50" s="214"/>
      <c r="AE50" s="214"/>
      <c r="AF50" s="214"/>
      <c r="AG50" s="214"/>
      <c r="AH50" s="214"/>
      <c r="AI50" s="214"/>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row>
    <row r="51" spans="1:66" ht="15" customHeight="1" x14ac:dyDescent="0.3">
      <c r="A51" s="214"/>
      <c r="B51" s="240">
        <v>2024</v>
      </c>
      <c r="C51" s="264"/>
      <c r="D51" s="264"/>
      <c r="E51" s="264"/>
      <c r="F51" s="264"/>
      <c r="G51" s="264"/>
      <c r="H51" s="264"/>
      <c r="I51" s="264"/>
      <c r="J51" s="264"/>
      <c r="K51" s="214"/>
      <c r="L51" s="214"/>
      <c r="M51" s="214"/>
      <c r="N51" s="214"/>
      <c r="O51" s="214"/>
      <c r="P51" s="214"/>
      <c r="Q51" s="214"/>
      <c r="R51" s="214"/>
      <c r="S51" s="214"/>
      <c r="T51" s="214"/>
      <c r="U51" s="240">
        <v>2024</v>
      </c>
      <c r="V51" s="264"/>
      <c r="W51" s="264"/>
      <c r="X51" s="264"/>
      <c r="Y51" s="355"/>
      <c r="Z51" s="355"/>
      <c r="AA51" s="355"/>
      <c r="AB51" s="355"/>
      <c r="AC51" s="355"/>
      <c r="AD51" s="214"/>
      <c r="AE51" s="214"/>
      <c r="AF51" s="214"/>
      <c r="AG51" s="214"/>
      <c r="AH51" s="214"/>
      <c r="AI51" s="214"/>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row>
    <row r="52" spans="1:66" ht="15" customHeight="1" x14ac:dyDescent="0.3">
      <c r="A52" s="214"/>
      <c r="B52" s="232">
        <v>2025</v>
      </c>
      <c r="C52" s="264"/>
      <c r="D52" s="264"/>
      <c r="E52" s="264"/>
      <c r="F52" s="264"/>
      <c r="G52" s="434"/>
      <c r="H52" s="264"/>
      <c r="I52" s="264"/>
      <c r="J52" s="264"/>
      <c r="K52" s="214"/>
      <c r="L52" s="214"/>
      <c r="M52" s="214"/>
      <c r="N52" s="214"/>
      <c r="O52" s="214"/>
      <c r="P52" s="214"/>
      <c r="Q52" s="214"/>
      <c r="R52" s="214"/>
      <c r="S52" s="214"/>
      <c r="T52" s="214"/>
      <c r="U52" s="232">
        <v>2025</v>
      </c>
      <c r="V52" s="264"/>
      <c r="W52" s="264"/>
      <c r="X52" s="264"/>
      <c r="Y52" s="355"/>
      <c r="Z52" s="355"/>
      <c r="AA52" s="355"/>
      <c r="AB52" s="355"/>
      <c r="AC52" s="355"/>
      <c r="AD52" s="214"/>
      <c r="AE52" s="214"/>
      <c r="AF52" s="214"/>
      <c r="AG52" s="214"/>
      <c r="AH52" s="214"/>
      <c r="AI52" s="214"/>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row>
    <row r="53" spans="1:66" ht="15" customHeight="1" x14ac:dyDescent="0.3">
      <c r="A53" s="214"/>
      <c r="B53" s="240">
        <v>2026</v>
      </c>
      <c r="C53" s="262"/>
      <c r="D53" s="264"/>
      <c r="E53" s="264"/>
      <c r="F53" s="264"/>
      <c r="G53" s="262"/>
      <c r="H53" s="262"/>
      <c r="I53" s="262"/>
      <c r="J53" s="262"/>
      <c r="K53" s="214"/>
      <c r="L53" s="214"/>
      <c r="M53" s="214"/>
      <c r="N53" s="214"/>
      <c r="O53" s="214"/>
      <c r="P53" s="214"/>
      <c r="Q53" s="214"/>
      <c r="R53" s="214"/>
      <c r="S53" s="214"/>
      <c r="T53" s="214"/>
      <c r="U53" s="240">
        <v>2026</v>
      </c>
      <c r="V53" s="262"/>
      <c r="W53" s="264"/>
      <c r="X53" s="264"/>
      <c r="Y53" s="355"/>
      <c r="Z53" s="355"/>
      <c r="AA53" s="355"/>
      <c r="AB53" s="355"/>
      <c r="AC53" s="355"/>
      <c r="AD53" s="214"/>
      <c r="AE53" s="214"/>
      <c r="AF53" s="214"/>
      <c r="AG53" s="214"/>
      <c r="AH53" s="214"/>
      <c r="AI53" s="214"/>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row>
    <row r="54" spans="1:66" ht="12.6" customHeight="1" x14ac:dyDescent="0.3">
      <c r="A54" s="214"/>
      <c r="B54" s="214"/>
      <c r="C54" s="214"/>
      <c r="D54" s="214"/>
      <c r="E54" s="214"/>
      <c r="F54" s="214"/>
      <c r="G54" s="215"/>
      <c r="H54" s="214"/>
      <c r="I54" s="214"/>
      <c r="J54" s="214"/>
      <c r="K54" s="214"/>
      <c r="L54" s="214"/>
      <c r="M54" s="214"/>
      <c r="N54" s="214"/>
      <c r="O54" s="214"/>
      <c r="P54" s="214"/>
      <c r="Q54" s="214"/>
      <c r="R54" s="214"/>
      <c r="S54" s="214"/>
      <c r="T54" s="214"/>
      <c r="U54" s="214"/>
      <c r="V54" s="214"/>
      <c r="W54" s="214"/>
      <c r="X54" s="214"/>
      <c r="Y54" s="214"/>
      <c r="Z54" s="214"/>
      <c r="AA54" s="214"/>
      <c r="AB54" s="214"/>
      <c r="AC54" s="214"/>
      <c r="AD54" s="214"/>
      <c r="AE54" s="214"/>
      <c r="AF54" s="214"/>
      <c r="AG54" s="214"/>
      <c r="AH54" s="214"/>
      <c r="AI54" s="214"/>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row>
    <row r="55" spans="1:66" ht="12.6" customHeight="1" x14ac:dyDescent="0.3">
      <c r="A55" s="214"/>
      <c r="B55" s="214"/>
      <c r="C55" s="214"/>
      <c r="D55" s="214"/>
      <c r="E55" s="214"/>
      <c r="F55" s="214"/>
      <c r="G55" s="215"/>
      <c r="H55" s="214"/>
      <c r="I55" s="214"/>
      <c r="J55" s="214"/>
      <c r="K55" s="214"/>
      <c r="L55" s="214"/>
      <c r="M55" s="214"/>
      <c r="N55" s="214"/>
      <c r="O55" s="214"/>
      <c r="P55" s="214"/>
      <c r="Q55" s="214"/>
      <c r="R55" s="214"/>
      <c r="S55" s="214"/>
      <c r="T55" s="214"/>
      <c r="U55" s="214"/>
      <c r="V55" s="214"/>
      <c r="W55" s="214"/>
      <c r="X55" s="214"/>
      <c r="Y55" s="214"/>
      <c r="Z55" s="214"/>
      <c r="AA55" s="214"/>
      <c r="AB55" s="214"/>
      <c r="AC55" s="214"/>
      <c r="AD55" s="214"/>
      <c r="AE55" s="214"/>
      <c r="AF55" s="214"/>
      <c r="AG55" s="214"/>
      <c r="AH55" s="214"/>
      <c r="AI55" s="214"/>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row>
    <row r="56" spans="1:66" ht="12.6" customHeight="1" x14ac:dyDescent="0.3">
      <c r="A56" s="214"/>
      <c r="B56" s="214"/>
      <c r="C56" s="214"/>
      <c r="D56" s="214"/>
      <c r="E56" s="214"/>
      <c r="F56" s="214"/>
      <c r="G56" s="214"/>
      <c r="H56" s="214"/>
      <c r="I56" s="214"/>
      <c r="J56" s="214"/>
      <c r="K56" s="214"/>
      <c r="L56" s="214"/>
      <c r="M56" s="214"/>
      <c r="N56" s="214"/>
      <c r="O56" s="214"/>
      <c r="P56" s="214"/>
      <c r="Q56" s="214"/>
      <c r="R56" s="214"/>
      <c r="S56" s="214"/>
      <c r="T56" s="214"/>
      <c r="U56" s="214"/>
      <c r="V56" s="214"/>
      <c r="W56" s="214"/>
      <c r="X56" s="214"/>
      <c r="Y56" s="214"/>
      <c r="Z56" s="214"/>
      <c r="AA56" s="214"/>
      <c r="AB56" s="214"/>
      <c r="AC56" s="214"/>
      <c r="AD56" s="214"/>
      <c r="AE56" s="214"/>
      <c r="AF56" s="214"/>
      <c r="AG56" s="214"/>
      <c r="AH56" s="214"/>
      <c r="AI56" s="214"/>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row>
    <row r="57" spans="1:66" ht="12.6" customHeight="1" x14ac:dyDescent="0.3">
      <c r="A57" s="214"/>
      <c r="B57" s="214"/>
      <c r="C57" s="214"/>
      <c r="D57" s="214"/>
      <c r="E57" s="214"/>
      <c r="F57" s="214"/>
      <c r="G57" s="214"/>
      <c r="H57" s="214"/>
      <c r="I57" s="214"/>
      <c r="J57" s="214"/>
      <c r="K57" s="214"/>
      <c r="L57" s="214"/>
      <c r="M57" s="214"/>
      <c r="N57" s="214"/>
      <c r="O57" s="214"/>
      <c r="P57" s="214"/>
      <c r="Q57" s="214"/>
      <c r="R57" s="214"/>
      <c r="S57" s="214"/>
      <c r="T57" s="214"/>
      <c r="U57" s="214"/>
      <c r="V57" s="214"/>
      <c r="W57" s="214"/>
      <c r="X57" s="214"/>
      <c r="Y57" s="214"/>
      <c r="Z57" s="214"/>
      <c r="AA57" s="214"/>
      <c r="AB57" s="214"/>
      <c r="AC57" s="214"/>
      <c r="AD57" s="214"/>
      <c r="AE57" s="214"/>
      <c r="AF57" s="214"/>
      <c r="AG57" s="214"/>
      <c r="AH57" s="214"/>
      <c r="AI57" s="214"/>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row>
    <row r="58" spans="1:66" ht="12.6" customHeight="1" x14ac:dyDescent="0.3">
      <c r="A58" s="214"/>
      <c r="B58" s="214"/>
      <c r="C58" s="214"/>
      <c r="D58" s="214"/>
      <c r="E58" s="214"/>
      <c r="F58" s="214"/>
      <c r="G58" s="214"/>
      <c r="H58" s="214"/>
      <c r="I58" s="214"/>
      <c r="J58" s="214"/>
      <c r="K58" s="214"/>
      <c r="L58" s="214"/>
      <c r="M58" s="214"/>
      <c r="N58" s="214"/>
      <c r="O58" s="214"/>
      <c r="P58" s="214"/>
      <c r="Q58" s="214"/>
      <c r="R58" s="214"/>
      <c r="S58" s="214"/>
      <c r="T58" s="214"/>
      <c r="U58" s="214"/>
      <c r="V58" s="214"/>
      <c r="W58" s="214"/>
      <c r="X58" s="214"/>
      <c r="Y58" s="214"/>
      <c r="Z58" s="214"/>
      <c r="AA58" s="214"/>
      <c r="AB58" s="214"/>
      <c r="AC58" s="214"/>
      <c r="AD58" s="214"/>
      <c r="AE58" s="214"/>
      <c r="AF58" s="214"/>
      <c r="AG58" s="214"/>
      <c r="AH58" s="214"/>
      <c r="AI58" s="214"/>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row>
    <row r="59" spans="1:66" ht="12.6"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row>
    <row r="60" spans="1:66" ht="12" customHeight="1" thickBot="1" x14ac:dyDescent="0.35">
      <c r="A60" s="98"/>
      <c r="B60" s="98"/>
      <c r="C60" s="98"/>
      <c r="D60" s="98"/>
      <c r="E60" s="98"/>
      <c r="F60" s="98"/>
      <c r="G60" s="98"/>
      <c r="H60" s="98"/>
      <c r="I60" s="98"/>
      <c r="J60" s="98"/>
      <c r="K60" s="98"/>
      <c r="L60" s="98"/>
      <c r="M60" s="98"/>
      <c r="N60" s="98"/>
      <c r="O60" s="98"/>
      <c r="P60" s="98"/>
      <c r="Q60" s="98"/>
      <c r="R60" s="98"/>
      <c r="S60" s="98"/>
      <c r="T60" s="265"/>
      <c r="U60" s="265"/>
      <c r="V60" s="265"/>
      <c r="W60" s="265"/>
      <c r="X60" s="55"/>
      <c r="Y60" s="55"/>
      <c r="Z60" s="55"/>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row>
    <row r="61" spans="1:66" ht="12" customHeight="1" thickBot="1" x14ac:dyDescent="0.35">
      <c r="A61" s="98"/>
      <c r="B61" s="266" t="s">
        <v>200</v>
      </c>
      <c r="C61" s="267"/>
      <c r="D61" s="267"/>
      <c r="E61" s="267"/>
      <c r="F61" s="267"/>
      <c r="G61" s="267"/>
      <c r="H61" s="267"/>
      <c r="I61" s="267"/>
      <c r="J61" s="267"/>
      <c r="K61" s="267"/>
      <c r="L61" s="267"/>
      <c r="M61" s="267"/>
      <c r="N61" s="267"/>
      <c r="O61" s="267"/>
      <c r="P61" s="267"/>
      <c r="Q61" s="267"/>
      <c r="R61" s="267"/>
      <c r="S61" s="267"/>
      <c r="T61" s="268"/>
      <c r="U61" s="268"/>
      <c r="V61" s="269"/>
      <c r="W61" s="265"/>
      <c r="X61" s="55"/>
      <c r="Y61" s="55"/>
      <c r="Z61" s="55"/>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row>
    <row r="62" spans="1:66" ht="21.6" customHeight="1" x14ac:dyDescent="0.3">
      <c r="A62" s="98"/>
      <c r="B62" s="270"/>
      <c r="C62" s="98"/>
      <c r="D62" s="98"/>
      <c r="E62" s="98"/>
      <c r="F62" s="98"/>
      <c r="G62" s="98"/>
      <c r="H62" s="98"/>
      <c r="I62" s="98"/>
      <c r="J62" s="98"/>
      <c r="K62" s="98"/>
      <c r="L62" s="98"/>
      <c r="M62" s="98"/>
      <c r="N62" s="98"/>
      <c r="O62" s="98"/>
      <c r="P62" s="98"/>
      <c r="Q62" s="98"/>
      <c r="R62" s="98"/>
      <c r="S62" s="98"/>
      <c r="T62" s="98"/>
      <c r="U62" s="98"/>
      <c r="V62" s="98"/>
      <c r="W62" s="98"/>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row>
    <row r="63" spans="1:66" ht="21" customHeight="1" x14ac:dyDescent="0.3">
      <c r="A63" s="98"/>
      <c r="B63" s="98"/>
      <c r="C63" s="98"/>
      <c r="D63" s="98"/>
      <c r="E63" s="98"/>
      <c r="F63" s="98"/>
      <c r="G63" s="98"/>
      <c r="H63" s="98"/>
      <c r="I63" s="98"/>
      <c r="J63" s="98"/>
      <c r="K63" s="98"/>
      <c r="L63" s="98"/>
      <c r="M63" s="98"/>
      <c r="N63" s="98"/>
      <c r="O63" s="98"/>
      <c r="P63" s="98"/>
      <c r="Q63" s="98"/>
      <c r="R63" s="98"/>
      <c r="S63" s="98"/>
      <c r="T63" s="98"/>
      <c r="U63" s="98"/>
      <c r="V63" s="98"/>
      <c r="W63" s="98"/>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row>
    <row r="64" spans="1:66" ht="42.6" customHeight="1" x14ac:dyDescent="0.3">
      <c r="A64" s="98"/>
      <c r="B64" s="356" t="s">
        <v>201</v>
      </c>
      <c r="C64" s="271" t="s">
        <v>202</v>
      </c>
      <c r="D64" s="272" t="s">
        <v>172</v>
      </c>
      <c r="E64" s="272" t="s">
        <v>173</v>
      </c>
      <c r="F64" s="273" t="s">
        <v>174</v>
      </c>
      <c r="G64" s="272" t="s">
        <v>175</v>
      </c>
      <c r="H64" s="274"/>
      <c r="I64" s="274"/>
      <c r="J64" s="274"/>
      <c r="K64" s="274"/>
      <c r="L64" s="274"/>
      <c r="M64" s="274"/>
      <c r="N64" s="274"/>
      <c r="O64" s="274"/>
      <c r="P64" s="274"/>
      <c r="Q64" s="274"/>
      <c r="R64" s="274"/>
      <c r="S64" s="274"/>
      <c r="T64" s="274"/>
      <c r="U64" s="274"/>
      <c r="V64" s="274"/>
      <c r="W64" s="98"/>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row>
    <row r="65" spans="1:66" ht="15.6" customHeight="1" x14ac:dyDescent="0.3">
      <c r="A65" s="98"/>
      <c r="B65" s="275">
        <v>2019</v>
      </c>
      <c r="C65" s="357">
        <f>C22/P22*100</f>
        <v>10.016682216654242</v>
      </c>
      <c r="D65" s="276"/>
      <c r="E65" s="276"/>
      <c r="F65" s="276"/>
      <c r="G65" s="276"/>
      <c r="H65" s="277"/>
      <c r="I65" s="277"/>
      <c r="J65" s="277"/>
      <c r="K65" s="277"/>
      <c r="L65" s="277"/>
      <c r="M65" s="277"/>
      <c r="N65" s="277"/>
      <c r="O65" s="277"/>
      <c r="P65" s="277"/>
      <c r="Q65" s="277"/>
      <c r="R65" s="277"/>
      <c r="S65" s="277"/>
      <c r="T65" s="277"/>
      <c r="U65" s="277"/>
      <c r="V65" s="277"/>
      <c r="W65" s="278"/>
      <c r="X65" s="44"/>
      <c r="Y65" s="44"/>
      <c r="Z65" s="44"/>
      <c r="AA65" s="46"/>
      <c r="AB65" s="46"/>
      <c r="AC65" s="46"/>
      <c r="AD65" s="46"/>
      <c r="AE65" s="46"/>
      <c r="AF65" s="46"/>
      <c r="AG65" s="44"/>
      <c r="AH65" s="44"/>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row>
    <row r="66" spans="1:66" s="51" customFormat="1" ht="15.6" customHeight="1" x14ac:dyDescent="0.3">
      <c r="A66" s="279"/>
      <c r="B66" s="280">
        <v>2020</v>
      </c>
      <c r="C66" s="357">
        <f>D22/Q22*100</f>
        <v>9.5311784897821479</v>
      </c>
      <c r="D66" s="276"/>
      <c r="E66" s="276"/>
      <c r="F66" s="276"/>
      <c r="G66" s="276"/>
      <c r="H66" s="281"/>
      <c r="I66" s="281"/>
      <c r="J66" s="281"/>
      <c r="K66" s="281"/>
      <c r="L66" s="281"/>
      <c r="M66" s="281"/>
      <c r="N66" s="281"/>
      <c r="O66" s="281"/>
      <c r="P66" s="281"/>
      <c r="Q66" s="281"/>
      <c r="R66" s="281"/>
      <c r="S66" s="281"/>
      <c r="T66" s="281"/>
      <c r="U66" s="281"/>
      <c r="V66" s="281"/>
      <c r="W66" s="282"/>
      <c r="X66" s="48"/>
      <c r="Y66" s="48"/>
      <c r="Z66" s="48"/>
      <c r="AA66" s="48"/>
      <c r="AB66" s="48"/>
      <c r="AC66" s="48"/>
      <c r="AD66" s="48"/>
      <c r="AE66" s="48"/>
      <c r="AF66" s="48"/>
      <c r="AG66" s="48"/>
      <c r="AH66" s="48"/>
      <c r="AI66" s="47"/>
      <c r="AJ66" s="47"/>
      <c r="AK66" s="47"/>
      <c r="AL66" s="47"/>
      <c r="AM66" s="47"/>
      <c r="AN66" s="47"/>
      <c r="AO66" s="47"/>
      <c r="AP66" s="47"/>
      <c r="AQ66" s="47"/>
      <c r="AR66" s="47"/>
      <c r="AS66" s="47"/>
      <c r="AT66" s="47"/>
      <c r="AU66" s="47"/>
      <c r="AV66" s="47"/>
      <c r="AW66" s="47"/>
      <c r="AX66" s="47"/>
      <c r="AY66" s="47"/>
      <c r="AZ66" s="47"/>
      <c r="BA66" s="47"/>
      <c r="BB66" s="47"/>
      <c r="BC66" s="47"/>
      <c r="BD66" s="47"/>
      <c r="BE66" s="47"/>
      <c r="BF66" s="47"/>
      <c r="BG66" s="47"/>
      <c r="BH66" s="47"/>
      <c r="BI66" s="47"/>
      <c r="BJ66" s="47"/>
      <c r="BK66" s="47"/>
      <c r="BL66" s="47"/>
      <c r="BM66" s="47"/>
      <c r="BN66" s="47"/>
    </row>
    <row r="67" spans="1:66" ht="15.6" customHeight="1" x14ac:dyDescent="0.3">
      <c r="A67" s="98"/>
      <c r="B67" s="275">
        <v>2021</v>
      </c>
      <c r="C67" s="357">
        <f>E22/R22*100</f>
        <v>10.269571169255046</v>
      </c>
      <c r="D67" s="276"/>
      <c r="E67" s="276"/>
      <c r="F67" s="276"/>
      <c r="G67" s="276"/>
      <c r="H67" s="281"/>
      <c r="I67" s="281"/>
      <c r="J67" s="281"/>
      <c r="K67" s="281"/>
      <c r="L67" s="281"/>
      <c r="M67" s="281"/>
      <c r="N67" s="281"/>
      <c r="O67" s="281"/>
      <c r="P67" s="281"/>
      <c r="Q67" s="281"/>
      <c r="R67" s="281"/>
      <c r="S67" s="281"/>
      <c r="T67" s="281"/>
      <c r="U67" s="281"/>
      <c r="V67" s="281"/>
      <c r="W67" s="283"/>
      <c r="X67" s="52"/>
      <c r="Y67" s="52"/>
      <c r="Z67" s="52"/>
      <c r="AA67" s="43"/>
      <c r="AB67" s="43"/>
      <c r="AC67" s="43"/>
      <c r="AD67" s="43"/>
      <c r="AE67" s="43"/>
      <c r="AF67" s="43"/>
      <c r="AG67" s="43"/>
      <c r="AH67" s="43"/>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row>
    <row r="68" spans="1:66" ht="15.6" customHeight="1" x14ac:dyDescent="0.3">
      <c r="A68" s="98"/>
      <c r="B68" s="280">
        <v>2022</v>
      </c>
      <c r="C68" s="357">
        <f>F22/S22*100</f>
        <v>9.6306415446578573</v>
      </c>
      <c r="D68" s="276"/>
      <c r="E68" s="276"/>
      <c r="F68" s="276"/>
      <c r="G68" s="276"/>
      <c r="H68" s="284"/>
      <c r="I68" s="284"/>
      <c r="J68" s="284"/>
      <c r="K68" s="284"/>
      <c r="L68" s="284"/>
      <c r="M68" s="284"/>
      <c r="N68" s="284"/>
      <c r="O68" s="284"/>
      <c r="P68" s="284"/>
      <c r="Q68" s="284"/>
      <c r="R68" s="284"/>
      <c r="S68" s="284"/>
      <c r="T68" s="284"/>
      <c r="U68" s="284"/>
      <c r="V68" s="284"/>
      <c r="W68" s="98"/>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row>
    <row r="69" spans="1:66" ht="15.6" customHeight="1" x14ac:dyDescent="0.3">
      <c r="A69" s="98"/>
      <c r="B69" s="275">
        <v>2023</v>
      </c>
      <c r="C69" s="357">
        <f>G22/$T22*100</f>
        <v>9.8157417281948369</v>
      </c>
      <c r="D69" s="357">
        <f>H22/$T22*100</f>
        <v>12.032730750340763</v>
      </c>
      <c r="E69" s="357">
        <f>I22/$T22*100</f>
        <v>10.091699174800164</v>
      </c>
      <c r="F69" s="357">
        <f>J22/$T22*100</f>
        <v>10.996845047931259</v>
      </c>
      <c r="G69" s="357">
        <f>K22/$T22*100</f>
        <v>10.549888781042583</v>
      </c>
      <c r="H69" s="277"/>
      <c r="I69" s="277"/>
      <c r="J69" s="277"/>
      <c r="K69" s="277"/>
      <c r="L69" s="277"/>
      <c r="M69" s="277"/>
      <c r="N69" s="277"/>
      <c r="O69" s="277"/>
      <c r="P69" s="277"/>
      <c r="Q69" s="277"/>
      <c r="R69" s="277"/>
      <c r="S69" s="277"/>
      <c r="T69" s="277"/>
      <c r="U69" s="277"/>
      <c r="V69" s="277"/>
      <c r="W69" s="98"/>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row>
    <row r="70" spans="1:66" ht="15.6" customHeight="1" x14ac:dyDescent="0.3">
      <c r="A70" s="98"/>
      <c r="B70" s="280">
        <v>2024</v>
      </c>
      <c r="C70" s="276"/>
      <c r="D70" s="358"/>
      <c r="E70" s="357"/>
      <c r="F70" s="357"/>
      <c r="G70" s="357"/>
      <c r="H70" s="284"/>
      <c r="I70" s="284"/>
      <c r="J70" s="284"/>
      <c r="K70" s="284"/>
      <c r="L70" s="284"/>
      <c r="M70" s="284"/>
      <c r="N70" s="284"/>
      <c r="O70" s="284"/>
      <c r="P70" s="284"/>
      <c r="Q70" s="284"/>
      <c r="R70" s="284"/>
      <c r="S70" s="284"/>
      <c r="T70" s="284"/>
      <c r="U70" s="284"/>
      <c r="V70" s="284"/>
      <c r="W70" s="98"/>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row>
    <row r="71" spans="1:66" ht="15.6" customHeight="1" x14ac:dyDescent="0.3">
      <c r="A71" s="98"/>
      <c r="B71" s="275">
        <v>2025</v>
      </c>
      <c r="C71" s="276"/>
      <c r="D71" s="358"/>
      <c r="E71" s="357"/>
      <c r="F71" s="357"/>
      <c r="G71" s="357"/>
      <c r="H71" s="284"/>
      <c r="I71" s="284"/>
      <c r="J71" s="284"/>
      <c r="K71" s="284"/>
      <c r="L71" s="284"/>
      <c r="M71" s="284"/>
      <c r="N71" s="284"/>
      <c r="O71" s="284"/>
      <c r="P71" s="284"/>
      <c r="Q71" s="284"/>
      <c r="R71" s="284"/>
      <c r="S71" s="284"/>
      <c r="T71" s="284"/>
      <c r="U71" s="284"/>
      <c r="V71" s="284"/>
      <c r="W71" s="98"/>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row>
    <row r="72" spans="1:66" ht="15.6" customHeight="1" x14ac:dyDescent="0.3">
      <c r="A72" s="98"/>
      <c r="B72" s="280">
        <v>2026</v>
      </c>
      <c r="C72" s="276"/>
      <c r="D72" s="357"/>
      <c r="E72" s="357"/>
      <c r="F72" s="357"/>
      <c r="G72" s="357"/>
      <c r="H72" s="277"/>
      <c r="I72" s="277"/>
      <c r="J72" s="277"/>
      <c r="K72" s="277"/>
      <c r="L72" s="277"/>
      <c r="M72" s="277"/>
      <c r="N72" s="277"/>
      <c r="O72" s="277"/>
      <c r="P72" s="277"/>
      <c r="Q72" s="277"/>
      <c r="R72" s="277"/>
      <c r="S72" s="277"/>
      <c r="T72" s="277"/>
      <c r="U72" s="277"/>
      <c r="V72" s="277"/>
      <c r="W72" s="98"/>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row>
    <row r="73" spans="1:66" ht="12.6" customHeight="1" x14ac:dyDescent="0.3">
      <c r="A73" s="98"/>
      <c r="B73" s="98"/>
      <c r="C73" s="98"/>
      <c r="D73" s="98"/>
      <c r="E73" s="98"/>
      <c r="F73" s="98"/>
      <c r="G73" s="98"/>
      <c r="H73" s="98"/>
      <c r="I73" s="98"/>
      <c r="J73" s="98"/>
      <c r="K73" s="98"/>
      <c r="L73" s="98"/>
      <c r="M73" s="98"/>
      <c r="N73" s="98"/>
      <c r="O73" s="98"/>
      <c r="P73" s="98"/>
      <c r="Q73" s="98"/>
      <c r="R73" s="98"/>
      <c r="S73" s="98"/>
      <c r="T73" s="98"/>
      <c r="U73" s="98"/>
      <c r="V73" s="98"/>
      <c r="W73" s="98"/>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row>
    <row r="74" spans="1:66" ht="12.6" customHeight="1" x14ac:dyDescent="0.3">
      <c r="A74" s="98"/>
      <c r="B74" s="98"/>
      <c r="C74" s="285"/>
      <c r="D74" s="98"/>
      <c r="E74" s="98"/>
      <c r="F74" s="98"/>
      <c r="G74" s="98"/>
      <c r="H74" s="98"/>
      <c r="I74" s="98"/>
      <c r="J74" s="98"/>
      <c r="K74" s="98"/>
      <c r="L74" s="98"/>
      <c r="M74" s="98"/>
      <c r="N74" s="98"/>
      <c r="O74" s="98"/>
      <c r="P74" s="98"/>
      <c r="Q74" s="98"/>
      <c r="R74" s="98"/>
      <c r="S74" s="98"/>
      <c r="T74" s="98"/>
      <c r="U74" s="98"/>
      <c r="V74" s="98"/>
      <c r="W74" s="98"/>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row>
    <row r="75" spans="1:66" ht="12.6" customHeight="1" x14ac:dyDescent="0.3">
      <c r="A75" s="98"/>
      <c r="B75" s="98"/>
      <c r="C75" s="98"/>
      <c r="D75" s="98"/>
      <c r="E75" s="98"/>
      <c r="F75" s="98"/>
      <c r="G75" s="98"/>
      <c r="H75" s="98"/>
      <c r="I75" s="98"/>
      <c r="J75" s="98"/>
      <c r="K75" s="98"/>
      <c r="L75" s="98"/>
      <c r="M75" s="98"/>
      <c r="N75" s="98"/>
      <c r="O75" s="98"/>
      <c r="P75" s="98"/>
      <c r="Q75" s="98"/>
      <c r="R75" s="98"/>
      <c r="S75" s="98"/>
      <c r="T75" s="98"/>
      <c r="U75" s="98"/>
      <c r="V75" s="98"/>
      <c r="W75" s="98"/>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row>
    <row r="76" spans="1:66" ht="18" customHeight="1" x14ac:dyDescent="0.3">
      <c r="A76" s="98"/>
      <c r="B76" s="98"/>
      <c r="C76" s="98"/>
      <c r="D76" s="98"/>
      <c r="E76" s="98"/>
      <c r="F76" s="98"/>
      <c r="G76" s="98"/>
      <c r="H76" s="98"/>
      <c r="I76" s="98"/>
      <c r="J76" s="98"/>
      <c r="K76" s="98"/>
      <c r="L76" s="98"/>
      <c r="M76" s="98"/>
      <c r="N76" s="98"/>
      <c r="O76" s="98"/>
      <c r="P76" s="98"/>
      <c r="Q76" s="98"/>
      <c r="R76" s="98"/>
      <c r="S76" s="98"/>
      <c r="T76" s="98"/>
      <c r="U76" s="98"/>
      <c r="V76" s="98"/>
      <c r="W76" s="98"/>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row>
    <row r="77" spans="1:66" ht="42" customHeight="1" x14ac:dyDescent="0.3">
      <c r="A77" s="98"/>
      <c r="B77" s="356" t="s">
        <v>203</v>
      </c>
      <c r="C77" s="271" t="s">
        <v>202</v>
      </c>
      <c r="D77" s="272" t="s">
        <v>172</v>
      </c>
      <c r="E77" s="272" t="s">
        <v>173</v>
      </c>
      <c r="F77" s="273" t="s">
        <v>174</v>
      </c>
      <c r="G77" s="272" t="s">
        <v>175</v>
      </c>
      <c r="H77" s="98"/>
      <c r="I77" s="98"/>
      <c r="J77" s="98"/>
      <c r="K77" s="98"/>
      <c r="L77" s="98"/>
      <c r="M77" s="98"/>
      <c r="N77" s="98"/>
      <c r="O77" s="98"/>
      <c r="P77" s="98"/>
      <c r="Q77" s="98"/>
      <c r="R77" s="98"/>
      <c r="S77" s="98"/>
      <c r="T77" s="98"/>
      <c r="U77" s="98"/>
      <c r="V77" s="98"/>
      <c r="W77" s="98"/>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row>
    <row r="78" spans="1:66" ht="15.6" customHeight="1" x14ac:dyDescent="0.3">
      <c r="A78" s="98"/>
      <c r="B78" s="275">
        <v>2019</v>
      </c>
      <c r="C78" s="357">
        <f>C65</f>
        <v>10.016682216654242</v>
      </c>
      <c r="D78" s="276"/>
      <c r="E78" s="276"/>
      <c r="F78" s="276"/>
      <c r="G78" s="276"/>
      <c r="H78" s="98"/>
      <c r="I78" s="98"/>
      <c r="J78" s="98"/>
      <c r="K78" s="98"/>
      <c r="L78" s="98"/>
      <c r="M78" s="98"/>
      <c r="N78" s="98"/>
      <c r="O78" s="98"/>
      <c r="P78" s="98"/>
      <c r="Q78" s="98"/>
      <c r="R78" s="98"/>
      <c r="S78" s="98"/>
      <c r="T78" s="98"/>
      <c r="U78" s="98"/>
      <c r="V78" s="98"/>
      <c r="W78" s="98"/>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row>
    <row r="79" spans="1:66" s="1" customFormat="1" ht="15" customHeight="1" x14ac:dyDescent="0.3">
      <c r="A79" s="98"/>
      <c r="B79" s="280">
        <v>2020</v>
      </c>
      <c r="C79" s="357">
        <f>C66</f>
        <v>9.5311784897821479</v>
      </c>
      <c r="D79" s="276"/>
      <c r="E79" s="276"/>
      <c r="F79" s="276"/>
      <c r="G79" s="276"/>
      <c r="H79" s="98"/>
      <c r="I79" s="98"/>
      <c r="J79" s="98"/>
      <c r="K79" s="98"/>
      <c r="L79" s="98"/>
      <c r="M79" s="98"/>
      <c r="N79" s="98"/>
      <c r="O79" s="98"/>
      <c r="P79" s="98"/>
      <c r="Q79" s="98"/>
      <c r="R79" s="98"/>
      <c r="S79" s="98"/>
      <c r="T79" s="98"/>
      <c r="U79" s="98"/>
      <c r="V79" s="98"/>
      <c r="W79" s="98"/>
    </row>
    <row r="80" spans="1:66" s="1" customFormat="1" ht="15" customHeight="1" x14ac:dyDescent="0.3">
      <c r="A80" s="98"/>
      <c r="B80" s="275">
        <v>2021</v>
      </c>
      <c r="C80" s="357">
        <f>C67</f>
        <v>10.269571169255046</v>
      </c>
      <c r="D80" s="276"/>
      <c r="E80" s="276"/>
      <c r="F80" s="276"/>
      <c r="G80" s="276"/>
      <c r="H80" s="98"/>
      <c r="I80" s="98"/>
      <c r="J80" s="98"/>
      <c r="K80" s="98"/>
      <c r="L80" s="98"/>
      <c r="M80" s="98"/>
      <c r="N80" s="98"/>
      <c r="O80" s="98"/>
      <c r="P80" s="98"/>
      <c r="Q80" s="98"/>
      <c r="R80" s="98"/>
      <c r="S80" s="98"/>
      <c r="T80" s="98"/>
      <c r="U80" s="98"/>
      <c r="V80" s="98"/>
      <c r="W80" s="98"/>
    </row>
    <row r="81" spans="1:23" s="1" customFormat="1" ht="15" customHeight="1" x14ac:dyDescent="0.3">
      <c r="A81" s="98"/>
      <c r="B81" s="280">
        <v>2022</v>
      </c>
      <c r="C81" s="357">
        <f>C68</f>
        <v>9.6306415446578573</v>
      </c>
      <c r="D81" s="276"/>
      <c r="E81" s="276"/>
      <c r="F81" s="276"/>
      <c r="G81" s="276"/>
      <c r="H81" s="98"/>
      <c r="I81" s="98"/>
      <c r="J81" s="98"/>
      <c r="K81" s="98"/>
      <c r="L81" s="98"/>
      <c r="M81" s="98"/>
      <c r="N81" s="98"/>
      <c r="O81" s="98"/>
      <c r="P81" s="98"/>
      <c r="Q81" s="98"/>
      <c r="R81" s="98"/>
      <c r="S81" s="98"/>
      <c r="T81" s="98"/>
      <c r="U81" s="98"/>
      <c r="V81" s="98"/>
      <c r="W81" s="98"/>
    </row>
    <row r="82" spans="1:23" s="1" customFormat="1" ht="15" customHeight="1" x14ac:dyDescent="0.3">
      <c r="A82" s="98"/>
      <c r="B82" s="275">
        <v>2023</v>
      </c>
      <c r="C82" s="357">
        <f>C69</f>
        <v>9.8157417281948369</v>
      </c>
      <c r="D82" s="357">
        <f>D69</f>
        <v>12.032730750340763</v>
      </c>
      <c r="E82" s="357">
        <f>E69</f>
        <v>10.091699174800164</v>
      </c>
      <c r="F82" s="357">
        <f>F69</f>
        <v>10.996845047931259</v>
      </c>
      <c r="G82" s="357">
        <f>G69</f>
        <v>10.549888781042583</v>
      </c>
      <c r="H82" s="98"/>
      <c r="I82" s="98"/>
      <c r="J82" s="98"/>
      <c r="K82" s="98"/>
      <c r="L82" s="98"/>
      <c r="M82" s="98"/>
      <c r="N82" s="98"/>
      <c r="O82" s="98"/>
      <c r="P82" s="98"/>
      <c r="Q82" s="98"/>
      <c r="R82" s="98"/>
      <c r="S82" s="98"/>
      <c r="T82" s="98"/>
      <c r="U82" s="98"/>
      <c r="V82" s="98"/>
      <c r="W82" s="98"/>
    </row>
    <row r="83" spans="1:23" s="1" customFormat="1" ht="15" customHeight="1" x14ac:dyDescent="0.3">
      <c r="A83" s="98"/>
      <c r="B83" s="280">
        <v>2024</v>
      </c>
      <c r="C83" s="357"/>
      <c r="D83" s="358"/>
      <c r="E83" s="358"/>
      <c r="F83" s="358"/>
      <c r="G83" s="358"/>
      <c r="H83" s="98"/>
      <c r="I83" s="98"/>
      <c r="J83" s="98"/>
      <c r="K83" s="98"/>
      <c r="L83" s="98"/>
      <c r="M83" s="98"/>
      <c r="N83" s="98"/>
      <c r="O83" s="98"/>
      <c r="P83" s="98"/>
      <c r="Q83" s="98"/>
      <c r="R83" s="98"/>
      <c r="S83" s="98"/>
      <c r="T83" s="98"/>
      <c r="U83" s="98"/>
      <c r="V83" s="98"/>
      <c r="W83" s="98"/>
    </row>
    <row r="84" spans="1:23" s="1" customFormat="1" ht="15" customHeight="1" x14ac:dyDescent="0.3">
      <c r="A84" s="98"/>
      <c r="B84" s="275">
        <v>2025</v>
      </c>
      <c r="C84" s="357"/>
      <c r="D84" s="358"/>
      <c r="E84" s="358"/>
      <c r="F84" s="358"/>
      <c r="G84" s="358"/>
      <c r="H84" s="98"/>
      <c r="I84" s="98"/>
      <c r="J84" s="98"/>
      <c r="K84" s="98"/>
      <c r="L84" s="98"/>
      <c r="M84" s="98"/>
      <c r="N84" s="98"/>
      <c r="O84" s="98"/>
      <c r="P84" s="98"/>
      <c r="Q84" s="98"/>
      <c r="R84" s="98"/>
      <c r="S84" s="98"/>
      <c r="T84" s="98"/>
      <c r="U84" s="98"/>
      <c r="V84" s="98"/>
      <c r="W84" s="98"/>
    </row>
    <row r="85" spans="1:23" s="1" customFormat="1" ht="15" customHeight="1" x14ac:dyDescent="0.3">
      <c r="A85" s="98"/>
      <c r="B85" s="280">
        <v>2026</v>
      </c>
      <c r="C85" s="357"/>
      <c r="D85" s="357"/>
      <c r="E85" s="357"/>
      <c r="F85" s="357"/>
      <c r="G85" s="357"/>
      <c r="H85" s="98"/>
      <c r="I85" s="98"/>
      <c r="J85" s="98"/>
      <c r="K85" s="98"/>
      <c r="L85" s="98"/>
      <c r="M85" s="98"/>
      <c r="N85" s="98"/>
      <c r="O85" s="98"/>
      <c r="P85" s="98"/>
      <c r="Q85" s="98"/>
      <c r="R85" s="98"/>
      <c r="S85" s="98"/>
      <c r="T85" s="98"/>
      <c r="U85" s="98"/>
      <c r="V85" s="98"/>
      <c r="W85" s="98"/>
    </row>
    <row r="86" spans="1:23" s="1" customFormat="1" ht="12.6" customHeight="1" x14ac:dyDescent="0.3">
      <c r="A86" s="98"/>
      <c r="B86" s="98"/>
      <c r="C86" s="98"/>
      <c r="D86" s="285"/>
      <c r="E86" s="98"/>
      <c r="F86" s="98"/>
      <c r="G86" s="98"/>
      <c r="H86" s="98"/>
      <c r="I86" s="98"/>
      <c r="J86" s="98"/>
      <c r="K86" s="98"/>
      <c r="L86" s="98"/>
      <c r="M86" s="98"/>
      <c r="N86" s="98"/>
      <c r="O86" s="98"/>
      <c r="P86" s="98"/>
      <c r="Q86" s="98"/>
      <c r="R86" s="98"/>
      <c r="S86" s="98"/>
      <c r="T86" s="98"/>
      <c r="U86" s="98"/>
      <c r="V86" s="98"/>
      <c r="W86" s="98"/>
    </row>
    <row r="87" spans="1:23" s="1" customFormat="1" ht="12.6" customHeight="1" x14ac:dyDescent="0.3">
      <c r="A87" s="98"/>
      <c r="B87" s="98"/>
      <c r="C87" s="98"/>
      <c r="D87" s="98"/>
      <c r="E87" s="98"/>
      <c r="F87" s="98"/>
      <c r="G87" s="98"/>
      <c r="H87" s="98"/>
      <c r="I87" s="98"/>
      <c r="J87" s="98"/>
      <c r="K87" s="98"/>
      <c r="L87" s="98"/>
      <c r="M87" s="98"/>
      <c r="N87" s="98"/>
      <c r="O87" s="98"/>
      <c r="P87" s="98"/>
      <c r="Q87" s="98"/>
      <c r="R87" s="98"/>
      <c r="S87" s="98"/>
      <c r="T87" s="98"/>
      <c r="U87" s="98"/>
      <c r="V87" s="98"/>
      <c r="W87" s="98"/>
    </row>
    <row r="88" spans="1:23" s="1" customFormat="1" ht="12.6" customHeight="1" x14ac:dyDescent="0.3">
      <c r="A88" s="98"/>
      <c r="B88" s="98"/>
      <c r="C88" s="98"/>
      <c r="D88" s="98"/>
      <c r="E88" s="98"/>
      <c r="F88" s="98"/>
      <c r="G88" s="98"/>
      <c r="H88" s="98"/>
      <c r="I88" s="98"/>
      <c r="J88" s="98"/>
      <c r="K88" s="98"/>
      <c r="L88" s="98"/>
      <c r="M88" s="98"/>
      <c r="N88" s="98"/>
      <c r="O88" s="98"/>
      <c r="P88" s="98"/>
      <c r="Q88" s="98"/>
      <c r="R88" s="98"/>
      <c r="S88" s="98"/>
      <c r="T88" s="98"/>
      <c r="U88" s="98"/>
      <c r="V88" s="98"/>
      <c r="W88" s="98"/>
    </row>
    <row r="89" spans="1:23" s="1" customFormat="1" ht="12.6" customHeight="1" x14ac:dyDescent="0.3"/>
    <row r="90" spans="1:23" s="1" customFormat="1" ht="12.6" customHeight="1" x14ac:dyDescent="0.3"/>
    <row r="91" spans="1:23" s="1" customFormat="1" x14ac:dyDescent="0.3"/>
    <row r="92" spans="1:23" s="1" customFormat="1" x14ac:dyDescent="0.3"/>
    <row r="93" spans="1:23" s="1" customFormat="1" x14ac:dyDescent="0.3"/>
    <row r="94" spans="1:23" s="1" customFormat="1" x14ac:dyDescent="0.3"/>
    <row r="95" spans="1:23" s="1" customFormat="1" x14ac:dyDescent="0.3"/>
    <row r="96" spans="1:23" s="1" customFormat="1" x14ac:dyDescent="0.3"/>
    <row r="97" s="1" customFormat="1" x14ac:dyDescent="0.3"/>
    <row r="98" s="1" customFormat="1" x14ac:dyDescent="0.3"/>
    <row r="99" s="1" customFormat="1" x14ac:dyDescent="0.3"/>
    <row r="100" s="1" customFormat="1" x14ac:dyDescent="0.3"/>
    <row r="101" s="1" customFormat="1" x14ac:dyDescent="0.3"/>
    <row r="102" s="1" customFormat="1" x14ac:dyDescent="0.3"/>
    <row r="103" s="1" customFormat="1" x14ac:dyDescent="0.3"/>
    <row r="104" s="1" customFormat="1" x14ac:dyDescent="0.3"/>
    <row r="105" s="1" customFormat="1" x14ac:dyDescent="0.3"/>
    <row r="106" s="1" customFormat="1" x14ac:dyDescent="0.3"/>
    <row r="107" s="1" customFormat="1" x14ac:dyDescent="0.3"/>
    <row r="108" s="1" customFormat="1" x14ac:dyDescent="0.3"/>
    <row r="109" s="1" customFormat="1" x14ac:dyDescent="0.3"/>
    <row r="110" s="1" customFormat="1" x14ac:dyDescent="0.3"/>
    <row r="111" s="1" customFormat="1" x14ac:dyDescent="0.3"/>
    <row r="112" s="1" customFormat="1" x14ac:dyDescent="0.3"/>
    <row r="113" s="1" customFormat="1" x14ac:dyDescent="0.3"/>
    <row r="114" s="1" customFormat="1" x14ac:dyDescent="0.3"/>
    <row r="115" s="1" customFormat="1" x14ac:dyDescent="0.3"/>
    <row r="116" s="1" customFormat="1" x14ac:dyDescent="0.3"/>
    <row r="117" s="1" customFormat="1" x14ac:dyDescent="0.3"/>
    <row r="118" s="1" customFormat="1" x14ac:dyDescent="0.3"/>
    <row r="119" s="1" customFormat="1" x14ac:dyDescent="0.3"/>
    <row r="120" s="1" customFormat="1" x14ac:dyDescent="0.3"/>
    <row r="121" s="1" customFormat="1" x14ac:dyDescent="0.3"/>
  </sheetData>
  <pageMargins left="0.7" right="0.7" top="0.75" bottom="0.75" header="0.3" footer="0.3"/>
  <pageSetup paperSize="9" orientation="portrait"/>
  <drawing r:id="rId1"/>
  <legacyDrawing r:id="rId2"/>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C3D82-FD2C-4A53-AD8D-D36AA8CB814F}">
  <dimension ref="A1:FQ27"/>
  <sheetViews>
    <sheetView zoomScale="85" zoomScaleNormal="85" workbookViewId="0">
      <selection activeCell="AH35" sqref="AH35"/>
    </sheetView>
  </sheetViews>
  <sheetFormatPr baseColWidth="10" defaultColWidth="8.6640625" defaultRowHeight="14.4" x14ac:dyDescent="0.3"/>
  <cols>
    <col min="1" max="1" width="4.33203125" customWidth="1"/>
    <col min="3" max="3" width="15.6640625" customWidth="1"/>
    <col min="4" max="7" width="14.5546875" customWidth="1"/>
    <col min="8" max="15" width="18" customWidth="1"/>
    <col min="16" max="17" width="18.6640625" customWidth="1"/>
    <col min="18" max="18" width="15.33203125" customWidth="1"/>
    <col min="19" max="22" width="18" customWidth="1"/>
    <col min="23" max="31" width="14.6640625" customWidth="1"/>
    <col min="32" max="32" width="15.33203125" customWidth="1"/>
    <col min="33" max="33" width="14.6640625" customWidth="1"/>
    <col min="34" max="41" width="13.5546875" customWidth="1"/>
    <col min="42" max="42" width="15.5546875" customWidth="1"/>
    <col min="43" max="43" width="13" customWidth="1"/>
    <col min="44" max="44" width="11.33203125" customWidth="1"/>
    <col min="45" max="45" width="12.33203125" customWidth="1"/>
    <col min="46" max="50" width="11.33203125" customWidth="1"/>
    <col min="51" max="51" width="13.44140625" customWidth="1"/>
    <col min="56" max="56" width="9.6640625" customWidth="1"/>
    <col min="60" max="60" width="16.44140625" customWidth="1"/>
    <col min="61" max="61" width="16.33203125" customWidth="1"/>
    <col min="62" max="63" width="15.33203125" customWidth="1"/>
    <col min="68" max="68" width="11.44140625" bestFit="1" customWidth="1"/>
    <col min="69" max="69" width="13.5546875" customWidth="1"/>
    <col min="70" max="70" width="13.6640625" customWidth="1"/>
    <col min="71" max="71" width="12.44140625" customWidth="1"/>
    <col min="72" max="77" width="12.6640625" customWidth="1"/>
    <col min="78" max="80" width="11.33203125" customWidth="1"/>
    <col min="81" max="85" width="11.6640625" hidden="1" customWidth="1"/>
    <col min="86" max="86" width="13.33203125" hidden="1" customWidth="1"/>
    <col min="87" max="88" width="11.6640625" hidden="1" customWidth="1"/>
    <col min="89" max="94" width="12.6640625" customWidth="1"/>
    <col min="95" max="96" width="11.33203125" customWidth="1"/>
    <col min="97" max="104" width="11.6640625" customWidth="1"/>
    <col min="105" max="108" width="13.44140625" customWidth="1"/>
    <col min="110" max="130" width="0.5546875" customWidth="1"/>
    <col min="131" max="132" width="15.5546875" customWidth="1"/>
    <col min="133" max="133" width="15.33203125" customWidth="1"/>
    <col min="134" max="134" width="14.5546875" customWidth="1"/>
    <col min="135" max="135" width="16.5546875" customWidth="1"/>
    <col min="136" max="138" width="18" customWidth="1"/>
    <col min="139" max="142" width="15.33203125" customWidth="1"/>
    <col min="143" max="143" width="11" customWidth="1"/>
    <col min="144" max="145" width="16" customWidth="1"/>
    <col min="146" max="146" width="9.33203125" customWidth="1"/>
    <col min="147" max="150" width="17" customWidth="1"/>
    <col min="153" max="153" width="10.6640625" customWidth="1"/>
    <col min="156" max="157" width="11.33203125" customWidth="1"/>
    <col min="158" max="161" width="9.6640625" customWidth="1"/>
    <col min="162" max="165" width="11.5546875" customWidth="1"/>
  </cols>
  <sheetData>
    <row r="1" spans="1:173" ht="15" thickBot="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ht="18" customHeight="1" thickBot="1" x14ac:dyDescent="0.35">
      <c r="A2" s="1"/>
      <c r="B2" s="2" t="s">
        <v>579</v>
      </c>
      <c r="C2" s="3"/>
      <c r="D2" s="3"/>
      <c r="E2" s="3"/>
      <c r="F2" s="3"/>
      <c r="G2" s="3"/>
      <c r="H2" s="4"/>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18" customHeight="1" x14ac:dyDescent="0.3">
      <c r="A3" s="1"/>
      <c r="B3" s="5" t="s">
        <v>0</v>
      </c>
      <c r="C3" s="6"/>
      <c r="D3" s="6"/>
      <c r="E3" s="6"/>
      <c r="F3" s="6"/>
      <c r="G3" s="6"/>
      <c r="H3" s="7"/>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18" customHeight="1" x14ac:dyDescent="0.3">
      <c r="A4" s="1"/>
      <c r="B4" s="8" t="s">
        <v>1</v>
      </c>
      <c r="C4" s="9"/>
      <c r="D4" s="9"/>
      <c r="E4" s="9"/>
      <c r="F4" s="9"/>
      <c r="G4" s="9"/>
      <c r="H4" s="10"/>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12.6" customHeight="1" x14ac:dyDescent="0.3">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row>
    <row r="6" spans="1:173" ht="12.6" customHeight="1" x14ac:dyDescent="0.3">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row>
    <row r="7" spans="1:173" ht="12.6" customHeight="1" x14ac:dyDescent="0.3">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c r="EU7" s="1"/>
      <c r="EV7" s="1"/>
      <c r="EW7" s="1"/>
      <c r="EX7" s="1"/>
      <c r="EY7" s="1"/>
      <c r="EZ7" s="1"/>
      <c r="FA7" s="1"/>
      <c r="FB7" s="1"/>
      <c r="FC7" s="1"/>
      <c r="FD7" s="1"/>
      <c r="FE7" s="1"/>
      <c r="FF7" s="1"/>
      <c r="FG7" s="1"/>
      <c r="FH7" s="1"/>
      <c r="FI7" s="1"/>
      <c r="FJ7" s="1"/>
      <c r="FK7" s="1"/>
      <c r="FL7" s="1"/>
      <c r="FM7" s="1"/>
      <c r="FN7" s="1"/>
      <c r="FO7" s="1"/>
      <c r="FP7" s="1"/>
      <c r="FQ7" s="1"/>
    </row>
    <row r="8" spans="1:173" ht="17.7" customHeight="1" x14ac:dyDescent="0.3">
      <c r="A8" s="1"/>
      <c r="B8" s="11" t="s">
        <v>2</v>
      </c>
      <c r="C8" s="12" t="s">
        <v>254</v>
      </c>
      <c r="D8" s="12" t="s">
        <v>255</v>
      </c>
      <c r="E8" s="124" t="s">
        <v>256</v>
      </c>
      <c r="F8" s="125"/>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56"/>
      <c r="CD8" s="56"/>
      <c r="CE8" s="56"/>
      <c r="CF8" s="56"/>
      <c r="CG8" s="56"/>
      <c r="CH8" s="56"/>
      <c r="CI8" s="56"/>
      <c r="CJ8" s="56"/>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row>
    <row r="9" spans="1:173" ht="10.35" customHeight="1" x14ac:dyDescent="0.3">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56"/>
      <c r="CD9" s="56"/>
      <c r="CE9" s="56"/>
      <c r="CF9" s="56"/>
      <c r="CG9" s="56"/>
      <c r="CH9" s="56"/>
      <c r="CI9" s="56"/>
      <c r="CJ9" s="56"/>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row>
    <row r="10" spans="1:173" x14ac:dyDescent="0.3">
      <c r="A10" s="1"/>
      <c r="B10" s="1"/>
      <c r="C10" s="13" t="s">
        <v>6</v>
      </c>
      <c r="D10" s="14"/>
      <c r="E10" s="14"/>
      <c r="F10" s="14"/>
      <c r="G10" s="14"/>
      <c r="H10" s="14"/>
      <c r="I10" s="14"/>
      <c r="J10" s="14"/>
      <c r="K10" s="14"/>
      <c r="L10" s="14"/>
      <c r="M10" s="14"/>
      <c r="N10" s="14"/>
      <c r="O10" s="14"/>
      <c r="P10" s="15" t="s">
        <v>580</v>
      </c>
      <c r="Q10" s="16"/>
      <c r="R10" s="16"/>
      <c r="S10" s="16"/>
      <c r="T10" s="16"/>
      <c r="U10" s="16"/>
      <c r="V10" s="16"/>
      <c r="W10" s="13" t="s">
        <v>628</v>
      </c>
      <c r="X10" s="17"/>
      <c r="Y10" s="17"/>
      <c r="Z10" s="17"/>
      <c r="AA10" s="17"/>
      <c r="AB10" s="17"/>
      <c r="AC10" s="17"/>
      <c r="AD10" s="13" t="s">
        <v>629</v>
      </c>
      <c r="AE10" s="17"/>
      <c r="AF10" s="17"/>
      <c r="AG10" s="18"/>
      <c r="AH10" s="19" t="s">
        <v>630</v>
      </c>
      <c r="AI10" s="20"/>
      <c r="AJ10" s="16"/>
      <c r="AK10" s="16"/>
      <c r="AL10" s="16"/>
      <c r="AM10" s="16"/>
      <c r="AN10" s="16"/>
      <c r="AO10" s="16"/>
      <c r="AP10" s="21"/>
      <c r="AQ10" s="19" t="s">
        <v>9</v>
      </c>
      <c r="AR10" s="16"/>
      <c r="AS10" s="16"/>
      <c r="AT10" s="16"/>
      <c r="AU10" s="16"/>
      <c r="AV10" s="16"/>
      <c r="AW10" s="16"/>
      <c r="AX10" s="16"/>
      <c r="AY10" s="21"/>
      <c r="AZ10" s="22" t="s">
        <v>10</v>
      </c>
      <c r="BA10" s="23"/>
      <c r="BB10" s="23"/>
      <c r="BC10" s="23"/>
      <c r="BD10" s="23"/>
      <c r="BE10" s="23"/>
      <c r="BF10" s="23"/>
      <c r="BG10" s="23"/>
      <c r="BH10" s="23"/>
      <c r="BI10" s="23"/>
      <c r="BJ10" s="23"/>
      <c r="BK10" s="23"/>
      <c r="BL10" s="23"/>
      <c r="BM10" s="23"/>
      <c r="BN10" s="23"/>
      <c r="BO10" s="23"/>
      <c r="BP10" s="23"/>
      <c r="BQ10" s="23"/>
      <c r="BR10" s="24"/>
      <c r="BS10" s="11"/>
      <c r="BT10" s="19"/>
      <c r="BU10" s="16"/>
      <c r="BV10" s="16"/>
      <c r="BW10" s="16"/>
      <c r="BX10" s="16"/>
      <c r="BY10" s="16"/>
      <c r="BZ10" s="16"/>
      <c r="CA10" s="16"/>
      <c r="CB10" s="16"/>
      <c r="CC10" s="58" t="s">
        <v>12</v>
      </c>
      <c r="CD10" s="59"/>
      <c r="CE10" s="59"/>
      <c r="CF10" s="59"/>
      <c r="CG10" s="59"/>
      <c r="CH10" s="59"/>
      <c r="CI10" s="59"/>
      <c r="CJ10" s="59"/>
      <c r="CK10" s="19" t="s">
        <v>581</v>
      </c>
      <c r="CL10" s="16"/>
      <c r="CM10" s="16"/>
      <c r="CN10" s="16"/>
      <c r="CO10" s="16"/>
      <c r="CP10" s="16"/>
      <c r="CQ10" s="16"/>
      <c r="CR10" s="16"/>
      <c r="CS10" s="19" t="s">
        <v>582</v>
      </c>
      <c r="CT10" s="127"/>
      <c r="CU10" s="59"/>
      <c r="CV10" s="59"/>
      <c r="CW10" s="59"/>
      <c r="CX10" s="59"/>
      <c r="CY10" s="59"/>
      <c r="CZ10" s="59"/>
      <c r="DA10" s="15" t="s">
        <v>15</v>
      </c>
      <c r="DB10" s="60"/>
      <c r="DC10" s="60"/>
      <c r="DD10" s="8" t="s">
        <v>16</v>
      </c>
      <c r="DE10" s="10"/>
      <c r="DF10" s="1"/>
      <c r="DG10" s="1"/>
      <c r="DH10" s="1"/>
      <c r="DI10" s="1"/>
      <c r="DJ10" s="1"/>
      <c r="DK10" s="1"/>
      <c r="DL10" s="1"/>
      <c r="DM10" s="1"/>
      <c r="DN10" s="1"/>
      <c r="DO10" s="1"/>
      <c r="DP10" s="1"/>
      <c r="DQ10" s="1"/>
      <c r="DR10" s="1"/>
      <c r="DS10" s="1"/>
      <c r="DT10" s="1"/>
      <c r="DU10" s="1"/>
      <c r="DV10" s="1"/>
      <c r="DW10" s="1"/>
      <c r="DX10" s="1"/>
      <c r="DY10" s="1"/>
      <c r="DZ10" s="1"/>
      <c r="EA10" s="13" t="s">
        <v>17</v>
      </c>
      <c r="EB10" s="14"/>
      <c r="EC10" s="14"/>
      <c r="ED10" s="14"/>
      <c r="EE10" s="14"/>
      <c r="EF10" s="14"/>
      <c r="EG10" s="14"/>
      <c r="EH10" s="14"/>
      <c r="EI10" s="14"/>
      <c r="EJ10" s="14"/>
      <c r="EK10" s="14"/>
      <c r="EL10" s="14"/>
      <c r="EM10" s="14"/>
      <c r="EN10" s="15" t="s">
        <v>583</v>
      </c>
      <c r="EO10" s="16"/>
      <c r="EP10" s="16"/>
      <c r="EQ10" s="16"/>
      <c r="ER10" s="16"/>
      <c r="ES10" s="16"/>
      <c r="ET10" s="16"/>
      <c r="EU10" s="16"/>
      <c r="EV10" s="13" t="s">
        <v>631</v>
      </c>
      <c r="EW10" s="14"/>
      <c r="EX10" s="14"/>
      <c r="EY10" s="61"/>
      <c r="EZ10" s="62" t="s">
        <v>19</v>
      </c>
      <c r="FA10" s="10"/>
      <c r="FB10" s="14" t="s">
        <v>632</v>
      </c>
      <c r="FC10" s="17"/>
      <c r="FD10" s="17"/>
      <c r="FE10" s="17"/>
      <c r="FF10" s="17"/>
      <c r="FG10" s="17"/>
      <c r="FH10" s="17"/>
      <c r="FI10" s="18"/>
      <c r="FJ10" s="1"/>
      <c r="FK10" s="1"/>
      <c r="FL10" s="1"/>
      <c r="FM10" s="1"/>
      <c r="FN10" s="1"/>
      <c r="FO10" s="1"/>
      <c r="FP10" s="1"/>
      <c r="FQ10" s="1"/>
    </row>
    <row r="11" spans="1:173" ht="78.75" customHeight="1" x14ac:dyDescent="0.3">
      <c r="A11" s="1"/>
      <c r="B11" s="25" t="s">
        <v>20</v>
      </c>
      <c r="C11" s="26" t="s">
        <v>21</v>
      </c>
      <c r="D11" s="27" t="s">
        <v>22</v>
      </c>
      <c r="E11" s="27" t="s">
        <v>23</v>
      </c>
      <c r="F11" s="27" t="s">
        <v>24</v>
      </c>
      <c r="G11" s="27" t="s">
        <v>25</v>
      </c>
      <c r="H11" s="27" t="s">
        <v>26</v>
      </c>
      <c r="I11" s="27" t="s">
        <v>27</v>
      </c>
      <c r="J11" s="121"/>
      <c r="K11" s="27" t="s">
        <v>29</v>
      </c>
      <c r="L11" s="27" t="s">
        <v>30</v>
      </c>
      <c r="M11" s="27" t="s">
        <v>31</v>
      </c>
      <c r="N11" s="27" t="s">
        <v>32</v>
      </c>
      <c r="O11" s="27" t="s">
        <v>33</v>
      </c>
      <c r="P11" s="26" t="s">
        <v>21</v>
      </c>
      <c r="Q11" s="27" t="s">
        <v>22</v>
      </c>
      <c r="R11" s="27" t="s">
        <v>34</v>
      </c>
      <c r="S11" s="27" t="s">
        <v>29</v>
      </c>
      <c r="T11" s="27" t="s">
        <v>30</v>
      </c>
      <c r="U11" s="27" t="s">
        <v>31</v>
      </c>
      <c r="V11" s="27" t="s">
        <v>32</v>
      </c>
      <c r="W11" s="27" t="s">
        <v>22</v>
      </c>
      <c r="X11" s="27" t="s">
        <v>23</v>
      </c>
      <c r="Y11" s="27" t="s">
        <v>35</v>
      </c>
      <c r="Z11" s="27" t="s">
        <v>36</v>
      </c>
      <c r="AA11" s="27" t="s">
        <v>26</v>
      </c>
      <c r="AB11" s="27" t="s">
        <v>27</v>
      </c>
      <c r="AC11" s="27" t="s">
        <v>28</v>
      </c>
      <c r="AD11" s="27" t="s">
        <v>29</v>
      </c>
      <c r="AE11" s="27" t="s">
        <v>30</v>
      </c>
      <c r="AF11" s="27" t="s">
        <v>31</v>
      </c>
      <c r="AG11" s="27" t="s">
        <v>32</v>
      </c>
      <c r="AH11" s="27" t="s">
        <v>37</v>
      </c>
      <c r="AI11" s="27" t="s">
        <v>38</v>
      </c>
      <c r="AJ11" s="27" t="s">
        <v>39</v>
      </c>
      <c r="AK11" s="27" t="s">
        <v>40</v>
      </c>
      <c r="AL11" s="27" t="s">
        <v>41</v>
      </c>
      <c r="AM11" s="27" t="s">
        <v>42</v>
      </c>
      <c r="AN11" s="121" t="s">
        <v>43</v>
      </c>
      <c r="AO11" s="27" t="s">
        <v>44</v>
      </c>
      <c r="AP11" s="27" t="s">
        <v>45</v>
      </c>
      <c r="AQ11" s="27" t="s">
        <v>37</v>
      </c>
      <c r="AR11" s="27" t="s">
        <v>38</v>
      </c>
      <c r="AS11" s="27" t="s">
        <v>39</v>
      </c>
      <c r="AT11" s="27" t="s">
        <v>40</v>
      </c>
      <c r="AU11" s="27" t="s">
        <v>41</v>
      </c>
      <c r="AV11" s="27" t="s">
        <v>42</v>
      </c>
      <c r="AW11" s="121"/>
      <c r="AX11" s="27" t="s">
        <v>44</v>
      </c>
      <c r="AY11" s="27" t="s">
        <v>45</v>
      </c>
      <c r="AZ11" s="27" t="s">
        <v>633</v>
      </c>
      <c r="BA11" s="27" t="s">
        <v>634</v>
      </c>
      <c r="BB11" s="27" t="s">
        <v>635</v>
      </c>
      <c r="BC11" s="27" t="s">
        <v>636</v>
      </c>
      <c r="BD11" s="27" t="s">
        <v>46</v>
      </c>
      <c r="BE11" s="27" t="s">
        <v>47</v>
      </c>
      <c r="BF11" s="27" t="s">
        <v>48</v>
      </c>
      <c r="BG11" s="27" t="s">
        <v>49</v>
      </c>
      <c r="BH11" s="27" t="s">
        <v>50</v>
      </c>
      <c r="BI11" s="27" t="s">
        <v>51</v>
      </c>
      <c r="BJ11" s="27" t="s">
        <v>52</v>
      </c>
      <c r="BK11" s="27" t="s">
        <v>53</v>
      </c>
      <c r="BL11" s="27" t="s">
        <v>54</v>
      </c>
      <c r="BM11" s="27" t="s">
        <v>55</v>
      </c>
      <c r="BN11" s="27" t="s">
        <v>56</v>
      </c>
      <c r="BO11" s="27" t="s">
        <v>57</v>
      </c>
      <c r="BP11" s="27" t="s">
        <v>637</v>
      </c>
      <c r="BQ11" s="27" t="s">
        <v>638</v>
      </c>
      <c r="BR11" s="27" t="s">
        <v>273</v>
      </c>
      <c r="BS11" s="27" t="s">
        <v>584</v>
      </c>
      <c r="BT11" s="27"/>
      <c r="BU11" s="27"/>
      <c r="BV11" s="27"/>
      <c r="BW11" s="27"/>
      <c r="BX11" s="27"/>
      <c r="BY11" s="27"/>
      <c r="BZ11" s="27"/>
      <c r="CA11" s="27"/>
      <c r="CB11" s="27"/>
      <c r="CC11" s="63" t="s">
        <v>68</v>
      </c>
      <c r="CD11" s="63" t="s">
        <v>69</v>
      </c>
      <c r="CE11" s="63" t="s">
        <v>70</v>
      </c>
      <c r="CF11" s="63" t="s">
        <v>71</v>
      </c>
      <c r="CG11" s="63" t="s">
        <v>72</v>
      </c>
      <c r="CH11" s="63" t="s">
        <v>73</v>
      </c>
      <c r="CI11" s="63" t="s">
        <v>74</v>
      </c>
      <c r="CJ11" s="63" t="s">
        <v>75</v>
      </c>
      <c r="CK11" s="27" t="s">
        <v>585</v>
      </c>
      <c r="CL11" s="27" t="s">
        <v>586</v>
      </c>
      <c r="CM11" s="27" t="s">
        <v>587</v>
      </c>
      <c r="CN11" s="27" t="s">
        <v>588</v>
      </c>
      <c r="CO11" s="27" t="s">
        <v>80</v>
      </c>
      <c r="CP11" s="27" t="s">
        <v>81</v>
      </c>
      <c r="CQ11" s="27" t="s">
        <v>82</v>
      </c>
      <c r="CR11" s="27" t="s">
        <v>589</v>
      </c>
      <c r="CS11" s="128" t="s">
        <v>590</v>
      </c>
      <c r="CT11" s="128" t="s">
        <v>591</v>
      </c>
      <c r="CU11" s="128" t="s">
        <v>592</v>
      </c>
      <c r="CV11" s="128" t="s">
        <v>593</v>
      </c>
      <c r="CW11" s="128" t="s">
        <v>88</v>
      </c>
      <c r="CX11" s="128" t="s">
        <v>89</v>
      </c>
      <c r="CY11" s="128" t="s">
        <v>90</v>
      </c>
      <c r="CZ11" s="128" t="s">
        <v>91</v>
      </c>
      <c r="DA11" s="64" t="s">
        <v>92</v>
      </c>
      <c r="DB11" s="64" t="s">
        <v>93</v>
      </c>
      <c r="DC11" s="64" t="s">
        <v>94</v>
      </c>
      <c r="DD11" s="64" t="s">
        <v>95</v>
      </c>
      <c r="DE11" s="64" t="s">
        <v>96</v>
      </c>
      <c r="DF11" s="1"/>
      <c r="DG11" s="1"/>
      <c r="DH11" s="1"/>
      <c r="DI11" s="1"/>
      <c r="DJ11" s="1"/>
      <c r="DK11" s="1"/>
      <c r="DL11" s="1"/>
      <c r="DM11" s="1"/>
      <c r="DN11" s="1"/>
      <c r="DO11" s="1"/>
      <c r="DP11" s="1"/>
      <c r="DQ11" s="1"/>
      <c r="DR11" s="1"/>
      <c r="DS11" s="1"/>
      <c r="DT11" s="1"/>
      <c r="DU11" s="1"/>
      <c r="DV11" s="1"/>
      <c r="DW11" s="1"/>
      <c r="DX11" s="1"/>
      <c r="DY11" s="1"/>
      <c r="DZ11" s="1"/>
      <c r="EA11" s="26" t="s">
        <v>97</v>
      </c>
      <c r="EB11" s="27" t="s">
        <v>98</v>
      </c>
      <c r="EC11" s="27" t="s">
        <v>99</v>
      </c>
      <c r="ED11" s="27" t="s">
        <v>100</v>
      </c>
      <c r="EE11" s="27" t="s">
        <v>101</v>
      </c>
      <c r="EF11" s="27" t="s">
        <v>102</v>
      </c>
      <c r="EG11" s="27" t="s">
        <v>103</v>
      </c>
      <c r="EH11" s="121"/>
      <c r="EI11" s="27" t="s">
        <v>104</v>
      </c>
      <c r="EJ11" s="27" t="s">
        <v>105</v>
      </c>
      <c r="EK11" s="27" t="s">
        <v>106</v>
      </c>
      <c r="EL11" s="27" t="s">
        <v>107</v>
      </c>
      <c r="EM11" s="27" t="s">
        <v>33</v>
      </c>
      <c r="EN11" s="27" t="s">
        <v>97</v>
      </c>
      <c r="EO11" s="27" t="s">
        <v>98</v>
      </c>
      <c r="EP11" s="27" t="s">
        <v>108</v>
      </c>
      <c r="EQ11" s="27" t="s">
        <v>104</v>
      </c>
      <c r="ER11" s="27" t="s">
        <v>105</v>
      </c>
      <c r="ES11" s="27" t="s">
        <v>106</v>
      </c>
      <c r="ET11" s="27" t="s">
        <v>107</v>
      </c>
      <c r="EU11" s="27" t="s">
        <v>594</v>
      </c>
      <c r="EV11" s="64" t="s">
        <v>639</v>
      </c>
      <c r="EW11" s="27" t="s">
        <v>99</v>
      </c>
      <c r="EX11" s="64" t="s">
        <v>110</v>
      </c>
      <c r="EY11" s="64" t="s">
        <v>640</v>
      </c>
      <c r="EZ11" s="64" t="s">
        <v>111</v>
      </c>
      <c r="FA11" s="64" t="s">
        <v>112</v>
      </c>
      <c r="FB11" s="27" t="s">
        <v>641</v>
      </c>
      <c r="FC11" s="27" t="s">
        <v>642</v>
      </c>
      <c r="FD11" s="27" t="s">
        <v>643</v>
      </c>
      <c r="FE11" s="27" t="s">
        <v>644</v>
      </c>
      <c r="FF11" s="27" t="s">
        <v>645</v>
      </c>
      <c r="FG11" s="27" t="s">
        <v>646</v>
      </c>
      <c r="FH11" s="27" t="s">
        <v>647</v>
      </c>
      <c r="FI11" s="27" t="s">
        <v>648</v>
      </c>
      <c r="FJ11" s="1"/>
      <c r="FK11" s="1"/>
      <c r="FL11" s="1"/>
      <c r="FM11" s="1"/>
      <c r="FN11" s="1"/>
      <c r="FO11" s="1"/>
      <c r="FP11" s="1"/>
      <c r="FQ11" s="1"/>
    </row>
    <row r="12" spans="1:173" x14ac:dyDescent="0.3">
      <c r="A12" s="1"/>
      <c r="B12" s="28">
        <v>1</v>
      </c>
      <c r="C12" s="129">
        <f>'[104]2. Distributional by deciles o'!B46</f>
        <v>0</v>
      </c>
      <c r="D12" s="129">
        <f>'[104]2. Distributional by deciles o'!C46</f>
        <v>0</v>
      </c>
      <c r="E12" s="129">
        <f>'[105]2. Distributional by deciles o'!D64</f>
        <v>0</v>
      </c>
      <c r="F12" s="129">
        <f>'[105]2. Distributional by deciles o'!E64</f>
        <v>0</v>
      </c>
      <c r="G12" s="129">
        <f>'[105]2. Distributional by deciles o'!F64</f>
        <v>0</v>
      </c>
      <c r="H12" s="129">
        <f>'[105]2. Distributional by deciles o'!G64</f>
        <v>0</v>
      </c>
      <c r="I12" s="129"/>
      <c r="J12" s="122"/>
      <c r="K12" s="130" t="s">
        <v>113</v>
      </c>
      <c r="L12" s="130" t="s">
        <v>113</v>
      </c>
      <c r="M12" s="130" t="s">
        <v>113</v>
      </c>
      <c r="N12" s="130" t="s">
        <v>113</v>
      </c>
      <c r="O12" s="131">
        <f>C12/C$22*100</f>
        <v>0</v>
      </c>
      <c r="P12" s="129">
        <f>'[104]2. Distributional by deciles o'!B64</f>
        <v>0</v>
      </c>
      <c r="Q12" s="129">
        <f>'[104]2. Distributional by deciles o'!C64</f>
        <v>0</v>
      </c>
      <c r="R12" s="131" t="e">
        <f t="shared" ref="R12:R21" si="0">(Q12/P12-1)*100</f>
        <v>#DIV/0!</v>
      </c>
      <c r="S12" s="130" t="s">
        <v>113</v>
      </c>
      <c r="T12" s="130" t="s">
        <v>113</v>
      </c>
      <c r="U12" s="130" t="s">
        <v>113</v>
      </c>
      <c r="V12" s="130" t="s">
        <v>113</v>
      </c>
      <c r="W12" s="132">
        <f>IF(D12&lt;&gt;0,((D12-$C12)/ABS($C12)) / ($Q12/$P12-1),0)</f>
        <v>0</v>
      </c>
      <c r="X12" s="132">
        <f>IF(E12&lt;&gt;0,((E12-$C12)/ABS($C12)) / ($Q12/$P12-1),0)</f>
        <v>0</v>
      </c>
      <c r="Y12" s="132">
        <f t="shared" ref="Y12:AA22" si="1">IF(F12&lt;&gt;0,MAX(((F12-$C12)/ABS($C12)) / ($Q12/$P12-1),0),0)</f>
        <v>0</v>
      </c>
      <c r="Z12" s="132">
        <f t="shared" si="1"/>
        <v>0</v>
      </c>
      <c r="AA12" s="132">
        <f t="shared" si="1"/>
        <v>0</v>
      </c>
      <c r="AB12" s="132">
        <f>IF(I12&lt;&gt;0,MAX(((I12-$C12)/ABS($C12)) / ($Q12/$P12-1),0),AA12)</f>
        <v>0</v>
      </c>
      <c r="AC12" s="132">
        <f>IF(J12&lt;&gt;0,MAX(((J12-$C12)/ABS($C12)) / ($Q12/$P12-1),0),AB12)</f>
        <v>0</v>
      </c>
      <c r="AD12" s="130" t="s">
        <v>113</v>
      </c>
      <c r="AE12" s="130" t="s">
        <v>113</v>
      </c>
      <c r="AF12" s="130" t="s">
        <v>113</v>
      </c>
      <c r="AG12" s="130" t="s">
        <v>113</v>
      </c>
      <c r="AH12" s="133">
        <f t="shared" ref="AH12:AH22" si="2">MIN(W12,1)</f>
        <v>0</v>
      </c>
      <c r="AI12" s="134">
        <f>IF(W12&gt;1,MAX(W12-SUM(AH12,AJ12:AO12),0),0)</f>
        <v>0</v>
      </c>
      <c r="AJ12" s="134">
        <f t="shared" ref="AJ12:AJ22" si="3">IF(W12&gt;1,MIN($W12-Y12,W12-AH12),0)</f>
        <v>0</v>
      </c>
      <c r="AK12" s="134">
        <f t="shared" ref="AK12:AK20" si="4">IF(W12&gt;1,MAX(MIN(Y12-Z12,W12-AH12-AJ12),0),0)</f>
        <v>0</v>
      </c>
      <c r="AL12" s="134">
        <f>IF(W12&gt;1,MAX(MIN(Z12-AA12,W12-AH12-AJ12-AK12),0),0)</f>
        <v>0</v>
      </c>
      <c r="AM12" s="134">
        <f>IF(I12&lt;&gt;0,IF(W12&gt;1,MAX(MIN(AA12-AB12,W12-AH12-AJ12-AK12-AL12),0),0),0)</f>
        <v>0</v>
      </c>
      <c r="AN12" s="135">
        <f t="shared" ref="AN12:AN13" si="5">IF(J12&lt;&gt;0,IF(W12&gt;1,MAX(MIN(AB12-AC12,W12-AH12-AJ12-AK12-AL12-AM12),0),0),0)</f>
        <v>0</v>
      </c>
      <c r="AO12" s="134">
        <f>IF(W12&gt;1,MAX(0,MIN(W12-AH12-AJ12-AK12-AL12-AM12,W12-AH12-AJ12-AK12-AL12-AM12-X12+1)),0)</f>
        <v>0</v>
      </c>
      <c r="AP12" s="134">
        <f t="shared" ref="AP12:AP22" si="6">AI12+AO12</f>
        <v>0</v>
      </c>
      <c r="AQ12" s="136" t="s">
        <v>113</v>
      </c>
      <c r="AR12" s="137">
        <f t="shared" ref="AR12:AY22" si="7">AI12/($W12-1)*100</f>
        <v>0</v>
      </c>
      <c r="AS12" s="137">
        <f t="shared" si="7"/>
        <v>0</v>
      </c>
      <c r="AT12" s="137">
        <f t="shared" si="7"/>
        <v>0</v>
      </c>
      <c r="AU12" s="137">
        <f t="shared" si="7"/>
        <v>0</v>
      </c>
      <c r="AV12" s="137">
        <f t="shared" si="7"/>
        <v>0</v>
      </c>
      <c r="AW12" s="138">
        <f t="shared" si="7"/>
        <v>0</v>
      </c>
      <c r="AX12" s="137">
        <f t="shared" si="7"/>
        <v>0</v>
      </c>
      <c r="AY12" s="137">
        <f t="shared" si="7"/>
        <v>0</v>
      </c>
      <c r="AZ12" s="139" t="s">
        <v>113</v>
      </c>
      <c r="BA12" s="139" t="s">
        <v>113</v>
      </c>
      <c r="BB12" s="139" t="s">
        <v>113</v>
      </c>
      <c r="BC12" s="139" t="s">
        <v>113</v>
      </c>
      <c r="BD12" s="139" t="s">
        <v>113</v>
      </c>
      <c r="BE12" s="139" t="s">
        <v>113</v>
      </c>
      <c r="BF12" s="139" t="s">
        <v>113</v>
      </c>
      <c r="BG12" s="139" t="s">
        <v>113</v>
      </c>
      <c r="BH12" s="140">
        <f>'[105]2. Distributional by deciles o'!B100</f>
        <v>0</v>
      </c>
      <c r="BI12" s="140">
        <f>'[105]2. Distributional by deciles o'!B118</f>
        <v>0</v>
      </c>
      <c r="BJ12" s="140">
        <f>'[105]2. Distributional by deciles o'!B136</f>
        <v>0</v>
      </c>
      <c r="BK12" s="140">
        <f>'[105]2. Distributional by deciles o'!B154</f>
        <v>0</v>
      </c>
      <c r="BL12" s="141" t="e">
        <f>BH12/SUM($BH12:$BK12)</f>
        <v>#DIV/0!</v>
      </c>
      <c r="BM12" s="141" t="e">
        <f t="shared" ref="BM12:BO12" si="8">BI12/SUM($BH12:$BK12)</f>
        <v>#DIV/0!</v>
      </c>
      <c r="BN12" s="141" t="e">
        <f t="shared" si="8"/>
        <v>#DIV/0!</v>
      </c>
      <c r="BO12" s="141" t="e">
        <f t="shared" si="8"/>
        <v>#DIV/0!</v>
      </c>
      <c r="BP12" s="139" t="s">
        <v>113</v>
      </c>
      <c r="BQ12" s="139" t="s">
        <v>113</v>
      </c>
      <c r="BR12" s="139" t="s">
        <v>113</v>
      </c>
      <c r="BS12" s="131">
        <f>P12/P$22*100</f>
        <v>0</v>
      </c>
      <c r="BT12" s="139"/>
      <c r="BU12" s="139"/>
      <c r="BV12" s="139"/>
      <c r="BW12" s="139"/>
      <c r="BX12" s="139"/>
      <c r="BY12" s="139"/>
      <c r="BZ12" s="139"/>
      <c r="CA12" s="139"/>
      <c r="CB12" s="139"/>
      <c r="CC12" s="142" t="s">
        <v>113</v>
      </c>
      <c r="CD12" s="142" t="s">
        <v>113</v>
      </c>
      <c r="CE12" s="142" t="s">
        <v>113</v>
      </c>
      <c r="CF12" s="142" t="s">
        <v>113</v>
      </c>
      <c r="CG12" s="142" t="s">
        <v>113</v>
      </c>
      <c r="CH12" s="142" t="s">
        <v>113</v>
      </c>
      <c r="CI12" s="142" t="s">
        <v>113</v>
      </c>
      <c r="CJ12" s="142"/>
      <c r="CK12" s="139" t="s">
        <v>113</v>
      </c>
      <c r="CL12" s="139" t="s">
        <v>113</v>
      </c>
      <c r="CM12" s="139" t="s">
        <v>113</v>
      </c>
      <c r="CN12" s="139" t="s">
        <v>113</v>
      </c>
      <c r="CO12" s="139" t="s">
        <v>113</v>
      </c>
      <c r="CP12" s="139" t="s">
        <v>113</v>
      </c>
      <c r="CQ12" s="139" t="s">
        <v>113</v>
      </c>
      <c r="CR12" s="139"/>
      <c r="CS12" s="143" t="s">
        <v>113</v>
      </c>
      <c r="CT12" s="143" t="s">
        <v>113</v>
      </c>
      <c r="CU12" s="143" t="s">
        <v>113</v>
      </c>
      <c r="CV12" s="143" t="s">
        <v>113</v>
      </c>
      <c r="CW12" s="143" t="s">
        <v>113</v>
      </c>
      <c r="CX12" s="143" t="s">
        <v>113</v>
      </c>
      <c r="CY12" s="143" t="s">
        <v>113</v>
      </c>
      <c r="CZ12" s="143"/>
      <c r="DA12" s="139" t="s">
        <v>113</v>
      </c>
      <c r="DB12" s="139" t="s">
        <v>113</v>
      </c>
      <c r="DC12" s="139" t="s">
        <v>113</v>
      </c>
      <c r="DD12" s="144">
        <f>(1-DE12)*100</f>
        <v>100</v>
      </c>
      <c r="DE12" s="145">
        <f>'[105]2. Distributional by deciles o'!I28</f>
        <v>0</v>
      </c>
      <c r="DF12" s="1"/>
      <c r="DG12" s="1"/>
      <c r="DH12" s="1"/>
      <c r="DI12" s="1"/>
      <c r="DJ12" s="1"/>
      <c r="DK12" s="1"/>
      <c r="DL12" s="1"/>
      <c r="DM12" s="1"/>
      <c r="DN12" s="1"/>
      <c r="DO12" s="1"/>
      <c r="DP12" s="1"/>
      <c r="DQ12" s="1"/>
      <c r="DR12" s="1"/>
      <c r="DS12" s="1"/>
      <c r="DT12" s="1"/>
      <c r="DU12" s="1"/>
      <c r="DV12" s="1"/>
      <c r="DW12" s="1"/>
      <c r="DX12" s="1"/>
      <c r="DY12" s="1"/>
      <c r="DZ12" s="1"/>
      <c r="EA12" s="129">
        <f>'[106]2. Distributional by deciles o'!B64</f>
        <v>0</v>
      </c>
      <c r="EB12" s="129">
        <f>'[106]2. Distributional by deciles o'!C64</f>
        <v>0</v>
      </c>
      <c r="EC12" s="146">
        <f>'[107]2. Distributional by deciles o'!D64</f>
        <v>0</v>
      </c>
      <c r="ED12" s="147"/>
      <c r="EE12" s="147"/>
      <c r="EF12" s="147"/>
      <c r="EG12" s="129"/>
      <c r="EH12" s="122"/>
      <c r="EI12" s="130" t="s">
        <v>113</v>
      </c>
      <c r="EJ12" s="130" t="s">
        <v>113</v>
      </c>
      <c r="EK12" s="130" t="s">
        <v>113</v>
      </c>
      <c r="EL12" s="130" t="s">
        <v>113</v>
      </c>
      <c r="EM12" s="131">
        <f t="shared" ref="EM12:EM21" si="9">EA12/EA$22*100</f>
        <v>0</v>
      </c>
      <c r="EN12" s="146">
        <f>'[106]2. Distributional by deciles o'!B82</f>
        <v>0</v>
      </c>
      <c r="EO12" s="146">
        <f>'[106]2. Distributional by deciles o'!C82</f>
        <v>0</v>
      </c>
      <c r="EP12" s="131" t="e">
        <f t="shared" ref="EP12:EP21" si="10">(EO12/EN12-1)*100</f>
        <v>#DIV/0!</v>
      </c>
      <c r="EQ12" s="130" t="s">
        <v>113</v>
      </c>
      <c r="ER12" s="130" t="s">
        <v>113</v>
      </c>
      <c r="ES12" s="130" t="s">
        <v>113</v>
      </c>
      <c r="ET12" s="130" t="s">
        <v>113</v>
      </c>
      <c r="EU12" s="131">
        <f>EN12/EN$22*100</f>
        <v>0</v>
      </c>
      <c r="EV12" s="132" t="e">
        <f>((EB12-$EA12)/ABS($EA12)) / ($EO12/$EN12-1)</f>
        <v>#DIV/0!</v>
      </c>
      <c r="EW12" s="132">
        <f>IF(EC12&lt;&gt;0,((EC12-$EA12)/ABS($EA12)) / ($EO12/$EN12-1),0)</f>
        <v>0</v>
      </c>
      <c r="EX12" s="132"/>
      <c r="EY12" s="148" t="e">
        <f t="shared" ref="EY12:EY22" si="11">EV12-W12</f>
        <v>#DIV/0!</v>
      </c>
      <c r="EZ12" s="144">
        <f>(1-FA12)*100</f>
        <v>100</v>
      </c>
      <c r="FA12" s="145">
        <f>'[107]2. Distributional by deciles o'!F28</f>
        <v>0</v>
      </c>
      <c r="FB12" s="130" t="s">
        <v>113</v>
      </c>
      <c r="FC12" s="130" t="s">
        <v>113</v>
      </c>
      <c r="FD12" s="130" t="s">
        <v>113</v>
      </c>
      <c r="FE12" s="130" t="s">
        <v>113</v>
      </c>
      <c r="FF12" s="130" t="s">
        <v>113</v>
      </c>
      <c r="FG12" s="130" t="s">
        <v>113</v>
      </c>
      <c r="FH12" s="130" t="s">
        <v>113</v>
      </c>
      <c r="FI12" s="130" t="s">
        <v>113</v>
      </c>
      <c r="FJ12" s="1"/>
      <c r="FK12" s="1"/>
      <c r="FL12" s="1"/>
      <c r="FM12" s="1"/>
      <c r="FN12" s="1"/>
      <c r="FO12" s="1"/>
      <c r="FP12" s="1"/>
      <c r="FQ12" s="1"/>
    </row>
    <row r="13" spans="1:173" x14ac:dyDescent="0.3">
      <c r="A13" s="1"/>
      <c r="B13" s="28">
        <v>2</v>
      </c>
      <c r="C13" s="129">
        <f>'[104]2. Distributional by deciles o'!B47</f>
        <v>8828118.4680000022</v>
      </c>
      <c r="D13" s="129">
        <f>'[104]2. Distributional by deciles o'!C47</f>
        <v>8992336.0739999972</v>
      </c>
      <c r="E13" s="129">
        <f>'[105]2. Distributional by deciles o'!D65</f>
        <v>8893715.2595999986</v>
      </c>
      <c r="F13" s="129">
        <f>'[105]2. Distributional by deciles o'!E65</f>
        <v>8992336.0739999972</v>
      </c>
      <c r="G13" s="129">
        <f>'[105]2. Distributional by deciles o'!F65</f>
        <v>8902772.746799998</v>
      </c>
      <c r="H13" s="129">
        <f>'[105]2. Distributional by deciles o'!G65</f>
        <v>8893715.2595999986</v>
      </c>
      <c r="I13" s="129"/>
      <c r="J13" s="122"/>
      <c r="K13" s="130" t="s">
        <v>113</v>
      </c>
      <c r="L13" s="130" t="s">
        <v>113</v>
      </c>
      <c r="M13" s="130" t="s">
        <v>113</v>
      </c>
      <c r="N13" s="130" t="s">
        <v>113</v>
      </c>
      <c r="O13" s="131">
        <f t="shared" ref="O13:O21" si="12">C13/C$22*100</f>
        <v>0.37008479432993613</v>
      </c>
      <c r="P13" s="129">
        <f>'[104]2. Distributional by deciles o'!B65</f>
        <v>336878628.42000008</v>
      </c>
      <c r="Q13" s="129">
        <f>'[104]2. Distributional by deciles o'!C65</f>
        <v>340246733.44440019</v>
      </c>
      <c r="R13" s="131">
        <f t="shared" si="0"/>
        <v>0.99979777292400485</v>
      </c>
      <c r="S13" s="130" t="s">
        <v>113</v>
      </c>
      <c r="T13" s="130" t="s">
        <v>113</v>
      </c>
      <c r="U13" s="130" t="s">
        <v>113</v>
      </c>
      <c r="V13" s="130" t="s">
        <v>113</v>
      </c>
      <c r="W13" s="132">
        <f t="shared" ref="W13:X22" si="13">IF(D13&lt;&gt;0,((D13-$C13)/ABS($C13)) / ($Q13/$P13-1),0)</f>
        <v>1.8605416608173506</v>
      </c>
      <c r="X13" s="132">
        <f t="shared" si="13"/>
        <v>0.74319414684288243</v>
      </c>
      <c r="Y13" s="132">
        <f t="shared" si="1"/>
        <v>1.8605416608173506</v>
      </c>
      <c r="Z13" s="132">
        <f t="shared" si="1"/>
        <v>0.84581306017620239</v>
      </c>
      <c r="AA13" s="132">
        <f t="shared" si="1"/>
        <v>0.74319414684288243</v>
      </c>
      <c r="AB13" s="132">
        <f t="shared" ref="AB13:AC22" si="14">IF(I13&lt;&gt;0,MAX(((I13-$C13)/ABS($C13)) / ($Q13/$P13-1),0),AA13)</f>
        <v>0.74319414684288243</v>
      </c>
      <c r="AC13" s="132">
        <f t="shared" si="14"/>
        <v>0.74319414684288243</v>
      </c>
      <c r="AD13" s="130" t="s">
        <v>113</v>
      </c>
      <c r="AE13" s="130" t="s">
        <v>113</v>
      </c>
      <c r="AF13" s="130" t="s">
        <v>113</v>
      </c>
      <c r="AG13" s="130" t="s">
        <v>113</v>
      </c>
      <c r="AH13" s="133">
        <f t="shared" si="2"/>
        <v>1</v>
      </c>
      <c r="AI13" s="134">
        <f t="shared" ref="AI13:AI22" si="15">IF(W13&gt;1,MAX(W13-SUM(AH13,AJ13:AO13),0),0)</f>
        <v>0</v>
      </c>
      <c r="AJ13" s="134">
        <f t="shared" si="3"/>
        <v>0</v>
      </c>
      <c r="AK13" s="134">
        <f t="shared" si="4"/>
        <v>0.86054166081735062</v>
      </c>
      <c r="AL13" s="134">
        <f t="shared" ref="AL13:AL22" si="16">IF(W13&gt;1,MAX(MIN(Z13-AA13,W13-AH13-AJ13-AK13),0),0)</f>
        <v>0</v>
      </c>
      <c r="AM13" s="134">
        <f t="shared" ref="AM13:AM22" si="17">IF(I13&lt;&gt;0,IF(W13&gt;1,MAX(MIN(AA13-AB13,W13-AH13-AJ13-AK13-AL13),0),0),0)</f>
        <v>0</v>
      </c>
      <c r="AN13" s="135">
        <f t="shared" si="5"/>
        <v>0</v>
      </c>
      <c r="AO13" s="134">
        <f t="shared" ref="AO13:AO22" si="18">IF(W13&gt;1,MAX(0,MIN(W13-AH13-AJ13-AK13-AL13-AM13,W13-AH13-AJ13-AK13-AL13-AM13-X13+1)),0)</f>
        <v>0</v>
      </c>
      <c r="AP13" s="134">
        <f t="shared" si="6"/>
        <v>0</v>
      </c>
      <c r="AQ13" s="136" t="s">
        <v>113</v>
      </c>
      <c r="AR13" s="137">
        <f t="shared" si="7"/>
        <v>0</v>
      </c>
      <c r="AS13" s="137">
        <f t="shared" si="7"/>
        <v>0</v>
      </c>
      <c r="AT13" s="137">
        <f t="shared" si="7"/>
        <v>100</v>
      </c>
      <c r="AU13" s="137">
        <f t="shared" si="7"/>
        <v>0</v>
      </c>
      <c r="AV13" s="137">
        <f t="shared" si="7"/>
        <v>0</v>
      </c>
      <c r="AW13" s="138">
        <f t="shared" si="7"/>
        <v>0</v>
      </c>
      <c r="AX13" s="137">
        <f t="shared" si="7"/>
        <v>0</v>
      </c>
      <c r="AY13" s="137">
        <f t="shared" si="7"/>
        <v>0</v>
      </c>
      <c r="AZ13" s="139" t="s">
        <v>113</v>
      </c>
      <c r="BA13" s="139" t="s">
        <v>113</v>
      </c>
      <c r="BB13" s="139" t="s">
        <v>113</v>
      </c>
      <c r="BC13" s="139" t="s">
        <v>113</v>
      </c>
      <c r="BD13" s="139" t="s">
        <v>113</v>
      </c>
      <c r="BE13" s="139" t="s">
        <v>113</v>
      </c>
      <c r="BF13" s="139" t="s">
        <v>113</v>
      </c>
      <c r="BG13" s="139" t="s">
        <v>113</v>
      </c>
      <c r="BH13" s="140">
        <f>'[105]2. Distributional by deciles o'!B101</f>
        <v>255082180.07160035</v>
      </c>
      <c r="BI13" s="140">
        <f>'[105]2. Distributional by deciles o'!B119</f>
        <v>3399134.9783999994</v>
      </c>
      <c r="BJ13" s="140">
        <f>'[105]2. Distributional by deciles o'!B137</f>
        <v>70759900.970400006</v>
      </c>
      <c r="BK13" s="140">
        <f>'[105]2. Distributional by deciles o'!B155</f>
        <v>7637318.7203999981</v>
      </c>
      <c r="BL13" s="141">
        <f t="shared" ref="BL13:BL22" si="19">BH13/SUM($BH13:$BK13)</f>
        <v>0.75719333161985114</v>
      </c>
      <c r="BM13" s="141">
        <f t="shared" ref="BM13:BM22" si="20">BI13/SUM($BH13:$BK13)</f>
        <v>1.0090090723694663E-2</v>
      </c>
      <c r="BN13" s="141">
        <f t="shared" ref="BN13:BO22" si="21">BJ13/SUM($BH13:$BK13)</f>
        <v>0.21004573955667372</v>
      </c>
      <c r="BO13" s="141">
        <f t="shared" si="21"/>
        <v>2.2670838099780599E-2</v>
      </c>
      <c r="BP13" s="139" t="s">
        <v>113</v>
      </c>
      <c r="BQ13" s="139" t="s">
        <v>113</v>
      </c>
      <c r="BR13" s="139" t="s">
        <v>113</v>
      </c>
      <c r="BS13" s="131">
        <f t="shared" ref="BS13:BS21" si="22">P13/P$22*100</f>
        <v>1.1288817052209696</v>
      </c>
      <c r="BT13" s="139"/>
      <c r="BU13" s="139"/>
      <c r="BV13" s="139"/>
      <c r="BW13" s="139"/>
      <c r="BX13" s="139"/>
      <c r="BY13" s="139"/>
      <c r="BZ13" s="139"/>
      <c r="CA13" s="139"/>
      <c r="CB13" s="139"/>
      <c r="CC13" s="142" t="s">
        <v>113</v>
      </c>
      <c r="CD13" s="142" t="s">
        <v>113</v>
      </c>
      <c r="CE13" s="142" t="s">
        <v>113</v>
      </c>
      <c r="CF13" s="142" t="s">
        <v>113</v>
      </c>
      <c r="CG13" s="142" t="s">
        <v>113</v>
      </c>
      <c r="CH13" s="142" t="s">
        <v>113</v>
      </c>
      <c r="CI13" s="142" t="s">
        <v>113</v>
      </c>
      <c r="CJ13" s="142"/>
      <c r="CK13" s="139" t="s">
        <v>113</v>
      </c>
      <c r="CL13" s="139" t="s">
        <v>113</v>
      </c>
      <c r="CM13" s="139" t="s">
        <v>113</v>
      </c>
      <c r="CN13" s="139" t="s">
        <v>113</v>
      </c>
      <c r="CO13" s="139" t="s">
        <v>113</v>
      </c>
      <c r="CP13" s="139" t="s">
        <v>113</v>
      </c>
      <c r="CQ13" s="139" t="s">
        <v>113</v>
      </c>
      <c r="CR13" s="139"/>
      <c r="CS13" s="143" t="s">
        <v>113</v>
      </c>
      <c r="CT13" s="143" t="s">
        <v>113</v>
      </c>
      <c r="CU13" s="143" t="s">
        <v>113</v>
      </c>
      <c r="CV13" s="143" t="s">
        <v>113</v>
      </c>
      <c r="CW13" s="143" t="s">
        <v>113</v>
      </c>
      <c r="CX13" s="143" t="s">
        <v>113</v>
      </c>
      <c r="CY13" s="143" t="s">
        <v>113</v>
      </c>
      <c r="CZ13" s="143"/>
      <c r="DA13" s="139" t="s">
        <v>113</v>
      </c>
      <c r="DB13" s="139" t="s">
        <v>113</v>
      </c>
      <c r="DC13" s="139" t="s">
        <v>113</v>
      </c>
      <c r="DD13" s="144">
        <f t="shared" ref="DD13:DD22" si="23">(1-DE13)*100</f>
        <v>28.561958560405277</v>
      </c>
      <c r="DE13" s="145">
        <f>'[105]2. Distributional by deciles o'!I29</f>
        <v>0.71438041439594724</v>
      </c>
      <c r="DF13" s="1"/>
      <c r="DG13" s="1"/>
      <c r="DH13" s="1"/>
      <c r="DI13" s="1"/>
      <c r="DJ13" s="1"/>
      <c r="DK13" s="1"/>
      <c r="DL13" s="1"/>
      <c r="DM13" s="1"/>
      <c r="DN13" s="1"/>
      <c r="DO13" s="1"/>
      <c r="DP13" s="1"/>
      <c r="DQ13" s="1"/>
      <c r="DR13" s="1"/>
      <c r="DS13" s="1"/>
      <c r="DT13" s="1"/>
      <c r="DU13" s="1"/>
      <c r="DV13" s="1"/>
      <c r="DW13" s="1"/>
      <c r="DX13" s="1"/>
      <c r="DY13" s="1"/>
      <c r="DZ13" s="1"/>
      <c r="EA13" s="129">
        <f>'[106]2. Distributional by deciles o'!B65</f>
        <v>12068158.279199997</v>
      </c>
      <c r="EB13" s="129">
        <f>'[106]2. Distributional by deciles o'!C65</f>
        <v>12287232.260400001</v>
      </c>
      <c r="EC13" s="146">
        <f>'[107]2. Distributional by deciles o'!D65</f>
        <v>12178166.939999999</v>
      </c>
      <c r="ED13" s="147"/>
      <c r="EE13" s="147"/>
      <c r="EF13" s="147"/>
      <c r="EG13" s="129"/>
      <c r="EH13" s="122"/>
      <c r="EI13" s="130" t="s">
        <v>113</v>
      </c>
      <c r="EJ13" s="130" t="s">
        <v>113</v>
      </c>
      <c r="EK13" s="130" t="s">
        <v>113</v>
      </c>
      <c r="EL13" s="130" t="s">
        <v>113</v>
      </c>
      <c r="EM13" s="131">
        <f t="shared" si="9"/>
        <v>0.41893399047156665</v>
      </c>
      <c r="EN13" s="146">
        <f>'[106]2. Distributional by deciles o'!B83</f>
        <v>458348560.80720037</v>
      </c>
      <c r="EO13" s="146">
        <f>'[106]2. Distributional by deciles o'!C83</f>
        <v>462925497.26639968</v>
      </c>
      <c r="EP13" s="131">
        <f t="shared" si="10"/>
        <v>0.99857114226318267</v>
      </c>
      <c r="EQ13" s="130" t="s">
        <v>113</v>
      </c>
      <c r="ER13" s="130" t="s">
        <v>113</v>
      </c>
      <c r="ES13" s="130" t="s">
        <v>113</v>
      </c>
      <c r="ET13" s="130" t="s">
        <v>113</v>
      </c>
      <c r="EU13" s="131">
        <f t="shared" ref="EU13:EU21" si="24">EN13/EN$22*100</f>
        <v>1.1671413570917142</v>
      </c>
      <c r="EV13" s="132">
        <f t="shared" ref="EV13:EV22" si="25">((EB13-$EA13)/ABS($EA13)) / ($EO13/$EN13-1)</f>
        <v>1.8179033584609372</v>
      </c>
      <c r="EW13" s="132">
        <f t="shared" ref="EW13:EW22" si="26">IF(EC13&lt;&gt;0,((EC13-$EA13)/ABS($EA13)) / ($EO13/$EN13-1),0)</f>
        <v>0.91286565767724759</v>
      </c>
      <c r="EX13" s="132"/>
      <c r="EY13" s="148">
        <f t="shared" si="11"/>
        <v>-4.2638302356413416E-2</v>
      </c>
      <c r="EZ13" s="144">
        <f t="shared" ref="EZ13:EZ22" si="27">(1-FA13)*100</f>
        <v>27.408652829763781</v>
      </c>
      <c r="FA13" s="145">
        <f>'[107]2. Distributional by deciles o'!F29</f>
        <v>0.7259134717023622</v>
      </c>
      <c r="FB13" s="130" t="s">
        <v>113</v>
      </c>
      <c r="FC13" s="130" t="s">
        <v>113</v>
      </c>
      <c r="FD13" s="130" t="s">
        <v>113</v>
      </c>
      <c r="FE13" s="130" t="s">
        <v>113</v>
      </c>
      <c r="FF13" s="130" t="s">
        <v>113</v>
      </c>
      <c r="FG13" s="130" t="s">
        <v>113</v>
      </c>
      <c r="FH13" s="130" t="s">
        <v>113</v>
      </c>
      <c r="FI13" s="130" t="s">
        <v>113</v>
      </c>
      <c r="FJ13" s="1"/>
      <c r="FK13" s="1"/>
      <c r="FL13" s="1"/>
      <c r="FM13" s="1"/>
      <c r="FN13" s="1"/>
      <c r="FO13" s="1"/>
      <c r="FP13" s="1"/>
      <c r="FQ13" s="1"/>
    </row>
    <row r="14" spans="1:173" x14ac:dyDescent="0.3">
      <c r="A14" s="1"/>
      <c r="B14" s="28">
        <v>3</v>
      </c>
      <c r="C14" s="129">
        <f>'[104]2. Distributional by deciles o'!B48</f>
        <v>50554293.658800051</v>
      </c>
      <c r="D14" s="129">
        <f>'[104]2. Distributional by deciles o'!C48</f>
        <v>51900194.812799975</v>
      </c>
      <c r="E14" s="129">
        <f>'[105]2. Distributional by deciles o'!D66</f>
        <v>51145164.632399991</v>
      </c>
      <c r="F14" s="129">
        <f>'[105]2. Distributional by deciles o'!E66</f>
        <v>51900194.812799975</v>
      </c>
      <c r="G14" s="129">
        <f>'[105]2. Distributional by deciles o'!F66</f>
        <v>51170088.555599973</v>
      </c>
      <c r="H14" s="129">
        <f>'[105]2. Distributional by deciles o'!G66</f>
        <v>51145164.632399991</v>
      </c>
      <c r="I14" s="129"/>
      <c r="J14" s="122"/>
      <c r="K14" s="130" t="s">
        <v>113</v>
      </c>
      <c r="L14" s="130" t="s">
        <v>113</v>
      </c>
      <c r="M14" s="130" t="s">
        <v>113</v>
      </c>
      <c r="N14" s="130" t="s">
        <v>113</v>
      </c>
      <c r="O14" s="131">
        <f t="shared" si="12"/>
        <v>2.1192936455292939</v>
      </c>
      <c r="P14" s="129">
        <f>'[104]2. Distributional by deciles o'!B66</f>
        <v>1420285471.9164</v>
      </c>
      <c r="Q14" s="129">
        <f>'[104]2. Distributional by deciles o'!C66</f>
        <v>1434489130.5624006</v>
      </c>
      <c r="R14" s="131">
        <f t="shared" si="0"/>
        <v>1.0000566031866498</v>
      </c>
      <c r="S14" s="130" t="s">
        <v>113</v>
      </c>
      <c r="T14" s="130" t="s">
        <v>113</v>
      </c>
      <c r="U14" s="130" t="s">
        <v>113</v>
      </c>
      <c r="V14" s="130" t="s">
        <v>113</v>
      </c>
      <c r="W14" s="132">
        <f t="shared" si="13"/>
        <v>2.6621378296783695</v>
      </c>
      <c r="X14" s="132">
        <f t="shared" si="13"/>
        <v>1.1687187923158426</v>
      </c>
      <c r="Y14" s="132">
        <f t="shared" si="1"/>
        <v>2.6621378296783695</v>
      </c>
      <c r="Z14" s="132">
        <f t="shared" si="1"/>
        <v>1.2180173003210393</v>
      </c>
      <c r="AA14" s="132">
        <f t="shared" si="1"/>
        <v>1.1687187923158426</v>
      </c>
      <c r="AB14" s="132">
        <f t="shared" si="14"/>
        <v>1.1687187923158426</v>
      </c>
      <c r="AC14" s="132">
        <f t="shared" si="14"/>
        <v>1.1687187923158426</v>
      </c>
      <c r="AD14" s="130" t="s">
        <v>113</v>
      </c>
      <c r="AE14" s="130" t="s">
        <v>113</v>
      </c>
      <c r="AF14" s="130" t="s">
        <v>113</v>
      </c>
      <c r="AG14" s="130" t="s">
        <v>113</v>
      </c>
      <c r="AH14" s="133">
        <f t="shared" si="2"/>
        <v>1</v>
      </c>
      <c r="AI14" s="134">
        <f t="shared" si="15"/>
        <v>0.16871879231584286</v>
      </c>
      <c r="AJ14" s="134">
        <f t="shared" si="3"/>
        <v>0</v>
      </c>
      <c r="AK14" s="134">
        <f t="shared" si="4"/>
        <v>1.4441205293573303</v>
      </c>
      <c r="AL14" s="134">
        <f t="shared" si="16"/>
        <v>4.929850800519664E-2</v>
      </c>
      <c r="AM14" s="134">
        <f t="shared" si="17"/>
        <v>0</v>
      </c>
      <c r="AN14" s="135">
        <f>IF(J14&lt;&gt;0,IF(W14&gt;1,MAX(MIN(AB14-AC14,W14-AH14-AJ14-AK14-AL14-AM14),0),0),0)</f>
        <v>0</v>
      </c>
      <c r="AO14" s="134">
        <f t="shared" si="18"/>
        <v>0</v>
      </c>
      <c r="AP14" s="134">
        <f t="shared" si="6"/>
        <v>0.16871879231584286</v>
      </c>
      <c r="AQ14" s="136" t="s">
        <v>113</v>
      </c>
      <c r="AR14" s="137">
        <f t="shared" si="7"/>
        <v>10.150710085726804</v>
      </c>
      <c r="AS14" s="137">
        <f t="shared" si="7"/>
        <v>0</v>
      </c>
      <c r="AT14" s="137">
        <f t="shared" si="7"/>
        <v>86.883319997401983</v>
      </c>
      <c r="AU14" s="137">
        <f t="shared" si="7"/>
        <v>2.9659699168712201</v>
      </c>
      <c r="AV14" s="137">
        <f t="shared" si="7"/>
        <v>0</v>
      </c>
      <c r="AW14" s="138">
        <f t="shared" si="7"/>
        <v>0</v>
      </c>
      <c r="AX14" s="137">
        <f t="shared" si="7"/>
        <v>0</v>
      </c>
      <c r="AY14" s="137">
        <f t="shared" si="7"/>
        <v>10.150710085726804</v>
      </c>
      <c r="AZ14" s="139" t="s">
        <v>113</v>
      </c>
      <c r="BA14" s="139" t="s">
        <v>113</v>
      </c>
      <c r="BB14" s="139" t="s">
        <v>113</v>
      </c>
      <c r="BC14" s="139" t="s">
        <v>113</v>
      </c>
      <c r="BD14" s="139" t="s">
        <v>113</v>
      </c>
      <c r="BE14" s="139" t="s">
        <v>113</v>
      </c>
      <c r="BF14" s="139" t="s">
        <v>113</v>
      </c>
      <c r="BG14" s="139" t="s">
        <v>113</v>
      </c>
      <c r="BH14" s="140">
        <f>'[105]2. Distributional by deciles o'!B102</f>
        <v>1169326754.8931999</v>
      </c>
      <c r="BI14" s="140">
        <f>'[105]2. Distributional by deciles o'!B120</f>
        <v>282138.89280000003</v>
      </c>
      <c r="BJ14" s="140">
        <f>'[105]2. Distributional by deciles o'!B138</f>
        <v>244640509.82999998</v>
      </c>
      <c r="BK14" s="140">
        <f>'[105]2. Distributional by deciles o'!B156</f>
        <v>6036027.2748000007</v>
      </c>
      <c r="BL14" s="141">
        <f t="shared" si="19"/>
        <v>0.82330405526993311</v>
      </c>
      <c r="BM14" s="141">
        <f t="shared" si="20"/>
        <v>1.9864943106755881E-4</v>
      </c>
      <c r="BN14" s="141">
        <f t="shared" si="21"/>
        <v>0.17224742612234076</v>
      </c>
      <c r="BO14" s="141">
        <f t="shared" si="21"/>
        <v>4.2498691766585375E-3</v>
      </c>
      <c r="BP14" s="139" t="s">
        <v>113</v>
      </c>
      <c r="BQ14" s="139" t="s">
        <v>113</v>
      </c>
      <c r="BR14" s="139" t="s">
        <v>113</v>
      </c>
      <c r="BS14" s="131">
        <f t="shared" si="22"/>
        <v>4.759382608975165</v>
      </c>
      <c r="BT14" s="139"/>
      <c r="BU14" s="139"/>
      <c r="BV14" s="139"/>
      <c r="BW14" s="139"/>
      <c r="BX14" s="139"/>
      <c r="BY14" s="139"/>
      <c r="BZ14" s="139"/>
      <c r="CA14" s="139"/>
      <c r="CB14" s="139"/>
      <c r="CC14" s="142" t="s">
        <v>113</v>
      </c>
      <c r="CD14" s="142" t="s">
        <v>113</v>
      </c>
      <c r="CE14" s="142" t="s">
        <v>113</v>
      </c>
      <c r="CF14" s="142" t="s">
        <v>113</v>
      </c>
      <c r="CG14" s="142" t="s">
        <v>113</v>
      </c>
      <c r="CH14" s="142" t="s">
        <v>113</v>
      </c>
      <c r="CI14" s="142" t="s">
        <v>113</v>
      </c>
      <c r="CJ14" s="142"/>
      <c r="CK14" s="139" t="s">
        <v>113</v>
      </c>
      <c r="CL14" s="139" t="s">
        <v>113</v>
      </c>
      <c r="CM14" s="139" t="s">
        <v>113</v>
      </c>
      <c r="CN14" s="139" t="s">
        <v>113</v>
      </c>
      <c r="CO14" s="139" t="s">
        <v>113</v>
      </c>
      <c r="CP14" s="139" t="s">
        <v>113</v>
      </c>
      <c r="CQ14" s="139" t="s">
        <v>113</v>
      </c>
      <c r="CR14" s="139"/>
      <c r="CS14" s="143" t="s">
        <v>113</v>
      </c>
      <c r="CT14" s="143" t="s">
        <v>113</v>
      </c>
      <c r="CU14" s="143" t="s">
        <v>113</v>
      </c>
      <c r="CV14" s="143" t="s">
        <v>113</v>
      </c>
      <c r="CW14" s="143" t="s">
        <v>113</v>
      </c>
      <c r="CX14" s="143" t="s">
        <v>113</v>
      </c>
      <c r="CY14" s="143" t="s">
        <v>113</v>
      </c>
      <c r="CZ14" s="143"/>
      <c r="DA14" s="139" t="s">
        <v>113</v>
      </c>
      <c r="DB14" s="139" t="s">
        <v>113</v>
      </c>
      <c r="DC14" s="139" t="s">
        <v>113</v>
      </c>
      <c r="DD14" s="144">
        <f t="shared" si="23"/>
        <v>28.015526990036033</v>
      </c>
      <c r="DE14" s="145">
        <f>'[105]2. Distributional by deciles o'!I30</f>
        <v>0.71984473009963967</v>
      </c>
      <c r="DF14" s="1"/>
      <c r="DG14" s="1"/>
      <c r="DH14" s="1"/>
      <c r="DI14" s="1"/>
      <c r="DJ14" s="1"/>
      <c r="DK14" s="1"/>
      <c r="DL14" s="1"/>
      <c r="DM14" s="1"/>
      <c r="DN14" s="1"/>
      <c r="DO14" s="1"/>
      <c r="DP14" s="1"/>
      <c r="DQ14" s="1"/>
      <c r="DR14" s="1"/>
      <c r="DS14" s="1"/>
      <c r="DT14" s="1"/>
      <c r="DU14" s="1"/>
      <c r="DV14" s="1"/>
      <c r="DW14" s="1"/>
      <c r="DX14" s="1"/>
      <c r="DY14" s="1"/>
      <c r="DZ14" s="1"/>
      <c r="EA14" s="129">
        <f>'[106]2. Distributional by deciles o'!B66</f>
        <v>55352946.331200004</v>
      </c>
      <c r="EB14" s="129">
        <f>'[106]2. Distributional by deciles o'!C66</f>
        <v>56615309.373599991</v>
      </c>
      <c r="EC14" s="146">
        <f>'[107]2. Distributional by deciles o'!D66</f>
        <v>55900964.681999959</v>
      </c>
      <c r="ED14" s="147"/>
      <c r="EE14" s="147"/>
      <c r="EF14" s="147"/>
      <c r="EG14" s="129"/>
      <c r="EH14" s="122"/>
      <c r="EI14" s="130" t="s">
        <v>113</v>
      </c>
      <c r="EJ14" s="130" t="s">
        <v>113</v>
      </c>
      <c r="EK14" s="130" t="s">
        <v>113</v>
      </c>
      <c r="EL14" s="130" t="s">
        <v>113</v>
      </c>
      <c r="EM14" s="131">
        <f t="shared" si="9"/>
        <v>1.9215219219369823</v>
      </c>
      <c r="EN14" s="146">
        <f>'[106]2. Distributional by deciles o'!B84</f>
        <v>1869535718.2631989</v>
      </c>
      <c r="EO14" s="146">
        <f>'[106]2. Distributional by deciles o'!C84</f>
        <v>1888229901.1703992</v>
      </c>
      <c r="EP14" s="131">
        <f t="shared" si="10"/>
        <v>0.999937188927702</v>
      </c>
      <c r="EQ14" s="130" t="s">
        <v>113</v>
      </c>
      <c r="ER14" s="130" t="s">
        <v>113</v>
      </c>
      <c r="ES14" s="130" t="s">
        <v>113</v>
      </c>
      <c r="ET14" s="130" t="s">
        <v>113</v>
      </c>
      <c r="EU14" s="131">
        <f t="shared" si="24"/>
        <v>4.7605962839773888</v>
      </c>
      <c r="EV14" s="132">
        <f t="shared" si="25"/>
        <v>2.2807138940774929</v>
      </c>
      <c r="EW14" s="132">
        <f t="shared" si="26"/>
        <v>0.99010587675527173</v>
      </c>
      <c r="EX14" s="132"/>
      <c r="EY14" s="148">
        <f t="shared" si="11"/>
        <v>-0.38142393560087662</v>
      </c>
      <c r="EZ14" s="144">
        <f t="shared" si="27"/>
        <v>43.993498131592588</v>
      </c>
      <c r="FA14" s="145">
        <f>'[107]2. Distributional by deciles o'!F30</f>
        <v>0.5600650186840741</v>
      </c>
      <c r="FB14" s="130" t="s">
        <v>113</v>
      </c>
      <c r="FC14" s="130" t="s">
        <v>113</v>
      </c>
      <c r="FD14" s="130" t="s">
        <v>113</v>
      </c>
      <c r="FE14" s="130" t="s">
        <v>113</v>
      </c>
      <c r="FF14" s="130" t="s">
        <v>113</v>
      </c>
      <c r="FG14" s="130" t="s">
        <v>113</v>
      </c>
      <c r="FH14" s="130" t="s">
        <v>113</v>
      </c>
      <c r="FI14" s="130" t="s">
        <v>113</v>
      </c>
      <c r="FJ14" s="1"/>
      <c r="FK14" s="1"/>
      <c r="FL14" s="1"/>
      <c r="FM14" s="1"/>
      <c r="FN14" s="1"/>
      <c r="FO14" s="1"/>
      <c r="FP14" s="1"/>
      <c r="FQ14" s="1"/>
    </row>
    <row r="15" spans="1:173" x14ac:dyDescent="0.3">
      <c r="A15" s="1"/>
      <c r="B15" s="28">
        <v>4</v>
      </c>
      <c r="C15" s="129">
        <f>'[104]2. Distributional by deciles o'!B49</f>
        <v>109795028.84279998</v>
      </c>
      <c r="D15" s="129">
        <f>'[104]2. Distributional by deciles o'!C49</f>
        <v>112672455.28680003</v>
      </c>
      <c r="E15" s="129">
        <f>'[105]2. Distributional by deciles o'!D67</f>
        <v>111409978.3308</v>
      </c>
      <c r="F15" s="129">
        <f>'[105]2. Distributional by deciles o'!E67</f>
        <v>112672455.28680003</v>
      </c>
      <c r="G15" s="129">
        <f>'[105]2. Distributional by deciles o'!F67</f>
        <v>111463953.06</v>
      </c>
      <c r="H15" s="129">
        <f>'[105]2. Distributional by deciles o'!G67</f>
        <v>111409978.3308</v>
      </c>
      <c r="I15" s="129"/>
      <c r="J15" s="122"/>
      <c r="K15" s="130" t="s">
        <v>113</v>
      </c>
      <c r="L15" s="130" t="s">
        <v>113</v>
      </c>
      <c r="M15" s="130" t="s">
        <v>113</v>
      </c>
      <c r="N15" s="130" t="s">
        <v>113</v>
      </c>
      <c r="O15" s="131">
        <f t="shared" si="12"/>
        <v>4.6027328263688885</v>
      </c>
      <c r="P15" s="129">
        <f>'[104]2. Distributional by deciles o'!B67</f>
        <v>2063482628.408401</v>
      </c>
      <c r="Q15" s="129">
        <f>'[104]2. Distributional by deciles o'!C67</f>
        <v>2084117660.563199</v>
      </c>
      <c r="R15" s="131">
        <f t="shared" si="0"/>
        <v>1.0000099768571413</v>
      </c>
      <c r="S15" s="130" t="s">
        <v>113</v>
      </c>
      <c r="T15" s="130" t="s">
        <v>113</v>
      </c>
      <c r="U15" s="130" t="s">
        <v>113</v>
      </c>
      <c r="V15" s="130" t="s">
        <v>113</v>
      </c>
      <c r="W15" s="132">
        <f t="shared" si="13"/>
        <v>2.6206994678544451</v>
      </c>
      <c r="X15" s="132">
        <f t="shared" si="13"/>
        <v>1.470862017216308</v>
      </c>
      <c r="Y15" s="132">
        <f t="shared" si="1"/>
        <v>2.6206994678544451</v>
      </c>
      <c r="Z15" s="132">
        <f t="shared" si="1"/>
        <v>1.5200210650129924</v>
      </c>
      <c r="AA15" s="132">
        <f t="shared" si="1"/>
        <v>1.470862017216308</v>
      </c>
      <c r="AB15" s="132">
        <f t="shared" si="14"/>
        <v>1.470862017216308</v>
      </c>
      <c r="AC15" s="132">
        <f t="shared" si="14"/>
        <v>1.470862017216308</v>
      </c>
      <c r="AD15" s="130" t="s">
        <v>113</v>
      </c>
      <c r="AE15" s="130" t="s">
        <v>113</v>
      </c>
      <c r="AF15" s="130" t="s">
        <v>113</v>
      </c>
      <c r="AG15" s="130" t="s">
        <v>113</v>
      </c>
      <c r="AH15" s="133">
        <f t="shared" si="2"/>
        <v>1</v>
      </c>
      <c r="AI15" s="134">
        <f t="shared" si="15"/>
        <v>0.47086201721630783</v>
      </c>
      <c r="AJ15" s="134">
        <f t="shared" si="3"/>
        <v>0</v>
      </c>
      <c r="AK15" s="134">
        <f t="shared" si="4"/>
        <v>1.1006784028414527</v>
      </c>
      <c r="AL15" s="134">
        <f t="shared" si="16"/>
        <v>4.9159047796684341E-2</v>
      </c>
      <c r="AM15" s="134">
        <f t="shared" si="17"/>
        <v>0</v>
      </c>
      <c r="AN15" s="135">
        <f t="shared" ref="AN15:AN22" si="28">IF(J15&lt;&gt;0,IF(W15&gt;1,MAX(MIN(AB15-AC15,W15-AH15-AJ15-AK15-AL15-AM15),0),0),0)</f>
        <v>0</v>
      </c>
      <c r="AO15" s="134">
        <f t="shared" si="18"/>
        <v>0</v>
      </c>
      <c r="AP15" s="134">
        <f t="shared" si="6"/>
        <v>0.47086201721630783</v>
      </c>
      <c r="AQ15" s="136" t="s">
        <v>113</v>
      </c>
      <c r="AR15" s="137">
        <f t="shared" si="7"/>
        <v>29.053012390980555</v>
      </c>
      <c r="AS15" s="137">
        <f t="shared" si="7"/>
        <v>0</v>
      </c>
      <c r="AT15" s="137">
        <f t="shared" si="7"/>
        <v>67.91378813115675</v>
      </c>
      <c r="AU15" s="137">
        <f t="shared" si="7"/>
        <v>3.0331994778626847</v>
      </c>
      <c r="AV15" s="137">
        <f t="shared" si="7"/>
        <v>0</v>
      </c>
      <c r="AW15" s="138">
        <f t="shared" si="7"/>
        <v>0</v>
      </c>
      <c r="AX15" s="137">
        <f t="shared" si="7"/>
        <v>0</v>
      </c>
      <c r="AY15" s="137">
        <f t="shared" si="7"/>
        <v>29.053012390980555</v>
      </c>
      <c r="AZ15" s="139" t="s">
        <v>113</v>
      </c>
      <c r="BA15" s="139" t="s">
        <v>113</v>
      </c>
      <c r="BB15" s="139" t="s">
        <v>113</v>
      </c>
      <c r="BC15" s="139" t="s">
        <v>113</v>
      </c>
      <c r="BD15" s="139" t="s">
        <v>113</v>
      </c>
      <c r="BE15" s="139" t="s">
        <v>113</v>
      </c>
      <c r="BF15" s="139" t="s">
        <v>113</v>
      </c>
      <c r="BG15" s="139" t="s">
        <v>113</v>
      </c>
      <c r="BH15" s="140">
        <f>'[105]2. Distributional by deciles o'!B103</f>
        <v>1781704803.1007996</v>
      </c>
      <c r="BI15" s="140">
        <f>'[105]2. Distributional by deciles o'!B121</f>
        <v>843424.92480000015</v>
      </c>
      <c r="BJ15" s="140">
        <f>'[105]2. Distributional by deciles o'!B139</f>
        <v>277083525.04920006</v>
      </c>
      <c r="BK15" s="140">
        <f>'[105]2. Distributional by deciles o'!B157</f>
        <v>3850877.2859999989</v>
      </c>
      <c r="BL15" s="141">
        <f t="shared" si="19"/>
        <v>0.86344550561555677</v>
      </c>
      <c r="BM15" s="141">
        <f t="shared" si="20"/>
        <v>4.0873856285018862E-4</v>
      </c>
      <c r="BN15" s="141">
        <f t="shared" si="21"/>
        <v>0.13427955291329594</v>
      </c>
      <c r="BO15" s="141">
        <f t="shared" si="21"/>
        <v>1.8662029082971605E-3</v>
      </c>
      <c r="BP15" s="139" t="s">
        <v>113</v>
      </c>
      <c r="BQ15" s="139" t="s">
        <v>113</v>
      </c>
      <c r="BR15" s="139" t="s">
        <v>113</v>
      </c>
      <c r="BS15" s="131">
        <f t="shared" si="22"/>
        <v>6.9147389942093129</v>
      </c>
      <c r="BT15" s="139"/>
      <c r="BU15" s="139"/>
      <c r="BV15" s="139"/>
      <c r="BW15" s="139"/>
      <c r="BX15" s="139"/>
      <c r="BY15" s="139"/>
      <c r="BZ15" s="139"/>
      <c r="CA15" s="139"/>
      <c r="CB15" s="139"/>
      <c r="CC15" s="142" t="s">
        <v>113</v>
      </c>
      <c r="CD15" s="142" t="s">
        <v>113</v>
      </c>
      <c r="CE15" s="142" t="s">
        <v>113</v>
      </c>
      <c r="CF15" s="142" t="s">
        <v>113</v>
      </c>
      <c r="CG15" s="142" t="s">
        <v>113</v>
      </c>
      <c r="CH15" s="142" t="s">
        <v>113</v>
      </c>
      <c r="CI15" s="142" t="s">
        <v>113</v>
      </c>
      <c r="CJ15" s="142"/>
      <c r="CK15" s="139" t="s">
        <v>113</v>
      </c>
      <c r="CL15" s="139" t="s">
        <v>113</v>
      </c>
      <c r="CM15" s="139" t="s">
        <v>113</v>
      </c>
      <c r="CN15" s="139" t="s">
        <v>113</v>
      </c>
      <c r="CO15" s="139" t="s">
        <v>113</v>
      </c>
      <c r="CP15" s="139" t="s">
        <v>113</v>
      </c>
      <c r="CQ15" s="139" t="s">
        <v>113</v>
      </c>
      <c r="CR15" s="139"/>
      <c r="CS15" s="143" t="s">
        <v>113</v>
      </c>
      <c r="CT15" s="143" t="s">
        <v>113</v>
      </c>
      <c r="CU15" s="143" t="s">
        <v>113</v>
      </c>
      <c r="CV15" s="143" t="s">
        <v>113</v>
      </c>
      <c r="CW15" s="143" t="s">
        <v>113</v>
      </c>
      <c r="CX15" s="143" t="s">
        <v>113</v>
      </c>
      <c r="CY15" s="143" t="s">
        <v>113</v>
      </c>
      <c r="CZ15" s="143"/>
      <c r="DA15" s="139" t="s">
        <v>113</v>
      </c>
      <c r="DB15" s="139" t="s">
        <v>113</v>
      </c>
      <c r="DC15" s="139" t="s">
        <v>113</v>
      </c>
      <c r="DD15" s="144">
        <f t="shared" si="23"/>
        <v>10.433451886845679</v>
      </c>
      <c r="DE15" s="145">
        <f>'[105]2. Distributional by deciles o'!I31</f>
        <v>0.89566548113154321</v>
      </c>
      <c r="DF15" s="1"/>
      <c r="DG15" s="1"/>
      <c r="DH15" s="1"/>
      <c r="DI15" s="1"/>
      <c r="DJ15" s="1"/>
      <c r="DK15" s="1"/>
      <c r="DL15" s="1"/>
      <c r="DM15" s="1"/>
      <c r="DN15" s="1"/>
      <c r="DO15" s="1"/>
      <c r="DP15" s="1"/>
      <c r="DQ15" s="1"/>
      <c r="DR15" s="1"/>
      <c r="DS15" s="1"/>
      <c r="DT15" s="1"/>
      <c r="DU15" s="1"/>
      <c r="DV15" s="1"/>
      <c r="DW15" s="1"/>
      <c r="DX15" s="1"/>
      <c r="DY15" s="1"/>
      <c r="DZ15" s="1"/>
      <c r="EA15" s="129">
        <f>'[106]2. Distributional by deciles o'!B67</f>
        <v>111836978.68079996</v>
      </c>
      <c r="EB15" s="129">
        <f>'[106]2. Distributional by deciles o'!C67</f>
        <v>114175342.36439997</v>
      </c>
      <c r="EC15" s="146">
        <f>'[107]2. Distributional by deciles o'!D67</f>
        <v>113065546.84200004</v>
      </c>
      <c r="ED15" s="147"/>
      <c r="EE15" s="147"/>
      <c r="EF15" s="147"/>
      <c r="EG15" s="129"/>
      <c r="EH15" s="122"/>
      <c r="EI15" s="130" t="s">
        <v>113</v>
      </c>
      <c r="EJ15" s="130" t="s">
        <v>113</v>
      </c>
      <c r="EK15" s="130" t="s">
        <v>113</v>
      </c>
      <c r="EL15" s="130" t="s">
        <v>113</v>
      </c>
      <c r="EM15" s="131">
        <f t="shared" si="9"/>
        <v>3.8823083586650569</v>
      </c>
      <c r="EN15" s="146">
        <f>'[106]2. Distributional by deciles o'!B85</f>
        <v>2700757336.6163993</v>
      </c>
      <c r="EO15" s="146">
        <f>'[106]2. Distributional by deciles o'!C85</f>
        <v>2727764279.1804013</v>
      </c>
      <c r="EP15" s="131">
        <f t="shared" si="10"/>
        <v>0.99997664350834903</v>
      </c>
      <c r="EQ15" s="130" t="s">
        <v>113</v>
      </c>
      <c r="ER15" s="130" t="s">
        <v>113</v>
      </c>
      <c r="ES15" s="130" t="s">
        <v>113</v>
      </c>
      <c r="ET15" s="130" t="s">
        <v>113</v>
      </c>
      <c r="EU15" s="131">
        <f t="shared" si="24"/>
        <v>6.8772236951776842</v>
      </c>
      <c r="EV15" s="132">
        <f t="shared" si="25"/>
        <v>2.0909169117682769</v>
      </c>
      <c r="EW15" s="132">
        <f t="shared" si="26"/>
        <v>1.0985604863476441</v>
      </c>
      <c r="EX15" s="132"/>
      <c r="EY15" s="148">
        <f t="shared" si="11"/>
        <v>-0.5297825560861682</v>
      </c>
      <c r="EZ15" s="144">
        <f t="shared" si="27"/>
        <v>31.037772878679004</v>
      </c>
      <c r="FA15" s="145">
        <f>'[107]2. Distributional by deciles o'!F31</f>
        <v>0.68962227121320996</v>
      </c>
      <c r="FB15" s="130" t="s">
        <v>113</v>
      </c>
      <c r="FC15" s="130" t="s">
        <v>113</v>
      </c>
      <c r="FD15" s="130" t="s">
        <v>113</v>
      </c>
      <c r="FE15" s="130" t="s">
        <v>113</v>
      </c>
      <c r="FF15" s="130" t="s">
        <v>113</v>
      </c>
      <c r="FG15" s="130" t="s">
        <v>113</v>
      </c>
      <c r="FH15" s="130" t="s">
        <v>113</v>
      </c>
      <c r="FI15" s="130" t="s">
        <v>113</v>
      </c>
      <c r="FJ15" s="1"/>
      <c r="FK15" s="1"/>
      <c r="FL15" s="1"/>
      <c r="FM15" s="1"/>
      <c r="FN15" s="1"/>
      <c r="FO15" s="1"/>
      <c r="FP15" s="1"/>
      <c r="FQ15" s="1"/>
    </row>
    <row r="16" spans="1:173" x14ac:dyDescent="0.3">
      <c r="A16" s="1"/>
      <c r="B16" s="28">
        <v>5</v>
      </c>
      <c r="C16" s="129">
        <f>'[104]2. Distributional by deciles o'!B50</f>
        <v>161385226.20839995</v>
      </c>
      <c r="D16" s="129">
        <f>'[104]2. Distributional by deciles o'!C50</f>
        <v>165059903.7744</v>
      </c>
      <c r="E16" s="129">
        <f>'[105]2. Distributional by deciles o'!D68</f>
        <v>163418760.89640003</v>
      </c>
      <c r="F16" s="129">
        <f>'[105]2. Distributional by deciles o'!E68</f>
        <v>165059903.7744</v>
      </c>
      <c r="G16" s="129">
        <f>'[105]2. Distributional by deciles o'!F68</f>
        <v>163487151.17159998</v>
      </c>
      <c r="H16" s="129">
        <f>'[105]2. Distributional by deciles o'!G68</f>
        <v>163418760.89640003</v>
      </c>
      <c r="I16" s="129"/>
      <c r="J16" s="122"/>
      <c r="K16" s="130" t="s">
        <v>113</v>
      </c>
      <c r="L16" s="130" t="s">
        <v>113</v>
      </c>
      <c r="M16" s="130" t="s">
        <v>113</v>
      </c>
      <c r="N16" s="130" t="s">
        <v>113</v>
      </c>
      <c r="O16" s="131">
        <f t="shared" si="12"/>
        <v>6.7654527366981299</v>
      </c>
      <c r="P16" s="129">
        <f>'[104]2. Distributional by deciles o'!B68</f>
        <v>2570232094.895998</v>
      </c>
      <c r="Q16" s="129">
        <f>'[104]2. Distributional by deciles o'!C68</f>
        <v>2595934835.9724016</v>
      </c>
      <c r="R16" s="131">
        <f t="shared" si="0"/>
        <v>1.0000163458951716</v>
      </c>
      <c r="S16" s="130" t="s">
        <v>113</v>
      </c>
      <c r="T16" s="130" t="s">
        <v>113</v>
      </c>
      <c r="U16" s="130" t="s">
        <v>113</v>
      </c>
      <c r="V16" s="130" t="s">
        <v>113</v>
      </c>
      <c r="W16" s="132">
        <f t="shared" si="13"/>
        <v>2.2769231034459554</v>
      </c>
      <c r="X16" s="132">
        <f t="shared" si="13"/>
        <v>1.2600294936369651</v>
      </c>
      <c r="Y16" s="132">
        <f t="shared" si="1"/>
        <v>2.2769231034459554</v>
      </c>
      <c r="Z16" s="132">
        <f t="shared" si="1"/>
        <v>1.3024058368281575</v>
      </c>
      <c r="AA16" s="132">
        <f t="shared" si="1"/>
        <v>1.2600294936369651</v>
      </c>
      <c r="AB16" s="132">
        <f t="shared" si="14"/>
        <v>1.2600294936369651</v>
      </c>
      <c r="AC16" s="132">
        <f t="shared" si="14"/>
        <v>1.2600294936369651</v>
      </c>
      <c r="AD16" s="130" t="s">
        <v>113</v>
      </c>
      <c r="AE16" s="130" t="s">
        <v>113</v>
      </c>
      <c r="AF16" s="130" t="s">
        <v>113</v>
      </c>
      <c r="AG16" s="130" t="s">
        <v>113</v>
      </c>
      <c r="AH16" s="133">
        <f t="shared" si="2"/>
        <v>1</v>
      </c>
      <c r="AI16" s="134">
        <f t="shared" si="15"/>
        <v>0.26002949363696493</v>
      </c>
      <c r="AJ16" s="134">
        <f t="shared" si="3"/>
        <v>0</v>
      </c>
      <c r="AK16" s="134">
        <f t="shared" si="4"/>
        <v>0.97451726661779792</v>
      </c>
      <c r="AL16" s="134">
        <f t="shared" si="16"/>
        <v>4.2376343191192323E-2</v>
      </c>
      <c r="AM16" s="134">
        <f t="shared" si="17"/>
        <v>0</v>
      </c>
      <c r="AN16" s="135">
        <f t="shared" si="28"/>
        <v>0</v>
      </c>
      <c r="AO16" s="134">
        <f t="shared" si="18"/>
        <v>0</v>
      </c>
      <c r="AP16" s="134">
        <f t="shared" si="6"/>
        <v>0.26002949363696493</v>
      </c>
      <c r="AQ16" s="136" t="s">
        <v>113</v>
      </c>
      <c r="AR16" s="137">
        <f t="shared" si="7"/>
        <v>20.363755102812302</v>
      </c>
      <c r="AS16" s="137">
        <f t="shared" si="7"/>
        <v>0</v>
      </c>
      <c r="AT16" s="137">
        <f t="shared" si="7"/>
        <v>76.317615680061465</v>
      </c>
      <c r="AU16" s="137">
        <f t="shared" si="7"/>
        <v>3.3186292171262184</v>
      </c>
      <c r="AV16" s="137">
        <f t="shared" si="7"/>
        <v>0</v>
      </c>
      <c r="AW16" s="138">
        <f t="shared" si="7"/>
        <v>0</v>
      </c>
      <c r="AX16" s="137">
        <f t="shared" si="7"/>
        <v>0</v>
      </c>
      <c r="AY16" s="137">
        <f t="shared" si="7"/>
        <v>20.363755102812302</v>
      </c>
      <c r="AZ16" s="139" t="s">
        <v>113</v>
      </c>
      <c r="BA16" s="139" t="s">
        <v>113</v>
      </c>
      <c r="BB16" s="139" t="s">
        <v>113</v>
      </c>
      <c r="BC16" s="139" t="s">
        <v>113</v>
      </c>
      <c r="BD16" s="139" t="s">
        <v>113</v>
      </c>
      <c r="BE16" s="139" t="s">
        <v>113</v>
      </c>
      <c r="BF16" s="139" t="s">
        <v>113</v>
      </c>
      <c r="BG16" s="139" t="s">
        <v>113</v>
      </c>
      <c r="BH16" s="140">
        <f>'[105]2. Distributional by deciles o'!B104</f>
        <v>2267863449.7644</v>
      </c>
      <c r="BI16" s="140">
        <f>'[105]2. Distributional by deciles o'!B122</f>
        <v>295858.25399999996</v>
      </c>
      <c r="BJ16" s="140">
        <f>'[105]2. Distributional by deciles o'!B140</f>
        <v>298906183.2432</v>
      </c>
      <c r="BK16" s="140">
        <f>'[105]2. Distributional by deciles o'!B158</f>
        <v>3166463.554800001</v>
      </c>
      <c r="BL16" s="141">
        <f t="shared" si="19"/>
        <v>0.88235750299291593</v>
      </c>
      <c r="BM16" s="141">
        <f t="shared" si="20"/>
        <v>1.1510955400176482E-4</v>
      </c>
      <c r="BN16" s="141">
        <f t="shared" si="21"/>
        <v>0.11629541165849828</v>
      </c>
      <c r="BO16" s="141">
        <f t="shared" si="21"/>
        <v>1.2319757945839528E-3</v>
      </c>
      <c r="BP16" s="139" t="s">
        <v>113</v>
      </c>
      <c r="BQ16" s="139" t="s">
        <v>113</v>
      </c>
      <c r="BR16" s="139" t="s">
        <v>113</v>
      </c>
      <c r="BS16" s="131">
        <f t="shared" si="22"/>
        <v>8.6128585945275749</v>
      </c>
      <c r="BT16" s="139"/>
      <c r="BU16" s="139"/>
      <c r="BV16" s="139"/>
      <c r="BW16" s="139"/>
      <c r="BX16" s="139"/>
      <c r="BY16" s="139"/>
      <c r="BZ16" s="139"/>
      <c r="CA16" s="139"/>
      <c r="CB16" s="139"/>
      <c r="CC16" s="142" t="s">
        <v>113</v>
      </c>
      <c r="CD16" s="142" t="s">
        <v>113</v>
      </c>
      <c r="CE16" s="142" t="s">
        <v>113</v>
      </c>
      <c r="CF16" s="142" t="s">
        <v>113</v>
      </c>
      <c r="CG16" s="142" t="s">
        <v>113</v>
      </c>
      <c r="CH16" s="142" t="s">
        <v>113</v>
      </c>
      <c r="CI16" s="142" t="s">
        <v>113</v>
      </c>
      <c r="CJ16" s="142"/>
      <c r="CK16" s="139" t="s">
        <v>113</v>
      </c>
      <c r="CL16" s="139" t="s">
        <v>113</v>
      </c>
      <c r="CM16" s="139" t="s">
        <v>113</v>
      </c>
      <c r="CN16" s="139" t="s">
        <v>113</v>
      </c>
      <c r="CO16" s="139" t="s">
        <v>113</v>
      </c>
      <c r="CP16" s="139" t="s">
        <v>113</v>
      </c>
      <c r="CQ16" s="139" t="s">
        <v>113</v>
      </c>
      <c r="CR16" s="139"/>
      <c r="CS16" s="143" t="s">
        <v>113</v>
      </c>
      <c r="CT16" s="143" t="s">
        <v>113</v>
      </c>
      <c r="CU16" s="143" t="s">
        <v>113</v>
      </c>
      <c r="CV16" s="143" t="s">
        <v>113</v>
      </c>
      <c r="CW16" s="143" t="s">
        <v>113</v>
      </c>
      <c r="CX16" s="143" t="s">
        <v>113</v>
      </c>
      <c r="CY16" s="143" t="s">
        <v>113</v>
      </c>
      <c r="CZ16" s="143"/>
      <c r="DA16" s="139" t="s">
        <v>113</v>
      </c>
      <c r="DB16" s="139" t="s">
        <v>113</v>
      </c>
      <c r="DC16" s="139" t="s">
        <v>113</v>
      </c>
      <c r="DD16" s="144">
        <f t="shared" si="23"/>
        <v>4.7089665332509023</v>
      </c>
      <c r="DE16" s="145">
        <f>'[105]2. Distributional by deciles o'!I32</f>
        <v>0.95291033466749098</v>
      </c>
      <c r="DF16" s="1"/>
      <c r="DG16" s="1"/>
      <c r="DH16" s="1"/>
      <c r="DI16" s="1"/>
      <c r="DJ16" s="1"/>
      <c r="DK16" s="1"/>
      <c r="DL16" s="1"/>
      <c r="DM16" s="1"/>
      <c r="DN16" s="1"/>
      <c r="DO16" s="1"/>
      <c r="DP16" s="1"/>
      <c r="DQ16" s="1"/>
      <c r="DR16" s="1"/>
      <c r="DS16" s="1"/>
      <c r="DT16" s="1"/>
      <c r="DU16" s="1"/>
      <c r="DV16" s="1"/>
      <c r="DW16" s="1"/>
      <c r="DX16" s="1"/>
      <c r="DY16" s="1"/>
      <c r="DZ16" s="1"/>
      <c r="EA16" s="129">
        <f>'[106]2. Distributional by deciles o'!B68</f>
        <v>167833016.10119995</v>
      </c>
      <c r="EB16" s="129">
        <f>'[106]2. Distributional by deciles o'!C68</f>
        <v>171381666.8567999</v>
      </c>
      <c r="EC16" s="146">
        <f>'[107]2. Distributional by deciles o'!D68</f>
        <v>169811261.98799992</v>
      </c>
      <c r="ED16" s="147"/>
      <c r="EE16" s="147"/>
      <c r="EF16" s="147"/>
      <c r="EG16" s="129"/>
      <c r="EH16" s="122"/>
      <c r="EI16" s="130" t="s">
        <v>113</v>
      </c>
      <c r="EJ16" s="130" t="s">
        <v>113</v>
      </c>
      <c r="EK16" s="130" t="s">
        <v>113</v>
      </c>
      <c r="EL16" s="130" t="s">
        <v>113</v>
      </c>
      <c r="EM16" s="131">
        <f t="shared" si="9"/>
        <v>5.8261545416866491</v>
      </c>
      <c r="EN16" s="146">
        <f>'[106]2. Distributional by deciles o'!B86</f>
        <v>3375545765.8871999</v>
      </c>
      <c r="EO16" s="146">
        <f>'[106]2. Distributional by deciles o'!C86</f>
        <v>3409301220.848402</v>
      </c>
      <c r="EP16" s="131">
        <f t="shared" si="10"/>
        <v>0.99999992008197314</v>
      </c>
      <c r="EQ16" s="130" t="s">
        <v>113</v>
      </c>
      <c r="ER16" s="130" t="s">
        <v>113</v>
      </c>
      <c r="ES16" s="130" t="s">
        <v>113</v>
      </c>
      <c r="ET16" s="130" t="s">
        <v>113</v>
      </c>
      <c r="EU16" s="131">
        <f t="shared" si="24"/>
        <v>8.5955087525189953</v>
      </c>
      <c r="EV16" s="132">
        <f t="shared" si="25"/>
        <v>2.1143938908071398</v>
      </c>
      <c r="EW16" s="132">
        <f t="shared" si="26"/>
        <v>1.1786989776222809</v>
      </c>
      <c r="EX16" s="132"/>
      <c r="EY16" s="148">
        <f t="shared" si="11"/>
        <v>-0.16252921263881559</v>
      </c>
      <c r="EZ16" s="144">
        <f t="shared" si="27"/>
        <v>17.16421803583096</v>
      </c>
      <c r="FA16" s="145">
        <f>'[107]2. Distributional by deciles o'!F32</f>
        <v>0.82835781964169042</v>
      </c>
      <c r="FB16" s="130" t="s">
        <v>113</v>
      </c>
      <c r="FC16" s="130" t="s">
        <v>113</v>
      </c>
      <c r="FD16" s="130" t="s">
        <v>113</v>
      </c>
      <c r="FE16" s="130" t="s">
        <v>113</v>
      </c>
      <c r="FF16" s="130" t="s">
        <v>113</v>
      </c>
      <c r="FG16" s="130" t="s">
        <v>113</v>
      </c>
      <c r="FH16" s="130" t="s">
        <v>113</v>
      </c>
      <c r="FI16" s="130" t="s">
        <v>113</v>
      </c>
      <c r="FJ16" s="1"/>
      <c r="FK16" s="1"/>
      <c r="FL16" s="1"/>
      <c r="FM16" s="1"/>
      <c r="FN16" s="1"/>
      <c r="FO16" s="1"/>
      <c r="FP16" s="1"/>
      <c r="FQ16" s="1"/>
    </row>
    <row r="17" spans="1:173" x14ac:dyDescent="0.3">
      <c r="A17" s="1"/>
      <c r="B17" s="28">
        <v>6</v>
      </c>
      <c r="C17" s="129">
        <f>'[104]2. Distributional by deciles o'!B51</f>
        <v>211997742.99720013</v>
      </c>
      <c r="D17" s="129">
        <f>'[104]2. Distributional by deciles o'!C51</f>
        <v>216311777.91719961</v>
      </c>
      <c r="E17" s="129">
        <f>'[105]2. Distributional by deciles o'!D69</f>
        <v>214342762.61279982</v>
      </c>
      <c r="F17" s="129">
        <f>'[105]2. Distributional by deciles o'!E69</f>
        <v>216311777.91719961</v>
      </c>
      <c r="G17" s="129">
        <f>'[105]2. Distributional by deciles o'!F69</f>
        <v>214366394.0867998</v>
      </c>
      <c r="H17" s="129">
        <f>'[105]2. Distributional by deciles o'!G69</f>
        <v>214342762.61279982</v>
      </c>
      <c r="I17" s="129"/>
      <c r="J17" s="122"/>
      <c r="K17" s="130" t="s">
        <v>113</v>
      </c>
      <c r="L17" s="130" t="s">
        <v>113</v>
      </c>
      <c r="M17" s="130" t="s">
        <v>113</v>
      </c>
      <c r="N17" s="130" t="s">
        <v>113</v>
      </c>
      <c r="O17" s="131">
        <f t="shared" si="12"/>
        <v>8.887187162238412</v>
      </c>
      <c r="P17" s="129">
        <f>'[104]2. Distributional by deciles o'!B69</f>
        <v>3113928710.7672005</v>
      </c>
      <c r="Q17" s="129">
        <f>'[104]2. Distributional by deciles o'!C69</f>
        <v>3145068617.497201</v>
      </c>
      <c r="R17" s="131">
        <f t="shared" si="0"/>
        <v>1.0000198984108533</v>
      </c>
      <c r="S17" s="130" t="s">
        <v>113</v>
      </c>
      <c r="T17" s="130" t="s">
        <v>113</v>
      </c>
      <c r="U17" s="130" t="s">
        <v>113</v>
      </c>
      <c r="V17" s="130" t="s">
        <v>113</v>
      </c>
      <c r="W17" s="132">
        <f t="shared" si="13"/>
        <v>2.0349033052324881</v>
      </c>
      <c r="X17" s="132">
        <f t="shared" si="13"/>
        <v>1.1061310942331006</v>
      </c>
      <c r="Y17" s="132">
        <f t="shared" si="1"/>
        <v>2.0349033052324881</v>
      </c>
      <c r="Z17" s="132">
        <f t="shared" si="1"/>
        <v>1.1172779128012902</v>
      </c>
      <c r="AA17" s="132">
        <f t="shared" si="1"/>
        <v>1.1061310942331006</v>
      </c>
      <c r="AB17" s="132">
        <f t="shared" si="14"/>
        <v>1.1061310942331006</v>
      </c>
      <c r="AC17" s="132">
        <f t="shared" si="14"/>
        <v>1.1061310942331006</v>
      </c>
      <c r="AD17" s="130" t="s">
        <v>113</v>
      </c>
      <c r="AE17" s="130" t="s">
        <v>113</v>
      </c>
      <c r="AF17" s="130" t="s">
        <v>113</v>
      </c>
      <c r="AG17" s="130" t="s">
        <v>113</v>
      </c>
      <c r="AH17" s="133">
        <f t="shared" si="2"/>
        <v>1</v>
      </c>
      <c r="AI17" s="134">
        <f t="shared" si="15"/>
        <v>0.10613109423310063</v>
      </c>
      <c r="AJ17" s="134">
        <f t="shared" si="3"/>
        <v>0</v>
      </c>
      <c r="AK17" s="134">
        <f t="shared" si="4"/>
        <v>0.91762539243119789</v>
      </c>
      <c r="AL17" s="134">
        <f t="shared" si="16"/>
        <v>1.1146818568189554E-2</v>
      </c>
      <c r="AM17" s="134">
        <f t="shared" si="17"/>
        <v>0</v>
      </c>
      <c r="AN17" s="135">
        <f t="shared" si="28"/>
        <v>0</v>
      </c>
      <c r="AO17" s="134">
        <f t="shared" si="18"/>
        <v>0</v>
      </c>
      <c r="AP17" s="134">
        <f t="shared" si="6"/>
        <v>0.10613109423310063</v>
      </c>
      <c r="AQ17" s="136" t="s">
        <v>113</v>
      </c>
      <c r="AR17" s="137">
        <f t="shared" si="7"/>
        <v>10.255170091398885</v>
      </c>
      <c r="AS17" s="137">
        <f t="shared" si="7"/>
        <v>0</v>
      </c>
      <c r="AT17" s="137">
        <f t="shared" si="7"/>
        <v>88.667741980498931</v>
      </c>
      <c r="AU17" s="137">
        <f t="shared" si="7"/>
        <v>1.0770879281021768</v>
      </c>
      <c r="AV17" s="137">
        <f t="shared" si="7"/>
        <v>0</v>
      </c>
      <c r="AW17" s="138">
        <f t="shared" si="7"/>
        <v>0</v>
      </c>
      <c r="AX17" s="137">
        <f t="shared" si="7"/>
        <v>0</v>
      </c>
      <c r="AY17" s="137">
        <f t="shared" si="7"/>
        <v>10.255170091398885</v>
      </c>
      <c r="AZ17" s="139" t="s">
        <v>113</v>
      </c>
      <c r="BA17" s="139" t="s">
        <v>113</v>
      </c>
      <c r="BB17" s="139" t="s">
        <v>113</v>
      </c>
      <c r="BC17" s="139" t="s">
        <v>113</v>
      </c>
      <c r="BD17" s="139" t="s">
        <v>113</v>
      </c>
      <c r="BE17" s="139" t="s">
        <v>113</v>
      </c>
      <c r="BF17" s="139" t="s">
        <v>113</v>
      </c>
      <c r="BG17" s="139" t="s">
        <v>113</v>
      </c>
      <c r="BH17" s="140">
        <f>'[105]2. Distributional by deciles o'!B105</f>
        <v>2635497987.9684005</v>
      </c>
      <c r="BI17" s="140">
        <f>'[105]2. Distributional by deciles o'!B123</f>
        <v>0</v>
      </c>
      <c r="BJ17" s="140">
        <f>'[105]2. Distributional by deciles o'!B141</f>
        <v>476821533.08279991</v>
      </c>
      <c r="BK17" s="140">
        <f>'[105]2. Distributional by deciles o'!B159</f>
        <v>1609543.9308000009</v>
      </c>
      <c r="BL17" s="141">
        <f t="shared" si="19"/>
        <v>0.84635774706821543</v>
      </c>
      <c r="BM17" s="141">
        <f t="shared" si="20"/>
        <v>0</v>
      </c>
      <c r="BN17" s="141">
        <f t="shared" si="21"/>
        <v>0.15312536770504634</v>
      </c>
      <c r="BO17" s="141">
        <f t="shared" si="21"/>
        <v>5.1688522673823487E-4</v>
      </c>
      <c r="BP17" s="139" t="s">
        <v>113</v>
      </c>
      <c r="BQ17" s="139" t="s">
        <v>113</v>
      </c>
      <c r="BR17" s="139" t="s">
        <v>113</v>
      </c>
      <c r="BS17" s="131">
        <f t="shared" si="22"/>
        <v>10.4347882483207</v>
      </c>
      <c r="BT17" s="139"/>
      <c r="BU17" s="139"/>
      <c r="BV17" s="139"/>
      <c r="BW17" s="139"/>
      <c r="BX17" s="139"/>
      <c r="BY17" s="139"/>
      <c r="BZ17" s="139"/>
      <c r="CA17" s="139"/>
      <c r="CB17" s="139"/>
      <c r="CC17" s="142" t="s">
        <v>113</v>
      </c>
      <c r="CD17" s="142" t="s">
        <v>113</v>
      </c>
      <c r="CE17" s="142" t="s">
        <v>113</v>
      </c>
      <c r="CF17" s="142" t="s">
        <v>113</v>
      </c>
      <c r="CG17" s="142" t="s">
        <v>113</v>
      </c>
      <c r="CH17" s="142" t="s">
        <v>113</v>
      </c>
      <c r="CI17" s="142" t="s">
        <v>113</v>
      </c>
      <c r="CJ17" s="142"/>
      <c r="CK17" s="139" t="s">
        <v>113</v>
      </c>
      <c r="CL17" s="139" t="s">
        <v>113</v>
      </c>
      <c r="CM17" s="139" t="s">
        <v>113</v>
      </c>
      <c r="CN17" s="139" t="s">
        <v>113</v>
      </c>
      <c r="CO17" s="139" t="s">
        <v>113</v>
      </c>
      <c r="CP17" s="139" t="s">
        <v>113</v>
      </c>
      <c r="CQ17" s="139" t="s">
        <v>113</v>
      </c>
      <c r="CR17" s="139"/>
      <c r="CS17" s="143" t="s">
        <v>113</v>
      </c>
      <c r="CT17" s="143" t="s">
        <v>113</v>
      </c>
      <c r="CU17" s="143" t="s">
        <v>113</v>
      </c>
      <c r="CV17" s="143" t="s">
        <v>113</v>
      </c>
      <c r="CW17" s="143" t="s">
        <v>113</v>
      </c>
      <c r="CX17" s="143" t="s">
        <v>113</v>
      </c>
      <c r="CY17" s="143" t="s">
        <v>113</v>
      </c>
      <c r="CZ17" s="143"/>
      <c r="DA17" s="139" t="s">
        <v>113</v>
      </c>
      <c r="DB17" s="139" t="s">
        <v>113</v>
      </c>
      <c r="DC17" s="139" t="s">
        <v>113</v>
      </c>
      <c r="DD17" s="144">
        <f t="shared" si="23"/>
        <v>1.9612034388136523</v>
      </c>
      <c r="DE17" s="145">
        <f>'[105]2. Distributional by deciles o'!I33</f>
        <v>0.98038796561186348</v>
      </c>
      <c r="DF17" s="1"/>
      <c r="DG17" s="1"/>
      <c r="DH17" s="1"/>
      <c r="DI17" s="1"/>
      <c r="DJ17" s="1"/>
      <c r="DK17" s="1"/>
      <c r="DL17" s="1"/>
      <c r="DM17" s="1"/>
      <c r="DN17" s="1"/>
      <c r="DO17" s="1"/>
      <c r="DP17" s="1"/>
      <c r="DQ17" s="1"/>
      <c r="DR17" s="1"/>
      <c r="DS17" s="1"/>
      <c r="DT17" s="1"/>
      <c r="DU17" s="1"/>
      <c r="DV17" s="1"/>
      <c r="DW17" s="1"/>
      <c r="DX17" s="1"/>
      <c r="DY17" s="1"/>
      <c r="DZ17" s="1"/>
      <c r="EA17" s="129">
        <f>'[106]2. Distributional by deciles o'!B69</f>
        <v>230194034.30760032</v>
      </c>
      <c r="EB17" s="129">
        <f>'[106]2. Distributional by deciles o'!C69</f>
        <v>235063969.68359965</v>
      </c>
      <c r="EC17" s="146">
        <f>'[107]2. Distributional by deciles o'!D69</f>
        <v>232771947.46079975</v>
      </c>
      <c r="ED17" s="147"/>
      <c r="EE17" s="147"/>
      <c r="EF17" s="147"/>
      <c r="EG17" s="129"/>
      <c r="EH17" s="122"/>
      <c r="EI17" s="130" t="s">
        <v>113</v>
      </c>
      <c r="EJ17" s="130" t="s">
        <v>113</v>
      </c>
      <c r="EK17" s="130" t="s">
        <v>113</v>
      </c>
      <c r="EL17" s="130" t="s">
        <v>113</v>
      </c>
      <c r="EM17" s="131">
        <f t="shared" si="9"/>
        <v>7.9909546381607868</v>
      </c>
      <c r="EN17" s="146">
        <f>'[106]2. Distributional by deciles o'!B87</f>
        <v>4120393898.8235979</v>
      </c>
      <c r="EO17" s="146">
        <f>'[106]2. Distributional by deciles o'!C87</f>
        <v>4161596954.3759966</v>
      </c>
      <c r="EP17" s="131">
        <f t="shared" si="10"/>
        <v>0.99997855943245728</v>
      </c>
      <c r="EQ17" s="130" t="s">
        <v>113</v>
      </c>
      <c r="ER17" s="130" t="s">
        <v>113</v>
      </c>
      <c r="ES17" s="130" t="s">
        <v>113</v>
      </c>
      <c r="ET17" s="130" t="s">
        <v>113</v>
      </c>
      <c r="EU17" s="131">
        <f t="shared" si="24"/>
        <v>10.492194233916848</v>
      </c>
      <c r="EV17" s="132">
        <f t="shared" si="25"/>
        <v>2.1156238071351452</v>
      </c>
      <c r="EW17" s="132">
        <f t="shared" si="26"/>
        <v>1.1199110498496896</v>
      </c>
      <c r="EX17" s="132"/>
      <c r="EY17" s="148">
        <f t="shared" si="11"/>
        <v>8.0720501902657116E-2</v>
      </c>
      <c r="EZ17" s="144">
        <f t="shared" si="27"/>
        <v>4.6227684245529144</v>
      </c>
      <c r="FA17" s="145">
        <f>'[107]2. Distributional by deciles o'!F33</f>
        <v>0.95377231575447086</v>
      </c>
      <c r="FB17" s="130" t="s">
        <v>113</v>
      </c>
      <c r="FC17" s="130" t="s">
        <v>113</v>
      </c>
      <c r="FD17" s="130" t="s">
        <v>113</v>
      </c>
      <c r="FE17" s="130" t="s">
        <v>113</v>
      </c>
      <c r="FF17" s="130" t="s">
        <v>113</v>
      </c>
      <c r="FG17" s="130" t="s">
        <v>113</v>
      </c>
      <c r="FH17" s="130" t="s">
        <v>113</v>
      </c>
      <c r="FI17" s="130" t="s">
        <v>113</v>
      </c>
      <c r="FJ17" s="1"/>
      <c r="FK17" s="1"/>
      <c r="FL17" s="1"/>
      <c r="FM17" s="1"/>
      <c r="FN17" s="1"/>
      <c r="FO17" s="1"/>
      <c r="FP17" s="1"/>
      <c r="FQ17" s="1"/>
    </row>
    <row r="18" spans="1:173" x14ac:dyDescent="0.3">
      <c r="A18" s="1"/>
      <c r="B18" s="28">
        <v>7</v>
      </c>
      <c r="C18" s="129">
        <f>'[104]2. Distributional by deciles o'!B52</f>
        <v>267089742.86399996</v>
      </c>
      <c r="D18" s="129">
        <f>'[104]2. Distributional by deciles o'!C52</f>
        <v>272497469.73360014</v>
      </c>
      <c r="E18" s="129">
        <f>'[105]2. Distributional by deciles o'!D70</f>
        <v>270248501.82599998</v>
      </c>
      <c r="F18" s="129">
        <f>'[105]2. Distributional by deciles o'!E70</f>
        <v>272497469.73360014</v>
      </c>
      <c r="G18" s="129">
        <f>'[105]2. Distributional by deciles o'!F70</f>
        <v>270287649.23640001</v>
      </c>
      <c r="H18" s="129">
        <f>'[105]2. Distributional by deciles o'!G70</f>
        <v>270248501.82599998</v>
      </c>
      <c r="I18" s="129"/>
      <c r="J18" s="122"/>
      <c r="K18" s="130" t="s">
        <v>113</v>
      </c>
      <c r="L18" s="130" t="s">
        <v>113</v>
      </c>
      <c r="M18" s="130" t="s">
        <v>113</v>
      </c>
      <c r="N18" s="130" t="s">
        <v>113</v>
      </c>
      <c r="O18" s="131">
        <f t="shared" si="12"/>
        <v>11.196706627097669</v>
      </c>
      <c r="P18" s="129">
        <f>'[104]2. Distributional by deciles o'!B70</f>
        <v>3578856665.2908001</v>
      </c>
      <c r="Q18" s="129">
        <f>'[104]2. Distributional by deciles o'!C70</f>
        <v>3614645624.8572016</v>
      </c>
      <c r="R18" s="131">
        <f t="shared" si="0"/>
        <v>1.000010978743493</v>
      </c>
      <c r="S18" s="130" t="s">
        <v>113</v>
      </c>
      <c r="T18" s="130" t="s">
        <v>113</v>
      </c>
      <c r="U18" s="130" t="s">
        <v>113</v>
      </c>
      <c r="V18" s="130" t="s">
        <v>113</v>
      </c>
      <c r="W18" s="132">
        <f t="shared" si="13"/>
        <v>2.0246631121882279</v>
      </c>
      <c r="X18" s="132">
        <f t="shared" si="13"/>
        <v>1.1826452971594421</v>
      </c>
      <c r="Y18" s="132">
        <f t="shared" si="1"/>
        <v>2.0246631121882279</v>
      </c>
      <c r="Z18" s="132">
        <f t="shared" si="1"/>
        <v>1.1973021612514891</v>
      </c>
      <c r="AA18" s="132">
        <f t="shared" si="1"/>
        <v>1.1826452971594421</v>
      </c>
      <c r="AB18" s="132">
        <f t="shared" si="14"/>
        <v>1.1826452971594421</v>
      </c>
      <c r="AC18" s="132">
        <f t="shared" si="14"/>
        <v>1.1826452971594421</v>
      </c>
      <c r="AD18" s="130" t="s">
        <v>113</v>
      </c>
      <c r="AE18" s="130" t="s">
        <v>113</v>
      </c>
      <c r="AF18" s="130" t="s">
        <v>113</v>
      </c>
      <c r="AG18" s="130" t="s">
        <v>113</v>
      </c>
      <c r="AH18" s="133">
        <f t="shared" si="2"/>
        <v>1</v>
      </c>
      <c r="AI18" s="134">
        <f t="shared" si="15"/>
        <v>0.18264529715944211</v>
      </c>
      <c r="AJ18" s="134">
        <f t="shared" si="3"/>
        <v>0</v>
      </c>
      <c r="AK18" s="134">
        <f t="shared" si="4"/>
        <v>0.82736095093673878</v>
      </c>
      <c r="AL18" s="134">
        <f t="shared" si="16"/>
        <v>1.4656864092047028E-2</v>
      </c>
      <c r="AM18" s="134">
        <f t="shared" si="17"/>
        <v>0</v>
      </c>
      <c r="AN18" s="135">
        <f t="shared" si="28"/>
        <v>0</v>
      </c>
      <c r="AO18" s="134">
        <f t="shared" si="18"/>
        <v>0</v>
      </c>
      <c r="AP18" s="134">
        <f t="shared" si="6"/>
        <v>0.18264529715944211</v>
      </c>
      <c r="AQ18" s="136" t="s">
        <v>113</v>
      </c>
      <c r="AR18" s="137">
        <f t="shared" si="7"/>
        <v>17.824911913672036</v>
      </c>
      <c r="AS18" s="137">
        <f t="shared" si="7"/>
        <v>0</v>
      </c>
      <c r="AT18" s="137">
        <f t="shared" si="7"/>
        <v>80.744679992418298</v>
      </c>
      <c r="AU18" s="137">
        <f t="shared" si="7"/>
        <v>1.4304080939096595</v>
      </c>
      <c r="AV18" s="137">
        <f t="shared" si="7"/>
        <v>0</v>
      </c>
      <c r="AW18" s="138">
        <f t="shared" si="7"/>
        <v>0</v>
      </c>
      <c r="AX18" s="137">
        <f t="shared" si="7"/>
        <v>0</v>
      </c>
      <c r="AY18" s="137">
        <f t="shared" si="7"/>
        <v>17.824911913672036</v>
      </c>
      <c r="AZ18" s="139" t="s">
        <v>113</v>
      </c>
      <c r="BA18" s="139" t="s">
        <v>113</v>
      </c>
      <c r="BB18" s="139" t="s">
        <v>113</v>
      </c>
      <c r="BC18" s="139" t="s">
        <v>113</v>
      </c>
      <c r="BD18" s="139" t="s">
        <v>113</v>
      </c>
      <c r="BE18" s="139" t="s">
        <v>113</v>
      </c>
      <c r="BF18" s="139" t="s">
        <v>113</v>
      </c>
      <c r="BG18" s="139" t="s">
        <v>113</v>
      </c>
      <c r="BH18" s="140">
        <f>'[105]2. Distributional by deciles o'!B106</f>
        <v>3116681726.3592005</v>
      </c>
      <c r="BI18" s="140">
        <f>'[105]2. Distributional by deciles o'!B124</f>
        <v>1213370.9183999998</v>
      </c>
      <c r="BJ18" s="140">
        <f>'[105]2. Distributional by deciles o'!B142</f>
        <v>455781841.64760005</v>
      </c>
      <c r="BK18" s="140">
        <f>'[105]2. Distributional by deciles o'!B160</f>
        <v>5179425.680399999</v>
      </c>
      <c r="BL18" s="141">
        <f t="shared" si="19"/>
        <v>0.87085968500517541</v>
      </c>
      <c r="BM18" s="141">
        <f t="shared" si="20"/>
        <v>3.3903873047269297E-4</v>
      </c>
      <c r="BN18" s="141">
        <f t="shared" si="21"/>
        <v>0.12735404699535308</v>
      </c>
      <c r="BO18" s="141">
        <f t="shared" si="21"/>
        <v>1.4472292689988373E-3</v>
      </c>
      <c r="BP18" s="139" t="s">
        <v>113</v>
      </c>
      <c r="BQ18" s="139" t="s">
        <v>113</v>
      </c>
      <c r="BR18" s="139" t="s">
        <v>113</v>
      </c>
      <c r="BS18" s="131">
        <f t="shared" si="22"/>
        <v>11.992763785590903</v>
      </c>
      <c r="BT18" s="139"/>
      <c r="BU18" s="139"/>
      <c r="BV18" s="139"/>
      <c r="BW18" s="139"/>
      <c r="BX18" s="139"/>
      <c r="BY18" s="139"/>
      <c r="BZ18" s="139"/>
      <c r="CA18" s="139"/>
      <c r="CB18" s="139"/>
      <c r="CC18" s="142" t="s">
        <v>113</v>
      </c>
      <c r="CD18" s="142" t="s">
        <v>113</v>
      </c>
      <c r="CE18" s="142" t="s">
        <v>113</v>
      </c>
      <c r="CF18" s="142" t="s">
        <v>113</v>
      </c>
      <c r="CG18" s="142" t="s">
        <v>113</v>
      </c>
      <c r="CH18" s="142" t="s">
        <v>113</v>
      </c>
      <c r="CI18" s="142" t="s">
        <v>113</v>
      </c>
      <c r="CJ18" s="142"/>
      <c r="CK18" s="139" t="s">
        <v>113</v>
      </c>
      <c r="CL18" s="139" t="s">
        <v>113</v>
      </c>
      <c r="CM18" s="139" t="s">
        <v>113</v>
      </c>
      <c r="CN18" s="139" t="s">
        <v>113</v>
      </c>
      <c r="CO18" s="139" t="s">
        <v>113</v>
      </c>
      <c r="CP18" s="139" t="s">
        <v>113</v>
      </c>
      <c r="CQ18" s="139" t="s">
        <v>113</v>
      </c>
      <c r="CR18" s="139"/>
      <c r="CS18" s="143" t="s">
        <v>113</v>
      </c>
      <c r="CT18" s="143" t="s">
        <v>113</v>
      </c>
      <c r="CU18" s="143" t="s">
        <v>113</v>
      </c>
      <c r="CV18" s="143" t="s">
        <v>113</v>
      </c>
      <c r="CW18" s="143" t="s">
        <v>113</v>
      </c>
      <c r="CX18" s="143" t="s">
        <v>113</v>
      </c>
      <c r="CY18" s="143" t="s">
        <v>113</v>
      </c>
      <c r="CZ18" s="143"/>
      <c r="DA18" s="139" t="s">
        <v>113</v>
      </c>
      <c r="DB18" s="139" t="s">
        <v>113</v>
      </c>
      <c r="DC18" s="139" t="s">
        <v>113</v>
      </c>
      <c r="DD18" s="144">
        <f t="shared" si="23"/>
        <v>0</v>
      </c>
      <c r="DE18" s="145">
        <f>'[105]2. Distributional by deciles o'!I34</f>
        <v>1</v>
      </c>
      <c r="DF18" s="1"/>
      <c r="DG18" s="1"/>
      <c r="DH18" s="1"/>
      <c r="DI18" s="1"/>
      <c r="DJ18" s="1"/>
      <c r="DK18" s="1"/>
      <c r="DL18" s="1"/>
      <c r="DM18" s="1"/>
      <c r="DN18" s="1"/>
      <c r="DO18" s="1"/>
      <c r="DP18" s="1"/>
      <c r="DQ18" s="1"/>
      <c r="DR18" s="1"/>
      <c r="DS18" s="1"/>
      <c r="DT18" s="1"/>
      <c r="DU18" s="1"/>
      <c r="DV18" s="1"/>
      <c r="DW18" s="1"/>
      <c r="DX18" s="1"/>
      <c r="DY18" s="1"/>
      <c r="DZ18" s="1"/>
      <c r="EA18" s="129">
        <f>'[106]2. Distributional by deciles o'!B70</f>
        <v>276373496.85479981</v>
      </c>
      <c r="EB18" s="129">
        <f>'[106]2. Distributional by deciles o'!C70</f>
        <v>282391557.28800011</v>
      </c>
      <c r="EC18" s="146">
        <f>'[107]2. Distributional by deciles o'!D70</f>
        <v>279812486.62319994</v>
      </c>
      <c r="ED18" s="147"/>
      <c r="EE18" s="147"/>
      <c r="EF18" s="147"/>
      <c r="EG18" s="129"/>
      <c r="EH18" s="122"/>
      <c r="EI18" s="130" t="s">
        <v>113</v>
      </c>
      <c r="EJ18" s="130" t="s">
        <v>113</v>
      </c>
      <c r="EK18" s="130" t="s">
        <v>113</v>
      </c>
      <c r="EL18" s="130" t="s">
        <v>113</v>
      </c>
      <c r="EM18" s="131">
        <f t="shared" si="9"/>
        <v>9.5940282866125557</v>
      </c>
      <c r="EN18" s="146">
        <f>'[106]2. Distributional by deciles o'!B88</f>
        <v>4690076417.7480011</v>
      </c>
      <c r="EO18" s="146">
        <f>'[106]2. Distributional by deciles o'!C88</f>
        <v>4736976837.3635998</v>
      </c>
      <c r="EP18" s="131">
        <f t="shared" si="10"/>
        <v>0.99999265338448495</v>
      </c>
      <c r="EQ18" s="130" t="s">
        <v>113</v>
      </c>
      <c r="ER18" s="130" t="s">
        <v>113</v>
      </c>
      <c r="ES18" s="130" t="s">
        <v>113</v>
      </c>
      <c r="ET18" s="130" t="s">
        <v>113</v>
      </c>
      <c r="EU18" s="131">
        <f t="shared" si="24"/>
        <v>11.942837009096277</v>
      </c>
      <c r="EV18" s="132">
        <f t="shared" si="25"/>
        <v>2.1775259619279033</v>
      </c>
      <c r="EW18" s="132">
        <f t="shared" si="26"/>
        <v>1.2443360425866425</v>
      </c>
      <c r="EX18" s="132"/>
      <c r="EY18" s="148">
        <f t="shared" si="11"/>
        <v>0.15286284973967534</v>
      </c>
      <c r="EZ18" s="144">
        <f t="shared" si="27"/>
        <v>1.1274285369283654</v>
      </c>
      <c r="FA18" s="145">
        <f>'[107]2. Distributional by deciles o'!F34</f>
        <v>0.98872571463071635</v>
      </c>
      <c r="FB18" s="130" t="s">
        <v>113</v>
      </c>
      <c r="FC18" s="130" t="s">
        <v>113</v>
      </c>
      <c r="FD18" s="130" t="s">
        <v>113</v>
      </c>
      <c r="FE18" s="130" t="s">
        <v>113</v>
      </c>
      <c r="FF18" s="130" t="s">
        <v>113</v>
      </c>
      <c r="FG18" s="130" t="s">
        <v>113</v>
      </c>
      <c r="FH18" s="130" t="s">
        <v>113</v>
      </c>
      <c r="FI18" s="130" t="s">
        <v>113</v>
      </c>
      <c r="FJ18" s="1"/>
      <c r="FK18" s="1"/>
      <c r="FL18" s="1"/>
      <c r="FM18" s="1"/>
      <c r="FN18" s="1"/>
      <c r="FO18" s="1"/>
      <c r="FP18" s="1"/>
      <c r="FQ18" s="1"/>
    </row>
    <row r="19" spans="1:173" x14ac:dyDescent="0.3">
      <c r="A19" s="1"/>
      <c r="B19" s="28">
        <v>8</v>
      </c>
      <c r="C19" s="129">
        <f>'[104]2. Distributional by deciles o'!B53</f>
        <v>345483023.57160008</v>
      </c>
      <c r="D19" s="129">
        <f>'[104]2. Distributional by deciles o'!C53</f>
        <v>352020264.85200018</v>
      </c>
      <c r="E19" s="129">
        <f>'[105]2. Distributional by deciles o'!D71</f>
        <v>349387625.07720035</v>
      </c>
      <c r="F19" s="129">
        <f>'[105]2. Distributional by deciles o'!E71</f>
        <v>352018037.03160012</v>
      </c>
      <c r="G19" s="129">
        <f>'[105]2. Distributional by deciles o'!F71</f>
        <v>349412593.96560031</v>
      </c>
      <c r="H19" s="129">
        <f>'[105]2. Distributional by deciles o'!G71</f>
        <v>349387625.07720035</v>
      </c>
      <c r="I19" s="129"/>
      <c r="J19" s="122"/>
      <c r="K19" s="130" t="s">
        <v>113</v>
      </c>
      <c r="L19" s="130" t="s">
        <v>113</v>
      </c>
      <c r="M19" s="130" t="s">
        <v>113</v>
      </c>
      <c r="N19" s="130" t="s">
        <v>113</v>
      </c>
      <c r="O19" s="131">
        <f t="shared" si="12"/>
        <v>14.483042359075426</v>
      </c>
      <c r="P19" s="129">
        <f>'[104]2. Distributional by deciles o'!B71</f>
        <v>4306547233.1975994</v>
      </c>
      <c r="Q19" s="129">
        <f>'[104]2. Distributional by deciles o'!C71</f>
        <v>4349613902.8176022</v>
      </c>
      <c r="R19" s="131">
        <f t="shared" si="0"/>
        <v>1.0000278015765751</v>
      </c>
      <c r="S19" s="130" t="s">
        <v>113</v>
      </c>
      <c r="T19" s="130" t="s">
        <v>113</v>
      </c>
      <c r="U19" s="130" t="s">
        <v>113</v>
      </c>
      <c r="V19" s="130" t="s">
        <v>113</v>
      </c>
      <c r="W19" s="132">
        <f t="shared" si="13"/>
        <v>1.8921507263247459</v>
      </c>
      <c r="X19" s="132">
        <f t="shared" si="13"/>
        <v>1.1301547943443939</v>
      </c>
      <c r="Y19" s="132">
        <f t="shared" si="1"/>
        <v>1.891505902031549</v>
      </c>
      <c r="Z19" s="132">
        <f t="shared" si="1"/>
        <v>1.1373818337475674</v>
      </c>
      <c r="AA19" s="132">
        <f t="shared" si="1"/>
        <v>1.1301547943443939</v>
      </c>
      <c r="AB19" s="132">
        <f t="shared" si="14"/>
        <v>1.1301547943443939</v>
      </c>
      <c r="AC19" s="132">
        <f t="shared" si="14"/>
        <v>1.1301547943443939</v>
      </c>
      <c r="AD19" s="130" t="s">
        <v>113</v>
      </c>
      <c r="AE19" s="130" t="s">
        <v>113</v>
      </c>
      <c r="AF19" s="130" t="s">
        <v>113</v>
      </c>
      <c r="AG19" s="130" t="s">
        <v>113</v>
      </c>
      <c r="AH19" s="133">
        <f t="shared" si="2"/>
        <v>1</v>
      </c>
      <c r="AI19" s="134">
        <f t="shared" si="15"/>
        <v>0.13015479434439392</v>
      </c>
      <c r="AJ19" s="134">
        <f t="shared" si="3"/>
        <v>6.4482429319689949E-4</v>
      </c>
      <c r="AK19" s="134">
        <f t="shared" si="4"/>
        <v>0.7541240682839816</v>
      </c>
      <c r="AL19" s="134">
        <f t="shared" si="16"/>
        <v>7.2270394031734853E-3</v>
      </c>
      <c r="AM19" s="134">
        <f t="shared" si="17"/>
        <v>0</v>
      </c>
      <c r="AN19" s="135">
        <f t="shared" si="28"/>
        <v>0</v>
      </c>
      <c r="AO19" s="134">
        <f t="shared" si="18"/>
        <v>0</v>
      </c>
      <c r="AP19" s="134">
        <f t="shared" si="6"/>
        <v>0.13015479434439392</v>
      </c>
      <c r="AQ19" s="136" t="s">
        <v>113</v>
      </c>
      <c r="AR19" s="137">
        <f t="shared" si="7"/>
        <v>14.588879491313348</v>
      </c>
      <c r="AS19" s="137">
        <f t="shared" si="7"/>
        <v>7.2277505826093033E-2</v>
      </c>
      <c r="AT19" s="137">
        <f t="shared" si="7"/>
        <v>84.528773673774708</v>
      </c>
      <c r="AU19" s="137">
        <f t="shared" si="7"/>
        <v>0.81006932908585882</v>
      </c>
      <c r="AV19" s="137">
        <f t="shared" si="7"/>
        <v>0</v>
      </c>
      <c r="AW19" s="138">
        <f t="shared" si="7"/>
        <v>0</v>
      </c>
      <c r="AX19" s="137">
        <f t="shared" si="7"/>
        <v>0</v>
      </c>
      <c r="AY19" s="137">
        <f t="shared" si="7"/>
        <v>14.588879491313348</v>
      </c>
      <c r="AZ19" s="139" t="s">
        <v>113</v>
      </c>
      <c r="BA19" s="139" t="s">
        <v>113</v>
      </c>
      <c r="BB19" s="139" t="s">
        <v>113</v>
      </c>
      <c r="BC19" s="139" t="s">
        <v>113</v>
      </c>
      <c r="BD19" s="139" t="s">
        <v>113</v>
      </c>
      <c r="BE19" s="139" t="s">
        <v>113</v>
      </c>
      <c r="BF19" s="139" t="s">
        <v>113</v>
      </c>
      <c r="BG19" s="139" t="s">
        <v>113</v>
      </c>
      <c r="BH19" s="140">
        <f>'[105]2. Distributional by deciles o'!B107</f>
        <v>3665448423.0300016</v>
      </c>
      <c r="BI19" s="140">
        <f>'[105]2. Distributional by deciles o'!B125</f>
        <v>542409.46439999994</v>
      </c>
      <c r="BJ19" s="140">
        <f>'[105]2. Distributional by deciles o'!B143</f>
        <v>631009973.03159988</v>
      </c>
      <c r="BK19" s="140">
        <f>'[105]2. Distributional by deciles o'!B161</f>
        <v>9546468.894000005</v>
      </c>
      <c r="BL19" s="141">
        <f t="shared" si="19"/>
        <v>0.85113391063927391</v>
      </c>
      <c r="BM19" s="141">
        <f t="shared" si="20"/>
        <v>1.2594996172962035E-4</v>
      </c>
      <c r="BN19" s="141">
        <f t="shared" si="21"/>
        <v>0.14652340560143584</v>
      </c>
      <c r="BO19" s="141">
        <f t="shared" si="21"/>
        <v>2.2167337975607638E-3</v>
      </c>
      <c r="BP19" s="139" t="s">
        <v>113</v>
      </c>
      <c r="BQ19" s="139" t="s">
        <v>113</v>
      </c>
      <c r="BR19" s="139" t="s">
        <v>113</v>
      </c>
      <c r="BS19" s="131">
        <f t="shared" si="22"/>
        <v>14.431257948977471</v>
      </c>
      <c r="BT19" s="139"/>
      <c r="BU19" s="139"/>
      <c r="BV19" s="139"/>
      <c r="BW19" s="139"/>
      <c r="BX19" s="139"/>
      <c r="BY19" s="139"/>
      <c r="BZ19" s="139"/>
      <c r="CA19" s="139"/>
      <c r="CB19" s="139"/>
      <c r="CC19" s="142" t="s">
        <v>113</v>
      </c>
      <c r="CD19" s="142" t="s">
        <v>113</v>
      </c>
      <c r="CE19" s="142" t="s">
        <v>113</v>
      </c>
      <c r="CF19" s="142" t="s">
        <v>113</v>
      </c>
      <c r="CG19" s="142" t="s">
        <v>113</v>
      </c>
      <c r="CH19" s="142" t="s">
        <v>113</v>
      </c>
      <c r="CI19" s="142" t="s">
        <v>113</v>
      </c>
      <c r="CJ19" s="142"/>
      <c r="CK19" s="139" t="s">
        <v>113</v>
      </c>
      <c r="CL19" s="139" t="s">
        <v>113</v>
      </c>
      <c r="CM19" s="139" t="s">
        <v>113</v>
      </c>
      <c r="CN19" s="139" t="s">
        <v>113</v>
      </c>
      <c r="CO19" s="139" t="s">
        <v>113</v>
      </c>
      <c r="CP19" s="139" t="s">
        <v>113</v>
      </c>
      <c r="CQ19" s="139" t="s">
        <v>113</v>
      </c>
      <c r="CR19" s="139"/>
      <c r="CS19" s="143" t="s">
        <v>113</v>
      </c>
      <c r="CT19" s="143" t="s">
        <v>113</v>
      </c>
      <c r="CU19" s="143" t="s">
        <v>113</v>
      </c>
      <c r="CV19" s="143" t="s">
        <v>113</v>
      </c>
      <c r="CW19" s="143" t="s">
        <v>113</v>
      </c>
      <c r="CX19" s="143" t="s">
        <v>113</v>
      </c>
      <c r="CY19" s="143" t="s">
        <v>113</v>
      </c>
      <c r="CZ19" s="143"/>
      <c r="DA19" s="139" t="s">
        <v>113</v>
      </c>
      <c r="DB19" s="139" t="s">
        <v>113</v>
      </c>
      <c r="DC19" s="139" t="s">
        <v>113</v>
      </c>
      <c r="DD19" s="144">
        <f t="shared" si="23"/>
        <v>0</v>
      </c>
      <c r="DE19" s="145">
        <f>'[105]2. Distributional by deciles o'!I35</f>
        <v>1</v>
      </c>
      <c r="DF19" s="1"/>
      <c r="DG19" s="1"/>
      <c r="DH19" s="1"/>
      <c r="DI19" s="1"/>
      <c r="DJ19" s="1"/>
      <c r="DK19" s="1"/>
      <c r="DL19" s="1"/>
      <c r="DM19" s="1"/>
      <c r="DN19" s="1"/>
      <c r="DO19" s="1"/>
      <c r="DP19" s="1"/>
      <c r="DQ19" s="1"/>
      <c r="DR19" s="1"/>
      <c r="DS19" s="1"/>
      <c r="DT19" s="1"/>
      <c r="DU19" s="1"/>
      <c r="DV19" s="1"/>
      <c r="DW19" s="1"/>
      <c r="DX19" s="1"/>
      <c r="DY19" s="1"/>
      <c r="DZ19" s="1"/>
      <c r="EA19" s="129">
        <f>'[106]2. Distributional by deciles o'!B71</f>
        <v>404039608.63680017</v>
      </c>
      <c r="EB19" s="129">
        <f>'[106]2. Distributional by deciles o'!C71</f>
        <v>412368640.9247998</v>
      </c>
      <c r="EC19" s="146">
        <f>'[107]2. Distributional by deciles o'!D71</f>
        <v>408886885.62119991</v>
      </c>
      <c r="ED19" s="147"/>
      <c r="EE19" s="147"/>
      <c r="EF19" s="147"/>
      <c r="EG19" s="129"/>
      <c r="EH19" s="122"/>
      <c r="EI19" s="130" t="s">
        <v>113</v>
      </c>
      <c r="EJ19" s="130" t="s">
        <v>113</v>
      </c>
      <c r="EK19" s="130" t="s">
        <v>113</v>
      </c>
      <c r="EL19" s="130" t="s">
        <v>113</v>
      </c>
      <c r="EM19" s="131">
        <f t="shared" si="9"/>
        <v>14.025829098257855</v>
      </c>
      <c r="EN19" s="146">
        <f>'[106]2. Distributional by deciles o'!B89</f>
        <v>5686032774.625205</v>
      </c>
      <c r="EO19" s="146">
        <f>'[106]2. Distributional by deciles o'!C89</f>
        <v>5742891920.1203976</v>
      </c>
      <c r="EP19" s="131">
        <f t="shared" si="10"/>
        <v>0.99997920780434679</v>
      </c>
      <c r="EQ19" s="130" t="s">
        <v>113</v>
      </c>
      <c r="ER19" s="130" t="s">
        <v>113</v>
      </c>
      <c r="ES19" s="130" t="s">
        <v>113</v>
      </c>
      <c r="ET19" s="130" t="s">
        <v>113</v>
      </c>
      <c r="EU19" s="131">
        <f t="shared" si="24"/>
        <v>14.478945886415822</v>
      </c>
      <c r="EV19" s="132">
        <f t="shared" si="25"/>
        <v>2.0614824122247648</v>
      </c>
      <c r="EW19" s="132">
        <f t="shared" si="26"/>
        <v>1.1997283603905746</v>
      </c>
      <c r="EX19" s="132"/>
      <c r="EY19" s="148">
        <f t="shared" si="11"/>
        <v>0.1693316859000189</v>
      </c>
      <c r="EZ19" s="144">
        <f t="shared" si="27"/>
        <v>0.63314367742435262</v>
      </c>
      <c r="FA19" s="145">
        <f>'[107]2. Distributional by deciles o'!F35</f>
        <v>0.99366856322575647</v>
      </c>
      <c r="FB19" s="130" t="s">
        <v>113</v>
      </c>
      <c r="FC19" s="130" t="s">
        <v>113</v>
      </c>
      <c r="FD19" s="130" t="s">
        <v>113</v>
      </c>
      <c r="FE19" s="130" t="s">
        <v>113</v>
      </c>
      <c r="FF19" s="130" t="s">
        <v>113</v>
      </c>
      <c r="FG19" s="130" t="s">
        <v>113</v>
      </c>
      <c r="FH19" s="130" t="s">
        <v>113</v>
      </c>
      <c r="FI19" s="130" t="s">
        <v>113</v>
      </c>
      <c r="FJ19" s="1"/>
      <c r="FK19" s="1"/>
      <c r="FL19" s="1"/>
      <c r="FM19" s="1"/>
      <c r="FN19" s="1"/>
      <c r="FO19" s="1"/>
      <c r="FP19" s="1"/>
      <c r="FQ19" s="1"/>
    </row>
    <row r="20" spans="1:173" x14ac:dyDescent="0.3">
      <c r="A20" s="1"/>
      <c r="B20" s="28">
        <v>9</v>
      </c>
      <c r="C20" s="129">
        <f>'[104]2. Distributional by deciles o'!B54</f>
        <v>465206897.48640013</v>
      </c>
      <c r="D20" s="129">
        <f>'[104]2. Distributional by deciles o'!C54</f>
        <v>473343786.38999981</v>
      </c>
      <c r="E20" s="129">
        <f>'[105]2. Distributional by deciles o'!D72</f>
        <v>470298107.91959989</v>
      </c>
      <c r="F20" s="129">
        <f>'[105]2. Distributional by deciles o'!E72</f>
        <v>473343786.38999981</v>
      </c>
      <c r="G20" s="129">
        <f>'[105]2. Distributional by deciles o'!F72</f>
        <v>470327304.71999985</v>
      </c>
      <c r="H20" s="129">
        <f>'[105]2. Distributional by deciles o'!G72</f>
        <v>470298107.91959989</v>
      </c>
      <c r="I20" s="129"/>
      <c r="J20" s="122"/>
      <c r="K20" s="130" t="s">
        <v>113</v>
      </c>
      <c r="L20" s="130" t="s">
        <v>113</v>
      </c>
      <c r="M20" s="130" t="s">
        <v>113</v>
      </c>
      <c r="N20" s="130" t="s">
        <v>113</v>
      </c>
      <c r="O20" s="131">
        <f t="shared" si="12"/>
        <v>19.502003694353011</v>
      </c>
      <c r="P20" s="129">
        <f>'[104]2. Distributional by deciles o'!B72</f>
        <v>5208798457.5179987</v>
      </c>
      <c r="Q20" s="129">
        <f>'[104]2. Distributional by deciles o'!C72</f>
        <v>5260888765.2719946</v>
      </c>
      <c r="R20" s="131">
        <f t="shared" si="0"/>
        <v>1.0000446010502095</v>
      </c>
      <c r="S20" s="130" t="s">
        <v>113</v>
      </c>
      <c r="T20" s="130" t="s">
        <v>113</v>
      </c>
      <c r="U20" s="130" t="s">
        <v>113</v>
      </c>
      <c r="V20" s="130" t="s">
        <v>113</v>
      </c>
      <c r="W20" s="132">
        <f t="shared" si="13"/>
        <v>1.749012331923264</v>
      </c>
      <c r="X20" s="132">
        <f t="shared" si="13"/>
        <v>1.0943482131289104</v>
      </c>
      <c r="Y20" s="132">
        <f t="shared" si="1"/>
        <v>1.749012331923264</v>
      </c>
      <c r="Z20" s="132">
        <f t="shared" si="1"/>
        <v>1.1006240225392663</v>
      </c>
      <c r="AA20" s="132">
        <f t="shared" si="1"/>
        <v>1.0943482131289104</v>
      </c>
      <c r="AB20" s="132">
        <f t="shared" si="14"/>
        <v>1.0943482131289104</v>
      </c>
      <c r="AC20" s="132">
        <f t="shared" si="14"/>
        <v>1.0943482131289104</v>
      </c>
      <c r="AD20" s="130" t="s">
        <v>113</v>
      </c>
      <c r="AE20" s="130" t="s">
        <v>113</v>
      </c>
      <c r="AF20" s="130" t="s">
        <v>113</v>
      </c>
      <c r="AG20" s="130" t="s">
        <v>113</v>
      </c>
      <c r="AH20" s="133">
        <f t="shared" si="2"/>
        <v>1</v>
      </c>
      <c r="AI20" s="134">
        <f t="shared" si="15"/>
        <v>9.4348213128910396E-2</v>
      </c>
      <c r="AJ20" s="134">
        <f t="shared" si="3"/>
        <v>0</v>
      </c>
      <c r="AK20" s="134">
        <f t="shared" si="4"/>
        <v>0.64838830938399772</v>
      </c>
      <c r="AL20" s="134">
        <f t="shared" si="16"/>
        <v>6.2758094103558815E-3</v>
      </c>
      <c r="AM20" s="134">
        <f t="shared" si="17"/>
        <v>0</v>
      </c>
      <c r="AN20" s="135">
        <f t="shared" si="28"/>
        <v>0</v>
      </c>
      <c r="AO20" s="134">
        <f t="shared" si="18"/>
        <v>0</v>
      </c>
      <c r="AP20" s="134">
        <f t="shared" si="6"/>
        <v>9.4348213128910396E-2</v>
      </c>
      <c r="AQ20" s="136" t="s">
        <v>113</v>
      </c>
      <c r="AR20" s="137">
        <f t="shared" si="7"/>
        <v>12.59634976725274</v>
      </c>
      <c r="AS20" s="137">
        <f t="shared" si="7"/>
        <v>0</v>
      </c>
      <c r="AT20" s="137">
        <f t="shared" si="7"/>
        <v>86.565772250920006</v>
      </c>
      <c r="AU20" s="137">
        <f t="shared" si="7"/>
        <v>0.83787798182725182</v>
      </c>
      <c r="AV20" s="137">
        <f t="shared" si="7"/>
        <v>0</v>
      </c>
      <c r="AW20" s="138">
        <f t="shared" si="7"/>
        <v>0</v>
      </c>
      <c r="AX20" s="137">
        <f t="shared" si="7"/>
        <v>0</v>
      </c>
      <c r="AY20" s="137">
        <f t="shared" si="7"/>
        <v>12.59634976725274</v>
      </c>
      <c r="AZ20" s="139" t="s">
        <v>113</v>
      </c>
      <c r="BA20" s="139" t="s">
        <v>113</v>
      </c>
      <c r="BB20" s="139" t="s">
        <v>113</v>
      </c>
      <c r="BC20" s="139" t="s">
        <v>113</v>
      </c>
      <c r="BD20" s="139" t="s">
        <v>113</v>
      </c>
      <c r="BE20" s="139" t="s">
        <v>113</v>
      </c>
      <c r="BF20" s="139" t="s">
        <v>113</v>
      </c>
      <c r="BG20" s="139" t="s">
        <v>113</v>
      </c>
      <c r="BH20" s="140">
        <f>'[105]2. Distributional by deciles o'!B108</f>
        <v>4439514925.4304047</v>
      </c>
      <c r="BI20" s="140">
        <f>'[105]2. Distributional by deciles o'!B126</f>
        <v>3386399.7480000006</v>
      </c>
      <c r="BJ20" s="140">
        <f>'[105]2. Distributional by deciles o'!B144</f>
        <v>760767701.12880015</v>
      </c>
      <c r="BK20" s="140">
        <f>'[105]2. Distributional by deciles o'!B162</f>
        <v>5129401.8983999984</v>
      </c>
      <c r="BL20" s="141">
        <f t="shared" si="19"/>
        <v>0.85231075585310878</v>
      </c>
      <c r="BM20" s="141">
        <f t="shared" si="20"/>
        <v>6.5013069610501159E-4</v>
      </c>
      <c r="BN20" s="141">
        <f t="shared" si="21"/>
        <v>0.14605435622335636</v>
      </c>
      <c r="BO20" s="141">
        <f t="shared" si="21"/>
        <v>9.8475722742971282E-4</v>
      </c>
      <c r="BP20" s="139" t="s">
        <v>113</v>
      </c>
      <c r="BQ20" s="139" t="s">
        <v>113</v>
      </c>
      <c r="BR20" s="139" t="s">
        <v>113</v>
      </c>
      <c r="BS20" s="131">
        <f t="shared" si="22"/>
        <v>17.454705608526453</v>
      </c>
      <c r="BT20" s="139"/>
      <c r="BU20" s="139"/>
      <c r="BV20" s="139"/>
      <c r="BW20" s="139"/>
      <c r="BX20" s="139"/>
      <c r="BY20" s="139"/>
      <c r="BZ20" s="139"/>
      <c r="CA20" s="139"/>
      <c r="CB20" s="139"/>
      <c r="CC20" s="142" t="s">
        <v>113</v>
      </c>
      <c r="CD20" s="142" t="s">
        <v>113</v>
      </c>
      <c r="CE20" s="142" t="s">
        <v>113</v>
      </c>
      <c r="CF20" s="142" t="s">
        <v>113</v>
      </c>
      <c r="CG20" s="142" t="s">
        <v>113</v>
      </c>
      <c r="CH20" s="142" t="s">
        <v>113</v>
      </c>
      <c r="CI20" s="142" t="s">
        <v>113</v>
      </c>
      <c r="CJ20" s="142"/>
      <c r="CK20" s="139" t="s">
        <v>113</v>
      </c>
      <c r="CL20" s="139" t="s">
        <v>113</v>
      </c>
      <c r="CM20" s="139" t="s">
        <v>113</v>
      </c>
      <c r="CN20" s="139" t="s">
        <v>113</v>
      </c>
      <c r="CO20" s="139" t="s">
        <v>113</v>
      </c>
      <c r="CP20" s="139" t="s">
        <v>113</v>
      </c>
      <c r="CQ20" s="139" t="s">
        <v>113</v>
      </c>
      <c r="CR20" s="139"/>
      <c r="CS20" s="143" t="s">
        <v>113</v>
      </c>
      <c r="CT20" s="143" t="s">
        <v>113</v>
      </c>
      <c r="CU20" s="143" t="s">
        <v>113</v>
      </c>
      <c r="CV20" s="143" t="s">
        <v>113</v>
      </c>
      <c r="CW20" s="143" t="s">
        <v>113</v>
      </c>
      <c r="CX20" s="143" t="s">
        <v>113</v>
      </c>
      <c r="CY20" s="143" t="s">
        <v>113</v>
      </c>
      <c r="CZ20" s="143"/>
      <c r="DA20" s="139" t="s">
        <v>113</v>
      </c>
      <c r="DB20" s="139" t="s">
        <v>113</v>
      </c>
      <c r="DC20" s="139" t="s">
        <v>113</v>
      </c>
      <c r="DD20" s="144">
        <f t="shared" si="23"/>
        <v>0</v>
      </c>
      <c r="DE20" s="145">
        <f>'[105]2. Distributional by deciles o'!I36</f>
        <v>1</v>
      </c>
      <c r="DF20" s="1"/>
      <c r="DG20" s="1"/>
      <c r="DH20" s="1"/>
      <c r="DI20" s="1"/>
      <c r="DJ20" s="1"/>
      <c r="DK20" s="1"/>
      <c r="DL20" s="1"/>
      <c r="DM20" s="1"/>
      <c r="DN20" s="1"/>
      <c r="DO20" s="1"/>
      <c r="DP20" s="1"/>
      <c r="DQ20" s="1"/>
      <c r="DR20" s="1"/>
      <c r="DS20" s="1"/>
      <c r="DT20" s="1"/>
      <c r="DU20" s="1"/>
      <c r="DV20" s="1"/>
      <c r="DW20" s="1"/>
      <c r="DX20" s="1"/>
      <c r="DY20" s="1"/>
      <c r="DZ20" s="1"/>
      <c r="EA20" s="129">
        <f>'[106]2. Distributional by deciles o'!B72</f>
        <v>570694471.84079957</v>
      </c>
      <c r="EB20" s="129">
        <f>'[106]2. Distributional by deciles o'!C72</f>
        <v>581886216.06719971</v>
      </c>
      <c r="EC20" s="146">
        <f>'[107]2. Distributional by deciles o'!D72</f>
        <v>577608560.41799986</v>
      </c>
      <c r="ED20" s="147"/>
      <c r="EE20" s="147"/>
      <c r="EF20" s="147"/>
      <c r="EG20" s="129"/>
      <c r="EH20" s="122"/>
      <c r="EI20" s="130" t="s">
        <v>113</v>
      </c>
      <c r="EJ20" s="130" t="s">
        <v>113</v>
      </c>
      <c r="EK20" s="130" t="s">
        <v>113</v>
      </c>
      <c r="EL20" s="130" t="s">
        <v>113</v>
      </c>
      <c r="EM20" s="131">
        <f t="shared" si="9"/>
        <v>19.811085245741261</v>
      </c>
      <c r="EN20" s="146">
        <f>'[106]2. Distributional by deciles o'!B90</f>
        <v>6830622883.7663975</v>
      </c>
      <c r="EO20" s="146">
        <f>'[106]2. Distributional by deciles o'!C90</f>
        <v>6898929240.1584015</v>
      </c>
      <c r="EP20" s="131">
        <f t="shared" si="10"/>
        <v>1.0000018673895772</v>
      </c>
      <c r="EQ20" s="130" t="s">
        <v>113</v>
      </c>
      <c r="ER20" s="130" t="s">
        <v>113</v>
      </c>
      <c r="ES20" s="130" t="s">
        <v>113</v>
      </c>
      <c r="ET20" s="130" t="s">
        <v>113</v>
      </c>
      <c r="EU20" s="131">
        <f t="shared" si="24"/>
        <v>17.393536587746151</v>
      </c>
      <c r="EV20" s="132">
        <f t="shared" si="25"/>
        <v>1.9610709196101481</v>
      </c>
      <c r="EW20" s="132">
        <f t="shared" si="26"/>
        <v>1.2115196496692549</v>
      </c>
      <c r="EX20" s="132"/>
      <c r="EY20" s="148">
        <f t="shared" si="11"/>
        <v>0.21205858768688413</v>
      </c>
      <c r="EZ20" s="144">
        <f t="shared" si="27"/>
        <v>0</v>
      </c>
      <c r="FA20" s="145">
        <f>'[107]2. Distributional by deciles o'!F36</f>
        <v>1</v>
      </c>
      <c r="FB20" s="130" t="s">
        <v>113</v>
      </c>
      <c r="FC20" s="130" t="s">
        <v>113</v>
      </c>
      <c r="FD20" s="130" t="s">
        <v>113</v>
      </c>
      <c r="FE20" s="130" t="s">
        <v>113</v>
      </c>
      <c r="FF20" s="130" t="s">
        <v>113</v>
      </c>
      <c r="FG20" s="130" t="s">
        <v>113</v>
      </c>
      <c r="FH20" s="130" t="s">
        <v>113</v>
      </c>
      <c r="FI20" s="130" t="s">
        <v>113</v>
      </c>
      <c r="FJ20" s="1"/>
      <c r="FK20" s="1"/>
      <c r="FL20" s="1"/>
      <c r="FM20" s="1"/>
      <c r="FN20" s="1"/>
      <c r="FO20" s="1"/>
      <c r="FP20" s="1"/>
      <c r="FQ20" s="1"/>
    </row>
    <row r="21" spans="1:173" x14ac:dyDescent="0.3">
      <c r="A21" s="1"/>
      <c r="B21" s="33">
        <v>10</v>
      </c>
      <c r="C21" s="129">
        <f>'[104]2. Distributional by deciles o'!B55</f>
        <v>765091211.72039998</v>
      </c>
      <c r="D21" s="129">
        <f>'[104]2. Distributional by deciles o'!C55</f>
        <v>776804327.81879997</v>
      </c>
      <c r="E21" s="129">
        <f>'[105]2. Distributional by deciles o'!D73</f>
        <v>773047807.6595999</v>
      </c>
      <c r="F21" s="129">
        <f>'[105]2. Distributional by deciles o'!E73</f>
        <v>776711856.92280006</v>
      </c>
      <c r="G21" s="129">
        <f>'[105]2. Distributional by deciles o'!F73</f>
        <v>773060762.44079983</v>
      </c>
      <c r="H21" s="129">
        <f>'[105]2. Distributional by deciles o'!G73</f>
        <v>773047807.6595999</v>
      </c>
      <c r="I21" s="149"/>
      <c r="J21" s="122"/>
      <c r="K21" s="130" t="s">
        <v>113</v>
      </c>
      <c r="L21" s="130" t="s">
        <v>113</v>
      </c>
      <c r="M21" s="130" t="s">
        <v>113</v>
      </c>
      <c r="N21" s="130" t="s">
        <v>113</v>
      </c>
      <c r="O21" s="131">
        <f t="shared" si="12"/>
        <v>32.073496154309396</v>
      </c>
      <c r="P21" s="129">
        <f>'[104]2. Distributional by deciles o'!B73</f>
        <v>7242790792.6836052</v>
      </c>
      <c r="Q21" s="129">
        <f>'[104]2. Distributional by deciles o'!C73</f>
        <v>7315219227.8879957</v>
      </c>
      <c r="R21" s="131">
        <f t="shared" si="0"/>
        <v>1.0000072800329329</v>
      </c>
      <c r="S21" s="130" t="s">
        <v>113</v>
      </c>
      <c r="T21" s="130" t="s">
        <v>113</v>
      </c>
      <c r="U21" s="130" t="s">
        <v>113</v>
      </c>
      <c r="V21" s="130" t="s">
        <v>113</v>
      </c>
      <c r="W21" s="132">
        <f t="shared" si="13"/>
        <v>1.5309326061675268</v>
      </c>
      <c r="X21" s="132">
        <f t="shared" si="13"/>
        <v>1.0399463349539599</v>
      </c>
      <c r="Y21" s="132">
        <f t="shared" si="1"/>
        <v>1.5188464363884087</v>
      </c>
      <c r="Z21" s="132">
        <f t="shared" si="1"/>
        <v>1.0416395561922818</v>
      </c>
      <c r="AA21" s="132">
        <f t="shared" si="1"/>
        <v>1.0399463349539599</v>
      </c>
      <c r="AB21" s="132">
        <f t="shared" si="14"/>
        <v>1.0399463349539599</v>
      </c>
      <c r="AC21" s="132">
        <f t="shared" si="14"/>
        <v>1.0399463349539599</v>
      </c>
      <c r="AD21" s="130" t="s">
        <v>113</v>
      </c>
      <c r="AE21" s="130" t="s">
        <v>113</v>
      </c>
      <c r="AF21" s="130" t="s">
        <v>113</v>
      </c>
      <c r="AG21" s="130" t="s">
        <v>113</v>
      </c>
      <c r="AH21" s="133">
        <f t="shared" si="2"/>
        <v>1</v>
      </c>
      <c r="AI21" s="134">
        <f t="shared" si="15"/>
        <v>3.9946334953959939E-2</v>
      </c>
      <c r="AJ21" s="134">
        <f t="shared" si="3"/>
        <v>1.2086169779118139E-2</v>
      </c>
      <c r="AK21" s="134">
        <f>IF(W21&gt;1,MAX(MIN(Y21-Z21,W21-AH21-AJ21),0),0)</f>
        <v>0.47720688019612689</v>
      </c>
      <c r="AL21" s="134">
        <f t="shared" si="16"/>
        <v>1.6932212383218292E-3</v>
      </c>
      <c r="AM21" s="134">
        <f t="shared" si="17"/>
        <v>0</v>
      </c>
      <c r="AN21" s="135">
        <f t="shared" si="28"/>
        <v>0</v>
      </c>
      <c r="AO21" s="134">
        <f t="shared" si="18"/>
        <v>0</v>
      </c>
      <c r="AP21" s="134">
        <f t="shared" si="6"/>
        <v>3.9946334953959939E-2</v>
      </c>
      <c r="AQ21" s="136" t="s">
        <v>113</v>
      </c>
      <c r="AR21" s="137">
        <f t="shared" si="7"/>
        <v>7.5238051854279124</v>
      </c>
      <c r="AS21" s="137">
        <f t="shared" si="7"/>
        <v>2.2764037542091646</v>
      </c>
      <c r="AT21" s="137">
        <f t="shared" si="7"/>
        <v>89.880876527962258</v>
      </c>
      <c r="AU21" s="137">
        <f t="shared" si="7"/>
        <v>0.31891453240066442</v>
      </c>
      <c r="AV21" s="137">
        <f t="shared" si="7"/>
        <v>0</v>
      </c>
      <c r="AW21" s="138">
        <f t="shared" si="7"/>
        <v>0</v>
      </c>
      <c r="AX21" s="137">
        <f t="shared" si="7"/>
        <v>0</v>
      </c>
      <c r="AY21" s="137">
        <f t="shared" si="7"/>
        <v>7.5238051854279124</v>
      </c>
      <c r="AZ21" s="139" t="s">
        <v>113</v>
      </c>
      <c r="BA21" s="139" t="s">
        <v>113</v>
      </c>
      <c r="BB21" s="139" t="s">
        <v>113</v>
      </c>
      <c r="BC21" s="139" t="s">
        <v>113</v>
      </c>
      <c r="BD21" s="139" t="s">
        <v>113</v>
      </c>
      <c r="BE21" s="139" t="s">
        <v>113</v>
      </c>
      <c r="BF21" s="139" t="s">
        <v>113</v>
      </c>
      <c r="BG21" s="139" t="s">
        <v>113</v>
      </c>
      <c r="BH21" s="140">
        <f>'[105]2. Distributional by deciles o'!B109</f>
        <v>6124572412.0392056</v>
      </c>
      <c r="BI21" s="140">
        <f>'[105]2. Distributional by deciles o'!B127</f>
        <v>2302003.068</v>
      </c>
      <c r="BJ21" s="140">
        <f>'[105]2. Distributional by deciles o'!B145</f>
        <v>1104308007.3288</v>
      </c>
      <c r="BK21" s="140">
        <f>'[105]2. Distributional by deciles o'!B163</f>
        <v>11608408.489200003</v>
      </c>
      <c r="BL21" s="141">
        <f t="shared" si="19"/>
        <v>0.84560945566570278</v>
      </c>
      <c r="BM21" s="141">
        <f t="shared" si="20"/>
        <v>3.178337082676649E-4</v>
      </c>
      <c r="BN21" s="141">
        <f t="shared" si="21"/>
        <v>0.15246995710736741</v>
      </c>
      <c r="BO21" s="141">
        <f t="shared" si="21"/>
        <v>1.6027535186622431E-3</v>
      </c>
      <c r="BP21" s="139" t="s">
        <v>113</v>
      </c>
      <c r="BQ21" s="139" t="s">
        <v>113</v>
      </c>
      <c r="BR21" s="139" t="s">
        <v>113</v>
      </c>
      <c r="BS21" s="131">
        <f t="shared" si="22"/>
        <v>24.270622505651332</v>
      </c>
      <c r="BT21" s="139"/>
      <c r="BU21" s="139"/>
      <c r="BV21" s="139"/>
      <c r="BW21" s="139"/>
      <c r="BX21" s="139"/>
      <c r="BY21" s="139"/>
      <c r="BZ21" s="139"/>
      <c r="CA21" s="139"/>
      <c r="CB21" s="139"/>
      <c r="CC21" s="142" t="s">
        <v>113</v>
      </c>
      <c r="CD21" s="142" t="s">
        <v>113</v>
      </c>
      <c r="CE21" s="142" t="s">
        <v>113</v>
      </c>
      <c r="CF21" s="142" t="s">
        <v>113</v>
      </c>
      <c r="CG21" s="142" t="s">
        <v>113</v>
      </c>
      <c r="CH21" s="142" t="s">
        <v>113</v>
      </c>
      <c r="CI21" s="142" t="s">
        <v>113</v>
      </c>
      <c r="CJ21" s="142"/>
      <c r="CK21" s="139" t="s">
        <v>113</v>
      </c>
      <c r="CL21" s="139" t="s">
        <v>113</v>
      </c>
      <c r="CM21" s="139" t="s">
        <v>113</v>
      </c>
      <c r="CN21" s="139" t="s">
        <v>113</v>
      </c>
      <c r="CO21" s="139" t="s">
        <v>113</v>
      </c>
      <c r="CP21" s="139" t="s">
        <v>113</v>
      </c>
      <c r="CQ21" s="139" t="s">
        <v>113</v>
      </c>
      <c r="CR21" s="139"/>
      <c r="CS21" s="143" t="s">
        <v>113</v>
      </c>
      <c r="CT21" s="143" t="s">
        <v>113</v>
      </c>
      <c r="CU21" s="143" t="s">
        <v>113</v>
      </c>
      <c r="CV21" s="143" t="s">
        <v>113</v>
      </c>
      <c r="CW21" s="143" t="s">
        <v>113</v>
      </c>
      <c r="CX21" s="143" t="s">
        <v>113</v>
      </c>
      <c r="CY21" s="143" t="s">
        <v>113</v>
      </c>
      <c r="CZ21" s="143"/>
      <c r="DA21" s="139" t="s">
        <v>113</v>
      </c>
      <c r="DB21" s="139" t="s">
        <v>113</v>
      </c>
      <c r="DC21" s="139" t="s">
        <v>113</v>
      </c>
      <c r="DD21" s="144">
        <f t="shared" si="23"/>
        <v>0</v>
      </c>
      <c r="DE21" s="145">
        <f>'[105]2. Distributional by deciles o'!I37</f>
        <v>1</v>
      </c>
      <c r="DF21" s="1"/>
      <c r="DG21" s="1"/>
      <c r="DH21" s="1"/>
      <c r="DI21" s="1"/>
      <c r="DJ21" s="1"/>
      <c r="DK21" s="1"/>
      <c r="DL21" s="1"/>
      <c r="DM21" s="1"/>
      <c r="DN21" s="1"/>
      <c r="DO21" s="1"/>
      <c r="DP21" s="1"/>
      <c r="DQ21" s="1"/>
      <c r="DR21" s="1"/>
      <c r="DS21" s="1"/>
      <c r="DT21" s="1"/>
      <c r="DU21" s="1"/>
      <c r="DV21" s="1"/>
      <c r="DW21" s="1"/>
      <c r="DX21" s="1"/>
      <c r="DY21" s="1"/>
      <c r="DZ21" s="1"/>
      <c r="EA21" s="129">
        <f>'[106]2. Distributional by deciles o'!B73</f>
        <v>1052289819.7919996</v>
      </c>
      <c r="EB21" s="129">
        <f>'[106]2. Distributional by deciles o'!C73</f>
        <v>1069692497.0255988</v>
      </c>
      <c r="EC21" s="146">
        <f>'[107]2. Distributional by deciles o'!D73</f>
        <v>1063792001.0796003</v>
      </c>
      <c r="ED21" s="147"/>
      <c r="EE21" s="147"/>
      <c r="EF21" s="147"/>
      <c r="EG21" s="129"/>
      <c r="EH21" s="122"/>
      <c r="EI21" s="130" t="s">
        <v>113</v>
      </c>
      <c r="EJ21" s="130" t="s">
        <v>113</v>
      </c>
      <c r="EK21" s="130" t="s">
        <v>113</v>
      </c>
      <c r="EL21" s="130" t="s">
        <v>113</v>
      </c>
      <c r="EM21" s="131">
        <f t="shared" si="9"/>
        <v>36.529183918467098</v>
      </c>
      <c r="EN21" s="146">
        <f>'[106]2. Distributional by deciles o'!B91</f>
        <v>9539727637.9584045</v>
      </c>
      <c r="EO21" s="146">
        <f>'[106]2. Distributional by deciles o'!C91</f>
        <v>9635123303.821207</v>
      </c>
      <c r="EP21" s="131">
        <f t="shared" si="10"/>
        <v>0.99998311779074811</v>
      </c>
      <c r="EQ21" s="130" t="s">
        <v>113</v>
      </c>
      <c r="ER21" s="130" t="s">
        <v>113</v>
      </c>
      <c r="ES21" s="130" t="s">
        <v>113</v>
      </c>
      <c r="ET21" s="130" t="s">
        <v>113</v>
      </c>
      <c r="EU21" s="131">
        <f t="shared" si="24"/>
        <v>24.292016194058906</v>
      </c>
      <c r="EV21" s="132">
        <f t="shared" si="25"/>
        <v>1.6538191957076749</v>
      </c>
      <c r="EW21" s="132">
        <f t="shared" si="26"/>
        <v>1.0930805617205341</v>
      </c>
      <c r="EX21" s="132"/>
      <c r="EY21" s="148">
        <f t="shared" si="11"/>
        <v>0.12288658954014808</v>
      </c>
      <c r="EZ21" s="144">
        <f t="shared" si="27"/>
        <v>0</v>
      </c>
      <c r="FA21" s="145">
        <f>'[107]2. Distributional by deciles o'!F37</f>
        <v>1</v>
      </c>
      <c r="FB21" s="130" t="s">
        <v>113</v>
      </c>
      <c r="FC21" s="130" t="s">
        <v>113</v>
      </c>
      <c r="FD21" s="130" t="s">
        <v>113</v>
      </c>
      <c r="FE21" s="130" t="s">
        <v>113</v>
      </c>
      <c r="FF21" s="130" t="s">
        <v>113</v>
      </c>
      <c r="FG21" s="130" t="s">
        <v>113</v>
      </c>
      <c r="FH21" s="130" t="s">
        <v>113</v>
      </c>
      <c r="FI21" s="130" t="s">
        <v>113</v>
      </c>
      <c r="FJ21" s="1"/>
      <c r="FK21" s="1"/>
      <c r="FL21" s="1"/>
      <c r="FM21" s="1"/>
      <c r="FN21" s="1"/>
      <c r="FO21" s="1"/>
      <c r="FP21" s="1"/>
      <c r="FQ21" s="1"/>
    </row>
    <row r="22" spans="1:173" ht="13.2" customHeight="1" x14ac:dyDescent="0.3">
      <c r="A22" s="1"/>
      <c r="B22" s="34" t="s">
        <v>114</v>
      </c>
      <c r="C22" s="150">
        <f>'[104]2. Distributional by deciles o'!B56</f>
        <v>2385431285.8175964</v>
      </c>
      <c r="D22" s="150">
        <f>'[104]2. Distributional by deciles o'!C56</f>
        <v>2429602516.6595917</v>
      </c>
      <c r="E22" s="427">
        <f>'[105]2. Distributional by deciles o'!D74</f>
        <v>2412192424.2144017</v>
      </c>
      <c r="F22" s="427">
        <f>'[105]2. Distributional by deciles o'!E74</f>
        <v>2429507817.9431915</v>
      </c>
      <c r="G22" s="427">
        <f>'[105]2. Distributional by deciles o'!F74</f>
        <v>2412478669.9836006</v>
      </c>
      <c r="H22" s="427">
        <f>'[105]2. Distributional by deciles o'!G74</f>
        <v>2412192424.2144017</v>
      </c>
      <c r="I22" s="150"/>
      <c r="J22" s="122"/>
      <c r="K22" s="151">
        <f>'[104]2. Distributional by deciles o'!D56</f>
        <v>2426050749.2255936</v>
      </c>
      <c r="L22" s="151">
        <f>'[104]2. Distributional by deciles o'!E56</f>
        <v>2385454566.8387957</v>
      </c>
      <c r="M22" s="151">
        <f>'[104]2. Distributional by deciles o'!F56</f>
        <v>2388888557.3147974</v>
      </c>
      <c r="N22" s="151">
        <f>'[104]2. Distributional by deciles o'!G56</f>
        <v>2385503136.9275956</v>
      </c>
      <c r="O22" s="152" t="s">
        <v>113</v>
      </c>
      <c r="P22" s="150">
        <f>'[104]2. Distributional by deciles o'!B74</f>
        <v>29841800683.098038</v>
      </c>
      <c r="Q22" s="150">
        <f>'[104]2. Distributional by deciles o'!C74</f>
        <v>30140224498.874405</v>
      </c>
      <c r="R22" s="153">
        <f>(Q22/P22-1)*100</f>
        <v>1.0000194658005057</v>
      </c>
      <c r="S22" s="151">
        <f>'[104]2. Distributional by deciles o'!D74</f>
        <v>30096365316.087631</v>
      </c>
      <c r="T22" s="151">
        <f>'[104]2. Distributional by deciles o'!E74</f>
        <v>29841923279.755234</v>
      </c>
      <c r="U22" s="151">
        <f>'[104]2. Distributional by deciles o'!F74</f>
        <v>29885003227.756794</v>
      </c>
      <c r="V22" s="151">
        <f>'[104]2. Distributional by deciles o'!G74</f>
        <v>29842339601.040012</v>
      </c>
      <c r="W22" s="154">
        <f t="shared" si="13"/>
        <v>1.8516723283112846</v>
      </c>
      <c r="X22" s="154">
        <f t="shared" si="13"/>
        <v>1.1218356042811741</v>
      </c>
      <c r="Y22" s="154">
        <f t="shared" si="1"/>
        <v>1.8477025273946655</v>
      </c>
      <c r="Z22" s="154">
        <f t="shared" si="1"/>
        <v>1.1338351197988137</v>
      </c>
      <c r="AA22" s="154">
        <f t="shared" si="1"/>
        <v>1.1218356042811741</v>
      </c>
      <c r="AB22" s="154">
        <f t="shared" si="14"/>
        <v>1.1218356042811741</v>
      </c>
      <c r="AC22" s="154">
        <f>IF(J22&lt;&gt;0,MAX(((J22-$C22)/ABS($C22)) / ($Q22/$P22-1),0),AB22)</f>
        <v>1.1218356042811741</v>
      </c>
      <c r="AD22" s="155">
        <f>(K22/$C22-1) / (S22/$P22-1)</f>
        <v>1.9961548581214728</v>
      </c>
      <c r="AE22" s="155">
        <f>(L22/$C22-1) / (T22/$P22-1)</f>
        <v>2.3756448304070346</v>
      </c>
      <c r="AF22" s="155">
        <f>(M22/$C22-1) / (U22/$P22-1)</f>
        <v>1.0011110900025455</v>
      </c>
      <c r="AG22" s="155">
        <f>(N22/$C22-1) / (V22/$P22-1)</f>
        <v>1.6678959479585278</v>
      </c>
      <c r="AH22" s="156">
        <f t="shared" si="2"/>
        <v>1</v>
      </c>
      <c r="AI22" s="155">
        <f t="shared" si="15"/>
        <v>0.12183560428117413</v>
      </c>
      <c r="AJ22" s="155">
        <f t="shared" si="3"/>
        <v>3.9698009166191373E-3</v>
      </c>
      <c r="AK22" s="155">
        <f>IF(W22&gt;1,MAX(MIN(Y22-Z22,W22-AH22-AJ22),0),0)</f>
        <v>0.71386740759585177</v>
      </c>
      <c r="AL22" s="155">
        <f t="shared" si="16"/>
        <v>1.1999515517639558E-2</v>
      </c>
      <c r="AM22" s="155">
        <f t="shared" si="17"/>
        <v>0</v>
      </c>
      <c r="AN22" s="157">
        <f t="shared" si="28"/>
        <v>0</v>
      </c>
      <c r="AO22" s="155">
        <f t="shared" si="18"/>
        <v>0</v>
      </c>
      <c r="AP22" s="155">
        <f t="shared" si="6"/>
        <v>0.12183560428117413</v>
      </c>
      <c r="AQ22" s="136" t="s">
        <v>113</v>
      </c>
      <c r="AR22" s="137">
        <f>AI22/($W22-1)*100</f>
        <v>14.305455306121376</v>
      </c>
      <c r="AS22" s="137">
        <f t="shared" si="7"/>
        <v>0.46611833972468608</v>
      </c>
      <c r="AT22" s="137">
        <f t="shared" si="7"/>
        <v>83.819490649804777</v>
      </c>
      <c r="AU22" s="137">
        <f t="shared" si="7"/>
        <v>1.4089357043491684</v>
      </c>
      <c r="AV22" s="137">
        <f t="shared" si="7"/>
        <v>0</v>
      </c>
      <c r="AW22" s="138">
        <f t="shared" si="7"/>
        <v>0</v>
      </c>
      <c r="AX22" s="137">
        <f t="shared" si="7"/>
        <v>0</v>
      </c>
      <c r="AY22" s="137">
        <f t="shared" si="7"/>
        <v>14.305455306121376</v>
      </c>
      <c r="AZ22" s="158">
        <v>2.4300000000000002</v>
      </c>
      <c r="BA22" s="158">
        <v>2.4700000000000002</v>
      </c>
      <c r="BB22" s="158">
        <v>2.2000000000000002</v>
      </c>
      <c r="BC22" s="158">
        <v>1.93</v>
      </c>
      <c r="BD22" s="159">
        <f>W22-AZ22</f>
        <v>-0.57832767168871557</v>
      </c>
      <c r="BE22" s="159">
        <f>AD22-BA22</f>
        <v>-0.47384514187852744</v>
      </c>
      <c r="BF22" s="159">
        <f>AF22-BB22</f>
        <v>-1.1988889099974547</v>
      </c>
      <c r="BG22" s="159">
        <f>AG22-BC22</f>
        <v>-0.26210405204147214</v>
      </c>
      <c r="BH22" s="140">
        <f>'[105]2. Distributional by deciles o'!B110</f>
        <v>25455692662.657188</v>
      </c>
      <c r="BI22" s="140">
        <f>'[105]2. Distributional by deciles o'!B128</f>
        <v>12264740.248799998</v>
      </c>
      <c r="BJ22" s="140">
        <f>'[105]2. Distributional by deciles o'!B146</f>
        <v>4320079175.3124008</v>
      </c>
      <c r="BK22" s="140">
        <f>'[105]2. Distributional by deciles o'!B164</f>
        <v>53763935.728800133</v>
      </c>
      <c r="BL22" s="141">
        <f t="shared" si="19"/>
        <v>0.85302134000795082</v>
      </c>
      <c r="BM22" s="141">
        <f t="shared" si="20"/>
        <v>4.1099196555073196E-4</v>
      </c>
      <c r="BN22" s="141">
        <f t="shared" si="21"/>
        <v>0.14476603626156276</v>
      </c>
      <c r="BO22" s="141">
        <f t="shared" si="21"/>
        <v>1.8016317649356456E-3</v>
      </c>
      <c r="BP22" s="159">
        <f>(AD22*BL22+AF22*BN22+AG22*BO22)/(BL22+BN22+BO22)</f>
        <v>1.8514554439277999</v>
      </c>
      <c r="BQ22" s="159">
        <f>W22-BP22</f>
        <v>2.1688438348466121E-4</v>
      </c>
      <c r="BR22" s="159">
        <f>BP22-AZ22</f>
        <v>-0.57854455607220023</v>
      </c>
      <c r="BS22" s="152" t="s">
        <v>113</v>
      </c>
      <c r="BT22" s="161"/>
      <c r="BU22" s="161"/>
      <c r="BV22" s="161"/>
      <c r="BW22" s="161"/>
      <c r="BX22" s="162"/>
      <c r="BY22" s="162"/>
      <c r="BZ22" s="163"/>
      <c r="CA22" s="164"/>
      <c r="CB22" s="165"/>
      <c r="CC22" s="166"/>
      <c r="CD22" s="166"/>
      <c r="CE22" s="166"/>
      <c r="CF22" s="166"/>
      <c r="CG22" s="167"/>
      <c r="CH22" s="167"/>
      <c r="CI22" s="168"/>
      <c r="CJ22" s="169"/>
      <c r="CK22" s="161">
        <f>'[105]3. Inequality and Poverty'!$B$7</f>
        <v>0.38867558617044801</v>
      </c>
      <c r="CL22" s="161">
        <f>'[105]3. Inequality and Poverty'!$B$8</f>
        <v>0.379028979130487</v>
      </c>
      <c r="CM22" s="161">
        <f>'[105]3. Inequality and Poverty'!$C$7</f>
        <v>0.38867559892554299</v>
      </c>
      <c r="CN22" s="161">
        <f>'[105]3. Inequality and Poverty'!$C$8</f>
        <v>0.37904336281554302</v>
      </c>
      <c r="CO22" s="162">
        <f t="shared" ref="CO22" si="29">(CK22-CL22)/CK22</f>
        <v>2.4819174095824556E-2</v>
      </c>
      <c r="CP22" s="162">
        <f>(CM22-CN22)/CM22</f>
        <v>2.478219918262782E-2</v>
      </c>
      <c r="CQ22" s="163">
        <f>(CP22-CO22)*100</f>
        <v>-3.6974913196735626E-3</v>
      </c>
      <c r="CR22" s="165">
        <f>CN22-CL22</f>
        <v>1.4383685056018614E-5</v>
      </c>
      <c r="CS22" s="170">
        <f>(SUM(P20:P21))/(SUM(P12:P13))</f>
        <v>36.961647904472315</v>
      </c>
      <c r="CT22" s="170">
        <f>(SUM(P20:P21)-SUM(C20:C21))/(SUM(P12:P13)-SUM(C12:C13))</f>
        <v>34.205985970382081</v>
      </c>
      <c r="CU22" s="170">
        <f>(SUM(Q20:Q21))/(SUM(Q12:Q13))</f>
        <v>36.961730288632019</v>
      </c>
      <c r="CV22" s="170">
        <f>(SUM(Q20:Q21)-SUM(D20:D21))/(SUM(Q12:Q13)-SUM(D12:D13))</f>
        <v>34.191123103150211</v>
      </c>
      <c r="CW22" s="162">
        <f>(CS22-CT22)/CS22</f>
        <v>7.4554628657582195E-2</v>
      </c>
      <c r="CX22" s="162">
        <f>(CU22-CV22)/CU22</f>
        <v>7.495880641534626E-2</v>
      </c>
      <c r="CY22" s="163">
        <f>(CX22-CW22)*100</f>
        <v>4.0417775776406539E-2</v>
      </c>
      <c r="CZ22" s="165">
        <f>CV22-CT22</f>
        <v>-1.4862867231869359E-2</v>
      </c>
      <c r="DA22" s="171">
        <f>'[105]3. Inequality and Poverty'!B34</f>
        <v>0.118107405741447</v>
      </c>
      <c r="DB22" s="171">
        <f>'[105]3. Inequality and Poverty'!C34</f>
        <v>0.116818765671689</v>
      </c>
      <c r="DC22" s="172">
        <f>DB22-DA22</f>
        <v>-1.2886400697579986E-3</v>
      </c>
      <c r="DD22" s="144">
        <f t="shared" si="23"/>
        <v>25.084805448895874</v>
      </c>
      <c r="DE22" s="145">
        <f>'[105]2. Distributional by deciles o'!I38</f>
        <v>0.74915194551104125</v>
      </c>
      <c r="DF22" s="1"/>
      <c r="DG22" s="1"/>
      <c r="DH22" s="1"/>
      <c r="DI22" s="1"/>
      <c r="DJ22" s="1"/>
      <c r="DK22" s="1"/>
      <c r="DL22" s="1"/>
      <c r="DM22" s="1"/>
      <c r="DN22" s="1"/>
      <c r="DO22" s="1"/>
      <c r="DP22" s="1"/>
      <c r="DQ22" s="1"/>
      <c r="DR22" s="1"/>
      <c r="DS22" s="1"/>
      <c r="DT22" s="1"/>
      <c r="DU22" s="1"/>
      <c r="DV22" s="1"/>
      <c r="DW22" s="1"/>
      <c r="DX22" s="1"/>
      <c r="DY22" s="1"/>
      <c r="DZ22" s="1"/>
      <c r="EA22" s="150">
        <f>'[106]2. Distributional by deciles o'!B74</f>
        <v>2880682530.8244047</v>
      </c>
      <c r="EB22" s="150">
        <f>'[106]2. Distributional by deciles o'!C74</f>
        <v>2935862431.8444018</v>
      </c>
      <c r="EC22" s="151">
        <f>'[107]2. Distributional by deciles o'!D74</f>
        <v>2913827821.6548042</v>
      </c>
      <c r="ED22" s="173"/>
      <c r="EE22" s="173"/>
      <c r="EF22" s="173"/>
      <c r="EG22" s="150"/>
      <c r="EH22" s="123"/>
      <c r="EI22" s="151">
        <f>'[106]2. Distributional by deciles o'!D74</f>
        <v>2927158287.7440023</v>
      </c>
      <c r="EJ22" s="151">
        <f>'[106]2. Distributional by deciles o'!E74</f>
        <v>2880705850.6812057</v>
      </c>
      <c r="EK22" s="151">
        <f>'[106]2. Distributional by deciles o'!F74</f>
        <v>2889259993.1064062</v>
      </c>
      <c r="EL22" s="151">
        <f>'[106]2. Distributional by deciles o'!G74</f>
        <v>2880799201.730402</v>
      </c>
      <c r="EM22" s="152" t="s">
        <v>113</v>
      </c>
      <c r="EN22" s="151">
        <f>'[106]2. Distributional by deciles o'!B92</f>
        <v>39271040994.495689</v>
      </c>
      <c r="EO22" s="151">
        <f>'[106]2. Distributional by deciles o'!C92</f>
        <v>39663739154.305222</v>
      </c>
      <c r="EP22" s="153">
        <f>(EO22/EN22-1)*100</f>
        <v>0.9999688061861578</v>
      </c>
      <c r="EQ22" s="151">
        <f>'[106]2. Distributional by deciles o'!D92</f>
        <v>39605709809.254868</v>
      </c>
      <c r="ER22" s="151">
        <f>'[106]2. Distributional by deciles o'!E92</f>
        <v>39271163526.864082</v>
      </c>
      <c r="ES22" s="151">
        <f>'[106]2. Distributional by deciles o'!F92</f>
        <v>39327888639.901253</v>
      </c>
      <c r="ET22" s="151">
        <f>'[106]2. Distributional by deciles o'!G92</f>
        <v>39272098124.428894</v>
      </c>
      <c r="EU22" s="152" t="s">
        <v>113</v>
      </c>
      <c r="EV22" s="154">
        <f t="shared" si="25"/>
        <v>1.9155745818842449</v>
      </c>
      <c r="EW22" s="154">
        <f t="shared" si="26"/>
        <v>1.1506413648851006</v>
      </c>
      <c r="EX22" s="174">
        <f>EW22-X22</f>
        <v>2.8805760603926478E-2</v>
      </c>
      <c r="EY22" s="175">
        <f t="shared" si="11"/>
        <v>6.390225357296031E-2</v>
      </c>
      <c r="EZ22" s="144">
        <f t="shared" si="27"/>
        <v>29.415918110413021</v>
      </c>
      <c r="FA22" s="145">
        <f>'[107]2. Distributional by deciles o'!F38</f>
        <v>0.7058408188958698</v>
      </c>
      <c r="FB22" s="155">
        <f>(EI22/$EA22-1) / (EQ22/$EN22-1)</f>
        <v>1.8931640140174886</v>
      </c>
      <c r="FC22" s="155">
        <f>(EJ22/$EA22-1) / (ER22/$EN22-1)</f>
        <v>2.5944903876103993</v>
      </c>
      <c r="FD22" s="155">
        <f>(EK22/$EA22-1) / (ES22/$EN22-1)</f>
        <v>2.0569481787030504</v>
      </c>
      <c r="FE22" s="155">
        <f>(EL22/$EA22-1) / (ET22/$EN22-1)</f>
        <v>1.5045659006759822</v>
      </c>
      <c r="FF22" s="75">
        <f>FB22-AD22</f>
        <v>-0.10299084410398418</v>
      </c>
      <c r="FG22" s="75">
        <f>FC22-AE22</f>
        <v>0.21884555720336474</v>
      </c>
      <c r="FH22" s="75">
        <f>FD22-AF22</f>
        <v>1.0558370887005049</v>
      </c>
      <c r="FI22" s="75">
        <f>FE22-AG22</f>
        <v>-0.16333004728254563</v>
      </c>
      <c r="FJ22" s="1"/>
      <c r="FK22" s="1"/>
      <c r="FL22" s="1"/>
      <c r="FM22" s="1"/>
      <c r="FN22" s="1"/>
      <c r="FO22" s="1"/>
      <c r="FP22" s="1"/>
      <c r="FQ22" s="1"/>
    </row>
    <row r="23" spans="1:173" x14ac:dyDescent="0.3">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c r="ET23" s="1"/>
      <c r="EU23" s="1"/>
      <c r="EV23" s="1"/>
      <c r="EW23" s="1"/>
      <c r="EX23" s="1"/>
      <c r="EY23" s="1"/>
      <c r="EZ23" s="1"/>
      <c r="FA23" s="1"/>
      <c r="FB23" s="1"/>
      <c r="FC23" s="1"/>
      <c r="FD23" s="1"/>
      <c r="FE23" s="1"/>
      <c r="FF23" s="1"/>
      <c r="FG23" s="1"/>
      <c r="FH23" s="1"/>
      <c r="FI23" s="1"/>
      <c r="FJ23" s="1"/>
      <c r="FK23" s="1"/>
      <c r="FL23" s="1"/>
      <c r="FM23" s="1"/>
      <c r="FN23" s="1"/>
      <c r="FO23" s="1"/>
      <c r="FP23" s="1"/>
      <c r="FQ23" s="1"/>
    </row>
    <row r="24" spans="1:173" x14ac:dyDescent="0.3">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c r="EJ24" s="1"/>
      <c r="EK24" s="1"/>
      <c r="EL24" s="1"/>
      <c r="EM24" s="1"/>
      <c r="EN24" s="1"/>
      <c r="EO24" s="1"/>
      <c r="EP24" s="1"/>
      <c r="EQ24" s="1"/>
      <c r="ER24" s="1"/>
      <c r="ES24" s="1"/>
      <c r="ET24" s="1"/>
      <c r="EU24" s="1"/>
      <c r="EV24" s="1"/>
      <c r="EW24" s="1"/>
      <c r="EX24" s="1"/>
      <c r="EY24" s="1"/>
      <c r="EZ24" s="1"/>
      <c r="FA24" s="1"/>
      <c r="FB24" s="1"/>
      <c r="FC24" s="1"/>
      <c r="FD24" s="1"/>
      <c r="FE24" s="1"/>
      <c r="FF24" s="1"/>
      <c r="FG24" s="1"/>
      <c r="FH24" s="1"/>
      <c r="FI24" s="1"/>
      <c r="FJ24" s="1"/>
      <c r="FK24" s="1"/>
      <c r="FL24" s="1"/>
      <c r="FM24" s="1"/>
      <c r="FN24" s="1"/>
      <c r="FO24" s="1"/>
      <c r="FP24" s="1"/>
      <c r="FQ24" s="1"/>
    </row>
    <row r="25" spans="1:173" x14ac:dyDescent="0.3">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Q25" s="1"/>
    </row>
    <row r="26" spans="1:173" x14ac:dyDescent="0.3">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c r="ER26" s="1"/>
      <c r="ES26" s="1"/>
      <c r="ET26" s="1"/>
      <c r="EU26" s="1"/>
      <c r="EV26" s="1"/>
      <c r="EW26" s="1"/>
      <c r="EX26" s="1"/>
      <c r="EY26" s="1"/>
      <c r="EZ26" s="1"/>
      <c r="FA26" s="1"/>
      <c r="FB26" s="1"/>
      <c r="FC26" s="1"/>
      <c r="FD26" s="1"/>
      <c r="FE26" s="1"/>
      <c r="FF26" s="1"/>
      <c r="FG26" s="1"/>
      <c r="FH26" s="1"/>
      <c r="FI26" s="1"/>
      <c r="FJ26" s="1"/>
      <c r="FK26" s="1"/>
      <c r="FL26" s="1"/>
      <c r="FM26" s="1"/>
      <c r="FN26" s="1"/>
      <c r="FO26" s="1"/>
      <c r="FP26" s="1"/>
      <c r="FQ26" s="1"/>
    </row>
    <row r="27" spans="1:173" x14ac:dyDescent="0.3">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c r="CW27" s="1"/>
      <c r="CX27" s="1"/>
      <c r="CY27" s="1"/>
      <c r="CZ27" s="1"/>
      <c r="DA27" s="1"/>
      <c r="DB27" s="1"/>
      <c r="DC27" s="1"/>
      <c r="DD27" s="1"/>
      <c r="DE27" s="1"/>
      <c r="DF27" s="1"/>
      <c r="DG27" s="1"/>
      <c r="DH27" s="1"/>
      <c r="DI27" s="1"/>
      <c r="DJ27" s="1"/>
      <c r="DK27" s="1"/>
      <c r="DL27" s="1"/>
      <c r="DM27" s="1"/>
      <c r="DN27" s="1"/>
      <c r="DO27" s="1"/>
      <c r="DP27" s="1"/>
      <c r="DQ27" s="1"/>
      <c r="DR27" s="1"/>
      <c r="DS27" s="1"/>
      <c r="DT27" s="1"/>
      <c r="DU27" s="1"/>
      <c r="DV27" s="1"/>
      <c r="DW27" s="1"/>
      <c r="DX27" s="1"/>
      <c r="DY27" s="1"/>
      <c r="DZ27" s="1"/>
      <c r="EA27" s="1"/>
      <c r="EB27" s="1"/>
      <c r="EC27" s="1"/>
      <c r="ED27" s="1"/>
      <c r="EE27" s="1"/>
      <c r="EF27" s="1"/>
      <c r="EG27" s="1"/>
      <c r="EH27" s="1"/>
      <c r="EI27" s="1"/>
      <c r="EJ27" s="1"/>
      <c r="EK27" s="1"/>
      <c r="EL27" s="1"/>
      <c r="EM27" s="1"/>
      <c r="EN27" s="1"/>
      <c r="EO27" s="1"/>
      <c r="EP27" s="1"/>
      <c r="EQ27" s="1"/>
      <c r="ER27" s="1"/>
      <c r="ES27" s="1"/>
      <c r="ET27" s="1"/>
      <c r="EU27" s="1"/>
      <c r="EV27" s="1"/>
      <c r="EW27" s="1"/>
      <c r="EX27" s="1"/>
      <c r="EY27" s="1"/>
      <c r="EZ27" s="1"/>
      <c r="FA27" s="1"/>
      <c r="FB27" s="1"/>
      <c r="FC27" s="1"/>
      <c r="FD27" s="1"/>
      <c r="FE27" s="1"/>
      <c r="FF27" s="1"/>
      <c r="FG27" s="1"/>
      <c r="FH27" s="1"/>
      <c r="FI27" s="1"/>
      <c r="FJ27" s="1"/>
      <c r="FK27" s="1"/>
      <c r="FL27" s="1"/>
      <c r="FM27" s="1"/>
      <c r="FN27" s="1"/>
      <c r="FO27" s="1"/>
      <c r="FP27" s="1"/>
      <c r="FQ27" s="1"/>
    </row>
  </sheetData>
  <pageMargins left="0.7" right="0.7" top="0.75" bottom="0.75" header="0.3" footer="0.3"/>
  <pageSetup paperSize="9" orientation="portrait" r:id="rId1"/>
  <headerFooter>
    <oddHeader>&amp;R&amp;"Arial"&amp;10&amp;K000000 ECB-RESTRICTED&amp;1#_x000D_</oddHeader>
  </headerFooter>
  <legacyDrawing r:id="rId2"/>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A9827-337F-4B90-95F1-B9F794927421}">
  <dimension ref="A1:BN121"/>
  <sheetViews>
    <sheetView zoomScale="55" zoomScaleNormal="55" workbookViewId="0">
      <selection activeCell="C8" sqref="C8"/>
    </sheetView>
  </sheetViews>
  <sheetFormatPr baseColWidth="10" defaultColWidth="8.6640625" defaultRowHeight="14.4" x14ac:dyDescent="0.3"/>
  <cols>
    <col min="1" max="1" width="4.33203125" customWidth="1"/>
    <col min="3" max="3" width="17.33203125" customWidth="1"/>
    <col min="4" max="4" width="15.6640625" customWidth="1"/>
    <col min="5" max="5" width="16.33203125" customWidth="1"/>
    <col min="6" max="6" width="15.6640625" customWidth="1"/>
    <col min="7" max="7" width="16" customWidth="1"/>
    <col min="8" max="8" width="19" customWidth="1"/>
    <col min="9" max="12" width="17" customWidth="1"/>
    <col min="13" max="13" width="17.33203125" customWidth="1"/>
    <col min="14" max="18" width="16.33203125" customWidth="1"/>
    <col min="19" max="19" width="17" customWidth="1"/>
    <col min="20" max="33" width="16.33203125" customWidth="1"/>
    <col min="34" max="34" width="14.6640625" customWidth="1"/>
    <col min="35" max="36" width="12.6640625" customWidth="1"/>
    <col min="37" max="37" width="17.33203125" customWidth="1"/>
    <col min="38" max="38" width="12.33203125" customWidth="1"/>
    <col min="39" max="39" width="9.6640625" customWidth="1"/>
    <col min="40" max="42" width="16.44140625" customWidth="1"/>
    <col min="43" max="50" width="9.6640625" customWidth="1"/>
    <col min="51" max="59" width="0.5546875" customWidth="1"/>
  </cols>
  <sheetData>
    <row r="1" spans="1:66" ht="15" thickBot="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row>
    <row r="2" spans="1:66" ht="18" customHeight="1" thickBot="1" x14ac:dyDescent="0.35">
      <c r="A2" s="1"/>
      <c r="B2" s="2" t="s">
        <v>654</v>
      </c>
      <c r="C2" s="3"/>
      <c r="D2" s="3"/>
      <c r="E2" s="3"/>
      <c r="F2" s="3"/>
      <c r="G2" s="3"/>
      <c r="H2" s="3"/>
      <c r="I2" s="3"/>
      <c r="J2" s="3"/>
      <c r="K2" s="3"/>
      <c r="L2" s="3"/>
      <c r="M2" s="4"/>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row>
    <row r="3" spans="1:66" ht="18" customHeight="1" x14ac:dyDescent="0.3">
      <c r="A3" s="1"/>
      <c r="B3" s="5" t="s">
        <v>115</v>
      </c>
      <c r="C3" s="6"/>
      <c r="D3" s="6"/>
      <c r="E3" s="6"/>
      <c r="F3" s="6"/>
      <c r="G3" s="6"/>
      <c r="H3" s="6"/>
      <c r="I3" s="6"/>
      <c r="J3" s="6"/>
      <c r="K3" s="6"/>
      <c r="L3" s="6"/>
      <c r="M3" s="7"/>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row>
    <row r="4" spans="1:66" ht="18" customHeight="1" x14ac:dyDescent="0.3">
      <c r="A4" s="1"/>
      <c r="B4" s="99" t="s">
        <v>1</v>
      </c>
      <c r="C4" s="296"/>
      <c r="D4" s="296"/>
      <c r="E4" s="296"/>
      <c r="F4" s="296"/>
      <c r="G4" s="296"/>
      <c r="H4" s="296"/>
      <c r="I4" s="296"/>
      <c r="J4" s="296"/>
      <c r="K4" s="296"/>
      <c r="L4" s="296"/>
      <c r="M4" s="100"/>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row>
    <row r="5" spans="1:66" ht="14.25" customHeight="1" x14ac:dyDescent="0.3">
      <c r="A5" s="1"/>
      <c r="B5" s="293" t="s">
        <v>116</v>
      </c>
      <c r="C5" s="294"/>
      <c r="D5" s="294"/>
      <c r="E5" s="294"/>
      <c r="F5" s="294"/>
      <c r="G5" s="294"/>
      <c r="H5" s="294"/>
      <c r="I5" s="294"/>
      <c r="J5" s="294"/>
      <c r="K5" s="294"/>
      <c r="L5" s="294"/>
      <c r="M5" s="295"/>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row>
    <row r="6" spans="1:66" ht="12.6" customHeight="1" x14ac:dyDescent="0.3">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row>
    <row r="7" spans="1:66" ht="12.6" customHeight="1" x14ac:dyDescent="0.3">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row>
    <row r="8" spans="1:66" ht="17.7" customHeight="1" x14ac:dyDescent="0.3">
      <c r="A8" s="1"/>
      <c r="B8" s="11" t="s">
        <v>2</v>
      </c>
      <c r="C8" s="12" t="s">
        <v>254</v>
      </c>
      <c r="D8" s="12" t="s">
        <v>255</v>
      </c>
      <c r="E8" s="124" t="s">
        <v>522</v>
      </c>
      <c r="F8" s="125"/>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row>
    <row r="9" spans="1:66" ht="10.35" customHeight="1" x14ac:dyDescent="0.3">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row>
    <row r="10" spans="1:66" x14ac:dyDescent="0.3">
      <c r="A10" s="1"/>
      <c r="B10" s="1"/>
      <c r="C10" s="13" t="s">
        <v>6</v>
      </c>
      <c r="D10" s="14"/>
      <c r="E10" s="14"/>
      <c r="F10" s="14"/>
      <c r="G10" s="14"/>
      <c r="H10" s="14"/>
      <c r="I10" s="14"/>
      <c r="J10" s="14"/>
      <c r="K10" s="14"/>
      <c r="L10" s="14"/>
      <c r="M10" s="14"/>
      <c r="N10" s="14"/>
      <c r="O10" s="14"/>
      <c r="P10" s="15" t="s">
        <v>596</v>
      </c>
      <c r="Q10" s="16"/>
      <c r="R10" s="16"/>
      <c r="S10" s="16"/>
      <c r="T10" s="16"/>
      <c r="U10" s="16"/>
      <c r="V10" s="16"/>
      <c r="W10" s="16"/>
      <c r="X10" s="13"/>
      <c r="Y10" s="17"/>
      <c r="Z10" s="17"/>
      <c r="AA10" s="17"/>
      <c r="AB10" s="17"/>
      <c r="AC10" s="17"/>
      <c r="AD10" s="17"/>
      <c r="AE10" s="19"/>
      <c r="AF10" s="16"/>
      <c r="AG10" s="16"/>
      <c r="AH10" s="16"/>
      <c r="AI10" s="16"/>
      <c r="AJ10" s="16"/>
      <c r="AK10" s="1"/>
      <c r="AL10" s="1"/>
      <c r="AM10" s="99" t="s">
        <v>562</v>
      </c>
      <c r="AN10" s="9"/>
      <c r="AO10" s="9"/>
      <c r="AP10" s="9"/>
      <c r="AQ10" s="9"/>
      <c r="AR10" s="9"/>
      <c r="AS10" s="10"/>
      <c r="AT10" s="1"/>
      <c r="AU10" s="1"/>
      <c r="AV10" s="1"/>
      <c r="AW10" s="1"/>
      <c r="AX10" s="1"/>
      <c r="AY10" s="1"/>
      <c r="AZ10" s="1"/>
      <c r="BA10" s="1"/>
      <c r="BB10" s="1"/>
      <c r="BC10" s="1"/>
      <c r="BD10" s="1"/>
      <c r="BE10" s="1"/>
      <c r="BF10" s="1"/>
      <c r="BG10" s="1"/>
      <c r="BH10" s="1"/>
      <c r="BI10" s="1"/>
      <c r="BJ10" s="1"/>
      <c r="BK10" s="1"/>
      <c r="BL10" s="1"/>
      <c r="BM10" s="1"/>
      <c r="BN10" s="1"/>
    </row>
    <row r="11" spans="1:66" ht="78.75" customHeight="1" x14ac:dyDescent="0.3">
      <c r="A11" s="1"/>
      <c r="B11" s="25" t="s">
        <v>20</v>
      </c>
      <c r="C11" s="26" t="s">
        <v>119</v>
      </c>
      <c r="D11" s="27" t="s">
        <v>120</v>
      </c>
      <c r="E11" s="26" t="s">
        <v>121</v>
      </c>
      <c r="F11" s="27" t="s">
        <v>122</v>
      </c>
      <c r="G11" s="27" t="s">
        <v>123</v>
      </c>
      <c r="H11" s="27" t="s">
        <v>124</v>
      </c>
      <c r="I11" s="27" t="s">
        <v>125</v>
      </c>
      <c r="J11" s="27" t="s">
        <v>126</v>
      </c>
      <c r="K11" s="27" t="s">
        <v>127</v>
      </c>
      <c r="L11" s="27"/>
      <c r="M11" s="27"/>
      <c r="N11" s="27"/>
      <c r="O11" s="27"/>
      <c r="P11" s="26" t="s">
        <v>119</v>
      </c>
      <c r="Q11" s="27" t="s">
        <v>120</v>
      </c>
      <c r="R11" s="27" t="s">
        <v>121</v>
      </c>
      <c r="S11" s="27" t="s">
        <v>122</v>
      </c>
      <c r="T11" s="27" t="s">
        <v>123</v>
      </c>
      <c r="U11" s="27" t="s">
        <v>130</v>
      </c>
      <c r="V11" s="27"/>
      <c r="W11" s="27"/>
      <c r="X11" s="27"/>
      <c r="Y11" s="27"/>
      <c r="Z11" s="27"/>
      <c r="AA11" s="27"/>
      <c r="AB11" s="27"/>
      <c r="AC11" s="27"/>
      <c r="AD11" s="27"/>
      <c r="AE11" s="27"/>
      <c r="AF11" s="27"/>
      <c r="AG11" s="27"/>
      <c r="AH11" s="27"/>
      <c r="AI11" s="27"/>
      <c r="AJ11" s="27"/>
      <c r="AK11" s="27" t="s">
        <v>150</v>
      </c>
      <c r="AL11" s="1"/>
      <c r="AM11" s="522" t="s">
        <v>563</v>
      </c>
      <c r="AN11" s="523" t="s">
        <v>568</v>
      </c>
      <c r="AO11" s="523" t="s">
        <v>569</v>
      </c>
      <c r="AP11" s="523" t="s">
        <v>570</v>
      </c>
      <c r="AQ11" s="523" t="s">
        <v>564</v>
      </c>
      <c r="AR11" s="523" t="s">
        <v>565</v>
      </c>
      <c r="AS11" s="523" t="s">
        <v>566</v>
      </c>
      <c r="AT11" s="1"/>
      <c r="AU11" s="1"/>
      <c r="AV11" s="1"/>
      <c r="AW11" s="1"/>
      <c r="AX11" s="1"/>
      <c r="AY11" s="1"/>
      <c r="AZ11" s="1"/>
      <c r="BA11" s="1"/>
      <c r="BB11" s="1"/>
      <c r="BC11" s="1"/>
      <c r="BD11" s="1"/>
      <c r="BE11" s="1"/>
      <c r="BF11" s="1"/>
      <c r="BG11" s="1"/>
      <c r="BH11" s="1"/>
      <c r="BI11" s="1"/>
      <c r="BJ11" s="1"/>
      <c r="BK11" s="1"/>
      <c r="BL11" s="1"/>
      <c r="BM11" s="1"/>
      <c r="BN11" s="1"/>
    </row>
    <row r="12" spans="1:66" x14ac:dyDescent="0.3">
      <c r="A12" s="1"/>
      <c r="B12" s="28">
        <v>1</v>
      </c>
      <c r="C12" s="129">
        <f>'[108]2. Distributional by deciles o'!B64</f>
        <v>0</v>
      </c>
      <c r="D12" s="129">
        <f>'[108]2. Distributional by deciles o'!C64</f>
        <v>0</v>
      </c>
      <c r="E12" s="129">
        <f>'[108]2. Distributional by deciles o'!D64</f>
        <v>0</v>
      </c>
      <c r="F12" s="129">
        <f>'[108]2. Distributional by deciles o'!E64</f>
        <v>0</v>
      </c>
      <c r="G12" s="129">
        <f>'[108]2. Distributional by deciles o'!F64</f>
        <v>0</v>
      </c>
      <c r="H12" s="129">
        <f>'[108]2. Distributional by deciles o'!H64</f>
        <v>0</v>
      </c>
      <c r="I12" s="129">
        <f>'[108]2. Distributional by deciles o'!I64</f>
        <v>0</v>
      </c>
      <c r="J12" s="129">
        <f>'[108]2. Distributional by deciles o'!J64</f>
        <v>0</v>
      </c>
      <c r="K12" s="129">
        <f>'[108]2. Distributional by deciles o'!K64</f>
        <v>0</v>
      </c>
      <c r="L12" s="139"/>
      <c r="M12" s="139"/>
      <c r="N12" s="139"/>
      <c r="O12" s="139"/>
      <c r="P12" s="129">
        <f>'[108]2. Distributional by deciles o'!B82</f>
        <v>0</v>
      </c>
      <c r="Q12" s="129">
        <f>'[108]2. Distributional by deciles o'!C82</f>
        <v>0</v>
      </c>
      <c r="R12" s="129">
        <f>'[108]2. Distributional by deciles o'!D82</f>
        <v>0</v>
      </c>
      <c r="S12" s="129">
        <f>'[108]2. Distributional by deciles o'!E82</f>
        <v>0</v>
      </c>
      <c r="T12" s="129">
        <f>'[108]2. Distributional by deciles o'!F82</f>
        <v>0</v>
      </c>
      <c r="U12" s="209" t="e">
        <f t="shared" ref="U12:U22" si="0">T12/P12-1</f>
        <v>#DIV/0!</v>
      </c>
      <c r="V12" s="139"/>
      <c r="W12" s="209"/>
      <c r="X12" s="132"/>
      <c r="Y12" s="132"/>
      <c r="Z12" s="132"/>
      <c r="AA12" s="132"/>
      <c r="AB12" s="132"/>
      <c r="AC12" s="132"/>
      <c r="AD12" s="132"/>
      <c r="AE12" s="139"/>
      <c r="AF12" s="139"/>
      <c r="AG12" s="139"/>
      <c r="AH12" s="139"/>
      <c r="AI12" s="139"/>
      <c r="AJ12" s="139"/>
      <c r="AK12" s="408">
        <f>'[108]2. Distributional by deciles o'!L64</f>
        <v>0</v>
      </c>
      <c r="AL12" s="1"/>
      <c r="AM12" s="32" cm="1">
        <f t="array" aca="1" ref="AM12" ca="1">INDIRECT("'1"&amp;$C$8&amp;"'!W12")</f>
        <v>0</v>
      </c>
      <c r="AN12" s="524">
        <v>0</v>
      </c>
      <c r="AO12" s="524">
        <f t="shared" ref="AO12:AO21" ca="1" si="1">C12+C12*U$22*AM12</f>
        <v>0</v>
      </c>
      <c r="AP12" s="1">
        <v>0</v>
      </c>
      <c r="AQ12" s="525">
        <v>0</v>
      </c>
      <c r="AR12" s="344">
        <f>AQ12</f>
        <v>0</v>
      </c>
      <c r="AS12" s="41">
        <f>P12/P$22</f>
        <v>0</v>
      </c>
      <c r="AT12" s="1"/>
      <c r="AU12" s="1"/>
      <c r="AV12" s="1"/>
      <c r="AW12" s="1"/>
      <c r="AX12" s="1"/>
      <c r="AY12" s="1"/>
      <c r="AZ12" s="1"/>
      <c r="BA12" s="1"/>
      <c r="BB12" s="1"/>
      <c r="BC12" s="1"/>
      <c r="BD12" s="1"/>
      <c r="BE12" s="1"/>
      <c r="BF12" s="1"/>
      <c r="BG12" s="1"/>
      <c r="BH12" s="1"/>
      <c r="BI12" s="1"/>
      <c r="BJ12" s="1"/>
      <c r="BK12" s="1"/>
      <c r="BL12" s="1"/>
      <c r="BM12" s="1"/>
      <c r="BN12" s="1"/>
    </row>
    <row r="13" spans="1:66" x14ac:dyDescent="0.3">
      <c r="A13" s="1"/>
      <c r="B13" s="28">
        <v>2</v>
      </c>
      <c r="C13" s="129">
        <f>'[108]2. Distributional by deciles o'!B65</f>
        <v>8828118.4680000022</v>
      </c>
      <c r="D13" s="129">
        <f>'[108]2. Distributional by deciles o'!C65</f>
        <v>8097828.9095999999</v>
      </c>
      <c r="E13" s="129">
        <f>'[108]2. Distributional by deciles o'!D65</f>
        <v>9009265.4040000029</v>
      </c>
      <c r="F13" s="129">
        <f>'[108]2. Distributional by deciles o'!E65</f>
        <v>10357728.237599993</v>
      </c>
      <c r="G13" s="129">
        <f>'[108]2. Distributional by deciles o'!F65</f>
        <v>12293262.507599995</v>
      </c>
      <c r="H13" s="129">
        <f>'[108]2. Distributional by deciles o'!H65</f>
        <v>16243480.78559999</v>
      </c>
      <c r="I13" s="129">
        <f>'[108]2. Distributional by deciles o'!I65</f>
        <v>12153867.315599997</v>
      </c>
      <c r="J13" s="129">
        <f>'[108]2. Distributional by deciles o'!J65</f>
        <v>13302662.226</v>
      </c>
      <c r="K13" s="129">
        <f>'[108]2. Distributional by deciles o'!K65</f>
        <v>12256975.4256</v>
      </c>
      <c r="L13" s="139"/>
      <c r="M13" s="139"/>
      <c r="N13" s="139"/>
      <c r="O13" s="139"/>
      <c r="P13" s="129">
        <f>'[108]2. Distributional by deciles o'!B83</f>
        <v>336878628.42000008</v>
      </c>
      <c r="Q13" s="129">
        <f>'[108]2. Distributional by deciles o'!C83</f>
        <v>344310482.41560024</v>
      </c>
      <c r="R13" s="129">
        <f>'[108]2. Distributional by deciles o'!D83</f>
        <v>369269148.93480003</v>
      </c>
      <c r="S13" s="129">
        <f>'[108]2. Distributional by deciles o'!E83</f>
        <v>401201006.89320022</v>
      </c>
      <c r="T13" s="129">
        <f>'[108]2. Distributional by deciles o'!F83</f>
        <v>451460264.32080042</v>
      </c>
      <c r="U13" s="209">
        <f t="shared" si="0"/>
        <v>0.34012735221050239</v>
      </c>
      <c r="V13" s="139"/>
      <c r="W13" s="209"/>
      <c r="X13" s="132"/>
      <c r="Y13" s="132"/>
      <c r="Z13" s="132"/>
      <c r="AA13" s="132"/>
      <c r="AB13" s="132"/>
      <c r="AC13" s="132"/>
      <c r="AD13" s="132"/>
      <c r="AE13" s="139"/>
      <c r="AF13" s="139"/>
      <c r="AG13" s="139"/>
      <c r="AH13" s="139"/>
      <c r="AI13" s="139"/>
      <c r="AJ13" s="139"/>
      <c r="AK13" s="408">
        <f>'[108]2. Distributional by deciles o'!L65</f>
        <v>13715395.728000004</v>
      </c>
      <c r="AL13" s="1"/>
      <c r="AM13" s="32" cm="1">
        <f t="array" aca="1" ref="AM13" ca="1">INDIRECT("'1"&amp;$C$8&amp;"'!W13")</f>
        <v>1.8605416608173506</v>
      </c>
      <c r="AN13" s="524">
        <f t="shared" ref="AN13:AN21" ca="1" si="2">C13+C13*U13*AM13</f>
        <v>14414738.185282707</v>
      </c>
      <c r="AO13" s="524">
        <f t="shared" ca="1" si="1"/>
        <v>14018021.343114242</v>
      </c>
      <c r="AP13" s="524">
        <f t="shared" ref="AP13:AP21" ca="1" si="3">C13+C13*AR13*AM13</f>
        <v>14414738.185282707</v>
      </c>
      <c r="AQ13" s="525">
        <f t="shared" ref="AQ13:AQ21" si="4">U13</f>
        <v>0.34012735221050239</v>
      </c>
      <c r="AR13" s="344">
        <f t="shared" ref="AR13:AR18" si="5">AQ13</f>
        <v>0.34012735221050239</v>
      </c>
      <c r="AS13" s="41">
        <f t="shared" ref="AS13:AS21" si="6">P13/P$22</f>
        <v>1.1288817052209696E-2</v>
      </c>
      <c r="AT13" s="1"/>
      <c r="AU13" s="1"/>
      <c r="AV13" s="1"/>
      <c r="AW13" s="1"/>
      <c r="AX13" s="1"/>
      <c r="AY13" s="1"/>
      <c r="AZ13" s="1"/>
      <c r="BA13" s="1"/>
      <c r="BB13" s="1"/>
      <c r="BC13" s="1"/>
      <c r="BD13" s="1"/>
      <c r="BE13" s="1"/>
      <c r="BF13" s="1"/>
      <c r="BG13" s="1"/>
      <c r="BH13" s="1"/>
      <c r="BI13" s="1"/>
      <c r="BJ13" s="1"/>
      <c r="BK13" s="1"/>
      <c r="BL13" s="1"/>
      <c r="BM13" s="1"/>
      <c r="BN13" s="1"/>
    </row>
    <row r="14" spans="1:66" x14ac:dyDescent="0.3">
      <c r="A14" s="1"/>
      <c r="B14" s="28">
        <v>3</v>
      </c>
      <c r="C14" s="129">
        <f>'[108]2. Distributional by deciles o'!B66</f>
        <v>50554293.658800051</v>
      </c>
      <c r="D14" s="129">
        <f>'[108]2. Distributional by deciles o'!C66</f>
        <v>45294428.423999965</v>
      </c>
      <c r="E14" s="129">
        <f>'[108]2. Distributional by deciles o'!D66</f>
        <v>52295191.001999997</v>
      </c>
      <c r="F14" s="129">
        <f>'[108]2. Distributional by deciles o'!E66</f>
        <v>56683533.359999985</v>
      </c>
      <c r="G14" s="129">
        <f>'[108]2. Distributional by deciles o'!F66</f>
        <v>58024857.564000003</v>
      </c>
      <c r="H14" s="129">
        <f>'[108]2. Distributional by deciles o'!H66</f>
        <v>100390633.98120001</v>
      </c>
      <c r="I14" s="129">
        <f>'[108]2. Distributional by deciles o'!I66</f>
        <v>72399856.360799953</v>
      </c>
      <c r="J14" s="129">
        <f>'[108]2. Distributional by deciles o'!J66</f>
        <v>81307569.949200004</v>
      </c>
      <c r="K14" s="129">
        <f>'[108]2. Distributional by deciles o'!K66</f>
        <v>73201560.60239999</v>
      </c>
      <c r="L14" s="139"/>
      <c r="M14" s="139"/>
      <c r="N14" s="139"/>
      <c r="O14" s="139"/>
      <c r="P14" s="129">
        <f>'[108]2. Distributional by deciles o'!B84</f>
        <v>1420285471.9164</v>
      </c>
      <c r="Q14" s="129">
        <f>'[108]2. Distributional by deciles o'!C84</f>
        <v>1462315411.7004006</v>
      </c>
      <c r="R14" s="129">
        <f>'[108]2. Distributional by deciles o'!D84</f>
        <v>1573672017.2952003</v>
      </c>
      <c r="S14" s="129">
        <f>'[108]2. Distributional by deciles o'!E84</f>
        <v>1698914826.225601</v>
      </c>
      <c r="T14" s="129">
        <f>'[108]2. Distributional by deciles o'!F84</f>
        <v>1873924075.8575988</v>
      </c>
      <c r="U14" s="209">
        <f t="shared" si="0"/>
        <v>0.31939959459636058</v>
      </c>
      <c r="V14" s="139"/>
      <c r="W14" s="209"/>
      <c r="X14" s="132"/>
      <c r="Y14" s="132"/>
      <c r="Z14" s="132"/>
      <c r="AA14" s="132"/>
      <c r="AB14" s="132"/>
      <c r="AC14" s="132"/>
      <c r="AD14" s="132"/>
      <c r="AE14" s="139"/>
      <c r="AF14" s="139"/>
      <c r="AG14" s="139"/>
      <c r="AH14" s="139"/>
      <c r="AI14" s="139"/>
      <c r="AJ14" s="139"/>
      <c r="AK14" s="408">
        <f>'[108]2. Distributional by deciles o'!L66</f>
        <v>66933444.621599987</v>
      </c>
      <c r="AL14" s="1"/>
      <c r="AM14" s="32" cm="1">
        <f t="array" aca="1" ref="AM14" ca="1">INDIRECT("'1"&amp;$C$8&amp;"'!W14")</f>
        <v>2.6621378296783695</v>
      </c>
      <c r="AN14" s="524">
        <f t="shared" ca="1" si="2"/>
        <v>93539888.832568169</v>
      </c>
      <c r="AO14" s="524">
        <f t="shared" ca="1" si="1"/>
        <v>93078896.147477984</v>
      </c>
      <c r="AP14" s="524">
        <f t="shared" ca="1" si="3"/>
        <v>93539888.832568169</v>
      </c>
      <c r="AQ14" s="525">
        <f t="shared" si="4"/>
        <v>0.31939959459636058</v>
      </c>
      <c r="AR14" s="344">
        <f t="shared" si="5"/>
        <v>0.31939959459636058</v>
      </c>
      <c r="AS14" s="41">
        <f t="shared" si="6"/>
        <v>4.7593826089751649E-2</v>
      </c>
      <c r="AT14" s="1"/>
      <c r="AU14" s="1"/>
      <c r="AV14" s="1"/>
      <c r="AW14" s="1"/>
      <c r="AX14" s="1"/>
      <c r="AY14" s="1"/>
      <c r="AZ14" s="1"/>
      <c r="BA14" s="1"/>
      <c r="BB14" s="1"/>
      <c r="BC14" s="1"/>
      <c r="BD14" s="1"/>
      <c r="BE14" s="1"/>
      <c r="BF14" s="1"/>
      <c r="BG14" s="1"/>
      <c r="BH14" s="1"/>
      <c r="BI14" s="1"/>
      <c r="BJ14" s="1"/>
      <c r="BK14" s="1"/>
      <c r="BL14" s="1"/>
      <c r="BM14" s="1"/>
      <c r="BN14" s="1"/>
    </row>
    <row r="15" spans="1:66" x14ac:dyDescent="0.3">
      <c r="A15" s="1"/>
      <c r="B15" s="28">
        <v>4</v>
      </c>
      <c r="C15" s="129">
        <f>'[108]2. Distributional by deciles o'!B67</f>
        <v>109795028.84279998</v>
      </c>
      <c r="D15" s="129">
        <f>'[108]2. Distributional by deciles o'!C67</f>
        <v>101151825.4224</v>
      </c>
      <c r="E15" s="129">
        <f>'[108]2. Distributional by deciles o'!D67</f>
        <v>115335929.39280006</v>
      </c>
      <c r="F15" s="129">
        <f>'[108]2. Distributional by deciles o'!E67</f>
        <v>118202160.20519994</v>
      </c>
      <c r="G15" s="129">
        <f>'[108]2. Distributional by deciles o'!F67</f>
        <v>111626261.86319995</v>
      </c>
      <c r="H15" s="129">
        <f>'[108]2. Distributional by deciles o'!H67</f>
        <v>200275085.45760012</v>
      </c>
      <c r="I15" s="129">
        <f>'[108]2. Distributional by deciles o'!I67</f>
        <v>157095244.61040014</v>
      </c>
      <c r="J15" s="129">
        <f>'[108]2. Distributional by deciles o'!J67</f>
        <v>171161182.7604</v>
      </c>
      <c r="K15" s="129">
        <f>'[108]2. Distributional by deciles o'!K67</f>
        <v>158486391.4248001</v>
      </c>
      <c r="L15" s="139"/>
      <c r="M15" s="139"/>
      <c r="N15" s="139"/>
      <c r="O15" s="139"/>
      <c r="P15" s="129">
        <f>'[108]2. Distributional by deciles o'!B85</f>
        <v>2063482628.408401</v>
      </c>
      <c r="Q15" s="129">
        <f>'[108]2. Distributional by deciles o'!C85</f>
        <v>2127330389.0748005</v>
      </c>
      <c r="R15" s="129">
        <f>'[108]2. Distributional by deciles o'!D85</f>
        <v>2290992564.9048014</v>
      </c>
      <c r="S15" s="129">
        <f>'[108]2. Distributional by deciles o'!E85</f>
        <v>2465174040.169198</v>
      </c>
      <c r="T15" s="129">
        <f>'[108]2. Distributional by deciles o'!F85</f>
        <v>2718483206.637599</v>
      </c>
      <c r="U15" s="209">
        <f t="shared" si="0"/>
        <v>0.31742480853081423</v>
      </c>
      <c r="V15" s="139"/>
      <c r="W15" s="209"/>
      <c r="X15" s="132"/>
      <c r="Y15" s="132"/>
      <c r="Z15" s="132"/>
      <c r="AA15" s="132"/>
      <c r="AB15" s="132"/>
      <c r="AC15" s="132"/>
      <c r="AD15" s="132"/>
      <c r="AE15" s="139"/>
      <c r="AF15" s="139"/>
      <c r="AG15" s="139"/>
      <c r="AH15" s="139"/>
      <c r="AI15" s="139"/>
      <c r="AJ15" s="139"/>
      <c r="AK15" s="408">
        <f>'[108]2. Distributional by deciles o'!L67</f>
        <v>125811738.29999985</v>
      </c>
      <c r="AL15" s="1"/>
      <c r="AM15" s="32" cm="1">
        <f t="array" aca="1" ref="AM15" ca="1">INDIRECT("'1"&amp;$C$8&amp;"'!W15")</f>
        <v>2.6206994678544451</v>
      </c>
      <c r="AN15" s="524">
        <f t="shared" ca="1" si="2"/>
        <v>201130771.40396631</v>
      </c>
      <c r="AO15" s="524">
        <f t="shared" ca="1" si="1"/>
        <v>200713385.33919957</v>
      </c>
      <c r="AP15" s="524">
        <f t="shared" ca="1" si="3"/>
        <v>201130771.40396631</v>
      </c>
      <c r="AQ15" s="525">
        <f t="shared" si="4"/>
        <v>0.31742480853081423</v>
      </c>
      <c r="AR15" s="344">
        <f t="shared" si="5"/>
        <v>0.31742480853081423</v>
      </c>
      <c r="AS15" s="41">
        <f t="shared" si="6"/>
        <v>6.9147389942093129E-2</v>
      </c>
      <c r="AT15" s="1"/>
      <c r="AU15" s="1"/>
      <c r="AV15" s="1"/>
      <c r="AW15" s="1"/>
      <c r="AX15" s="1"/>
      <c r="AY15" s="1"/>
      <c r="AZ15" s="1"/>
      <c r="BA15" s="1"/>
      <c r="BB15" s="1"/>
      <c r="BC15" s="1"/>
      <c r="BD15" s="1"/>
      <c r="BE15" s="1"/>
      <c r="BF15" s="1"/>
      <c r="BG15" s="1"/>
      <c r="BH15" s="1"/>
      <c r="BI15" s="1"/>
      <c r="BJ15" s="1"/>
      <c r="BK15" s="1"/>
      <c r="BL15" s="1"/>
      <c r="BM15" s="1"/>
      <c r="BN15" s="1"/>
    </row>
    <row r="16" spans="1:66" x14ac:dyDescent="0.3">
      <c r="A16" s="1"/>
      <c r="B16" s="28">
        <v>5</v>
      </c>
      <c r="C16" s="129">
        <f>'[108]2. Distributional by deciles o'!B68</f>
        <v>161385226.20839995</v>
      </c>
      <c r="D16" s="129">
        <f>'[108]2. Distributional by deciles o'!C68</f>
        <v>149281559.81040007</v>
      </c>
      <c r="E16" s="129">
        <f>'[108]2. Distributional by deciles o'!D68</f>
        <v>171522507.5819999</v>
      </c>
      <c r="F16" s="129">
        <f>'[108]2. Distributional by deciles o'!E68</f>
        <v>178640551.85879993</v>
      </c>
      <c r="G16" s="129">
        <f>'[108]2. Distributional by deciles o'!F68</f>
        <v>165514067.11320001</v>
      </c>
      <c r="H16" s="129">
        <f>'[108]2. Distributional by deciles o'!H68</f>
        <v>281846911.61040014</v>
      </c>
      <c r="I16" s="129">
        <f>'[108]2. Distributional by deciles o'!I68</f>
        <v>225943565.00400004</v>
      </c>
      <c r="J16" s="129">
        <f>'[108]2. Distributional by deciles o'!J68</f>
        <v>244457722.35360008</v>
      </c>
      <c r="K16" s="129">
        <f>'[108]2. Distributional by deciles o'!K68</f>
        <v>227765044.78439993</v>
      </c>
      <c r="L16" s="139"/>
      <c r="M16" s="139"/>
      <c r="N16" s="139"/>
      <c r="O16" s="139"/>
      <c r="P16" s="129">
        <f>'[108]2. Distributional by deciles o'!B86</f>
        <v>2570232094.895998</v>
      </c>
      <c r="Q16" s="129">
        <f>'[108]2. Distributional by deciles o'!C86</f>
        <v>2651946534.0516005</v>
      </c>
      <c r="R16" s="129">
        <f>'[108]2. Distributional by deciles o'!D86</f>
        <v>2848031801.8800006</v>
      </c>
      <c r="S16" s="129">
        <f>'[108]2. Distributional by deciles o'!E86</f>
        <v>3067733200.1532011</v>
      </c>
      <c r="T16" s="129">
        <f>'[108]2. Distributional by deciles o'!F86</f>
        <v>3382664664.9372005</v>
      </c>
      <c r="U16" s="209">
        <f t="shared" si="0"/>
        <v>0.31609307644027251</v>
      </c>
      <c r="V16" s="139"/>
      <c r="W16" s="209"/>
      <c r="X16" s="132"/>
      <c r="Y16" s="132"/>
      <c r="Z16" s="132"/>
      <c r="AA16" s="132"/>
      <c r="AB16" s="132"/>
      <c r="AC16" s="132"/>
      <c r="AD16" s="132"/>
      <c r="AE16" s="139"/>
      <c r="AF16" s="139"/>
      <c r="AG16" s="139"/>
      <c r="AH16" s="139"/>
      <c r="AI16" s="139"/>
      <c r="AJ16" s="139"/>
      <c r="AK16" s="408">
        <f>'[108]2. Distributional by deciles o'!L68</f>
        <v>185779225.44239983</v>
      </c>
      <c r="AL16" s="1"/>
      <c r="AM16" s="32" cm="1">
        <f t="array" aca="1" ref="AM16" ca="1">INDIRECT("'1"&amp;$C$8&amp;"'!W16")</f>
        <v>2.2769231034459554</v>
      </c>
      <c r="AN16" s="524">
        <f t="shared" ca="1" si="2"/>
        <v>277537341.27440375</v>
      </c>
      <c r="AO16" s="524">
        <f t="shared" ca="1" si="1"/>
        <v>277493673.67835063</v>
      </c>
      <c r="AP16" s="524">
        <f t="shared" ca="1" si="3"/>
        <v>277537341.27440375</v>
      </c>
      <c r="AQ16" s="525">
        <f t="shared" si="4"/>
        <v>0.31609307644027251</v>
      </c>
      <c r="AR16" s="344">
        <f t="shared" si="5"/>
        <v>0.31609307644027251</v>
      </c>
      <c r="AS16" s="41">
        <f t="shared" si="6"/>
        <v>8.6128585945275754E-2</v>
      </c>
      <c r="AT16" s="1"/>
      <c r="AU16" s="1"/>
      <c r="AV16" s="1"/>
      <c r="AW16" s="1"/>
      <c r="AX16" s="1"/>
      <c r="AY16" s="1"/>
      <c r="AZ16" s="1"/>
      <c r="BA16" s="1"/>
      <c r="BB16" s="1"/>
      <c r="BC16" s="1"/>
      <c r="BD16" s="1"/>
      <c r="BE16" s="1"/>
      <c r="BF16" s="1"/>
      <c r="BG16" s="1"/>
      <c r="BH16" s="1"/>
      <c r="BI16" s="1"/>
      <c r="BJ16" s="1"/>
      <c r="BK16" s="1"/>
      <c r="BL16" s="1"/>
      <c r="BM16" s="1"/>
      <c r="BN16" s="1"/>
    </row>
    <row r="17" spans="1:66" x14ac:dyDescent="0.3">
      <c r="A17" s="1"/>
      <c r="B17" s="28">
        <v>6</v>
      </c>
      <c r="C17" s="129">
        <f>'[108]2. Distributional by deciles o'!B69</f>
        <v>211997742.99720013</v>
      </c>
      <c r="D17" s="129">
        <f>'[108]2. Distributional by deciles o'!C69</f>
        <v>198603823.2912001</v>
      </c>
      <c r="E17" s="129">
        <f>'[108]2. Distributional by deciles o'!D69</f>
        <v>230270511.30360013</v>
      </c>
      <c r="F17" s="129">
        <f>'[108]2. Distributional by deciles o'!E69</f>
        <v>242714677.8635999</v>
      </c>
      <c r="G17" s="129">
        <f>'[108]2. Distributional by deciles o'!F69</f>
        <v>230573009.11800018</v>
      </c>
      <c r="H17" s="129">
        <f>'[108]2. Distributional by deciles o'!H69</f>
        <v>356891576.61239988</v>
      </c>
      <c r="I17" s="129">
        <f>'[108]2. Distributional by deciles o'!I69</f>
        <v>291114508.22759998</v>
      </c>
      <c r="J17" s="129">
        <f>'[108]2. Distributional by deciles o'!J69</f>
        <v>312880110.81720006</v>
      </c>
      <c r="K17" s="129">
        <f>'[108]2. Distributional by deciles o'!K69</f>
        <v>293259464.26799989</v>
      </c>
      <c r="L17" s="139"/>
      <c r="M17" s="139"/>
      <c r="N17" s="139"/>
      <c r="O17" s="139"/>
      <c r="P17" s="129">
        <f>'[108]2. Distributional by deciles o'!B87</f>
        <v>3113928710.7672005</v>
      </c>
      <c r="Q17" s="129">
        <f>'[108]2. Distributional by deciles o'!C87</f>
        <v>3215739152.8320022</v>
      </c>
      <c r="R17" s="129">
        <f>'[108]2. Distributional by deciles o'!D87</f>
        <v>3454351964.0124025</v>
      </c>
      <c r="S17" s="129">
        <f>'[108]2. Distributional by deciles o'!E87</f>
        <v>3718483766.9819994</v>
      </c>
      <c r="T17" s="129">
        <f>'[108]2. Distributional by deciles o'!F87</f>
        <v>4101203737.7639971</v>
      </c>
      <c r="U17" s="209">
        <f t="shared" si="0"/>
        <v>0.31705126182980425</v>
      </c>
      <c r="V17" s="139"/>
      <c r="W17" s="209"/>
      <c r="X17" s="132"/>
      <c r="Y17" s="132"/>
      <c r="Z17" s="132"/>
      <c r="AA17" s="132"/>
      <c r="AB17" s="132"/>
      <c r="AC17" s="132"/>
      <c r="AD17" s="132"/>
      <c r="AE17" s="139"/>
      <c r="AF17" s="139"/>
      <c r="AG17" s="139"/>
      <c r="AH17" s="139"/>
      <c r="AI17" s="139"/>
      <c r="AJ17" s="139"/>
      <c r="AK17" s="408">
        <f>'[108]2. Distributional by deciles o'!L69</f>
        <v>258016606.52639991</v>
      </c>
      <c r="AL17" s="1"/>
      <c r="AM17" s="32" cm="1">
        <f t="array" aca="1" ref="AM17" ca="1">INDIRECT("'1"&amp;$C$8&amp;"'!W17")</f>
        <v>2.0349033052324881</v>
      </c>
      <c r="AN17" s="524">
        <f t="shared" ca="1" si="2"/>
        <v>348772042.90235388</v>
      </c>
      <c r="AO17" s="524">
        <f t="shared" ca="1" si="1"/>
        <v>348307421.46305907</v>
      </c>
      <c r="AP17" s="524">
        <f t="shared" ca="1" si="3"/>
        <v>348772042.90235388</v>
      </c>
      <c r="AQ17" s="525">
        <f t="shared" si="4"/>
        <v>0.31705126182980425</v>
      </c>
      <c r="AR17" s="344">
        <f t="shared" si="5"/>
        <v>0.31705126182980425</v>
      </c>
      <c r="AS17" s="41">
        <f t="shared" si="6"/>
        <v>0.10434788248320701</v>
      </c>
      <c r="AT17" s="1"/>
      <c r="AU17" s="1"/>
      <c r="AV17" s="1"/>
      <c r="AW17" s="1"/>
      <c r="AX17" s="1"/>
      <c r="AY17" s="1"/>
      <c r="AZ17" s="1"/>
      <c r="BA17" s="1"/>
      <c r="BB17" s="1"/>
      <c r="BC17" s="1"/>
      <c r="BD17" s="1"/>
      <c r="BE17" s="1"/>
      <c r="BF17" s="1"/>
      <c r="BG17" s="1"/>
      <c r="BH17" s="1"/>
      <c r="BI17" s="1"/>
      <c r="BJ17" s="1"/>
      <c r="BK17" s="1"/>
      <c r="BL17" s="1"/>
      <c r="BM17" s="1"/>
      <c r="BN17" s="1"/>
    </row>
    <row r="18" spans="1:66" x14ac:dyDescent="0.3">
      <c r="A18" s="1"/>
      <c r="B18" s="28">
        <v>7</v>
      </c>
      <c r="C18" s="129">
        <f>'[108]2. Distributional by deciles o'!B70</f>
        <v>267089742.86399996</v>
      </c>
      <c r="D18" s="129">
        <f>'[108]2. Distributional by deciles o'!C70</f>
        <v>253644443.90639994</v>
      </c>
      <c r="E18" s="129">
        <f>'[108]2. Distributional by deciles o'!D70</f>
        <v>289280791.99560004</v>
      </c>
      <c r="F18" s="129">
        <f>'[108]2. Distributional by deciles o'!E70</f>
        <v>301873731.78599977</v>
      </c>
      <c r="G18" s="129">
        <f>'[108]2. Distributional by deciles o'!F70</f>
        <v>278131552.62119997</v>
      </c>
      <c r="H18" s="129">
        <f>'[108]2. Distributional by deciles o'!H70</f>
        <v>440924071.86000019</v>
      </c>
      <c r="I18" s="129">
        <f>'[108]2. Distributional by deciles o'!I70</f>
        <v>366487131.11039972</v>
      </c>
      <c r="J18" s="129">
        <f>'[108]2. Distributional by deciles o'!J70</f>
        <v>391025516.17799962</v>
      </c>
      <c r="K18" s="129">
        <f>'[108]2. Distributional by deciles o'!K70</f>
        <v>368910540.15479988</v>
      </c>
      <c r="L18" s="139"/>
      <c r="M18" s="139"/>
      <c r="N18" s="139"/>
      <c r="O18" s="139"/>
      <c r="P18" s="129">
        <f>'[108]2. Distributional by deciles o'!B88</f>
        <v>3578856665.2908001</v>
      </c>
      <c r="Q18" s="129">
        <f>'[108]2. Distributional by deciles o'!C88</f>
        <v>3702226507.1711984</v>
      </c>
      <c r="R18" s="129">
        <f>'[108]2. Distributional by deciles o'!D88</f>
        <v>3974616128.3088007</v>
      </c>
      <c r="S18" s="129">
        <f>'[108]2. Distributional by deciles o'!E88</f>
        <v>4270095114.5496025</v>
      </c>
      <c r="T18" s="129">
        <f>'[108]2. Distributional by deciles o'!F88</f>
        <v>4710279669.9456015</v>
      </c>
      <c r="U18" s="209">
        <f t="shared" si="0"/>
        <v>0.31614091048345117</v>
      </c>
      <c r="V18" s="139"/>
      <c r="W18" s="209"/>
      <c r="X18" s="132"/>
      <c r="Y18" s="132"/>
      <c r="Z18" s="132"/>
      <c r="AA18" s="132"/>
      <c r="AB18" s="132"/>
      <c r="AC18" s="132"/>
      <c r="AD18" s="132"/>
      <c r="AE18" s="139"/>
      <c r="AF18" s="139"/>
      <c r="AG18" s="139"/>
      <c r="AH18" s="139"/>
      <c r="AI18" s="139"/>
      <c r="AJ18" s="139"/>
      <c r="AK18" s="408">
        <f>'[108]2. Distributional by deciles o'!L70</f>
        <v>310642096.5612002</v>
      </c>
      <c r="AL18" s="1"/>
      <c r="AM18" s="32" cm="1">
        <f t="array" aca="1" ref="AM18" ca="1">INDIRECT("'1"&amp;$C$8&amp;"'!W18")</f>
        <v>2.0246631121882279</v>
      </c>
      <c r="AN18" s="524">
        <f t="shared" ca="1" si="2"/>
        <v>438048235.57468283</v>
      </c>
      <c r="AO18" s="524">
        <f t="shared" ca="1" si="1"/>
        <v>437958106.08732104</v>
      </c>
      <c r="AP18" s="524">
        <f t="shared" ca="1" si="3"/>
        <v>438048235.57468283</v>
      </c>
      <c r="AQ18" s="525">
        <f t="shared" si="4"/>
        <v>0.31614091048345117</v>
      </c>
      <c r="AR18" s="344">
        <f t="shared" si="5"/>
        <v>0.31614091048345117</v>
      </c>
      <c r="AS18" s="41">
        <f t="shared" si="6"/>
        <v>0.11992763785590903</v>
      </c>
      <c r="AT18" s="1"/>
      <c r="AU18" s="1"/>
      <c r="AV18" s="1"/>
      <c r="AW18" s="1"/>
      <c r="AX18" s="1"/>
      <c r="AY18" s="1"/>
      <c r="AZ18" s="1"/>
      <c r="BA18" s="1"/>
      <c r="BB18" s="1"/>
      <c r="BC18" s="1"/>
      <c r="BD18" s="1"/>
      <c r="BE18" s="1"/>
      <c r="BF18" s="1"/>
      <c r="BG18" s="1"/>
      <c r="BH18" s="1"/>
      <c r="BI18" s="1"/>
      <c r="BJ18" s="1"/>
      <c r="BK18" s="1"/>
      <c r="BL18" s="1"/>
      <c r="BM18" s="1"/>
      <c r="BN18" s="1"/>
    </row>
    <row r="19" spans="1:66" x14ac:dyDescent="0.3">
      <c r="A19" s="1"/>
      <c r="B19" s="28">
        <v>8</v>
      </c>
      <c r="C19" s="129">
        <f>'[108]2. Distributional by deciles o'!B71</f>
        <v>345483023.57160008</v>
      </c>
      <c r="D19" s="129">
        <f>'[108]2. Distributional by deciles o'!C71</f>
        <v>329288625.85080004</v>
      </c>
      <c r="E19" s="129">
        <f>'[108]2. Distributional by deciles o'!D71</f>
        <v>380978969.75040001</v>
      </c>
      <c r="F19" s="129">
        <f>'[108]2. Distributional by deciles o'!E71</f>
        <v>409732787.34000003</v>
      </c>
      <c r="G19" s="129">
        <f>'[108]2. Distributional by deciles o'!F71</f>
        <v>401027381.64840007</v>
      </c>
      <c r="H19" s="129">
        <f>'[108]2. Distributional by deciles o'!H71</f>
        <v>551583410.36279988</v>
      </c>
      <c r="I19" s="129">
        <f>'[108]2. Distributional by deciles o'!I71</f>
        <v>466309274.20079994</v>
      </c>
      <c r="J19" s="129">
        <f>'[108]2. Distributional by deciles o'!J71</f>
        <v>494714671.30320001</v>
      </c>
      <c r="K19" s="129">
        <f>'[108]2. Distributional by deciles o'!K71</f>
        <v>469124331.47880006</v>
      </c>
      <c r="L19" s="139"/>
      <c r="M19" s="139"/>
      <c r="N19" s="139"/>
      <c r="O19" s="139"/>
      <c r="P19" s="129">
        <f>'[108]2. Distributional by deciles o'!B89</f>
        <v>4306547233.1975994</v>
      </c>
      <c r="Q19" s="129">
        <f>'[108]2. Distributional by deciles o'!C89</f>
        <v>4441218634.3655987</v>
      </c>
      <c r="R19" s="129">
        <f>'[108]2. Distributional by deciles o'!D89</f>
        <v>4773635877.9408035</v>
      </c>
      <c r="S19" s="129">
        <f>'[108]2. Distributional by deciles o'!E89</f>
        <v>5129244094.9380007</v>
      </c>
      <c r="T19" s="129">
        <f>'[108]2. Distributional by deciles o'!F89</f>
        <v>5659209350.4564037</v>
      </c>
      <c r="U19" s="209">
        <f t="shared" si="0"/>
        <v>0.31409434147885951</v>
      </c>
      <c r="V19" s="139"/>
      <c r="W19" s="209"/>
      <c r="X19" s="132"/>
      <c r="Y19" s="132"/>
      <c r="Z19" s="132"/>
      <c r="AA19" s="132"/>
      <c r="AB19" s="132"/>
      <c r="AC19" s="132"/>
      <c r="AD19" s="132"/>
      <c r="AE19" s="139"/>
      <c r="AF19" s="139"/>
      <c r="AG19" s="139"/>
      <c r="AH19" s="139"/>
      <c r="AI19" s="139"/>
      <c r="AJ19" s="139"/>
      <c r="AK19" s="408">
        <f>'[108]2. Distributional by deciles o'!L71</f>
        <v>442203894.49679959</v>
      </c>
      <c r="AL19" s="1"/>
      <c r="AM19" s="32" cm="1">
        <f t="array" aca="1" ref="AM19" ca="1">INDIRECT("'1"&amp;$C$8&amp;"'!W19")</f>
        <v>1.8921507263247459</v>
      </c>
      <c r="AN19" s="524">
        <f t="shared" ca="1" si="2"/>
        <v>550808364.70897412</v>
      </c>
      <c r="AO19" s="524">
        <f t="shared" ca="1" si="1"/>
        <v>552037266.01034665</v>
      </c>
      <c r="AP19" s="524">
        <f t="shared" ca="1" si="3"/>
        <v>525929313.44520032</v>
      </c>
      <c r="AQ19" s="525">
        <f t="shared" si="4"/>
        <v>0.31409434147885951</v>
      </c>
      <c r="AR19" s="526">
        <f>U19-AP31*AS21/SUM(AS19:AS20)</f>
        <v>0.27603586715695122</v>
      </c>
      <c r="AS19" s="41">
        <f t="shared" si="6"/>
        <v>0.14431257948977472</v>
      </c>
      <c r="AT19" s="1"/>
      <c r="AU19" s="1"/>
      <c r="AV19" s="1"/>
      <c r="AW19" s="1"/>
      <c r="AX19" s="1"/>
      <c r="AY19" s="1"/>
      <c r="AZ19" s="1"/>
      <c r="BA19" s="1"/>
      <c r="BB19" s="1"/>
      <c r="BC19" s="1"/>
      <c r="BD19" s="1"/>
      <c r="BE19" s="1"/>
      <c r="BF19" s="1"/>
      <c r="BG19" s="1"/>
      <c r="BH19" s="1"/>
      <c r="BI19" s="1"/>
      <c r="BJ19" s="1"/>
      <c r="BK19" s="1"/>
      <c r="BL19" s="1"/>
      <c r="BM19" s="1"/>
      <c r="BN19" s="1"/>
    </row>
    <row r="20" spans="1:66" x14ac:dyDescent="0.3">
      <c r="A20" s="1"/>
      <c r="B20" s="28">
        <v>9</v>
      </c>
      <c r="C20" s="129">
        <f>'[108]2. Distributional by deciles o'!B72</f>
        <v>465206897.48640013</v>
      </c>
      <c r="D20" s="129">
        <f>'[108]2. Distributional by deciles o'!C72</f>
        <v>452433052.35720026</v>
      </c>
      <c r="E20" s="129">
        <f>'[108]2. Distributional by deciles o'!D72</f>
        <v>523328112.24120015</v>
      </c>
      <c r="F20" s="129">
        <f>'[108]2. Distributional by deciles o'!E72</f>
        <v>567163947.96239924</v>
      </c>
      <c r="G20" s="129">
        <f>'[108]2. Distributional by deciles o'!F72</f>
        <v>571821638.32559955</v>
      </c>
      <c r="H20" s="129">
        <f>'[108]2. Distributional by deciles o'!H72</f>
        <v>720950564.63399971</v>
      </c>
      <c r="I20" s="129">
        <f>'[108]2. Distributional by deciles o'!I72</f>
        <v>621234920.28719926</v>
      </c>
      <c r="J20" s="129">
        <f>'[108]2. Distributional by deciles o'!J72</f>
        <v>654240936.20639932</v>
      </c>
      <c r="K20" s="129">
        <f>'[108]2. Distributional by deciles o'!K72</f>
        <v>624489758.27640021</v>
      </c>
      <c r="L20" s="139"/>
      <c r="M20" s="139"/>
      <c r="N20" s="139"/>
      <c r="O20" s="139"/>
      <c r="P20" s="129">
        <f>'[108]2. Distributional by deciles o'!B90</f>
        <v>5208798457.5179987</v>
      </c>
      <c r="Q20" s="129">
        <f>'[108]2. Distributional by deciles o'!C90</f>
        <v>5390241214.0031996</v>
      </c>
      <c r="R20" s="129">
        <f>'[108]2. Distributional by deciles o'!D90</f>
        <v>5779264304.2271957</v>
      </c>
      <c r="S20" s="129">
        <f>'[108]2. Distributional by deciles o'!E90</f>
        <v>6204725984.7659988</v>
      </c>
      <c r="T20" s="129">
        <f>'[108]2. Distributional by deciles o'!F90</f>
        <v>6846473249.9771976</v>
      </c>
      <c r="U20" s="209">
        <f t="shared" si="0"/>
        <v>0.31440548253417244</v>
      </c>
      <c r="V20" s="139"/>
      <c r="W20" s="209"/>
      <c r="X20" s="132"/>
      <c r="Y20" s="132"/>
      <c r="Z20" s="132"/>
      <c r="AA20" s="132"/>
      <c r="AB20" s="132"/>
      <c r="AC20" s="132"/>
      <c r="AD20" s="132"/>
      <c r="AE20" s="139"/>
      <c r="AF20" s="139"/>
      <c r="AG20" s="139"/>
      <c r="AH20" s="139"/>
      <c r="AI20" s="139"/>
      <c r="AJ20" s="139"/>
      <c r="AK20" s="408">
        <f>'[108]2. Distributional by deciles o'!L72</f>
        <v>624494539.1184001</v>
      </c>
      <c r="AL20" s="1"/>
      <c r="AM20" s="32" cm="1">
        <f t="array" aca="1" ref="AM20" ca="1">INDIRECT("'1"&amp;$C$8&amp;"'!W20")</f>
        <v>1.749012331923264</v>
      </c>
      <c r="AN20" s="524">
        <f t="shared" ca="1" si="2"/>
        <v>721023735.9930625</v>
      </c>
      <c r="AO20" s="524">
        <f t="shared" ca="1" si="1"/>
        <v>722300160.13899493</v>
      </c>
      <c r="AP20" s="524">
        <f t="shared" ca="1" si="3"/>
        <v>690057359.38619351</v>
      </c>
      <c r="AQ20" s="525">
        <f t="shared" si="4"/>
        <v>0.31440548253417244</v>
      </c>
      <c r="AR20" s="526">
        <f>U20-AP31*AS21/SUM(AS19:AS20)</f>
        <v>0.27634700821226416</v>
      </c>
      <c r="AS20" s="41">
        <f t="shared" si="6"/>
        <v>0.17454705608526452</v>
      </c>
      <c r="AT20" s="1"/>
      <c r="AU20" s="1"/>
      <c r="AV20" s="1"/>
      <c r="AW20" s="1"/>
      <c r="AX20" s="1"/>
      <c r="AY20" s="1"/>
      <c r="AZ20" s="1"/>
      <c r="BA20" s="1"/>
      <c r="BB20" s="1"/>
      <c r="BC20" s="1"/>
      <c r="BD20" s="1"/>
      <c r="BE20" s="1"/>
      <c r="BF20" s="1"/>
      <c r="BG20" s="1"/>
      <c r="BH20" s="1"/>
      <c r="BI20" s="1"/>
      <c r="BJ20" s="1"/>
      <c r="BK20" s="1"/>
      <c r="BL20" s="1"/>
      <c r="BM20" s="1"/>
      <c r="BN20" s="1"/>
    </row>
    <row r="21" spans="1:66" x14ac:dyDescent="0.3">
      <c r="A21" s="1"/>
      <c r="B21" s="33">
        <v>10</v>
      </c>
      <c r="C21" s="129">
        <f>'[108]2. Distributional by deciles o'!B73</f>
        <v>765091211.72039998</v>
      </c>
      <c r="D21" s="129">
        <f>'[108]2. Distributional by deciles o'!C73</f>
        <v>768541795.40039945</v>
      </c>
      <c r="E21" s="129">
        <f>'[108]2. Distributional by deciles o'!D73</f>
        <v>894044502.99000013</v>
      </c>
      <c r="F21" s="129">
        <f>'[108]2. Distributional by deciles o'!E73</f>
        <v>980813005.32240093</v>
      </c>
      <c r="G21" s="129">
        <f>'[108]2. Distributional by deciles o'!F73</f>
        <v>1051670500.0631995</v>
      </c>
      <c r="H21" s="129">
        <f>'[108]2. Distributional by deciles o'!H73</f>
        <v>1139200245.9143991</v>
      </c>
      <c r="I21" s="129">
        <f>'[108]2. Distributional by deciles o'!I73</f>
        <v>1011989520.3851995</v>
      </c>
      <c r="J21" s="129">
        <f>'[108]2. Distributional by deciles o'!J73</f>
        <v>1052971667.8775997</v>
      </c>
      <c r="K21" s="129">
        <f>'[108]2. Distributional by deciles o'!K73</f>
        <v>1015991884.9907992</v>
      </c>
      <c r="L21" s="139"/>
      <c r="M21" s="139"/>
      <c r="N21" s="139"/>
      <c r="O21" s="139"/>
      <c r="P21" s="129">
        <f>'[108]2. Distributional by deciles o'!B91</f>
        <v>7242790792.6836052</v>
      </c>
      <c r="Q21" s="129">
        <f>'[108]2. Distributional by deciles o'!C91</f>
        <v>7491280771.1316051</v>
      </c>
      <c r="R21" s="129">
        <f>'[108]2. Distributional by deciles o'!D91</f>
        <v>8042281367.4515972</v>
      </c>
      <c r="S21" s="129">
        <f>'[108]2. Distributional by deciles o'!E91</f>
        <v>8634702125.7731953</v>
      </c>
      <c r="T21" s="129">
        <f>'[108]2. Distributional by deciles o'!F91</f>
        <v>9527342774.599205</v>
      </c>
      <c r="U21" s="209">
        <f t="shared" si="0"/>
        <v>0.31542426770401377</v>
      </c>
      <c r="V21" s="139"/>
      <c r="W21" s="209"/>
      <c r="X21" s="132"/>
      <c r="Y21" s="132"/>
      <c r="Z21" s="132"/>
      <c r="AA21" s="132"/>
      <c r="AB21" s="132"/>
      <c r="AC21" s="132"/>
      <c r="AD21" s="132"/>
      <c r="AE21" s="139"/>
      <c r="AF21" s="139"/>
      <c r="AG21" s="139"/>
      <c r="AH21" s="139"/>
      <c r="AI21" s="139"/>
      <c r="AJ21" s="139"/>
      <c r="AK21" s="408">
        <f>'[108]2. Distributional by deciles o'!L73</f>
        <v>1122045408.9971988</v>
      </c>
      <c r="AL21" s="1"/>
      <c r="AM21" s="32" cm="1">
        <f t="array" aca="1" ref="AM21" ca="1">INDIRECT("'1"&amp;$C$8&amp;"'!W21")</f>
        <v>1.5309326061675268</v>
      </c>
      <c r="AN21" s="524">
        <f t="shared" ca="1" si="2"/>
        <v>1134548628.8452272</v>
      </c>
      <c r="AO21" s="524">
        <f t="shared" ca="1" si="1"/>
        <v>1135192813.88866</v>
      </c>
      <c r="AP21" s="524">
        <f t="shared" ca="1" si="3"/>
        <v>1193113782.9809766</v>
      </c>
      <c r="AQ21" s="525">
        <f t="shared" si="4"/>
        <v>0.31542426770401377</v>
      </c>
      <c r="AR21" s="527">
        <f>U21+AP31</f>
        <v>0.36542426770401376</v>
      </c>
      <c r="AS21" s="41">
        <f t="shared" si="6"/>
        <v>0.24270622505651332</v>
      </c>
      <c r="AT21" s="1"/>
      <c r="AU21" s="1"/>
      <c r="AV21" s="1"/>
      <c r="AW21" s="1"/>
      <c r="AX21" s="1"/>
      <c r="AY21" s="1"/>
      <c r="AZ21" s="1"/>
      <c r="BA21" s="1"/>
      <c r="BB21" s="1"/>
      <c r="BC21" s="1"/>
      <c r="BD21" s="1"/>
      <c r="BE21" s="1"/>
      <c r="BF21" s="1"/>
      <c r="BG21" s="1"/>
      <c r="BH21" s="1"/>
      <c r="BI21" s="1"/>
      <c r="BJ21" s="1"/>
      <c r="BK21" s="1"/>
      <c r="BL21" s="1"/>
      <c r="BM21" s="1"/>
      <c r="BN21" s="1"/>
    </row>
    <row r="22" spans="1:66" ht="13.2" customHeight="1" x14ac:dyDescent="0.3">
      <c r="A22" s="1"/>
      <c r="B22" s="34" t="s">
        <v>114</v>
      </c>
      <c r="C22" s="427">
        <f>'[108]2. Distributional by deciles o'!B74</f>
        <v>2385431285.8175964</v>
      </c>
      <c r="D22" s="427">
        <f>'[108]2. Distributional by deciles o'!C74</f>
        <v>2306337383.3724022</v>
      </c>
      <c r="E22" s="427">
        <f>'[108]2. Distributional by deciles o'!D74</f>
        <v>2666065781.6615973</v>
      </c>
      <c r="F22" s="427">
        <f>'[108]2. Distributional by deciles o'!E74</f>
        <v>2866182123.9359984</v>
      </c>
      <c r="G22" s="427">
        <f>'[108]2. Distributional by deciles o'!F74</f>
        <v>2880682530.8244047</v>
      </c>
      <c r="H22" s="427">
        <f>'[108]2. Distributional by deciles o'!H74</f>
        <v>3808305981.2184029</v>
      </c>
      <c r="I22" s="427">
        <f>'[108]2. Distributional by deciles o'!I74</f>
        <v>3224727887.5020061</v>
      </c>
      <c r="J22" s="427">
        <f>'[108]2. Distributional by deciles o'!J74</f>
        <v>3416062039.6716003</v>
      </c>
      <c r="K22" s="427">
        <f>'[108]2. Distributional by deciles o'!K74</f>
        <v>3243485951.4059896</v>
      </c>
      <c r="L22" s="139"/>
      <c r="M22" s="139"/>
      <c r="N22" s="139"/>
      <c r="O22" s="139"/>
      <c r="P22" s="427">
        <f>'[108]2. Distributional by deciles o'!B92</f>
        <v>29841800683.098038</v>
      </c>
      <c r="Q22" s="427">
        <f>'[108]2. Distributional by deciles o'!C92</f>
        <v>30826609096.745987</v>
      </c>
      <c r="R22" s="427">
        <f>'[108]2. Distributional by deciles o'!D92</f>
        <v>33106115174.955608</v>
      </c>
      <c r="S22" s="427">
        <f>'[108]2. Distributional by deciles o'!E92</f>
        <v>35590274160.449959</v>
      </c>
      <c r="T22" s="427">
        <f>'[108]2. Distributional by deciles o'!F92</f>
        <v>39271040994.495689</v>
      </c>
      <c r="U22" s="210">
        <f t="shared" si="0"/>
        <v>0.31597424068106705</v>
      </c>
      <c r="V22" s="139"/>
      <c r="W22" s="210"/>
      <c r="X22" s="154"/>
      <c r="Y22" s="154"/>
      <c r="Z22" s="154"/>
      <c r="AA22" s="154"/>
      <c r="AB22" s="154"/>
      <c r="AC22" s="154"/>
      <c r="AD22" s="154"/>
      <c r="AE22" s="161"/>
      <c r="AF22" s="161"/>
      <c r="AG22" s="161"/>
      <c r="AH22" s="161"/>
      <c r="AI22" s="162"/>
      <c r="AJ22" s="162"/>
      <c r="AK22" s="408">
        <f>'[108]2. Distributional by deciles o'!L74</f>
        <v>3149642349.7919979</v>
      </c>
      <c r="AL22" s="1"/>
      <c r="AM22" s="534" cm="1">
        <f t="array" aca="1" ref="AM22" ca="1">INDIRECT("'1"&amp;$C$8&amp;"'!W22")</f>
        <v>1.8516723283112846</v>
      </c>
      <c r="AN22" s="528">
        <f ca="1">SUM(AN12:AN21)</f>
        <v>3779823747.7205215</v>
      </c>
      <c r="AO22" s="528">
        <f ca="1">SUM(AO12:AO21)</f>
        <v>3781099744.0965242</v>
      </c>
      <c r="AP22" s="528">
        <f ca="1">SUM(AP12:AP21)</f>
        <v>3782543473.9856277</v>
      </c>
      <c r="AQ22" s="529">
        <f>SUMPRODUCT(AQ12:AQ21,AS12:AS21)</f>
        <v>0.31597424068106539</v>
      </c>
      <c r="AR22" s="529">
        <f>SUMPRODUCT(AR12:AR21,AS12:AS21)</f>
        <v>0.31597424068106539</v>
      </c>
      <c r="AS22" s="530"/>
      <c r="AT22" s="1"/>
      <c r="AU22" s="1"/>
      <c r="AV22" s="1"/>
      <c r="AW22" s="1"/>
      <c r="AX22" s="1"/>
      <c r="AY22" s="1"/>
      <c r="AZ22" s="1"/>
      <c r="BA22" s="1"/>
      <c r="BB22" s="1"/>
      <c r="BC22" s="1"/>
      <c r="BD22" s="1"/>
      <c r="BE22" s="1"/>
      <c r="BF22" s="1"/>
      <c r="BG22" s="1"/>
      <c r="BH22" s="1"/>
      <c r="BI22" s="1"/>
      <c r="BJ22" s="1"/>
      <c r="BK22" s="1"/>
      <c r="BL22" s="1"/>
      <c r="BM22" s="1"/>
      <c r="BN22" s="1"/>
    </row>
    <row r="23" spans="1:66" ht="12.6" customHeight="1" x14ac:dyDescent="0.3">
      <c r="A23" s="1"/>
      <c r="B23" s="1"/>
      <c r="C23" s="1"/>
      <c r="D23" s="1"/>
      <c r="E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531"/>
      <c r="AO23" s="531"/>
      <c r="AP23" s="1"/>
      <c r="AQ23" s="1"/>
      <c r="AR23" s="525">
        <f>U22</f>
        <v>0.31597424068106705</v>
      </c>
      <c r="AS23" s="1"/>
      <c r="AT23" s="1"/>
      <c r="AU23" s="1"/>
      <c r="AV23" s="1"/>
      <c r="AW23" s="1"/>
      <c r="AX23" s="1"/>
      <c r="AY23" s="1"/>
      <c r="AZ23" s="1"/>
      <c r="BA23" s="1"/>
      <c r="BB23" s="1"/>
      <c r="BC23" s="1"/>
      <c r="BD23" s="1"/>
      <c r="BE23" s="1"/>
      <c r="BF23" s="1"/>
      <c r="BG23" s="1"/>
      <c r="BH23" s="1"/>
      <c r="BI23" s="1"/>
      <c r="BJ23" s="1"/>
      <c r="BK23" s="1"/>
      <c r="BL23" s="1"/>
      <c r="BM23" s="1"/>
      <c r="BN23" s="1"/>
    </row>
    <row r="24" spans="1:66" ht="13.95" customHeight="1" x14ac:dyDescent="0.3">
      <c r="A24" s="1"/>
      <c r="B24" s="1"/>
      <c r="C24" s="1"/>
      <c r="D24" s="1"/>
      <c r="E24" s="1"/>
      <c r="F24" s="1"/>
      <c r="G24" s="11" t="s">
        <v>151</v>
      </c>
      <c r="H24" s="212">
        <f>U22</f>
        <v>0.31597424068106705</v>
      </c>
      <c r="I24" s="1"/>
      <c r="J24" s="1"/>
      <c r="K24" s="11" t="s">
        <v>151</v>
      </c>
      <c r="L24" s="212"/>
      <c r="M24" s="1"/>
      <c r="O24" s="1"/>
      <c r="P24" s="1"/>
      <c r="Q24" s="1"/>
      <c r="R24" s="1"/>
      <c r="S24" s="1"/>
      <c r="T24" s="1"/>
      <c r="U24" s="1"/>
      <c r="V24" s="1"/>
      <c r="W24" s="1"/>
      <c r="X24" s="1"/>
      <c r="Y24" s="55"/>
      <c r="Z24" s="55"/>
      <c r="AA24" s="55"/>
      <c r="AB24" s="55"/>
      <c r="AC24" s="55"/>
      <c r="AD24" s="55"/>
      <c r="AE24" s="55"/>
      <c r="AF24" s="55"/>
      <c r="AG24" s="55"/>
      <c r="AH24" s="1"/>
      <c r="AI24" s="1"/>
      <c r="AJ24" s="1"/>
      <c r="AK24" s="1"/>
      <c r="AL24" s="1"/>
      <c r="AM24" s="1"/>
      <c r="AN24" s="531">
        <f ca="1">AN22/G22-1</f>
        <v>0.31212784028609941</v>
      </c>
      <c r="AO24" s="531"/>
      <c r="AP24" s="1"/>
      <c r="AQ24" s="1"/>
      <c r="AR24" s="532" t="str">
        <f>IF(AR23-AR22&lt;0.0000000001,"ok","wrong")</f>
        <v>ok</v>
      </c>
      <c r="AS24" s="1"/>
      <c r="AT24" s="1"/>
      <c r="AU24" s="1"/>
      <c r="AV24" s="1"/>
      <c r="AW24" s="1"/>
      <c r="AX24" s="1"/>
      <c r="AY24" s="1"/>
      <c r="AZ24" s="1"/>
      <c r="BA24" s="1"/>
      <c r="BB24" s="1"/>
      <c r="BC24" s="1"/>
      <c r="BD24" s="1"/>
      <c r="BE24" s="1"/>
      <c r="BF24" s="1"/>
      <c r="BG24" s="1"/>
      <c r="BH24" s="1"/>
      <c r="BI24" s="1"/>
      <c r="BJ24" s="1"/>
      <c r="BK24" s="1"/>
      <c r="BL24" s="1"/>
      <c r="BM24" s="1"/>
      <c r="BN24" s="1"/>
    </row>
    <row r="25" spans="1:66" ht="13.95" customHeight="1" x14ac:dyDescent="0.3">
      <c r="A25" s="1"/>
      <c r="B25" s="1"/>
      <c r="C25" s="1"/>
      <c r="D25" s="1"/>
      <c r="E25" s="1"/>
      <c r="F25" s="1"/>
      <c r="G25" s="11" t="s">
        <v>152</v>
      </c>
      <c r="H25" s="213">
        <v>0.2087</v>
      </c>
      <c r="I25" s="1"/>
      <c r="J25" s="1"/>
      <c r="K25" s="11" t="s">
        <v>152</v>
      </c>
      <c r="L25" s="139"/>
      <c r="M25" s="1"/>
      <c r="N25" s="1"/>
      <c r="O25" s="1"/>
      <c r="P25" s="1"/>
      <c r="Q25" s="1"/>
      <c r="R25" s="1"/>
      <c r="S25" s="1"/>
      <c r="T25" s="1"/>
      <c r="U25" s="1"/>
      <c r="V25" s="1"/>
      <c r="W25" s="1"/>
      <c r="X25" s="1"/>
      <c r="Y25" s="55"/>
      <c r="Z25" s="55"/>
      <c r="AA25" s="55"/>
      <c r="AB25" s="55"/>
      <c r="AC25" s="55"/>
      <c r="AD25" s="55"/>
      <c r="AE25" s="55"/>
      <c r="AF25" s="55"/>
      <c r="AG25" s="55"/>
      <c r="AH25" s="1"/>
      <c r="AI25" s="1"/>
      <c r="AJ25" s="1"/>
      <c r="AK25" s="1"/>
      <c r="AL25" s="1"/>
      <c r="AM25" s="1"/>
      <c r="AN25" s="1"/>
      <c r="AO25" s="531"/>
      <c r="AP25" s="1"/>
      <c r="AQ25" s="1"/>
      <c r="AR25" s="532" t="str">
        <f>IF(AQ22-AR22&lt;0.0000000001,"ok","wrong")</f>
        <v>ok</v>
      </c>
      <c r="AS25" s="1"/>
      <c r="AT25" s="1"/>
      <c r="AU25" s="1"/>
      <c r="AV25" s="1"/>
      <c r="AW25" s="1"/>
      <c r="AX25" s="1"/>
      <c r="AY25" s="1"/>
      <c r="AZ25" s="1"/>
      <c r="BA25" s="1"/>
      <c r="BB25" s="1"/>
      <c r="BC25" s="1"/>
      <c r="BD25" s="1"/>
      <c r="BE25" s="1"/>
      <c r="BF25" s="1"/>
      <c r="BG25" s="1"/>
      <c r="BH25" s="1"/>
      <c r="BI25" s="1"/>
      <c r="BJ25" s="1"/>
      <c r="BK25" s="1"/>
      <c r="BL25" s="1"/>
      <c r="BM25" s="1"/>
      <c r="BN25" s="1"/>
    </row>
    <row r="26" spans="1:66" ht="13.95" customHeight="1" x14ac:dyDescent="0.3">
      <c r="A26" s="1"/>
      <c r="B26" s="1"/>
      <c r="C26" s="1"/>
      <c r="D26" s="1"/>
      <c r="E26" s="1"/>
      <c r="F26" s="1"/>
      <c r="G26" s="11" t="s">
        <v>153</v>
      </c>
      <c r="H26" s="213">
        <v>0.30530000000000002</v>
      </c>
      <c r="I26" s="1"/>
      <c r="J26" s="1"/>
      <c r="K26" s="11" t="s">
        <v>153</v>
      </c>
      <c r="L26" s="139"/>
      <c r="M26" s="1"/>
      <c r="N26" s="1"/>
      <c r="O26" s="1"/>
      <c r="P26" s="1"/>
      <c r="Q26" s="1"/>
      <c r="R26" s="1"/>
      <c r="S26" s="1"/>
      <c r="T26" s="1"/>
      <c r="U26" s="1"/>
      <c r="V26" s="1"/>
      <c r="W26" s="1"/>
      <c r="X26" s="1"/>
      <c r="Y26" s="55"/>
      <c r="Z26" s="55"/>
      <c r="AA26" s="55"/>
      <c r="AB26" s="55"/>
      <c r="AC26" s="55"/>
      <c r="AD26" s="55"/>
      <c r="AE26" s="55"/>
      <c r="AF26" s="55"/>
      <c r="AG26" s="55"/>
      <c r="AH26" s="1"/>
      <c r="AI26" s="1"/>
      <c r="AJ26" s="1"/>
      <c r="AK26" s="1"/>
      <c r="AL26" s="1"/>
      <c r="AM26" s="8" t="s">
        <v>571</v>
      </c>
      <c r="AN26" s="533"/>
      <c r="AO26" s="535">
        <f ca="1">AO22/$AN22-1</f>
        <v>3.3758091942037716E-4</v>
      </c>
      <c r="AP26" s="536">
        <f ca="1">AP22/$AN22-1</f>
        <v>7.1953785325207242E-4</v>
      </c>
      <c r="AQ26" s="1"/>
      <c r="AR26" s="1"/>
      <c r="AS26" s="1"/>
      <c r="AT26" s="1"/>
      <c r="AU26" s="1"/>
      <c r="AV26" s="1"/>
      <c r="AW26" s="1"/>
      <c r="AX26" s="1"/>
      <c r="AY26" s="1"/>
      <c r="AZ26" s="1"/>
      <c r="BA26" s="1"/>
      <c r="BB26" s="1"/>
      <c r="BC26" s="1"/>
      <c r="BD26" s="1"/>
      <c r="BE26" s="1"/>
      <c r="BF26" s="1"/>
      <c r="BG26" s="1"/>
      <c r="BH26" s="1"/>
      <c r="BI26" s="1"/>
      <c r="BJ26" s="1"/>
      <c r="BK26" s="1"/>
      <c r="BL26" s="1"/>
      <c r="BM26" s="1"/>
      <c r="BN26" s="1"/>
    </row>
    <row r="27" spans="1:66" ht="9" customHeight="1" x14ac:dyDescent="0.3">
      <c r="A27" s="1"/>
      <c r="B27" s="1"/>
      <c r="C27" s="1"/>
      <c r="D27" s="1"/>
      <c r="E27" s="1"/>
      <c r="F27" s="1"/>
      <c r="G27" s="1"/>
      <c r="H27" s="1"/>
      <c r="I27" s="1"/>
      <c r="J27" s="1"/>
      <c r="K27" s="1"/>
      <c r="L27" s="1"/>
      <c r="M27" s="1"/>
      <c r="N27" s="1"/>
      <c r="O27" s="1"/>
      <c r="P27" s="1"/>
      <c r="Q27" s="1"/>
      <c r="R27" s="1"/>
      <c r="S27" s="1"/>
      <c r="T27" s="55"/>
      <c r="U27" s="55"/>
      <c r="V27" s="55"/>
      <c r="W27" s="55"/>
      <c r="X27" s="55"/>
      <c r="Y27" s="55"/>
      <c r="Z27" s="55"/>
      <c r="AA27" s="55"/>
      <c r="AB27" s="55"/>
      <c r="AC27" s="55"/>
      <c r="AD27" s="55"/>
      <c r="AE27" s="55"/>
      <c r="AF27" s="55"/>
      <c r="AG27" s="55"/>
      <c r="AH27" s="1"/>
      <c r="AI27" s="1"/>
      <c r="AJ27" s="1"/>
      <c r="AK27" s="1"/>
      <c r="AL27" s="1"/>
      <c r="AM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row>
    <row r="28" spans="1:66" ht="12" customHeight="1" thickBot="1" x14ac:dyDescent="0.35">
      <c r="A28" s="214"/>
      <c r="B28" s="214"/>
      <c r="C28" s="214"/>
      <c r="D28" s="214"/>
      <c r="E28" s="214"/>
      <c r="F28" s="214"/>
      <c r="G28" s="214"/>
      <c r="H28" s="214"/>
      <c r="I28" s="214"/>
      <c r="J28" s="214"/>
      <c r="K28" s="214"/>
      <c r="L28" s="214"/>
      <c r="M28" s="214"/>
      <c r="N28" s="214"/>
      <c r="O28" s="214"/>
      <c r="P28" s="214"/>
      <c r="Q28" s="214"/>
      <c r="R28" s="214"/>
      <c r="S28" s="214"/>
      <c r="T28" s="215"/>
      <c r="U28" s="215"/>
      <c r="V28" s="215"/>
      <c r="W28" s="215"/>
      <c r="X28" s="215"/>
      <c r="Y28" s="215"/>
      <c r="Z28" s="215"/>
      <c r="AA28" s="214"/>
      <c r="AB28" s="214"/>
      <c r="AC28" s="214"/>
      <c r="AD28" s="214"/>
      <c r="AE28" s="214"/>
      <c r="AF28" s="214"/>
      <c r="AG28" s="214"/>
      <c r="AH28" s="214"/>
      <c r="AI28" s="214"/>
      <c r="AJ28" s="1"/>
      <c r="AK28" s="1"/>
      <c r="AL28" s="1"/>
      <c r="AM28" s="8" t="s">
        <v>572</v>
      </c>
      <c r="AN28" s="8"/>
      <c r="AO28" s="535">
        <f ca="1">(AO22-$AN22)/($W$37*1000000)</f>
        <v>1.5351641255018195E-3</v>
      </c>
      <c r="AP28" s="536">
        <f ca="1">(AP22-$AN22)/($W$37*1000000)</f>
        <v>3.2721301344565629E-3</v>
      </c>
      <c r="AQ28" s="1"/>
      <c r="AR28" s="1"/>
      <c r="AS28" s="1"/>
      <c r="AT28" s="1"/>
      <c r="AU28" s="1"/>
      <c r="AV28" s="1"/>
      <c r="AW28" s="1"/>
      <c r="AX28" s="1"/>
      <c r="AY28" s="1"/>
      <c r="AZ28" s="1"/>
      <c r="BA28" s="1"/>
      <c r="BB28" s="1"/>
      <c r="BC28" s="1"/>
      <c r="BD28" s="1"/>
      <c r="BE28" s="1"/>
      <c r="BF28" s="1"/>
      <c r="BG28" s="1"/>
      <c r="BH28" s="1"/>
      <c r="BI28" s="1"/>
      <c r="BJ28" s="1"/>
      <c r="BK28" s="1"/>
      <c r="BL28" s="1"/>
      <c r="BM28" s="1"/>
      <c r="BN28" s="1"/>
    </row>
    <row r="29" spans="1:66" ht="12" customHeight="1" thickBot="1" x14ac:dyDescent="0.35">
      <c r="A29" s="214"/>
      <c r="B29" s="216" t="s">
        <v>154</v>
      </c>
      <c r="C29" s="217"/>
      <c r="D29" s="217"/>
      <c r="E29" s="217"/>
      <c r="F29" s="217"/>
      <c r="G29" s="217"/>
      <c r="H29" s="217"/>
      <c r="I29" s="217"/>
      <c r="J29" s="217"/>
      <c r="K29" s="217"/>
      <c r="L29" s="217"/>
      <c r="M29" s="217"/>
      <c r="N29" s="217"/>
      <c r="O29" s="217"/>
      <c r="P29" s="217"/>
      <c r="Q29" s="217"/>
      <c r="R29" s="217"/>
      <c r="S29" s="217"/>
      <c r="T29" s="218"/>
      <c r="U29" s="218"/>
      <c r="V29" s="219"/>
      <c r="W29" s="215"/>
      <c r="X29" s="215"/>
      <c r="Y29" s="215"/>
      <c r="Z29" s="215"/>
      <c r="AA29" s="214"/>
      <c r="AB29" s="214"/>
      <c r="AC29" s="214"/>
      <c r="AD29" s="214"/>
      <c r="AE29" s="214"/>
      <c r="AF29" s="214"/>
      <c r="AG29" s="214"/>
      <c r="AH29" s="214"/>
      <c r="AI29" s="214"/>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row>
    <row r="30" spans="1:66" ht="21.6" customHeight="1" thickBot="1" x14ac:dyDescent="0.35">
      <c r="A30" s="214"/>
      <c r="B30" s="220"/>
      <c r="C30" s="214"/>
      <c r="D30" s="214"/>
      <c r="E30" s="214"/>
      <c r="F30" s="214"/>
      <c r="G30" s="214"/>
      <c r="H30" s="214"/>
      <c r="I30" s="214"/>
      <c r="J30" s="214"/>
      <c r="K30" s="214"/>
      <c r="L30" s="214"/>
      <c r="M30" s="214"/>
      <c r="N30" s="214"/>
      <c r="O30" s="214"/>
      <c r="P30" s="214"/>
      <c r="Q30" s="214"/>
      <c r="R30" s="214"/>
      <c r="S30" s="214"/>
      <c r="T30" s="214"/>
      <c r="U30" s="214"/>
      <c r="V30" s="214"/>
      <c r="W30" s="214"/>
      <c r="X30" s="214"/>
      <c r="Y30" s="214"/>
      <c r="Z30" s="214"/>
      <c r="AA30" s="214"/>
      <c r="AB30" s="214"/>
      <c r="AC30" s="216" t="s">
        <v>158</v>
      </c>
      <c r="AD30" s="221"/>
      <c r="AE30" s="214"/>
      <c r="AF30" s="214"/>
      <c r="AG30" s="214"/>
      <c r="AH30" s="214"/>
      <c r="AI30" s="214"/>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row>
    <row r="31" spans="1:66" ht="21" customHeight="1" thickBot="1" x14ac:dyDescent="0.35">
      <c r="A31" s="214"/>
      <c r="B31" s="216" t="s">
        <v>159</v>
      </c>
      <c r="C31" s="221"/>
      <c r="D31" s="223"/>
      <c r="E31" s="222" t="s">
        <v>160</v>
      </c>
      <c r="F31" s="222" t="s">
        <v>160</v>
      </c>
      <c r="G31" s="223"/>
      <c r="H31" s="224" t="s">
        <v>161</v>
      </c>
      <c r="I31" s="222"/>
      <c r="J31" s="222"/>
      <c r="K31" s="222"/>
      <c r="L31" s="222"/>
      <c r="M31" s="223"/>
      <c r="N31" s="216" t="s">
        <v>162</v>
      </c>
      <c r="O31" s="221"/>
      <c r="P31" s="222" t="s">
        <v>163</v>
      </c>
      <c r="Q31" s="222"/>
      <c r="R31" s="222"/>
      <c r="S31" s="223"/>
      <c r="T31" s="224" t="s">
        <v>164</v>
      </c>
      <c r="U31" s="222"/>
      <c r="V31" s="222"/>
      <c r="W31" s="223"/>
      <c r="X31" s="225" t="s">
        <v>165</v>
      </c>
      <c r="Y31" s="222"/>
      <c r="Z31" s="222"/>
      <c r="AA31" s="223"/>
      <c r="AB31" s="214"/>
      <c r="AC31" s="347" t="s">
        <v>163</v>
      </c>
      <c r="AD31" s="348"/>
      <c r="AE31" s="223"/>
      <c r="AF31" s="224" t="s">
        <v>164</v>
      </c>
      <c r="AG31" s="222"/>
      <c r="AH31" s="223"/>
      <c r="AI31" s="214"/>
      <c r="AJ31" s="1"/>
      <c r="AK31" s="1"/>
      <c r="AL31" s="1"/>
      <c r="AM31" s="1"/>
      <c r="AN31" s="1"/>
      <c r="AO31" s="8" t="s">
        <v>567</v>
      </c>
      <c r="AP31" s="10">
        <v>0.05</v>
      </c>
      <c r="AQ31" s="1"/>
      <c r="AR31" s="1"/>
      <c r="AS31" s="1"/>
      <c r="AT31" s="1"/>
      <c r="AU31" s="1"/>
      <c r="AV31" s="1"/>
      <c r="AW31" s="1"/>
      <c r="AX31" s="1"/>
      <c r="AY31" s="1"/>
      <c r="AZ31" s="1"/>
      <c r="BA31" s="1"/>
      <c r="BB31" s="1"/>
      <c r="BC31" s="1"/>
      <c r="BD31" s="1"/>
      <c r="BE31" s="1"/>
      <c r="BF31" s="1"/>
      <c r="BG31" s="1"/>
      <c r="BH31" s="1"/>
      <c r="BI31" s="1"/>
      <c r="BJ31" s="1"/>
      <c r="BK31" s="1"/>
      <c r="BL31" s="1"/>
      <c r="BM31" s="1"/>
      <c r="BN31" s="1"/>
    </row>
    <row r="32" spans="1:66" ht="51" customHeight="1" x14ac:dyDescent="0.3">
      <c r="A32" s="214"/>
      <c r="B32" s="226"/>
      <c r="C32" s="227" t="s">
        <v>166</v>
      </c>
      <c r="D32" s="228" t="s">
        <v>167</v>
      </c>
      <c r="E32" s="228" t="s">
        <v>168</v>
      </c>
      <c r="F32" s="410" t="s">
        <v>169</v>
      </c>
      <c r="G32" s="228" t="s">
        <v>170</v>
      </c>
      <c r="H32" s="228" t="s">
        <v>171</v>
      </c>
      <c r="I32" s="229" t="s">
        <v>172</v>
      </c>
      <c r="J32" s="229" t="s">
        <v>173</v>
      </c>
      <c r="K32" s="230" t="s">
        <v>174</v>
      </c>
      <c r="L32" s="229" t="s">
        <v>175</v>
      </c>
      <c r="M32" s="411" t="s">
        <v>176</v>
      </c>
      <c r="N32" s="227"/>
      <c r="O32" s="227" t="s">
        <v>177</v>
      </c>
      <c r="P32" s="231" t="s">
        <v>178</v>
      </c>
      <c r="Q32" s="231" t="s">
        <v>179</v>
      </c>
      <c r="R32" s="231" t="s">
        <v>180</v>
      </c>
      <c r="S32" s="231" t="s">
        <v>181</v>
      </c>
      <c r="T32" s="231" t="s">
        <v>182</v>
      </c>
      <c r="U32" s="231" t="s">
        <v>183</v>
      </c>
      <c r="V32" s="231" t="s">
        <v>184</v>
      </c>
      <c r="W32" s="231" t="s">
        <v>185</v>
      </c>
      <c r="X32" s="231" t="s">
        <v>186</v>
      </c>
      <c r="Y32" s="231" t="s">
        <v>187</v>
      </c>
      <c r="Z32" s="231" t="s">
        <v>188</v>
      </c>
      <c r="AA32" s="231" t="s">
        <v>189</v>
      </c>
      <c r="AB32" s="214"/>
      <c r="AC32" s="231" t="s">
        <v>178</v>
      </c>
      <c r="AD32" s="231" t="s">
        <v>179</v>
      </c>
      <c r="AE32" s="231" t="s">
        <v>180</v>
      </c>
      <c r="AF32" s="231" t="s">
        <v>182</v>
      </c>
      <c r="AG32" s="231" t="s">
        <v>183</v>
      </c>
      <c r="AH32" s="231" t="s">
        <v>184</v>
      </c>
      <c r="AI32" s="214"/>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row>
    <row r="33" spans="1:66" ht="15.6" customHeight="1" x14ac:dyDescent="0.3">
      <c r="A33" s="214"/>
      <c r="B33" s="232">
        <v>2019</v>
      </c>
      <c r="C33" s="233">
        <f>C22</f>
        <v>2385431285.8175964</v>
      </c>
      <c r="D33" s="146">
        <v>94547.483999999997</v>
      </c>
      <c r="E33" s="259">
        <f>(F33/1000000/D33)*100</f>
        <v>3.737487081094617</v>
      </c>
      <c r="F33" s="146">
        <v>3533700000</v>
      </c>
      <c r="G33" s="234">
        <f>F33/C33</f>
        <v>1.4813673405766703</v>
      </c>
      <c r="H33" s="235">
        <f>C33*G33</f>
        <v>3533700000</v>
      </c>
      <c r="I33" s="235" t="s">
        <v>113</v>
      </c>
      <c r="J33" s="235" t="s">
        <v>113</v>
      </c>
      <c r="K33" s="235" t="s">
        <v>113</v>
      </c>
      <c r="L33" s="235" t="s">
        <v>113</v>
      </c>
      <c r="M33" s="214"/>
      <c r="N33" s="232">
        <v>2019</v>
      </c>
      <c r="O33" s="236">
        <f>G33</f>
        <v>1.4813673405766703</v>
      </c>
      <c r="P33" s="237"/>
      <c r="Q33" s="237"/>
      <c r="R33" s="237"/>
      <c r="S33" s="237"/>
      <c r="T33" s="237"/>
      <c r="U33" s="237"/>
      <c r="V33" s="238"/>
      <c r="W33" s="238"/>
      <c r="X33" s="238"/>
      <c r="Y33" s="238"/>
      <c r="Z33" s="238"/>
      <c r="AA33" s="238"/>
      <c r="AB33" s="214"/>
      <c r="AC33" s="237"/>
      <c r="AD33" s="237"/>
      <c r="AE33" s="237"/>
      <c r="AF33" s="237"/>
      <c r="AG33" s="237"/>
      <c r="AH33" s="238"/>
      <c r="AI33" s="214"/>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row>
    <row r="34" spans="1:66" s="51" customFormat="1" ht="15.6" customHeight="1" x14ac:dyDescent="0.3">
      <c r="A34" s="239"/>
      <c r="B34" s="240">
        <v>2020</v>
      </c>
      <c r="C34" s="241">
        <f>D22</f>
        <v>2306337383.3724022</v>
      </c>
      <c r="D34" s="146">
        <v>94320.582999999999</v>
      </c>
      <c r="E34" s="259">
        <f t="shared" ref="E34:E36" si="7">(F34/1000000/D34)*100</f>
        <v>3.7107489040859725</v>
      </c>
      <c r="F34" s="146">
        <v>3500000000</v>
      </c>
      <c r="G34" s="234">
        <f>F34/C34</f>
        <v>1.5175576761810039</v>
      </c>
      <c r="H34" s="242">
        <f>C34*G34</f>
        <v>3500000000</v>
      </c>
      <c r="I34" s="243"/>
      <c r="J34" s="243"/>
      <c r="K34" s="243"/>
      <c r="L34" s="243"/>
      <c r="M34" s="214"/>
      <c r="N34" s="240">
        <v>2020</v>
      </c>
      <c r="O34" s="244"/>
      <c r="P34" s="245"/>
      <c r="Q34" s="245"/>
      <c r="R34" s="245"/>
      <c r="S34" s="245"/>
      <c r="T34" s="245"/>
      <c r="U34" s="245"/>
      <c r="V34" s="245"/>
      <c r="W34" s="245"/>
      <c r="X34" s="245"/>
      <c r="Y34" s="245"/>
      <c r="Z34" s="245"/>
      <c r="AA34" s="245"/>
      <c r="AB34" s="239"/>
      <c r="AC34" s="245"/>
      <c r="AD34" s="245"/>
      <c r="AE34" s="245"/>
      <c r="AF34" s="245"/>
      <c r="AG34" s="245"/>
      <c r="AH34" s="245"/>
      <c r="AI34" s="239"/>
      <c r="AJ34" s="47"/>
      <c r="AK34" s="47"/>
      <c r="AL34" s="47"/>
      <c r="AM34" s="47"/>
      <c r="AN34" s="47"/>
      <c r="AO34" s="47"/>
      <c r="AP34" s="47"/>
      <c r="AQ34" s="47"/>
      <c r="AR34" s="47"/>
      <c r="AS34" s="47"/>
      <c r="AT34" s="47"/>
      <c r="AU34" s="47"/>
      <c r="AV34" s="47"/>
      <c r="AW34" s="47"/>
      <c r="AX34" s="47"/>
      <c r="AY34" s="47"/>
      <c r="AZ34" s="47"/>
      <c r="BA34" s="47"/>
      <c r="BB34" s="47"/>
      <c r="BC34" s="47"/>
      <c r="BD34" s="47"/>
      <c r="BE34" s="47"/>
      <c r="BF34" s="47"/>
      <c r="BG34" s="47"/>
      <c r="BH34" s="47"/>
      <c r="BI34" s="47"/>
      <c r="BJ34" s="47"/>
      <c r="BK34" s="47"/>
      <c r="BL34" s="47"/>
      <c r="BM34" s="47"/>
      <c r="BN34" s="47"/>
    </row>
    <row r="35" spans="1:66" ht="15.6" customHeight="1" x14ac:dyDescent="0.3">
      <c r="A35" s="214"/>
      <c r="B35" s="232">
        <v>2021</v>
      </c>
      <c r="C35" s="241">
        <f>E22</f>
        <v>2666065781.6615973</v>
      </c>
      <c r="D35" s="146">
        <v>101960.012</v>
      </c>
      <c r="E35" s="259">
        <f t="shared" si="7"/>
        <v>3.6874260077568444</v>
      </c>
      <c r="F35" s="146">
        <v>3759699999.9999995</v>
      </c>
      <c r="G35" s="234">
        <f>F35/C35</f>
        <v>1.4102052641989975</v>
      </c>
      <c r="H35" s="242">
        <f>C35*G35</f>
        <v>3759699999.9999995</v>
      </c>
      <c r="I35" s="243"/>
      <c r="J35" s="243"/>
      <c r="K35" s="243"/>
      <c r="L35" s="243"/>
      <c r="M35" s="214"/>
      <c r="N35" s="232">
        <v>2021</v>
      </c>
      <c r="O35" s="244"/>
      <c r="P35" s="246"/>
      <c r="Q35" s="246"/>
      <c r="R35" s="246"/>
      <c r="S35" s="246"/>
      <c r="T35" s="246"/>
      <c r="U35" s="246"/>
      <c r="V35" s="247"/>
      <c r="W35" s="247"/>
      <c r="X35" s="247"/>
      <c r="Y35" s="247"/>
      <c r="Z35" s="247"/>
      <c r="AA35" s="247"/>
      <c r="AB35" s="214"/>
      <c r="AC35" s="246"/>
      <c r="AD35" s="246"/>
      <c r="AE35" s="246"/>
      <c r="AF35" s="246"/>
      <c r="AG35" s="246"/>
      <c r="AH35" s="247"/>
      <c r="AI35" s="214"/>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row>
    <row r="36" spans="1:66" ht="15.6" customHeight="1" x14ac:dyDescent="0.3">
      <c r="A36" s="214"/>
      <c r="B36" s="240">
        <v>2022</v>
      </c>
      <c r="C36" s="248">
        <f>F22</f>
        <v>2866182123.9359984</v>
      </c>
      <c r="D36" s="146">
        <v>110088.567</v>
      </c>
      <c r="E36" s="259">
        <f t="shared" si="7"/>
        <v>3.7478006231110266</v>
      </c>
      <c r="F36" s="146">
        <v>4125899999.9999995</v>
      </c>
      <c r="G36" s="234">
        <f>F36/C36</f>
        <v>1.4395107573743735</v>
      </c>
      <c r="H36" s="242">
        <f>C36*G36</f>
        <v>4125899999.9999995</v>
      </c>
      <c r="I36" s="249"/>
      <c r="J36" s="249"/>
      <c r="K36" s="249"/>
      <c r="L36" s="249"/>
      <c r="M36" s="214"/>
      <c r="N36" s="240">
        <v>2022</v>
      </c>
      <c r="O36" s="250"/>
      <c r="P36" s="225"/>
      <c r="Q36" s="225"/>
      <c r="R36" s="225"/>
      <c r="S36" s="225"/>
      <c r="T36" s="225"/>
      <c r="U36" s="225"/>
      <c r="V36" s="225"/>
      <c r="W36" s="225"/>
      <c r="X36" s="225"/>
      <c r="Y36" s="225"/>
      <c r="Z36" s="225"/>
      <c r="AA36" s="225"/>
      <c r="AB36" s="214"/>
      <c r="AC36" s="225"/>
      <c r="AD36" s="225"/>
      <c r="AE36" s="225"/>
      <c r="AF36" s="225"/>
      <c r="AG36" s="225"/>
      <c r="AH36" s="225"/>
      <c r="AI36" s="214"/>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row>
    <row r="37" spans="1:66" ht="15.6" customHeight="1" x14ac:dyDescent="0.3">
      <c r="A37" s="214"/>
      <c r="B37" s="232">
        <v>2023</v>
      </c>
      <c r="C37" s="251">
        <f>G22</f>
        <v>2880682530.8244047</v>
      </c>
      <c r="D37" s="146">
        <v>122918.887</v>
      </c>
      <c r="E37" s="259">
        <f>(F37/1000000/D37)*100</f>
        <v>3.7930704660545773</v>
      </c>
      <c r="F37" s="146">
        <v>4662400000</v>
      </c>
      <c r="G37" s="234">
        <f>F37/C37</f>
        <v>1.6185053195242922</v>
      </c>
      <c r="H37" s="242">
        <f>C37*G37</f>
        <v>4662400000</v>
      </c>
      <c r="I37" s="235">
        <f>H22*$G37</f>
        <v>6163763488.9781647</v>
      </c>
      <c r="J37" s="235">
        <f>I22*$G37</f>
        <v>5219239239.9403305</v>
      </c>
      <c r="K37" s="235">
        <f>J22*$G37</f>
        <v>5528914583.0334892</v>
      </c>
      <c r="L37" s="235">
        <f>K22*$G37</f>
        <v>5249599266.1529045</v>
      </c>
      <c r="M37" s="412">
        <f>AK22*$G37</f>
        <v>5097712897.73734</v>
      </c>
      <c r="N37" s="232">
        <v>2023</v>
      </c>
      <c r="O37" s="252">
        <f>G37</f>
        <v>1.6185053195242922</v>
      </c>
      <c r="P37" s="253">
        <f>($H37-J37)/1000000</f>
        <v>-556.83923994033046</v>
      </c>
      <c r="Q37" s="253">
        <f>($H37-K37)/1000000</f>
        <v>-866.5145830334892</v>
      </c>
      <c r="R37" s="253">
        <f>($H37-L37)/1000000</f>
        <v>-587.19926615290456</v>
      </c>
      <c r="S37" s="253">
        <f>AVERAGE(P37:R37)</f>
        <v>-670.18436304224144</v>
      </c>
      <c r="T37" s="253">
        <f t="shared" ref="T37:V37" si="8">($I37-J37)/1000000</f>
        <v>944.52424903783412</v>
      </c>
      <c r="U37" s="253">
        <f t="shared" si="8"/>
        <v>634.84890594467549</v>
      </c>
      <c r="V37" s="253">
        <f t="shared" si="8"/>
        <v>914.16422282526014</v>
      </c>
      <c r="W37" s="253">
        <f>AVERAGE(T37:V37)</f>
        <v>831.17912593592337</v>
      </c>
      <c r="X37" s="254">
        <f>(T37-P37)/T37</f>
        <v>1.5895446734242877</v>
      </c>
      <c r="Y37" s="254">
        <f>(U37-Q37)/U37</f>
        <v>2.3649146669695962</v>
      </c>
      <c r="Z37" s="254">
        <f>(V37-R37)/V37</f>
        <v>1.6423345515952728</v>
      </c>
      <c r="AA37" s="254">
        <f>AVERAGE(X37:Z37)</f>
        <v>1.8655979639963853</v>
      </c>
      <c r="AB37" s="214"/>
      <c r="AC37" s="351">
        <f>P37/$D37</f>
        <v>-4.5301357141342355E-3</v>
      </c>
      <c r="AD37" s="351">
        <f>Q37/$D37</f>
        <v>-7.0494828271060505E-3</v>
      </c>
      <c r="AE37" s="351">
        <f>R37/$D37</f>
        <v>-4.7771280759555243E-3</v>
      </c>
      <c r="AF37" s="351">
        <f>T37/$D37</f>
        <v>7.6841262729448086E-3</v>
      </c>
      <c r="AG37" s="351">
        <f>U37/$D37</f>
        <v>5.1647791599729945E-3</v>
      </c>
      <c r="AH37" s="351">
        <f>V37/$D37</f>
        <v>7.4371339111235207E-3</v>
      </c>
      <c r="AI37" s="214"/>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row>
    <row r="38" spans="1:66" ht="15.6" customHeight="1" x14ac:dyDescent="0.3">
      <c r="A38" s="214"/>
      <c r="B38" s="240">
        <v>2024</v>
      </c>
      <c r="C38" s="255"/>
      <c r="D38" s="256"/>
      <c r="E38" s="256"/>
      <c r="F38" s="256"/>
      <c r="G38" s="257"/>
      <c r="H38" s="256"/>
      <c r="I38" s="249"/>
      <c r="J38" s="249"/>
      <c r="K38" s="249"/>
      <c r="L38" s="249"/>
      <c r="M38" s="214"/>
      <c r="N38" s="240">
        <v>2024</v>
      </c>
      <c r="O38" s="250"/>
      <c r="P38" s="225"/>
      <c r="Q38" s="225"/>
      <c r="R38" s="225"/>
      <c r="S38" s="225"/>
      <c r="T38" s="258"/>
      <c r="U38" s="258"/>
      <c r="V38" s="258"/>
      <c r="W38" s="258"/>
      <c r="X38" s="225"/>
      <c r="Y38" s="225"/>
      <c r="Z38" s="225"/>
      <c r="AA38" s="225"/>
      <c r="AB38" s="214"/>
      <c r="AC38" s="353"/>
      <c r="AD38" s="353"/>
      <c r="AE38" s="353"/>
      <c r="AF38" s="354"/>
      <c r="AG38" s="354"/>
      <c r="AH38" s="354"/>
      <c r="AI38" s="214"/>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row>
    <row r="39" spans="1:66" ht="15.6" customHeight="1" x14ac:dyDescent="0.3">
      <c r="A39" s="214"/>
      <c r="B39" s="232">
        <v>2025</v>
      </c>
      <c r="C39" s="255"/>
      <c r="D39" s="256"/>
      <c r="E39" s="256"/>
      <c r="F39" s="256"/>
      <c r="G39" s="257"/>
      <c r="H39" s="256"/>
      <c r="I39" s="249"/>
      <c r="J39" s="249"/>
      <c r="K39" s="249"/>
      <c r="L39" s="249"/>
      <c r="M39" s="214"/>
      <c r="N39" s="232">
        <v>2025</v>
      </c>
      <c r="O39" s="250"/>
      <c r="P39" s="225"/>
      <c r="Q39" s="225"/>
      <c r="R39" s="225"/>
      <c r="S39" s="225"/>
      <c r="T39" s="258"/>
      <c r="U39" s="258"/>
      <c r="V39" s="258"/>
      <c r="W39" s="258"/>
      <c r="X39" s="225"/>
      <c r="Y39" s="225"/>
      <c r="Z39" s="225"/>
      <c r="AA39" s="225"/>
      <c r="AB39" s="214"/>
      <c r="AC39" s="353"/>
      <c r="AD39" s="353"/>
      <c r="AE39" s="353"/>
      <c r="AF39" s="354"/>
      <c r="AG39" s="354"/>
      <c r="AH39" s="354"/>
      <c r="AI39" s="214"/>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row>
    <row r="40" spans="1:66" ht="15.6" customHeight="1" x14ac:dyDescent="0.3">
      <c r="A40" s="214"/>
      <c r="B40" s="240">
        <v>2026</v>
      </c>
      <c r="C40" s="251"/>
      <c r="D40" s="256"/>
      <c r="E40" s="256"/>
      <c r="F40" s="256"/>
      <c r="G40" s="259"/>
      <c r="H40" s="256"/>
      <c r="I40" s="235"/>
      <c r="J40" s="235"/>
      <c r="K40" s="235"/>
      <c r="L40" s="235"/>
      <c r="M40" s="214"/>
      <c r="N40" s="240">
        <v>2026</v>
      </c>
      <c r="O40" s="252"/>
      <c r="P40" s="225"/>
      <c r="Q40" s="225"/>
      <c r="R40" s="225"/>
      <c r="S40" s="225"/>
      <c r="T40" s="253"/>
      <c r="U40" s="253"/>
      <c r="V40" s="253"/>
      <c r="W40" s="253"/>
      <c r="X40" s="225"/>
      <c r="Y40" s="225"/>
      <c r="Z40" s="225"/>
      <c r="AA40" s="225"/>
      <c r="AB40" s="214"/>
      <c r="AC40" s="353"/>
      <c r="AD40" s="353"/>
      <c r="AE40" s="353"/>
      <c r="AF40" s="351"/>
      <c r="AG40" s="351"/>
      <c r="AH40" s="351"/>
      <c r="AI40" s="214"/>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row>
    <row r="41" spans="1:66" ht="12.6" customHeight="1" x14ac:dyDescent="0.3">
      <c r="A41" s="214"/>
      <c r="B41" s="214"/>
      <c r="C41" s="214"/>
      <c r="D41" s="214"/>
      <c r="E41" s="214"/>
      <c r="F41" s="214"/>
      <c r="G41" s="214"/>
      <c r="H41" s="214"/>
      <c r="I41" s="260"/>
      <c r="J41" s="214"/>
      <c r="K41" s="214"/>
      <c r="L41" s="214"/>
      <c r="M41" s="214"/>
      <c r="N41" s="214"/>
      <c r="O41" s="214"/>
      <c r="P41" s="214"/>
      <c r="Q41" s="214"/>
      <c r="R41" s="214"/>
      <c r="S41" s="214"/>
      <c r="T41" s="260"/>
      <c r="U41" s="214"/>
      <c r="V41" s="214"/>
      <c r="W41" s="214"/>
      <c r="X41" s="413" t="s">
        <v>190</v>
      </c>
      <c r="Y41" s="414"/>
      <c r="Z41" s="414"/>
      <c r="AA41" s="415"/>
      <c r="AB41" s="214"/>
      <c r="AC41" s="214"/>
      <c r="AD41" s="214"/>
      <c r="AE41" s="214"/>
      <c r="AF41" s="260"/>
      <c r="AG41" s="214"/>
      <c r="AH41" s="214"/>
      <c r="AI41" s="214"/>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row>
    <row r="42" spans="1:66" ht="12.6" customHeight="1" x14ac:dyDescent="0.3">
      <c r="A42" s="214"/>
      <c r="B42" s="214"/>
      <c r="C42" s="214"/>
      <c r="D42" s="214"/>
      <c r="E42" s="214"/>
      <c r="F42" s="214"/>
      <c r="G42" s="214"/>
      <c r="H42" s="214"/>
      <c r="I42" s="214"/>
      <c r="J42" s="214"/>
      <c r="K42" s="214"/>
      <c r="L42" s="214"/>
      <c r="M42" s="214"/>
      <c r="N42" s="214"/>
      <c r="O42" s="214"/>
      <c r="P42" s="214"/>
      <c r="Q42" s="214"/>
      <c r="R42" s="214"/>
      <c r="S42" s="214"/>
      <c r="T42" s="214"/>
      <c r="U42" s="214"/>
      <c r="V42" s="214"/>
      <c r="W42" s="416">
        <v>2023</v>
      </c>
      <c r="X42" s="417">
        <f>(($M37-$H37)/1000000)/T37</f>
        <v>0.46088059483997745</v>
      </c>
      <c r="Y42" s="417">
        <f t="shared" ref="Y42:Z42" si="9">(($M37-$H37)/1000000)/U37</f>
        <v>0.6856952790831079</v>
      </c>
      <c r="Z42" s="417">
        <f t="shared" si="9"/>
        <v>0.47618675820848527</v>
      </c>
      <c r="AA42" s="417">
        <f>AVERAGE(X42:Z42)</f>
        <v>0.54092087737719019</v>
      </c>
      <c r="AB42" s="214"/>
      <c r="AC42" s="214"/>
      <c r="AD42" s="214"/>
      <c r="AE42" s="214"/>
      <c r="AF42" s="214"/>
      <c r="AG42" s="214"/>
      <c r="AH42" s="214"/>
      <c r="AI42" s="214"/>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row>
    <row r="43" spans="1:66" ht="12.6" customHeight="1" thickBot="1" x14ac:dyDescent="0.35">
      <c r="A43" s="214"/>
      <c r="B43" s="214"/>
      <c r="C43" s="214"/>
      <c r="D43" s="214"/>
      <c r="E43" s="214"/>
      <c r="F43" s="214"/>
      <c r="G43" s="214"/>
      <c r="H43" s="214"/>
      <c r="I43" s="214"/>
      <c r="J43" s="214"/>
      <c r="K43" s="214"/>
      <c r="L43" s="214"/>
      <c r="M43" s="214"/>
      <c r="N43" s="214"/>
      <c r="O43" s="214"/>
      <c r="P43" s="214"/>
      <c r="Q43" s="214"/>
      <c r="R43" s="214"/>
      <c r="S43" s="214"/>
      <c r="T43" s="214"/>
      <c r="U43" s="214"/>
      <c r="V43" s="214"/>
      <c r="W43" s="214"/>
      <c r="X43" s="214"/>
      <c r="Y43" s="214"/>
      <c r="Z43" s="214"/>
      <c r="AA43" s="214"/>
      <c r="AB43" s="214"/>
      <c r="AC43" s="214"/>
      <c r="AD43" s="214"/>
      <c r="AE43" s="214"/>
      <c r="AF43" s="214"/>
      <c r="AG43" s="214"/>
      <c r="AH43" s="214"/>
      <c r="AI43" s="214"/>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row>
    <row r="44" spans="1:66" ht="18" customHeight="1" thickBot="1" x14ac:dyDescent="0.35">
      <c r="A44" s="214"/>
      <c r="B44" s="216" t="s">
        <v>191</v>
      </c>
      <c r="C44" s="221"/>
      <c r="D44" s="222" t="s">
        <v>160</v>
      </c>
      <c r="E44" s="223"/>
      <c r="F44" s="224" t="s">
        <v>161</v>
      </c>
      <c r="G44" s="222"/>
      <c r="H44" s="222"/>
      <c r="I44" s="222"/>
      <c r="J44" s="223"/>
      <c r="K44" s="214"/>
      <c r="L44" s="214"/>
      <c r="M44" s="214"/>
      <c r="N44" s="214"/>
      <c r="O44" s="214"/>
      <c r="P44" s="214"/>
      <c r="Q44" s="214"/>
      <c r="R44" s="214"/>
      <c r="S44" s="214"/>
      <c r="T44" s="214"/>
      <c r="U44" s="216" t="s">
        <v>192</v>
      </c>
      <c r="V44" s="221"/>
      <c r="W44" s="222" t="s">
        <v>160</v>
      </c>
      <c r="X44" s="223"/>
      <c r="Y44" s="224" t="s">
        <v>161</v>
      </c>
      <c r="Z44" s="222"/>
      <c r="AA44" s="222"/>
      <c r="AB44" s="222"/>
      <c r="AC44" s="223"/>
      <c r="AD44" s="214"/>
      <c r="AE44" s="214"/>
      <c r="AF44" s="214"/>
      <c r="AG44" s="214"/>
      <c r="AH44" s="214"/>
      <c r="AI44" s="214"/>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row>
    <row r="45" spans="1:66" ht="42" customHeight="1" x14ac:dyDescent="0.3">
      <c r="A45" s="214"/>
      <c r="B45" s="227"/>
      <c r="C45" s="231" t="s">
        <v>193</v>
      </c>
      <c r="D45" s="228" t="s">
        <v>194</v>
      </c>
      <c r="E45" s="228" t="s">
        <v>170</v>
      </c>
      <c r="F45" s="229" t="s">
        <v>195</v>
      </c>
      <c r="G45" s="229" t="s">
        <v>196</v>
      </c>
      <c r="H45" s="261" t="s">
        <v>197</v>
      </c>
      <c r="I45" s="261" t="s">
        <v>198</v>
      </c>
      <c r="J45" s="261" t="s">
        <v>199</v>
      </c>
      <c r="K45" s="411" t="s">
        <v>176</v>
      </c>
      <c r="L45" s="214"/>
      <c r="M45" s="214"/>
      <c r="N45" s="214"/>
      <c r="O45" s="214"/>
      <c r="P45" s="214"/>
      <c r="Q45" s="214"/>
      <c r="R45" s="214"/>
      <c r="S45" s="214"/>
      <c r="T45" s="214"/>
      <c r="U45" s="227"/>
      <c r="V45" s="231" t="s">
        <v>193</v>
      </c>
      <c r="W45" s="228" t="s">
        <v>194</v>
      </c>
      <c r="X45" s="228" t="s">
        <v>170</v>
      </c>
      <c r="Y45" s="229" t="s">
        <v>195</v>
      </c>
      <c r="Z45" s="229" t="s">
        <v>196</v>
      </c>
      <c r="AA45" s="261" t="s">
        <v>197</v>
      </c>
      <c r="AB45" s="261" t="s">
        <v>198</v>
      </c>
      <c r="AC45" s="261" t="s">
        <v>199</v>
      </c>
      <c r="AD45" s="214"/>
      <c r="AE45" s="214"/>
      <c r="AF45" s="214"/>
      <c r="AG45" s="214"/>
      <c r="AH45" s="214"/>
      <c r="AI45" s="214"/>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row>
    <row r="46" spans="1:66" ht="15" customHeight="1" x14ac:dyDescent="0.3">
      <c r="A46" s="214"/>
      <c r="B46" s="232">
        <v>2019</v>
      </c>
      <c r="C46" s="262">
        <f>C33/1000000</f>
        <v>2385.4312858175963</v>
      </c>
      <c r="D46" s="263">
        <f>F33/1000000</f>
        <v>3533.7</v>
      </c>
      <c r="E46" s="264"/>
      <c r="F46" s="262">
        <f>H33/1000000</f>
        <v>3533.7</v>
      </c>
      <c r="G46" s="264"/>
      <c r="H46" s="264"/>
      <c r="I46" s="264"/>
      <c r="J46" s="264"/>
      <c r="K46" s="214"/>
      <c r="L46" s="214"/>
      <c r="M46" s="214"/>
      <c r="N46" s="214"/>
      <c r="O46" s="214"/>
      <c r="P46" s="214"/>
      <c r="Q46" s="214"/>
      <c r="R46" s="214"/>
      <c r="S46" s="214"/>
      <c r="T46" s="214"/>
      <c r="U46" s="232">
        <v>2019</v>
      </c>
      <c r="V46" s="355">
        <f>C33/1000000/D33</f>
        <v>2.5229981644118594E-2</v>
      </c>
      <c r="W46" s="355">
        <f>F33/(D33*1000000)</f>
        <v>3.7374870810946169E-2</v>
      </c>
      <c r="X46" s="264"/>
      <c r="Y46" s="355">
        <f>H33/($D33*1000000)</f>
        <v>3.7374870810946169E-2</v>
      </c>
      <c r="Z46" s="355"/>
      <c r="AA46" s="355"/>
      <c r="AB46" s="355"/>
      <c r="AC46" s="355"/>
      <c r="AD46" s="214"/>
      <c r="AE46" s="214"/>
      <c r="AF46" s="214"/>
      <c r="AG46" s="214"/>
      <c r="AH46" s="214"/>
      <c r="AI46" s="214"/>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row>
    <row r="47" spans="1:66" ht="15" customHeight="1" x14ac:dyDescent="0.3">
      <c r="A47" s="214"/>
      <c r="B47" s="240">
        <v>2020</v>
      </c>
      <c r="C47" s="262">
        <f t="shared" ref="C47:C49" si="10">C34/1000000</f>
        <v>2306.3373833724022</v>
      </c>
      <c r="D47" s="263">
        <f>F34/1000000</f>
        <v>3500</v>
      </c>
      <c r="E47" s="264"/>
      <c r="F47" s="264"/>
      <c r="G47" s="264"/>
      <c r="H47" s="264"/>
      <c r="I47" s="264"/>
      <c r="J47" s="264"/>
      <c r="K47" s="214"/>
      <c r="L47" s="214"/>
      <c r="M47" s="214"/>
      <c r="N47" s="214"/>
      <c r="O47" s="214"/>
      <c r="P47" s="214"/>
      <c r="Q47" s="214"/>
      <c r="R47" s="214"/>
      <c r="S47" s="214"/>
      <c r="T47" s="214"/>
      <c r="U47" s="240">
        <v>2020</v>
      </c>
      <c r="V47" s="355">
        <f t="shared" ref="V47:V50" si="11">C34/1000000/D34</f>
        <v>2.4452111193719001E-2</v>
      </c>
      <c r="W47" s="355">
        <f t="shared" ref="W47:W50" si="12">F34/(D34*1000000)</f>
        <v>3.7107489040859726E-2</v>
      </c>
      <c r="X47" s="264"/>
      <c r="Y47" s="355"/>
      <c r="Z47" s="355"/>
      <c r="AA47" s="355"/>
      <c r="AB47" s="355"/>
      <c r="AC47" s="355"/>
      <c r="AD47" s="214"/>
      <c r="AE47" s="214"/>
      <c r="AF47" s="214"/>
      <c r="AG47" s="214"/>
      <c r="AH47" s="214"/>
      <c r="AI47" s="214"/>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row>
    <row r="48" spans="1:66" ht="15" customHeight="1" x14ac:dyDescent="0.3">
      <c r="A48" s="214"/>
      <c r="B48" s="232">
        <v>2021</v>
      </c>
      <c r="C48" s="262">
        <f t="shared" si="10"/>
        <v>2666.0657816615972</v>
      </c>
      <c r="D48" s="263">
        <f>F35/1000000</f>
        <v>3759.6999999999994</v>
      </c>
      <c r="E48" s="264"/>
      <c r="F48" s="264"/>
      <c r="G48" s="264"/>
      <c r="H48" s="264"/>
      <c r="I48" s="264"/>
      <c r="J48" s="264"/>
      <c r="K48" s="214"/>
      <c r="L48" s="214"/>
      <c r="M48" s="214"/>
      <c r="N48" s="214"/>
      <c r="O48" s="214"/>
      <c r="P48" s="214"/>
      <c r="Q48" s="214"/>
      <c r="R48" s="214"/>
      <c r="S48" s="214"/>
      <c r="T48" s="214"/>
      <c r="U48" s="232">
        <v>2021</v>
      </c>
      <c r="V48" s="355">
        <f t="shared" si="11"/>
        <v>2.614815092079037E-2</v>
      </c>
      <c r="W48" s="355">
        <f t="shared" si="12"/>
        <v>3.6874260077568444E-2</v>
      </c>
      <c r="X48" s="264"/>
      <c r="Y48" s="355"/>
      <c r="Z48" s="355"/>
      <c r="AA48" s="355"/>
      <c r="AB48" s="355"/>
      <c r="AC48" s="355"/>
      <c r="AD48" s="214"/>
      <c r="AE48" s="214"/>
      <c r="AF48" s="214"/>
      <c r="AG48" s="214"/>
      <c r="AH48" s="214"/>
      <c r="AI48" s="214"/>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row>
    <row r="49" spans="1:66" ht="15" customHeight="1" x14ac:dyDescent="0.3">
      <c r="A49" s="214"/>
      <c r="B49" s="240">
        <v>2022</v>
      </c>
      <c r="C49" s="262">
        <f t="shared" si="10"/>
        <v>2866.1821239359983</v>
      </c>
      <c r="D49" s="263">
        <f>F36/1000000</f>
        <v>4125.8999999999996</v>
      </c>
      <c r="E49" s="264"/>
      <c r="F49" s="264"/>
      <c r="G49" s="264"/>
      <c r="H49" s="264"/>
      <c r="I49" s="264"/>
      <c r="J49" s="264"/>
      <c r="K49" s="214"/>
      <c r="L49" s="214"/>
      <c r="M49" s="214"/>
      <c r="N49" s="214"/>
      <c r="O49" s="214"/>
      <c r="P49" s="214"/>
      <c r="Q49" s="214"/>
      <c r="R49" s="214"/>
      <c r="S49" s="214"/>
      <c r="T49" s="214"/>
      <c r="U49" s="240">
        <v>2022</v>
      </c>
      <c r="V49" s="355">
        <f t="shared" si="11"/>
        <v>2.6035238735880706E-2</v>
      </c>
      <c r="W49" s="355">
        <f t="shared" si="12"/>
        <v>3.7478006231110264E-2</v>
      </c>
      <c r="X49" s="264"/>
      <c r="Y49" s="355"/>
      <c r="Z49" s="355"/>
      <c r="AA49" s="355"/>
      <c r="AB49" s="355"/>
      <c r="AC49" s="355"/>
      <c r="AD49" s="214"/>
      <c r="AE49" s="214"/>
      <c r="AF49" s="214"/>
      <c r="AG49" s="214"/>
      <c r="AH49" s="214"/>
      <c r="AI49" s="214"/>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row>
    <row r="50" spans="1:66" ht="15" customHeight="1" x14ac:dyDescent="0.3">
      <c r="A50" s="214"/>
      <c r="B50" s="232">
        <v>2023</v>
      </c>
      <c r="C50" s="262">
        <f>C37/1000000</f>
        <v>2880.6825308244047</v>
      </c>
      <c r="D50" s="263">
        <f>F37/1000000</f>
        <v>4662.3999999999996</v>
      </c>
      <c r="E50" s="264"/>
      <c r="F50" s="262">
        <f t="shared" ref="F50:K50" si="13">H37/1000000</f>
        <v>4662.3999999999996</v>
      </c>
      <c r="G50" s="262">
        <f t="shared" si="13"/>
        <v>6163.7634889781648</v>
      </c>
      <c r="H50" s="262">
        <f t="shared" si="13"/>
        <v>5219.2392399403307</v>
      </c>
      <c r="I50" s="262">
        <f t="shared" si="13"/>
        <v>5528.9145830334892</v>
      </c>
      <c r="J50" s="262">
        <f t="shared" si="13"/>
        <v>5249.5992661529044</v>
      </c>
      <c r="K50" s="418">
        <f t="shared" si="13"/>
        <v>5097.7128977373404</v>
      </c>
      <c r="L50" s="214"/>
      <c r="M50" s="214"/>
      <c r="N50" s="214"/>
      <c r="O50" s="214"/>
      <c r="P50" s="214"/>
      <c r="Q50" s="214"/>
      <c r="R50" s="214"/>
      <c r="S50" s="214"/>
      <c r="T50" s="214"/>
      <c r="U50" s="232">
        <v>2023</v>
      </c>
      <c r="V50" s="355">
        <f t="shared" si="11"/>
        <v>2.3435637932715782E-2</v>
      </c>
      <c r="W50" s="355">
        <f t="shared" si="12"/>
        <v>3.793070466054578E-2</v>
      </c>
      <c r="X50" s="264"/>
      <c r="Y50" s="355">
        <f>H37/($D37*1000000)</f>
        <v>3.793070466054578E-2</v>
      </c>
      <c r="Z50" s="355">
        <f t="shared" ref="Z50:AC50" si="14">I37/($D37*1000000)</f>
        <v>5.0144966647624828E-2</v>
      </c>
      <c r="AA50" s="355">
        <f t="shared" si="14"/>
        <v>4.2460840374680016E-2</v>
      </c>
      <c r="AB50" s="355">
        <f t="shared" si="14"/>
        <v>4.4980187487651833E-2</v>
      </c>
      <c r="AC50" s="355">
        <f t="shared" si="14"/>
        <v>4.2707832736501306E-2</v>
      </c>
      <c r="AD50" s="214"/>
      <c r="AE50" s="214"/>
      <c r="AF50" s="214"/>
      <c r="AG50" s="214"/>
      <c r="AH50" s="214"/>
      <c r="AI50" s="214"/>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row>
    <row r="51" spans="1:66" ht="15" customHeight="1" x14ac:dyDescent="0.3">
      <c r="A51" s="214"/>
      <c r="B51" s="240">
        <v>2024</v>
      </c>
      <c r="C51" s="264"/>
      <c r="D51" s="264"/>
      <c r="E51" s="264"/>
      <c r="F51" s="264"/>
      <c r="G51" s="264"/>
      <c r="H51" s="264"/>
      <c r="I51" s="264"/>
      <c r="J51" s="264"/>
      <c r="K51" s="214"/>
      <c r="L51" s="214"/>
      <c r="M51" s="214"/>
      <c r="N51" s="214"/>
      <c r="O51" s="214"/>
      <c r="P51" s="214"/>
      <c r="Q51" s="214"/>
      <c r="R51" s="214"/>
      <c r="S51" s="214"/>
      <c r="T51" s="214"/>
      <c r="U51" s="240">
        <v>2024</v>
      </c>
      <c r="V51" s="264"/>
      <c r="W51" s="264"/>
      <c r="X51" s="264"/>
      <c r="Y51" s="355"/>
      <c r="Z51" s="355"/>
      <c r="AA51" s="355"/>
      <c r="AB51" s="355"/>
      <c r="AC51" s="355"/>
      <c r="AD51" s="214"/>
      <c r="AE51" s="214"/>
      <c r="AF51" s="214"/>
      <c r="AG51" s="214"/>
      <c r="AH51" s="214"/>
      <c r="AI51" s="214"/>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row>
    <row r="52" spans="1:66" ht="15" customHeight="1" x14ac:dyDescent="0.3">
      <c r="A52" s="214"/>
      <c r="B52" s="232">
        <v>2025</v>
      </c>
      <c r="C52" s="264"/>
      <c r="D52" s="264"/>
      <c r="E52" s="264"/>
      <c r="F52" s="264"/>
      <c r="G52" s="264"/>
      <c r="H52" s="264"/>
      <c r="I52" s="264"/>
      <c r="J52" s="264"/>
      <c r="K52" s="214"/>
      <c r="L52" s="214"/>
      <c r="M52" s="214"/>
      <c r="N52" s="214"/>
      <c r="O52" s="214"/>
      <c r="P52" s="214"/>
      <c r="Q52" s="214"/>
      <c r="R52" s="214"/>
      <c r="S52" s="214"/>
      <c r="T52" s="214"/>
      <c r="U52" s="232">
        <v>2025</v>
      </c>
      <c r="V52" s="264"/>
      <c r="W52" s="264"/>
      <c r="X52" s="264"/>
      <c r="Y52" s="355"/>
      <c r="Z52" s="355"/>
      <c r="AA52" s="355"/>
      <c r="AB52" s="355"/>
      <c r="AC52" s="355"/>
      <c r="AD52" s="214"/>
      <c r="AE52" s="214"/>
      <c r="AF52" s="214"/>
      <c r="AG52" s="214"/>
      <c r="AH52" s="214"/>
      <c r="AI52" s="214"/>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row>
    <row r="53" spans="1:66" ht="15" customHeight="1" x14ac:dyDescent="0.3">
      <c r="A53" s="214"/>
      <c r="B53" s="240">
        <v>2026</v>
      </c>
      <c r="C53" s="262"/>
      <c r="D53" s="264"/>
      <c r="E53" s="264"/>
      <c r="F53" s="264"/>
      <c r="G53" s="262"/>
      <c r="H53" s="262"/>
      <c r="I53" s="262"/>
      <c r="J53" s="262"/>
      <c r="K53" s="214"/>
      <c r="L53" s="214"/>
      <c r="M53" s="214"/>
      <c r="N53" s="214"/>
      <c r="O53" s="214"/>
      <c r="P53" s="214"/>
      <c r="Q53" s="214"/>
      <c r="R53" s="214"/>
      <c r="S53" s="214"/>
      <c r="T53" s="214"/>
      <c r="U53" s="240">
        <v>2026</v>
      </c>
      <c r="V53" s="262"/>
      <c r="W53" s="264"/>
      <c r="X53" s="264"/>
      <c r="Y53" s="355"/>
      <c r="Z53" s="355"/>
      <c r="AA53" s="355"/>
      <c r="AB53" s="355"/>
      <c r="AC53" s="355"/>
      <c r="AD53" s="214"/>
      <c r="AE53" s="214"/>
      <c r="AF53" s="214"/>
      <c r="AG53" s="214"/>
      <c r="AH53" s="214"/>
      <c r="AI53" s="214"/>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row>
    <row r="54" spans="1:66" ht="12.6" customHeight="1" x14ac:dyDescent="0.3">
      <c r="A54" s="214"/>
      <c r="B54" s="214"/>
      <c r="C54" s="214"/>
      <c r="D54" s="214"/>
      <c r="E54" s="214"/>
      <c r="F54" s="214"/>
      <c r="G54" s="214"/>
      <c r="H54" s="214"/>
      <c r="I54" s="214"/>
      <c r="J54" s="214"/>
      <c r="K54" s="214"/>
      <c r="L54" s="214"/>
      <c r="M54" s="214"/>
      <c r="N54" s="214"/>
      <c r="O54" s="214"/>
      <c r="P54" s="214"/>
      <c r="Q54" s="214"/>
      <c r="R54" s="214"/>
      <c r="S54" s="214"/>
      <c r="T54" s="214"/>
      <c r="U54" s="214"/>
      <c r="V54" s="214"/>
      <c r="W54" s="214"/>
      <c r="X54" s="214"/>
      <c r="Y54" s="214"/>
      <c r="Z54" s="214"/>
      <c r="AA54" s="214"/>
      <c r="AB54" s="214"/>
      <c r="AC54" s="214"/>
      <c r="AD54" s="214"/>
      <c r="AE54" s="214"/>
      <c r="AF54" s="214"/>
      <c r="AG54" s="214"/>
      <c r="AH54" s="214"/>
      <c r="AI54" s="214"/>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row>
    <row r="55" spans="1:66" ht="12.6" customHeight="1" x14ac:dyDescent="0.3">
      <c r="A55" s="214"/>
      <c r="B55" s="214"/>
      <c r="C55" s="214"/>
      <c r="D55" s="214"/>
      <c r="E55" s="214"/>
      <c r="F55" s="214"/>
      <c r="G55" s="214"/>
      <c r="H55" s="214"/>
      <c r="I55" s="214"/>
      <c r="J55" s="214"/>
      <c r="K55" s="214"/>
      <c r="L55" s="214"/>
      <c r="M55" s="214"/>
      <c r="N55" s="214"/>
      <c r="O55" s="214"/>
      <c r="P55" s="214"/>
      <c r="Q55" s="214"/>
      <c r="R55" s="214"/>
      <c r="S55" s="214"/>
      <c r="T55" s="214"/>
      <c r="U55" s="214"/>
      <c r="V55" s="214"/>
      <c r="W55" s="214"/>
      <c r="X55" s="214"/>
      <c r="Y55" s="214"/>
      <c r="Z55" s="214"/>
      <c r="AA55" s="214"/>
      <c r="AB55" s="214"/>
      <c r="AC55" s="214"/>
      <c r="AD55" s="214"/>
      <c r="AE55" s="214"/>
      <c r="AF55" s="214"/>
      <c r="AG55" s="214"/>
      <c r="AH55" s="214"/>
      <c r="AI55" s="214"/>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row>
    <row r="56" spans="1:66" ht="12.6" customHeight="1" x14ac:dyDescent="0.3">
      <c r="A56" s="214"/>
      <c r="B56" s="214"/>
      <c r="C56" s="214"/>
      <c r="D56" s="214"/>
      <c r="E56" s="214"/>
      <c r="F56" s="214"/>
      <c r="G56" s="214"/>
      <c r="H56" s="214"/>
      <c r="I56" s="214"/>
      <c r="J56" s="214"/>
      <c r="K56" s="214"/>
      <c r="L56" s="214"/>
      <c r="M56" s="214"/>
      <c r="N56" s="214"/>
      <c r="O56" s="214"/>
      <c r="P56" s="214"/>
      <c r="Q56" s="214"/>
      <c r="R56" s="214"/>
      <c r="S56" s="214"/>
      <c r="T56" s="214"/>
      <c r="U56" s="214"/>
      <c r="V56" s="214"/>
      <c r="W56" s="214"/>
      <c r="X56" s="214"/>
      <c r="Y56" s="214"/>
      <c r="Z56" s="214"/>
      <c r="AA56" s="214"/>
      <c r="AB56" s="214"/>
      <c r="AC56" s="214"/>
      <c r="AD56" s="214"/>
      <c r="AE56" s="214"/>
      <c r="AF56" s="214"/>
      <c r="AG56" s="214"/>
      <c r="AH56" s="214"/>
      <c r="AI56" s="214"/>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row>
    <row r="57" spans="1:66" ht="12.6" customHeight="1" x14ac:dyDescent="0.3">
      <c r="A57" s="214"/>
      <c r="B57" s="214"/>
      <c r="C57" s="214"/>
      <c r="D57" s="214"/>
      <c r="E57" s="214"/>
      <c r="F57" s="214"/>
      <c r="G57" s="214"/>
      <c r="H57" s="214"/>
      <c r="I57" s="214"/>
      <c r="J57" s="214"/>
      <c r="K57" s="214"/>
      <c r="L57" s="214"/>
      <c r="M57" s="214"/>
      <c r="N57" s="214"/>
      <c r="O57" s="214"/>
      <c r="P57" s="214"/>
      <c r="Q57" s="214"/>
      <c r="R57" s="214"/>
      <c r="S57" s="214"/>
      <c r="T57" s="214"/>
      <c r="U57" s="214"/>
      <c r="V57" s="214"/>
      <c r="W57" s="214"/>
      <c r="X57" s="214"/>
      <c r="Y57" s="214"/>
      <c r="Z57" s="214"/>
      <c r="AA57" s="214"/>
      <c r="AB57" s="214"/>
      <c r="AC57" s="214"/>
      <c r="AD57" s="214"/>
      <c r="AE57" s="214"/>
      <c r="AF57" s="214"/>
      <c r="AG57" s="214"/>
      <c r="AH57" s="214"/>
      <c r="AI57" s="214"/>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row>
    <row r="58" spans="1:66" ht="12.6" customHeight="1" x14ac:dyDescent="0.3">
      <c r="A58" s="214"/>
      <c r="B58" s="214"/>
      <c r="C58" s="214"/>
      <c r="D58" s="214"/>
      <c r="E58" s="214"/>
      <c r="F58" s="214"/>
      <c r="G58" s="214"/>
      <c r="H58" s="214"/>
      <c r="I58" s="214"/>
      <c r="J58" s="214"/>
      <c r="K58" s="214"/>
      <c r="L58" s="214"/>
      <c r="M58" s="214"/>
      <c r="N58" s="214"/>
      <c r="O58" s="214"/>
      <c r="P58" s="214"/>
      <c r="Q58" s="214"/>
      <c r="R58" s="214"/>
      <c r="S58" s="214"/>
      <c r="T58" s="214"/>
      <c r="U58" s="214"/>
      <c r="V58" s="214"/>
      <c r="W58" s="214"/>
      <c r="X58" s="214"/>
      <c r="Y58" s="214"/>
      <c r="Z58" s="214"/>
      <c r="AA58" s="214"/>
      <c r="AB58" s="214"/>
      <c r="AC58" s="214"/>
      <c r="AD58" s="214"/>
      <c r="AE58" s="214"/>
      <c r="AF58" s="214"/>
      <c r="AG58" s="214"/>
      <c r="AH58" s="214"/>
      <c r="AI58" s="214"/>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row>
    <row r="59" spans="1:66" ht="12.6"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row>
    <row r="60" spans="1:66" ht="12" customHeight="1" thickBot="1" x14ac:dyDescent="0.35">
      <c r="A60" s="98"/>
      <c r="B60" s="98"/>
      <c r="C60" s="98"/>
      <c r="D60" s="98"/>
      <c r="E60" s="98"/>
      <c r="F60" s="98"/>
      <c r="G60" s="98"/>
      <c r="H60" s="98"/>
      <c r="I60" s="98"/>
      <c r="J60" s="98"/>
      <c r="K60" s="98"/>
      <c r="L60" s="98"/>
      <c r="M60" s="98"/>
      <c r="N60" s="98"/>
      <c r="O60" s="98"/>
      <c r="P60" s="98"/>
      <c r="Q60" s="98"/>
      <c r="R60" s="98"/>
      <c r="S60" s="98"/>
      <c r="T60" s="265"/>
      <c r="U60" s="265"/>
      <c r="V60" s="265"/>
      <c r="W60" s="265"/>
      <c r="X60" s="55"/>
      <c r="Y60" s="55"/>
      <c r="Z60" s="55"/>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row>
    <row r="61" spans="1:66" ht="12" customHeight="1" thickBot="1" x14ac:dyDescent="0.35">
      <c r="A61" s="98"/>
      <c r="B61" s="266" t="s">
        <v>200</v>
      </c>
      <c r="C61" s="267"/>
      <c r="D61" s="267"/>
      <c r="E61" s="267"/>
      <c r="F61" s="267"/>
      <c r="G61" s="267"/>
      <c r="H61" s="267"/>
      <c r="I61" s="267"/>
      <c r="J61" s="267"/>
      <c r="K61" s="267"/>
      <c r="L61" s="267"/>
      <c r="M61" s="267"/>
      <c r="N61" s="267"/>
      <c r="O61" s="267"/>
      <c r="P61" s="267"/>
      <c r="Q61" s="267"/>
      <c r="R61" s="267"/>
      <c r="S61" s="267"/>
      <c r="T61" s="268"/>
      <c r="U61" s="268"/>
      <c r="V61" s="269"/>
      <c r="W61" s="265"/>
      <c r="X61" s="55"/>
      <c r="Y61" s="55"/>
      <c r="Z61" s="55"/>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row>
    <row r="62" spans="1:66" ht="21.6" customHeight="1" x14ac:dyDescent="0.3">
      <c r="A62" s="98"/>
      <c r="B62" s="270"/>
      <c r="C62" s="98"/>
      <c r="D62" s="98"/>
      <c r="E62" s="98"/>
      <c r="F62" s="98"/>
      <c r="G62" s="98"/>
      <c r="H62" s="98"/>
      <c r="I62" s="98"/>
      <c r="J62" s="98"/>
      <c r="K62" s="98"/>
      <c r="L62" s="98"/>
      <c r="M62" s="98"/>
      <c r="N62" s="98"/>
      <c r="O62" s="98"/>
      <c r="P62" s="98"/>
      <c r="Q62" s="98"/>
      <c r="R62" s="98"/>
      <c r="S62" s="98"/>
      <c r="T62" s="98"/>
      <c r="U62" s="98"/>
      <c r="V62" s="98"/>
      <c r="W62" s="98"/>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row>
    <row r="63" spans="1:66" ht="21" customHeight="1" x14ac:dyDescent="0.3">
      <c r="A63" s="98"/>
      <c r="B63" s="98"/>
      <c r="C63" s="98"/>
      <c r="D63" s="98"/>
      <c r="E63" s="98"/>
      <c r="F63" s="98"/>
      <c r="G63" s="98"/>
      <c r="H63" s="98"/>
      <c r="I63" s="98"/>
      <c r="J63" s="98"/>
      <c r="K63" s="98"/>
      <c r="L63" s="98"/>
      <c r="M63" s="98"/>
      <c r="N63" s="98"/>
      <c r="O63" s="98"/>
      <c r="P63" s="98"/>
      <c r="Q63" s="98"/>
      <c r="R63" s="98"/>
      <c r="S63" s="98"/>
      <c r="T63" s="98"/>
      <c r="U63" s="98"/>
      <c r="V63" s="98"/>
      <c r="W63" s="98"/>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row>
    <row r="64" spans="1:66" ht="42.6" customHeight="1" x14ac:dyDescent="0.3">
      <c r="A64" s="98"/>
      <c r="B64" s="356" t="s">
        <v>201</v>
      </c>
      <c r="C64" s="271" t="s">
        <v>202</v>
      </c>
      <c r="D64" s="272" t="s">
        <v>172</v>
      </c>
      <c r="E64" s="272" t="s">
        <v>173</v>
      </c>
      <c r="F64" s="273" t="s">
        <v>174</v>
      </c>
      <c r="G64" s="272" t="s">
        <v>175</v>
      </c>
      <c r="H64" s="274"/>
      <c r="I64" s="274"/>
      <c r="J64" s="274"/>
      <c r="K64" s="274"/>
      <c r="L64" s="274"/>
      <c r="M64" s="274"/>
      <c r="N64" s="274"/>
      <c r="O64" s="274"/>
      <c r="P64" s="274"/>
      <c r="Q64" s="274"/>
      <c r="R64" s="274"/>
      <c r="S64" s="274"/>
      <c r="T64" s="274"/>
      <c r="U64" s="274"/>
      <c r="V64" s="274"/>
      <c r="W64" s="98"/>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row>
    <row r="65" spans="1:66" ht="15.6" customHeight="1" x14ac:dyDescent="0.3">
      <c r="A65" s="98"/>
      <c r="B65" s="275">
        <v>2019</v>
      </c>
      <c r="C65" s="357">
        <f>C22/P22*100</f>
        <v>7.9935903035793343</v>
      </c>
      <c r="D65" s="276"/>
      <c r="E65" s="276"/>
      <c r="F65" s="276"/>
      <c r="G65" s="276"/>
      <c r="H65" s="277"/>
      <c r="I65" s="277"/>
      <c r="J65" s="277"/>
      <c r="K65" s="277"/>
      <c r="L65" s="277"/>
      <c r="M65" s="277"/>
      <c r="N65" s="277"/>
      <c r="O65" s="277"/>
      <c r="P65" s="277"/>
      <c r="Q65" s="277"/>
      <c r="R65" s="277"/>
      <c r="S65" s="277"/>
      <c r="T65" s="277"/>
      <c r="U65" s="277"/>
      <c r="V65" s="277"/>
      <c r="W65" s="278"/>
      <c r="X65" s="44"/>
      <c r="Y65" s="44"/>
      <c r="Z65" s="44"/>
      <c r="AA65" s="46"/>
      <c r="AB65" s="46"/>
      <c r="AC65" s="46"/>
      <c r="AD65" s="46"/>
      <c r="AE65" s="46"/>
      <c r="AF65" s="46"/>
      <c r="AG65" s="44"/>
      <c r="AH65" s="44"/>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row>
    <row r="66" spans="1:66" s="51" customFormat="1" ht="15.6" customHeight="1" x14ac:dyDescent="0.3">
      <c r="A66" s="279"/>
      <c r="B66" s="280">
        <v>2020</v>
      </c>
      <c r="C66" s="357">
        <f>D22/Q22*100</f>
        <v>7.4816447574049132</v>
      </c>
      <c r="D66" s="276"/>
      <c r="E66" s="276"/>
      <c r="F66" s="276"/>
      <c r="G66" s="276"/>
      <c r="H66" s="281"/>
      <c r="I66" s="281"/>
      <c r="J66" s="281"/>
      <c r="K66" s="281"/>
      <c r="L66" s="281"/>
      <c r="M66" s="281"/>
      <c r="N66" s="281"/>
      <c r="O66" s="281"/>
      <c r="P66" s="281"/>
      <c r="Q66" s="281"/>
      <c r="R66" s="281"/>
      <c r="S66" s="281"/>
      <c r="T66" s="281"/>
      <c r="U66" s="281"/>
      <c r="V66" s="281"/>
      <c r="W66" s="282"/>
      <c r="X66" s="48"/>
      <c r="Y66" s="48"/>
      <c r="Z66" s="48"/>
      <c r="AA66" s="48"/>
      <c r="AB66" s="48"/>
      <c r="AC66" s="48"/>
      <c r="AD66" s="48"/>
      <c r="AE66" s="48"/>
      <c r="AF66" s="48"/>
      <c r="AG66" s="48"/>
      <c r="AH66" s="48"/>
      <c r="AI66" s="47"/>
      <c r="AJ66" s="47"/>
      <c r="AK66" s="47"/>
      <c r="AL66" s="47"/>
      <c r="AM66" s="47"/>
      <c r="AN66" s="47"/>
      <c r="AO66" s="47"/>
      <c r="AP66" s="47"/>
      <c r="AQ66" s="47"/>
      <c r="AR66" s="47"/>
      <c r="AS66" s="47"/>
      <c r="AT66" s="47"/>
      <c r="AU66" s="47"/>
      <c r="AV66" s="47"/>
      <c r="AW66" s="47"/>
      <c r="AX66" s="47"/>
      <c r="AY66" s="47"/>
      <c r="AZ66" s="47"/>
      <c r="BA66" s="47"/>
      <c r="BB66" s="47"/>
      <c r="BC66" s="47"/>
      <c r="BD66" s="47"/>
      <c r="BE66" s="47"/>
      <c r="BF66" s="47"/>
      <c r="BG66" s="47"/>
      <c r="BH66" s="47"/>
      <c r="BI66" s="47"/>
      <c r="BJ66" s="47"/>
      <c r="BK66" s="47"/>
      <c r="BL66" s="47"/>
      <c r="BM66" s="47"/>
      <c r="BN66" s="47"/>
    </row>
    <row r="67" spans="1:66" ht="15.6" customHeight="1" x14ac:dyDescent="0.3">
      <c r="A67" s="98"/>
      <c r="B67" s="275">
        <v>2021</v>
      </c>
      <c r="C67" s="357">
        <f>E22/R22*100</f>
        <v>8.0530916042920211</v>
      </c>
      <c r="D67" s="276"/>
      <c r="E67" s="276"/>
      <c r="F67" s="276"/>
      <c r="G67" s="276"/>
      <c r="H67" s="281"/>
      <c r="I67" s="281"/>
      <c r="J67" s="281"/>
      <c r="K67" s="281"/>
      <c r="L67" s="281"/>
      <c r="M67" s="281"/>
      <c r="N67" s="281"/>
      <c r="O67" s="281"/>
      <c r="P67" s="281"/>
      <c r="Q67" s="281"/>
      <c r="R67" s="281"/>
      <c r="S67" s="281"/>
      <c r="T67" s="281"/>
      <c r="U67" s="281"/>
      <c r="V67" s="281"/>
      <c r="W67" s="283"/>
      <c r="X67" s="52"/>
      <c r="Y67" s="52"/>
      <c r="Z67" s="52"/>
      <c r="AA67" s="43"/>
      <c r="AB67" s="43"/>
      <c r="AC67" s="43"/>
      <c r="AD67" s="43"/>
      <c r="AE67" s="43"/>
      <c r="AF67" s="43"/>
      <c r="AG67" s="43"/>
      <c r="AH67" s="43"/>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row>
    <row r="68" spans="1:66" ht="15.6" customHeight="1" x14ac:dyDescent="0.3">
      <c r="A68" s="98"/>
      <c r="B68" s="280">
        <v>2022</v>
      </c>
      <c r="C68" s="357">
        <f>F22/S22*100</f>
        <v>8.0532735179687709</v>
      </c>
      <c r="D68" s="276"/>
      <c r="E68" s="276"/>
      <c r="F68" s="276"/>
      <c r="G68" s="276"/>
      <c r="H68" s="284"/>
      <c r="I68" s="284"/>
      <c r="J68" s="284"/>
      <c r="K68" s="284"/>
      <c r="L68" s="284"/>
      <c r="M68" s="284"/>
      <c r="N68" s="284"/>
      <c r="O68" s="284"/>
      <c r="P68" s="284"/>
      <c r="Q68" s="284"/>
      <c r="R68" s="284"/>
      <c r="S68" s="284"/>
      <c r="T68" s="284"/>
      <c r="U68" s="284"/>
      <c r="V68" s="284"/>
      <c r="W68" s="98"/>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row>
    <row r="69" spans="1:66" ht="15.6" customHeight="1" x14ac:dyDescent="0.3">
      <c r="A69" s="98"/>
      <c r="B69" s="275">
        <v>2023</v>
      </c>
      <c r="C69" s="357">
        <f>G22/$T22*100</f>
        <v>7.3353862232176814</v>
      </c>
      <c r="D69" s="357">
        <f>H22/$T22*100</f>
        <v>9.6974918025528858</v>
      </c>
      <c r="E69" s="357">
        <f>I22/$T22*100</f>
        <v>8.2114652574501168</v>
      </c>
      <c r="F69" s="357">
        <f>J22/$T22*100</f>
        <v>8.6986796203095373</v>
      </c>
      <c r="G69" s="357">
        <f>K22/$T22*100</f>
        <v>8.2592308970383641</v>
      </c>
      <c r="H69" s="277"/>
      <c r="I69" s="277"/>
      <c r="J69" s="277"/>
      <c r="K69" s="277"/>
      <c r="L69" s="277"/>
      <c r="M69" s="277"/>
      <c r="N69" s="277"/>
      <c r="O69" s="277"/>
      <c r="P69" s="277"/>
      <c r="Q69" s="277"/>
      <c r="R69" s="277"/>
      <c r="S69" s="277"/>
      <c r="T69" s="277"/>
      <c r="U69" s="277"/>
      <c r="V69" s="277"/>
      <c r="W69" s="98"/>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row>
    <row r="70" spans="1:66" ht="15.6" customHeight="1" x14ac:dyDescent="0.3">
      <c r="A70" s="98"/>
      <c r="B70" s="280">
        <v>2024</v>
      </c>
      <c r="C70" s="276"/>
      <c r="D70" s="358"/>
      <c r="E70" s="357"/>
      <c r="F70" s="357"/>
      <c r="G70" s="357"/>
      <c r="H70" s="284"/>
      <c r="I70" s="284"/>
      <c r="J70" s="284"/>
      <c r="K70" s="284"/>
      <c r="L70" s="284"/>
      <c r="M70" s="284"/>
      <c r="N70" s="284"/>
      <c r="O70" s="284"/>
      <c r="P70" s="284"/>
      <c r="Q70" s="284"/>
      <c r="R70" s="284"/>
      <c r="S70" s="284"/>
      <c r="T70" s="284"/>
      <c r="U70" s="284"/>
      <c r="V70" s="284"/>
      <c r="W70" s="98"/>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row>
    <row r="71" spans="1:66" ht="15.6" customHeight="1" x14ac:dyDescent="0.3">
      <c r="A71" s="98"/>
      <c r="B71" s="275">
        <v>2025</v>
      </c>
      <c r="C71" s="276"/>
      <c r="D71" s="358"/>
      <c r="E71" s="357"/>
      <c r="F71" s="357"/>
      <c r="G71" s="357"/>
      <c r="H71" s="284"/>
      <c r="I71" s="284"/>
      <c r="J71" s="284"/>
      <c r="K71" s="284"/>
      <c r="L71" s="284"/>
      <c r="M71" s="284"/>
      <c r="N71" s="284"/>
      <c r="O71" s="284"/>
      <c r="P71" s="284"/>
      <c r="Q71" s="284"/>
      <c r="R71" s="284"/>
      <c r="S71" s="284"/>
      <c r="T71" s="284"/>
      <c r="U71" s="284"/>
      <c r="V71" s="284"/>
      <c r="W71" s="98"/>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row>
    <row r="72" spans="1:66" ht="15.6" customHeight="1" x14ac:dyDescent="0.3">
      <c r="A72" s="98"/>
      <c r="B72" s="280">
        <v>2026</v>
      </c>
      <c r="C72" s="276"/>
      <c r="D72" s="357"/>
      <c r="E72" s="357"/>
      <c r="F72" s="357"/>
      <c r="G72" s="357"/>
      <c r="H72" s="277"/>
      <c r="I72" s="277"/>
      <c r="J72" s="277"/>
      <c r="K72" s="277"/>
      <c r="L72" s="277"/>
      <c r="M72" s="277"/>
      <c r="N72" s="277"/>
      <c r="O72" s="277"/>
      <c r="P72" s="277"/>
      <c r="Q72" s="277"/>
      <c r="R72" s="277"/>
      <c r="S72" s="277"/>
      <c r="T72" s="277"/>
      <c r="U72" s="277"/>
      <c r="V72" s="277"/>
      <c r="W72" s="98"/>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row>
    <row r="73" spans="1:66" ht="12.6" customHeight="1" x14ac:dyDescent="0.3">
      <c r="A73" s="98"/>
      <c r="B73" s="98"/>
      <c r="C73" s="98"/>
      <c r="D73" s="98"/>
      <c r="E73" s="98"/>
      <c r="F73" s="98"/>
      <c r="G73" s="98"/>
      <c r="H73" s="98"/>
      <c r="I73" s="98"/>
      <c r="J73" s="98"/>
      <c r="K73" s="98"/>
      <c r="L73" s="98"/>
      <c r="M73" s="98"/>
      <c r="N73" s="98"/>
      <c r="O73" s="98"/>
      <c r="P73" s="98"/>
      <c r="Q73" s="98"/>
      <c r="R73" s="98"/>
      <c r="S73" s="98"/>
      <c r="T73" s="98"/>
      <c r="U73" s="98"/>
      <c r="V73" s="98"/>
      <c r="W73" s="98"/>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row>
    <row r="74" spans="1:66" ht="12.6" customHeight="1" x14ac:dyDescent="0.3">
      <c r="A74" s="98"/>
      <c r="B74" s="98"/>
      <c r="C74" s="285"/>
      <c r="D74" s="98"/>
      <c r="E74" s="98"/>
      <c r="F74" s="98"/>
      <c r="G74" s="98"/>
      <c r="H74" s="98"/>
      <c r="I74" s="98"/>
      <c r="J74" s="98"/>
      <c r="K74" s="98"/>
      <c r="L74" s="98"/>
      <c r="M74" s="98"/>
      <c r="N74" s="98"/>
      <c r="O74" s="98"/>
      <c r="P74" s="98"/>
      <c r="Q74" s="98"/>
      <c r="R74" s="98"/>
      <c r="S74" s="98"/>
      <c r="T74" s="98"/>
      <c r="U74" s="98"/>
      <c r="V74" s="98"/>
      <c r="W74" s="98"/>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row>
    <row r="75" spans="1:66" ht="12.6" customHeight="1" x14ac:dyDescent="0.3">
      <c r="A75" s="98"/>
      <c r="B75" s="98"/>
      <c r="C75" s="98"/>
      <c r="D75" s="98"/>
      <c r="E75" s="98"/>
      <c r="F75" s="98"/>
      <c r="G75" s="98"/>
      <c r="H75" s="98"/>
      <c r="I75" s="98"/>
      <c r="J75" s="98"/>
      <c r="K75" s="98"/>
      <c r="L75" s="98"/>
      <c r="M75" s="98"/>
      <c r="N75" s="98"/>
      <c r="O75" s="98"/>
      <c r="P75" s="98"/>
      <c r="Q75" s="98"/>
      <c r="R75" s="98"/>
      <c r="S75" s="98"/>
      <c r="T75" s="98"/>
      <c r="U75" s="98"/>
      <c r="V75" s="98"/>
      <c r="W75" s="98"/>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row>
    <row r="76" spans="1:66" ht="18" customHeight="1" x14ac:dyDescent="0.3">
      <c r="A76" s="98"/>
      <c r="B76" s="98"/>
      <c r="C76" s="98"/>
      <c r="D76" s="98"/>
      <c r="E76" s="98"/>
      <c r="F76" s="98"/>
      <c r="G76" s="98"/>
      <c r="H76" s="98"/>
      <c r="I76" s="98"/>
      <c r="J76" s="98"/>
      <c r="K76" s="98"/>
      <c r="L76" s="98"/>
      <c r="M76" s="98"/>
      <c r="N76" s="98"/>
      <c r="O76" s="98"/>
      <c r="P76" s="98"/>
      <c r="Q76" s="98"/>
      <c r="R76" s="98"/>
      <c r="S76" s="98"/>
      <c r="T76" s="98"/>
      <c r="U76" s="98"/>
      <c r="V76" s="98"/>
      <c r="W76" s="98"/>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row>
    <row r="77" spans="1:66" ht="42" customHeight="1" x14ac:dyDescent="0.3">
      <c r="A77" s="98"/>
      <c r="B77" s="356" t="s">
        <v>203</v>
      </c>
      <c r="C77" s="271" t="s">
        <v>202</v>
      </c>
      <c r="D77" s="272" t="s">
        <v>172</v>
      </c>
      <c r="E77" s="272" t="s">
        <v>173</v>
      </c>
      <c r="F77" s="273" t="s">
        <v>174</v>
      </c>
      <c r="G77" s="272" t="s">
        <v>175</v>
      </c>
      <c r="H77" s="98"/>
      <c r="I77" s="98"/>
      <c r="J77" s="98"/>
      <c r="K77" s="98"/>
      <c r="L77" s="98"/>
      <c r="M77" s="98"/>
      <c r="N77" s="98"/>
      <c r="O77" s="98"/>
      <c r="P77" s="98"/>
      <c r="Q77" s="98"/>
      <c r="R77" s="98"/>
      <c r="S77" s="98"/>
      <c r="T77" s="98"/>
      <c r="U77" s="98"/>
      <c r="V77" s="98"/>
      <c r="W77" s="98"/>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row>
    <row r="78" spans="1:66" ht="15.6" customHeight="1" x14ac:dyDescent="0.3">
      <c r="A78" s="98"/>
      <c r="B78" s="275">
        <v>2019</v>
      </c>
      <c r="C78" s="357">
        <f>C65</f>
        <v>7.9935903035793343</v>
      </c>
      <c r="D78" s="276"/>
      <c r="E78" s="276"/>
      <c r="F78" s="276"/>
      <c r="G78" s="276"/>
      <c r="H78" s="98"/>
      <c r="I78" s="98"/>
      <c r="J78" s="98"/>
      <c r="K78" s="98"/>
      <c r="L78" s="98"/>
      <c r="M78" s="98"/>
      <c r="N78" s="98"/>
      <c r="O78" s="98"/>
      <c r="P78" s="98"/>
      <c r="Q78" s="98"/>
      <c r="R78" s="98"/>
      <c r="S78" s="98"/>
      <c r="T78" s="98"/>
      <c r="U78" s="98"/>
      <c r="V78" s="98"/>
      <c r="W78" s="98"/>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row>
    <row r="79" spans="1:66" s="1" customFormat="1" ht="15" customHeight="1" x14ac:dyDescent="0.3">
      <c r="A79" s="98"/>
      <c r="B79" s="280">
        <v>2020</v>
      </c>
      <c r="C79" s="357">
        <f>C66</f>
        <v>7.4816447574049132</v>
      </c>
      <c r="D79" s="276"/>
      <c r="E79" s="276"/>
      <c r="F79" s="276"/>
      <c r="G79" s="276"/>
      <c r="H79" s="98"/>
      <c r="I79" s="98"/>
      <c r="J79" s="98"/>
      <c r="K79" s="98"/>
      <c r="L79" s="98"/>
      <c r="M79" s="98"/>
      <c r="N79" s="98"/>
      <c r="O79" s="98"/>
      <c r="P79" s="98"/>
      <c r="Q79" s="98"/>
      <c r="R79" s="98"/>
      <c r="S79" s="98"/>
      <c r="T79" s="98"/>
      <c r="U79" s="98"/>
      <c r="V79" s="98"/>
      <c r="W79" s="98"/>
    </row>
    <row r="80" spans="1:66" s="1" customFormat="1" ht="15" customHeight="1" x14ac:dyDescent="0.3">
      <c r="A80" s="98"/>
      <c r="B80" s="275">
        <v>2021</v>
      </c>
      <c r="C80" s="357">
        <f>C67</f>
        <v>8.0530916042920211</v>
      </c>
      <c r="D80" s="276"/>
      <c r="E80" s="276"/>
      <c r="F80" s="276"/>
      <c r="G80" s="276"/>
      <c r="H80" s="98"/>
      <c r="I80" s="98"/>
      <c r="J80" s="98"/>
      <c r="K80" s="98"/>
      <c r="L80" s="98"/>
      <c r="M80" s="98"/>
      <c r="N80" s="98"/>
      <c r="O80" s="98"/>
      <c r="P80" s="98"/>
      <c r="Q80" s="98"/>
      <c r="R80" s="98"/>
      <c r="S80" s="98"/>
      <c r="T80" s="98"/>
      <c r="U80" s="98"/>
      <c r="V80" s="98"/>
      <c r="W80" s="98"/>
    </row>
    <row r="81" spans="1:23" s="1" customFormat="1" ht="15" customHeight="1" x14ac:dyDescent="0.3">
      <c r="A81" s="98"/>
      <c r="B81" s="280">
        <v>2022</v>
      </c>
      <c r="C81" s="357">
        <f>C68</f>
        <v>8.0532735179687709</v>
      </c>
      <c r="D81" s="276"/>
      <c r="E81" s="276"/>
      <c r="F81" s="276"/>
      <c r="G81" s="276"/>
      <c r="H81" s="98"/>
      <c r="I81" s="98"/>
      <c r="J81" s="98"/>
      <c r="K81" s="98"/>
      <c r="L81" s="98"/>
      <c r="M81" s="98"/>
      <c r="N81" s="98"/>
      <c r="O81" s="98"/>
      <c r="P81" s="98"/>
      <c r="Q81" s="98"/>
      <c r="R81" s="98"/>
      <c r="S81" s="98"/>
      <c r="T81" s="98"/>
      <c r="U81" s="98"/>
      <c r="V81" s="98"/>
      <c r="W81" s="98"/>
    </row>
    <row r="82" spans="1:23" s="1" customFormat="1" ht="15" customHeight="1" x14ac:dyDescent="0.3">
      <c r="A82" s="98"/>
      <c r="B82" s="275">
        <v>2023</v>
      </c>
      <c r="C82" s="357">
        <f>C69</f>
        <v>7.3353862232176814</v>
      </c>
      <c r="D82" s="357">
        <f>D69</f>
        <v>9.6974918025528858</v>
      </c>
      <c r="E82" s="357">
        <f>E69</f>
        <v>8.2114652574501168</v>
      </c>
      <c r="F82" s="357">
        <f>F69</f>
        <v>8.6986796203095373</v>
      </c>
      <c r="G82" s="357">
        <f>G69</f>
        <v>8.2592308970383641</v>
      </c>
      <c r="H82" s="98"/>
      <c r="I82" s="98"/>
      <c r="J82" s="98"/>
      <c r="K82" s="98"/>
      <c r="L82" s="98"/>
      <c r="M82" s="98"/>
      <c r="N82" s="98"/>
      <c r="O82" s="98"/>
      <c r="P82" s="98"/>
      <c r="Q82" s="98"/>
      <c r="R82" s="98"/>
      <c r="S82" s="98"/>
      <c r="T82" s="98"/>
      <c r="U82" s="98"/>
      <c r="V82" s="98"/>
      <c r="W82" s="98"/>
    </row>
    <row r="83" spans="1:23" s="1" customFormat="1" ht="15" customHeight="1" x14ac:dyDescent="0.3">
      <c r="A83" s="98"/>
      <c r="B83" s="280">
        <v>2024</v>
      </c>
      <c r="C83" s="357"/>
      <c r="D83" s="358"/>
      <c r="E83" s="358"/>
      <c r="F83" s="358"/>
      <c r="G83" s="358"/>
      <c r="H83" s="98"/>
      <c r="I83" s="98"/>
      <c r="J83" s="98"/>
      <c r="K83" s="98"/>
      <c r="L83" s="98"/>
      <c r="M83" s="98"/>
      <c r="N83" s="98"/>
      <c r="O83" s="98"/>
      <c r="P83" s="98"/>
      <c r="Q83" s="98"/>
      <c r="R83" s="98"/>
      <c r="S83" s="98"/>
      <c r="T83" s="98"/>
      <c r="U83" s="98"/>
      <c r="V83" s="98"/>
      <c r="W83" s="98"/>
    </row>
    <row r="84" spans="1:23" s="1" customFormat="1" ht="15" customHeight="1" x14ac:dyDescent="0.3">
      <c r="A84" s="98"/>
      <c r="B84" s="275">
        <v>2025</v>
      </c>
      <c r="C84" s="357"/>
      <c r="D84" s="358"/>
      <c r="E84" s="358"/>
      <c r="F84" s="358"/>
      <c r="G84" s="358"/>
      <c r="H84" s="98"/>
      <c r="I84" s="98"/>
      <c r="J84" s="98"/>
      <c r="K84" s="98"/>
      <c r="L84" s="98"/>
      <c r="M84" s="98"/>
      <c r="N84" s="98"/>
      <c r="O84" s="98"/>
      <c r="P84" s="98"/>
      <c r="Q84" s="98"/>
      <c r="R84" s="98"/>
      <c r="S84" s="98"/>
      <c r="T84" s="98"/>
      <c r="U84" s="98"/>
      <c r="V84" s="98"/>
      <c r="W84" s="98"/>
    </row>
    <row r="85" spans="1:23" s="1" customFormat="1" ht="15" customHeight="1" x14ac:dyDescent="0.3">
      <c r="A85" s="98"/>
      <c r="B85" s="280">
        <v>2026</v>
      </c>
      <c r="C85" s="357"/>
      <c r="D85" s="357"/>
      <c r="E85" s="357"/>
      <c r="F85" s="357"/>
      <c r="G85" s="357"/>
      <c r="H85" s="98"/>
      <c r="I85" s="98"/>
      <c r="J85" s="98"/>
      <c r="K85" s="98"/>
      <c r="L85" s="98"/>
      <c r="M85" s="98"/>
      <c r="N85" s="98"/>
      <c r="O85" s="98"/>
      <c r="P85" s="98"/>
      <c r="Q85" s="98"/>
      <c r="R85" s="98"/>
      <c r="S85" s="98"/>
      <c r="T85" s="98"/>
      <c r="U85" s="98"/>
      <c r="V85" s="98"/>
      <c r="W85" s="98"/>
    </row>
    <row r="86" spans="1:23" s="1" customFormat="1" ht="12.6" customHeight="1" x14ac:dyDescent="0.3">
      <c r="A86" s="98"/>
      <c r="B86" s="98"/>
      <c r="C86" s="98"/>
      <c r="D86" s="285"/>
      <c r="E86" s="98"/>
      <c r="F86" s="98"/>
      <c r="G86" s="98"/>
      <c r="H86" s="98"/>
      <c r="I86" s="98"/>
      <c r="J86" s="98"/>
      <c r="K86" s="98"/>
      <c r="L86" s="98"/>
      <c r="M86" s="98"/>
      <c r="N86" s="98"/>
      <c r="O86" s="98"/>
      <c r="P86" s="98"/>
      <c r="Q86" s="98"/>
      <c r="R86" s="98"/>
      <c r="S86" s="98"/>
      <c r="T86" s="98"/>
      <c r="U86" s="98"/>
      <c r="V86" s="98"/>
      <c r="W86" s="98"/>
    </row>
    <row r="87" spans="1:23" s="1" customFormat="1" ht="12.6" customHeight="1" x14ac:dyDescent="0.3">
      <c r="A87" s="98"/>
      <c r="B87" s="98"/>
      <c r="C87" s="98"/>
      <c r="D87" s="98"/>
      <c r="E87" s="98"/>
      <c r="F87" s="98"/>
      <c r="G87" s="98"/>
      <c r="H87" s="98"/>
      <c r="I87" s="98"/>
      <c r="J87" s="98"/>
      <c r="K87" s="98"/>
      <c r="L87" s="98"/>
      <c r="M87" s="98"/>
      <c r="N87" s="98"/>
      <c r="O87" s="98"/>
      <c r="P87" s="98"/>
      <c r="Q87" s="98"/>
      <c r="R87" s="98"/>
      <c r="S87" s="98"/>
      <c r="T87" s="98"/>
      <c r="U87" s="98"/>
      <c r="V87" s="98"/>
      <c r="W87" s="98"/>
    </row>
    <row r="88" spans="1:23" s="1" customFormat="1" ht="12.6" customHeight="1" x14ac:dyDescent="0.3">
      <c r="A88" s="98"/>
      <c r="B88" s="98"/>
      <c r="C88" s="98"/>
      <c r="D88" s="98"/>
      <c r="E88" s="98"/>
      <c r="F88" s="98"/>
      <c r="G88" s="98"/>
      <c r="H88" s="98"/>
      <c r="I88" s="98"/>
      <c r="J88" s="98"/>
      <c r="K88" s="98"/>
      <c r="L88" s="98"/>
      <c r="M88" s="98"/>
      <c r="N88" s="98"/>
      <c r="O88" s="98"/>
      <c r="P88" s="98"/>
      <c r="Q88" s="98"/>
      <c r="R88" s="98"/>
      <c r="S88" s="98"/>
      <c r="T88" s="98"/>
      <c r="U88" s="98"/>
      <c r="V88" s="98"/>
      <c r="W88" s="98"/>
    </row>
    <row r="89" spans="1:23" s="1" customFormat="1" ht="12.6" customHeight="1" x14ac:dyDescent="0.3"/>
    <row r="90" spans="1:23" s="1" customFormat="1" ht="12.6" customHeight="1" x14ac:dyDescent="0.3"/>
    <row r="91" spans="1:23" s="1" customFormat="1" x14ac:dyDescent="0.3"/>
    <row r="92" spans="1:23" s="1" customFormat="1" x14ac:dyDescent="0.3"/>
    <row r="93" spans="1:23" s="1" customFormat="1" x14ac:dyDescent="0.3"/>
    <row r="94" spans="1:23" s="1" customFormat="1" x14ac:dyDescent="0.3"/>
    <row r="95" spans="1:23" s="1" customFormat="1" x14ac:dyDescent="0.3"/>
    <row r="96" spans="1:23" s="1" customFormat="1" x14ac:dyDescent="0.3"/>
    <row r="97" s="1" customFormat="1" x14ac:dyDescent="0.3"/>
    <row r="98" s="1" customFormat="1" x14ac:dyDescent="0.3"/>
    <row r="99" s="1" customFormat="1" x14ac:dyDescent="0.3"/>
    <row r="100" s="1" customFormat="1" x14ac:dyDescent="0.3"/>
    <row r="101" s="1" customFormat="1" x14ac:dyDescent="0.3"/>
    <row r="102" s="1" customFormat="1" x14ac:dyDescent="0.3"/>
    <row r="103" s="1" customFormat="1" x14ac:dyDescent="0.3"/>
    <row r="104" s="1" customFormat="1" x14ac:dyDescent="0.3"/>
    <row r="105" s="1" customFormat="1" x14ac:dyDescent="0.3"/>
    <row r="106" s="1" customFormat="1" x14ac:dyDescent="0.3"/>
    <row r="107" s="1" customFormat="1" x14ac:dyDescent="0.3"/>
    <row r="108" s="1" customFormat="1" x14ac:dyDescent="0.3"/>
    <row r="109" s="1" customFormat="1" x14ac:dyDescent="0.3"/>
    <row r="110" s="1" customFormat="1" x14ac:dyDescent="0.3"/>
    <row r="111" s="1" customFormat="1" x14ac:dyDescent="0.3"/>
    <row r="112" s="1" customFormat="1" x14ac:dyDescent="0.3"/>
    <row r="113" s="1" customFormat="1" x14ac:dyDescent="0.3"/>
    <row r="114" s="1" customFormat="1" x14ac:dyDescent="0.3"/>
    <row r="115" s="1" customFormat="1" x14ac:dyDescent="0.3"/>
    <row r="116" s="1" customFormat="1" x14ac:dyDescent="0.3"/>
    <row r="117" s="1" customFormat="1" x14ac:dyDescent="0.3"/>
    <row r="118" s="1" customFormat="1" x14ac:dyDescent="0.3"/>
    <row r="119" s="1" customFormat="1" x14ac:dyDescent="0.3"/>
    <row r="120" s="1" customFormat="1" x14ac:dyDescent="0.3"/>
    <row r="121" s="1" customFormat="1" x14ac:dyDescent="0.3"/>
  </sheetData>
  <pageMargins left="0.7" right="0.7" top="0.75" bottom="0.75" header="0.3" footer="0.3"/>
  <pageSetup paperSize="9" orientation="portrait" r:id="rId1"/>
  <headerFooter>
    <oddHeader>&amp;R&amp;"Arial"&amp;10&amp;K000000 ECB-RESTRICTED&amp;1#_x000D_</oddHeader>
  </headerFooter>
  <drawing r:id="rId2"/>
  <legacyDrawing r:id="rId3"/>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B13A3D-A302-4290-88E5-FD84FC044DCD}">
  <sheetPr>
    <tabColor rgb="FF92D050"/>
  </sheetPr>
  <dimension ref="A1:FQ62"/>
  <sheetViews>
    <sheetView zoomScale="85" zoomScaleNormal="85" workbookViewId="0">
      <selection activeCell="D9" sqref="D9"/>
    </sheetView>
  </sheetViews>
  <sheetFormatPr baseColWidth="10" defaultColWidth="8.6640625" defaultRowHeight="14.4" x14ac:dyDescent="0.3"/>
  <cols>
    <col min="1" max="1" width="4.33203125" customWidth="1"/>
    <col min="3" max="3" width="15.6640625" customWidth="1"/>
    <col min="4" max="7" width="14.5546875" customWidth="1"/>
    <col min="8" max="15" width="18" customWidth="1"/>
    <col min="16" max="17" width="18.6640625" customWidth="1"/>
    <col min="18" max="18" width="15.33203125" customWidth="1"/>
    <col min="19" max="22" width="18" customWidth="1"/>
    <col min="23" max="31" width="14.6640625" customWidth="1"/>
    <col min="32" max="32" width="15.33203125" customWidth="1"/>
    <col min="33" max="33" width="14.6640625" customWidth="1"/>
    <col min="34" max="41" width="13.5546875" customWidth="1"/>
    <col min="42" max="42" width="15.5546875" customWidth="1"/>
    <col min="43" max="43" width="13" customWidth="1"/>
    <col min="44" max="44" width="11.33203125" customWidth="1"/>
    <col min="45" max="45" width="12.33203125" customWidth="1"/>
    <col min="46" max="50" width="11.33203125" customWidth="1"/>
    <col min="51" max="51" width="13.44140625" customWidth="1"/>
    <col min="52" max="59" width="9.6640625" customWidth="1"/>
    <col min="60" max="60" width="16.44140625" customWidth="1"/>
    <col min="61" max="61" width="16.33203125" customWidth="1"/>
    <col min="62" max="63" width="15.33203125" customWidth="1"/>
    <col min="68" max="68" width="11.44140625" bestFit="1" customWidth="1"/>
    <col min="69" max="69" width="13.5546875" customWidth="1"/>
    <col min="70" max="70" width="13.6640625" customWidth="1"/>
    <col min="71" max="71" width="12.44140625" customWidth="1"/>
    <col min="72" max="77" width="12.6640625" customWidth="1"/>
    <col min="78" max="80" width="11.33203125" customWidth="1"/>
    <col min="81" max="85" width="11.6640625" hidden="1" customWidth="1"/>
    <col min="86" max="86" width="13.33203125" hidden="1" customWidth="1"/>
    <col min="87" max="88" width="11.6640625" hidden="1" customWidth="1"/>
    <col min="89" max="94" width="12.6640625" customWidth="1"/>
    <col min="95" max="96" width="11.33203125" customWidth="1"/>
    <col min="97" max="104" width="11.6640625" customWidth="1"/>
    <col min="105" max="108" width="13.44140625" customWidth="1"/>
    <col min="110" max="130" width="0.5546875" customWidth="1"/>
    <col min="131" max="132" width="15.5546875" customWidth="1"/>
    <col min="133" max="133" width="15.33203125" customWidth="1"/>
    <col min="134" max="134" width="14.5546875" customWidth="1"/>
    <col min="135" max="135" width="16.5546875" customWidth="1"/>
    <col min="136" max="138" width="18" customWidth="1"/>
    <col min="139" max="142" width="15.33203125" customWidth="1"/>
    <col min="143" max="143" width="11" customWidth="1"/>
    <col min="144" max="145" width="16" customWidth="1"/>
    <col min="146" max="146" width="9.33203125" customWidth="1"/>
    <col min="147" max="150" width="17" customWidth="1"/>
    <col min="153" max="153" width="10.6640625" customWidth="1"/>
    <col min="156" max="157" width="11.33203125" customWidth="1"/>
    <col min="158" max="161" width="9.6640625" customWidth="1"/>
    <col min="162" max="165" width="11.5546875" customWidth="1"/>
  </cols>
  <sheetData>
    <row r="1" spans="1:173" ht="15" thickBot="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ht="18" customHeight="1" thickBot="1" x14ac:dyDescent="0.35">
      <c r="A2" s="1"/>
      <c r="B2" s="2" t="s">
        <v>653</v>
      </c>
      <c r="C2" s="3"/>
      <c r="D2" s="3"/>
      <c r="E2" s="3"/>
      <c r="F2" s="3"/>
      <c r="G2" s="3"/>
      <c r="H2" s="4"/>
      <c r="I2" s="57" t="str">
        <f>$C$7&amp;C8</f>
        <v>1AT</v>
      </c>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18" customHeight="1" x14ac:dyDescent="0.3">
      <c r="A3" s="1"/>
      <c r="B3" s="5" t="s">
        <v>0</v>
      </c>
      <c r="C3" s="6"/>
      <c r="D3" s="6"/>
      <c r="E3" s="6"/>
      <c r="F3" s="6"/>
      <c r="G3" s="6"/>
      <c r="H3" s="7"/>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18" customHeight="1" x14ac:dyDescent="0.3">
      <c r="A4" s="1"/>
      <c r="B4" s="8" t="s">
        <v>1</v>
      </c>
      <c r="C4" s="9"/>
      <c r="D4" s="9"/>
      <c r="E4" s="9"/>
      <c r="F4" s="9"/>
      <c r="G4" s="9"/>
      <c r="H4" s="10"/>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12.6" customHeight="1" x14ac:dyDescent="0.3">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row>
    <row r="6" spans="1:173" ht="12.6" customHeight="1" x14ac:dyDescent="0.3">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row>
    <row r="7" spans="1:173" ht="12.6" customHeight="1" x14ac:dyDescent="0.3">
      <c r="A7" s="1"/>
      <c r="B7" s="1"/>
      <c r="C7" s="126" t="s">
        <v>257</v>
      </c>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c r="EU7" s="1"/>
      <c r="EV7" s="1"/>
      <c r="EW7" s="1"/>
      <c r="EX7" s="1"/>
      <c r="EY7" s="1"/>
      <c r="EZ7" s="1"/>
      <c r="FA7" s="1"/>
      <c r="FB7" s="1"/>
      <c r="FC7" s="1"/>
      <c r="FD7" s="1"/>
      <c r="FE7" s="1"/>
      <c r="FF7" s="1"/>
      <c r="FG7" s="1"/>
      <c r="FH7" s="1"/>
      <c r="FI7" s="1"/>
      <c r="FJ7" s="1"/>
      <c r="FK7" s="1"/>
      <c r="FL7" s="1"/>
      <c r="FM7" s="1"/>
      <c r="FN7" s="1"/>
      <c r="FO7" s="1"/>
      <c r="FP7" s="1"/>
      <c r="FQ7" s="1"/>
    </row>
    <row r="8" spans="1:173" ht="17.25" customHeight="1" x14ac:dyDescent="0.3">
      <c r="A8" s="1"/>
      <c r="B8" s="11" t="s">
        <v>2</v>
      </c>
      <c r="C8" s="12" t="s">
        <v>3</v>
      </c>
      <c r="D8" s="177" t="str" cm="1">
        <f t="array" aca="1" ref="D8" ca="1">IF(ISBLANK(INDIRECT("'" &amp; $I$2 &amp; "'!" &amp; ADDRESS(ROW(),COLUMN()))), "", INDIRECT("'" &amp; $I$2 &amp; "'!" &amp; ADDRESS(ROW(),COLUMN())))</f>
        <v>Austria</v>
      </c>
      <c r="E8" s="29" t="str" cm="1">
        <f t="array" aca="1" ref="E8" ca="1">IF(ISBLANK(INDIRECT("'" &amp; $I$2 &amp; "'!" &amp; ADDRESS(ROW(),COLUMN()))), "", INDIRECT("'" &amp; $I$2 &amp; "'!" &amp; ADDRESS(ROW(),COLUMN())))</f>
        <v>Updated: 21/01/2025</v>
      </c>
      <c r="F8" s="178"/>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row>
    <row r="9" spans="1:173" ht="10.35" customHeight="1" x14ac:dyDescent="0.3">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56"/>
      <c r="CD9" s="56"/>
      <c r="CE9" s="56"/>
      <c r="CF9" s="56"/>
      <c r="CG9" s="56"/>
      <c r="CH9" s="56"/>
      <c r="CI9" s="56"/>
      <c r="CJ9" s="56"/>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row>
    <row r="10" spans="1:173" x14ac:dyDescent="0.3">
      <c r="A10" s="1"/>
      <c r="B10" s="1"/>
      <c r="C10" s="13" t="s">
        <v>6</v>
      </c>
      <c r="D10" s="14"/>
      <c r="E10" s="14"/>
      <c r="F10" s="14"/>
      <c r="G10" s="14"/>
      <c r="H10" s="14"/>
      <c r="I10" s="14"/>
      <c r="J10" s="14"/>
      <c r="K10" s="14"/>
      <c r="L10" s="14"/>
      <c r="M10" s="14"/>
      <c r="N10" s="14"/>
      <c r="O10" s="14"/>
      <c r="P10" s="15" t="s">
        <v>7</v>
      </c>
      <c r="Q10" s="16"/>
      <c r="R10" s="16"/>
      <c r="S10" s="16"/>
      <c r="T10" s="16"/>
      <c r="U10" s="16"/>
      <c r="V10" s="16"/>
      <c r="W10" s="13" t="s">
        <v>258</v>
      </c>
      <c r="X10" s="17"/>
      <c r="Y10" s="17"/>
      <c r="Z10" s="17"/>
      <c r="AA10" s="17"/>
      <c r="AB10" s="17"/>
      <c r="AC10" s="17"/>
      <c r="AD10" s="13" t="s">
        <v>259</v>
      </c>
      <c r="AE10" s="17"/>
      <c r="AF10" s="17"/>
      <c r="AG10" s="18"/>
      <c r="AH10" s="19" t="s">
        <v>260</v>
      </c>
      <c r="AI10" s="20"/>
      <c r="AJ10" s="16"/>
      <c r="AK10" s="16"/>
      <c r="AL10" s="16"/>
      <c r="AM10" s="16"/>
      <c r="AN10" s="16"/>
      <c r="AO10" s="16"/>
      <c r="AP10" s="21"/>
      <c r="AQ10" s="19" t="s">
        <v>9</v>
      </c>
      <c r="AR10" s="16"/>
      <c r="AS10" s="16"/>
      <c r="AT10" s="16"/>
      <c r="AU10" s="16"/>
      <c r="AV10" s="16"/>
      <c r="AW10" s="16"/>
      <c r="AX10" s="16"/>
      <c r="AY10" s="21"/>
      <c r="AZ10" s="22" t="s">
        <v>10</v>
      </c>
      <c r="BA10" s="23"/>
      <c r="BB10" s="23"/>
      <c r="BC10" s="23"/>
      <c r="BD10" s="23"/>
      <c r="BE10" s="23"/>
      <c r="BF10" s="23"/>
      <c r="BG10" s="23"/>
      <c r="BH10" s="23"/>
      <c r="BI10" s="23"/>
      <c r="BJ10" s="23"/>
      <c r="BK10" s="23"/>
      <c r="BL10" s="23"/>
      <c r="BM10" s="23"/>
      <c r="BN10" s="23"/>
      <c r="BO10" s="23"/>
      <c r="BP10" s="23"/>
      <c r="BQ10" s="23"/>
      <c r="BR10" s="24"/>
      <c r="BS10" s="11"/>
      <c r="BT10" s="19" t="s">
        <v>11</v>
      </c>
      <c r="BU10" s="16"/>
      <c r="BV10" s="16"/>
      <c r="BW10" s="16"/>
      <c r="BX10" s="16"/>
      <c r="BY10" s="16"/>
      <c r="BZ10" s="16"/>
      <c r="CA10" s="16"/>
      <c r="CB10" s="16"/>
      <c r="CC10" s="58" t="s">
        <v>12</v>
      </c>
      <c r="CD10" s="59"/>
      <c r="CE10" s="59"/>
      <c r="CF10" s="59"/>
      <c r="CG10" s="59"/>
      <c r="CH10" s="59"/>
      <c r="CI10" s="59"/>
      <c r="CJ10" s="59"/>
      <c r="CK10" s="19" t="s">
        <v>13</v>
      </c>
      <c r="CL10" s="16"/>
      <c r="CM10" s="16"/>
      <c r="CN10" s="16"/>
      <c r="CO10" s="16"/>
      <c r="CP10" s="16"/>
      <c r="CQ10" s="16"/>
      <c r="CR10" s="16"/>
      <c r="CS10" s="19" t="s">
        <v>14</v>
      </c>
      <c r="CT10" s="59"/>
      <c r="CU10" s="59"/>
      <c r="CV10" s="59"/>
      <c r="CW10" s="59"/>
      <c r="CX10" s="59"/>
      <c r="CY10" s="59"/>
      <c r="CZ10" s="59"/>
      <c r="DA10" s="15" t="s">
        <v>15</v>
      </c>
      <c r="DB10" s="60"/>
      <c r="DC10" s="60"/>
      <c r="DD10" s="8" t="s">
        <v>16</v>
      </c>
      <c r="DE10" s="10"/>
      <c r="DF10" s="1"/>
      <c r="DG10" s="1"/>
      <c r="DH10" s="1"/>
      <c r="DI10" s="1"/>
      <c r="DJ10" s="1"/>
      <c r="DK10" s="1"/>
      <c r="DL10" s="1"/>
      <c r="DM10" s="1"/>
      <c r="DN10" s="1"/>
      <c r="DO10" s="1"/>
      <c r="DP10" s="1"/>
      <c r="DQ10" s="1"/>
      <c r="DR10" s="1"/>
      <c r="DS10" s="1"/>
      <c r="DT10" s="1"/>
      <c r="DU10" s="1"/>
      <c r="DV10" s="1"/>
      <c r="DW10" s="1"/>
      <c r="DX10" s="1"/>
      <c r="DY10" s="1"/>
      <c r="DZ10" s="1"/>
      <c r="EA10" s="13" t="s">
        <v>17</v>
      </c>
      <c r="EB10" s="14"/>
      <c r="EC10" s="14"/>
      <c r="ED10" s="14"/>
      <c r="EE10" s="14"/>
      <c r="EF10" s="14"/>
      <c r="EG10" s="14"/>
      <c r="EH10" s="14"/>
      <c r="EI10" s="14"/>
      <c r="EJ10" s="14"/>
      <c r="EK10" s="14"/>
      <c r="EL10" s="14"/>
      <c r="EM10" s="14"/>
      <c r="EN10" s="15" t="s">
        <v>18</v>
      </c>
      <c r="EO10" s="16"/>
      <c r="EP10" s="16"/>
      <c r="EQ10" s="16"/>
      <c r="ER10" s="16"/>
      <c r="ES10" s="16"/>
      <c r="ET10" s="16"/>
      <c r="EU10" s="16"/>
      <c r="EV10" s="13" t="s">
        <v>261</v>
      </c>
      <c r="EW10" s="14"/>
      <c r="EX10" s="14"/>
      <c r="EY10" s="61"/>
      <c r="EZ10" s="62" t="s">
        <v>19</v>
      </c>
      <c r="FA10" s="10"/>
      <c r="FB10" s="14" t="s">
        <v>262</v>
      </c>
      <c r="FC10" s="17"/>
      <c r="FD10" s="17"/>
      <c r="FE10" s="17"/>
      <c r="FF10" s="17"/>
      <c r="FG10" s="17"/>
      <c r="FH10" s="17"/>
      <c r="FI10" s="18"/>
      <c r="FJ10" s="1"/>
      <c r="FK10" s="1"/>
      <c r="FL10" s="1"/>
      <c r="FM10" s="1"/>
      <c r="FN10" s="1"/>
      <c r="FO10" s="1"/>
      <c r="FP10" s="1"/>
      <c r="FQ10" s="1"/>
    </row>
    <row r="11" spans="1:173" ht="78.75" customHeight="1" x14ac:dyDescent="0.3">
      <c r="A11" s="1"/>
      <c r="B11" s="25" t="s">
        <v>20</v>
      </c>
      <c r="C11" s="26" t="s">
        <v>21</v>
      </c>
      <c r="D11" s="27" t="s">
        <v>22</v>
      </c>
      <c r="E11" s="27" t="s">
        <v>23</v>
      </c>
      <c r="F11" s="27" t="s">
        <v>24</v>
      </c>
      <c r="G11" s="27" t="s">
        <v>263</v>
      </c>
      <c r="H11" s="27" t="s">
        <v>264</v>
      </c>
      <c r="I11" s="27" t="s">
        <v>265</v>
      </c>
      <c r="J11" s="121" t="s">
        <v>266</v>
      </c>
      <c r="K11" s="27" t="s">
        <v>29</v>
      </c>
      <c r="L11" s="27" t="s">
        <v>30</v>
      </c>
      <c r="M11" s="27" t="s">
        <v>31</v>
      </c>
      <c r="N11" s="27" t="s">
        <v>32</v>
      </c>
      <c r="O11" s="27" t="s">
        <v>33</v>
      </c>
      <c r="P11" s="26" t="s">
        <v>21</v>
      </c>
      <c r="Q11" s="27" t="s">
        <v>22</v>
      </c>
      <c r="R11" s="27" t="s">
        <v>34</v>
      </c>
      <c r="S11" s="27" t="s">
        <v>29</v>
      </c>
      <c r="T11" s="27" t="s">
        <v>30</v>
      </c>
      <c r="U11" s="27" t="s">
        <v>31</v>
      </c>
      <c r="V11" s="27" t="s">
        <v>32</v>
      </c>
      <c r="W11" s="27" t="s">
        <v>22</v>
      </c>
      <c r="X11" s="27" t="s">
        <v>23</v>
      </c>
      <c r="Y11" s="27" t="s">
        <v>35</v>
      </c>
      <c r="Z11" s="27" t="s">
        <v>36</v>
      </c>
      <c r="AA11" s="27" t="s">
        <v>26</v>
      </c>
      <c r="AB11" s="27" t="s">
        <v>27</v>
      </c>
      <c r="AC11" s="27" t="s">
        <v>28</v>
      </c>
      <c r="AD11" s="27" t="s">
        <v>29</v>
      </c>
      <c r="AE11" s="27" t="s">
        <v>30</v>
      </c>
      <c r="AF11" s="27" t="s">
        <v>31</v>
      </c>
      <c r="AG11" s="27" t="s">
        <v>32</v>
      </c>
      <c r="AH11" s="27" t="s">
        <v>37</v>
      </c>
      <c r="AI11" s="27" t="s">
        <v>38</v>
      </c>
      <c r="AJ11" s="27" t="s">
        <v>39</v>
      </c>
      <c r="AK11" s="27" t="s">
        <v>40</v>
      </c>
      <c r="AL11" s="27" t="s">
        <v>41</v>
      </c>
      <c r="AM11" s="27" t="s">
        <v>42</v>
      </c>
      <c r="AN11" s="121" t="s">
        <v>43</v>
      </c>
      <c r="AO11" s="27" t="s">
        <v>44</v>
      </c>
      <c r="AP11" s="27" t="s">
        <v>45</v>
      </c>
      <c r="AQ11" s="27" t="s">
        <v>37</v>
      </c>
      <c r="AR11" s="27" t="s">
        <v>38</v>
      </c>
      <c r="AS11" s="27" t="s">
        <v>39</v>
      </c>
      <c r="AT11" s="27" t="s">
        <v>40</v>
      </c>
      <c r="AU11" s="27" t="s">
        <v>41</v>
      </c>
      <c r="AV11" s="27" t="s">
        <v>42</v>
      </c>
      <c r="AW11" s="121" t="s">
        <v>43</v>
      </c>
      <c r="AX11" s="27" t="s">
        <v>44</v>
      </c>
      <c r="AY11" s="27" t="s">
        <v>45</v>
      </c>
      <c r="AZ11" s="27" t="s">
        <v>267</v>
      </c>
      <c r="BA11" s="27" t="s">
        <v>268</v>
      </c>
      <c r="BB11" s="27" t="s">
        <v>269</v>
      </c>
      <c r="BC11" s="27" t="s">
        <v>270</v>
      </c>
      <c r="BD11" s="27" t="s">
        <v>46</v>
      </c>
      <c r="BE11" s="27" t="s">
        <v>47</v>
      </c>
      <c r="BF11" s="27" t="s">
        <v>48</v>
      </c>
      <c r="BG11" s="27" t="s">
        <v>49</v>
      </c>
      <c r="BH11" s="27" t="s">
        <v>50</v>
      </c>
      <c r="BI11" s="27" t="s">
        <v>51</v>
      </c>
      <c r="BJ11" s="27" t="s">
        <v>52</v>
      </c>
      <c r="BK11" s="27" t="s">
        <v>53</v>
      </c>
      <c r="BL11" s="27" t="s">
        <v>54</v>
      </c>
      <c r="BM11" s="27" t="s">
        <v>55</v>
      </c>
      <c r="BN11" s="27" t="s">
        <v>56</v>
      </c>
      <c r="BO11" s="27" t="s">
        <v>57</v>
      </c>
      <c r="BP11" s="27" t="s">
        <v>271</v>
      </c>
      <c r="BQ11" s="27" t="s">
        <v>272</v>
      </c>
      <c r="BR11" s="27" t="s">
        <v>273</v>
      </c>
      <c r="BS11" s="27" t="s">
        <v>58</v>
      </c>
      <c r="BT11" s="27" t="s">
        <v>59</v>
      </c>
      <c r="BU11" s="27" t="s">
        <v>60</v>
      </c>
      <c r="BV11" s="27" t="s">
        <v>61</v>
      </c>
      <c r="BW11" s="27" t="s">
        <v>62</v>
      </c>
      <c r="BX11" s="27" t="s">
        <v>63</v>
      </c>
      <c r="BY11" s="27" t="s">
        <v>64</v>
      </c>
      <c r="BZ11" s="27" t="s">
        <v>65</v>
      </c>
      <c r="CA11" s="27" t="s">
        <v>66</v>
      </c>
      <c r="CB11" s="27" t="s">
        <v>67</v>
      </c>
      <c r="CC11" s="63" t="s">
        <v>68</v>
      </c>
      <c r="CD11" s="63" t="s">
        <v>69</v>
      </c>
      <c r="CE11" s="63" t="s">
        <v>70</v>
      </c>
      <c r="CF11" s="63" t="s">
        <v>71</v>
      </c>
      <c r="CG11" s="63" t="s">
        <v>72</v>
      </c>
      <c r="CH11" s="63" t="s">
        <v>73</v>
      </c>
      <c r="CI11" s="63" t="s">
        <v>74</v>
      </c>
      <c r="CJ11" s="63" t="s">
        <v>75</v>
      </c>
      <c r="CK11" s="27" t="s">
        <v>76</v>
      </c>
      <c r="CL11" s="27" t="s">
        <v>77</v>
      </c>
      <c r="CM11" s="27" t="s">
        <v>78</v>
      </c>
      <c r="CN11" s="27" t="s">
        <v>79</v>
      </c>
      <c r="CO11" s="27" t="s">
        <v>80</v>
      </c>
      <c r="CP11" s="27" t="s">
        <v>81</v>
      </c>
      <c r="CQ11" s="27" t="s">
        <v>82</v>
      </c>
      <c r="CR11" s="27" t="s">
        <v>83</v>
      </c>
      <c r="CS11" s="128" t="s">
        <v>84</v>
      </c>
      <c r="CT11" s="128" t="s">
        <v>85</v>
      </c>
      <c r="CU11" s="128" t="s">
        <v>86</v>
      </c>
      <c r="CV11" s="128" t="s">
        <v>87</v>
      </c>
      <c r="CW11" s="128" t="s">
        <v>88</v>
      </c>
      <c r="CX11" s="128" t="s">
        <v>89</v>
      </c>
      <c r="CY11" s="128" t="s">
        <v>90</v>
      </c>
      <c r="CZ11" s="128" t="s">
        <v>91</v>
      </c>
      <c r="DA11" s="64" t="s">
        <v>92</v>
      </c>
      <c r="DB11" s="64" t="s">
        <v>93</v>
      </c>
      <c r="DC11" s="64" t="s">
        <v>94</v>
      </c>
      <c r="DD11" s="64" t="s">
        <v>95</v>
      </c>
      <c r="DE11" s="64" t="s">
        <v>96</v>
      </c>
      <c r="DF11" s="1"/>
      <c r="DG11" s="1"/>
      <c r="DH11" s="1"/>
      <c r="DI11" s="1"/>
      <c r="DJ11" s="1"/>
      <c r="DK11" s="1"/>
      <c r="DL11" s="1"/>
      <c r="DM11" s="1"/>
      <c r="DN11" s="1"/>
      <c r="DO11" s="1"/>
      <c r="DP11" s="1"/>
      <c r="DQ11" s="1"/>
      <c r="DR11" s="1"/>
      <c r="DS11" s="1"/>
      <c r="DT11" s="1"/>
      <c r="DU11" s="1"/>
      <c r="DV11" s="1"/>
      <c r="DW11" s="1"/>
      <c r="DX11" s="1"/>
      <c r="DY11" s="1"/>
      <c r="DZ11" s="1"/>
      <c r="EA11" s="26" t="s">
        <v>97</v>
      </c>
      <c r="EB11" s="27" t="s">
        <v>98</v>
      </c>
      <c r="EC11" s="27" t="s">
        <v>99</v>
      </c>
      <c r="ED11" s="27" t="s">
        <v>100</v>
      </c>
      <c r="EE11" s="27" t="s">
        <v>274</v>
      </c>
      <c r="EF11" s="27" t="s">
        <v>275</v>
      </c>
      <c r="EG11" s="27" t="s">
        <v>276</v>
      </c>
      <c r="EH11" s="121" t="s">
        <v>277</v>
      </c>
      <c r="EI11" s="27" t="s">
        <v>104</v>
      </c>
      <c r="EJ11" s="27" t="s">
        <v>105</v>
      </c>
      <c r="EK11" s="27" t="s">
        <v>106</v>
      </c>
      <c r="EL11" s="27" t="s">
        <v>107</v>
      </c>
      <c r="EM11" s="27" t="s">
        <v>33</v>
      </c>
      <c r="EN11" s="27" t="s">
        <v>97</v>
      </c>
      <c r="EO11" s="27" t="s">
        <v>98</v>
      </c>
      <c r="EP11" s="27" t="s">
        <v>108</v>
      </c>
      <c r="EQ11" s="27" t="s">
        <v>104</v>
      </c>
      <c r="ER11" s="27" t="s">
        <v>105</v>
      </c>
      <c r="ES11" s="27" t="s">
        <v>106</v>
      </c>
      <c r="ET11" s="27" t="s">
        <v>107</v>
      </c>
      <c r="EU11" s="27" t="s">
        <v>109</v>
      </c>
      <c r="EV11" s="64" t="s">
        <v>278</v>
      </c>
      <c r="EW11" s="27" t="s">
        <v>99</v>
      </c>
      <c r="EX11" s="64" t="s">
        <v>110</v>
      </c>
      <c r="EY11" s="64" t="s">
        <v>279</v>
      </c>
      <c r="EZ11" s="64" t="s">
        <v>111</v>
      </c>
      <c r="FA11" s="64" t="s">
        <v>112</v>
      </c>
      <c r="FB11" s="27" t="s">
        <v>280</v>
      </c>
      <c r="FC11" s="27" t="s">
        <v>281</v>
      </c>
      <c r="FD11" s="27" t="s">
        <v>282</v>
      </c>
      <c r="FE11" s="27" t="s">
        <v>283</v>
      </c>
      <c r="FF11" s="27" t="s">
        <v>284</v>
      </c>
      <c r="FG11" s="27" t="s">
        <v>285</v>
      </c>
      <c r="FH11" s="27" t="s">
        <v>286</v>
      </c>
      <c r="FI11" s="27" t="s">
        <v>287</v>
      </c>
      <c r="FJ11" s="1"/>
      <c r="FK11" s="1"/>
      <c r="FL11" s="1"/>
      <c r="FM11" s="1"/>
      <c r="FN11" s="1"/>
      <c r="FO11" s="1"/>
      <c r="FP11" s="1"/>
      <c r="FQ11" s="1"/>
    </row>
    <row r="12" spans="1:173" x14ac:dyDescent="0.3">
      <c r="A12" s="1"/>
      <c r="B12" s="28">
        <v>1</v>
      </c>
      <c r="C12" s="29" cm="1">
        <f t="array" aca="1" ref="C12" ca="1">IF(ISBLANK(INDIRECT("'" &amp; $I$2 &amp; "'!" &amp; ADDRESS(ROW(),COLUMN()))), "", INDIRECT("'" &amp; $I$2 &amp; "'!" &amp; ADDRESS(ROW(),COLUMN())))</f>
        <v>-157020689.42639995</v>
      </c>
      <c r="D12" s="29" cm="1">
        <f t="array" aca="1" ref="D12" ca="1">IF(ISBLANK(INDIRECT("'" &amp; $I$2 &amp; "'!" &amp; ADDRESS(ROW(),COLUMN()))), "", INDIRECT("'" &amp; $I$2 &amp; "'!" &amp; ADDRESS(ROW(),COLUMN())))</f>
        <v>-156150238.94399992</v>
      </c>
      <c r="E12" s="29" cm="1">
        <f t="array" aca="1" ref="E12" ca="1">IF(ISBLANK(INDIRECT("'" &amp; $I$2 &amp; "'!" &amp; ADDRESS(ROW(),COLUMN()))), "", INDIRECT("'" &amp; $I$2 &amp; "'!" &amp; ADDRESS(ROW(),COLUMN())))</f>
        <v>-158594828.11320007</v>
      </c>
      <c r="F12" s="29" cm="1">
        <f t="array" aca="1" ref="F12" ca="1">IF(ISBLANK(INDIRECT("'" &amp; $I$2 &amp; "'!" &amp; ADDRESS(ROW(),COLUMN()))), "", INDIRECT("'" &amp; $I$2 &amp; "'!" &amp; ADDRESS(ROW(),COLUMN())))</f>
        <v>-156880577.99880004</v>
      </c>
      <c r="G12" s="29" cm="1">
        <f t="array" aca="1" ref="G12" ca="1">IF(ISBLANK(INDIRECT("'" &amp; $I$2 &amp; "'!" &amp; ADDRESS(ROW(),COLUMN()))), "", INDIRECT("'" &amp; $I$2 &amp; "'!" &amp; ADDRESS(ROW(),COLUMN())))</f>
        <v>-157182226.04280001</v>
      </c>
      <c r="H12" s="29" cm="1">
        <f t="array" aca="1" ref="H12" ca="1">IF(ISBLANK(INDIRECT("'" &amp; $I$2 &amp; "'!" &amp; ADDRESS(ROW(),COLUMN()))), "", INDIRECT("'" &amp; $I$2 &amp; "'!" &amp; ADDRESS(ROW(),COLUMN())))</f>
        <v>-157255637.05079997</v>
      </c>
      <c r="I12" s="29" cm="1">
        <f t="array" aca="1" ref="I12" ca="1">IF(ISBLANK(INDIRECT("'" &amp; $I$2 &amp; "'!" &amp; ADDRESS(ROW(),COLUMN()))), 0, INDIRECT("'" &amp; $I$2 &amp; "'!" &amp; ADDRESS(ROW(),COLUMN())))</f>
        <v>0</v>
      </c>
      <c r="J12" s="366" cm="1">
        <f t="array" aca="1" ref="J12" ca="1">IF(ISBLANK(INDIRECT("'" &amp; $I$2 &amp; "'!" &amp; ADDRESS(ROW(),COLUMN()))), 0, INDIRECT("'" &amp; $I$2 &amp; "'!" &amp; ADDRESS(ROW(),COLUMN())))</f>
        <v>0</v>
      </c>
      <c r="K12" s="65" t="s">
        <v>113</v>
      </c>
      <c r="L12" s="65" t="s">
        <v>113</v>
      </c>
      <c r="M12" s="65" t="s">
        <v>113</v>
      </c>
      <c r="N12" s="65" t="s">
        <v>113</v>
      </c>
      <c r="O12" s="30">
        <f ca="1">C12/C$22*100</f>
        <v>-0.4473443827354564</v>
      </c>
      <c r="P12" s="29" cm="1">
        <f t="array" aca="1" ref="P12" ca="1">IF(ISBLANK(INDIRECT("'" &amp; $I$2 &amp; "'!" &amp; ADDRESS(ROW(),COLUMN()))), "", INDIRECT("'" &amp; $I$2 &amp; "'!" &amp; ADDRESS(ROW(),COLUMN())))</f>
        <v>3225788429.1815996</v>
      </c>
      <c r="Q12" s="29" cm="1">
        <f t="array" aca="1" ref="Q12" ca="1">IF(ISBLANK(INDIRECT("'" &amp; $I$2 &amp; "'!" &amp; ADDRESS(ROW(),COLUMN()))), "", INDIRECT("'" &amp; $I$2 &amp; "'!" &amp; ADDRESS(ROW(),COLUMN())))</f>
        <v>3258046791.7211981</v>
      </c>
      <c r="R12" s="30">
        <f t="shared" ref="R12:R21" ca="1" si="0">(Q12/P12-1)*100</f>
        <v>1.000014825764084</v>
      </c>
      <c r="S12" s="65" t="s">
        <v>113</v>
      </c>
      <c r="T12" s="65" t="s">
        <v>113</v>
      </c>
      <c r="U12" s="65" t="s">
        <v>113</v>
      </c>
      <c r="V12" s="65" t="s">
        <v>113</v>
      </c>
      <c r="W12" s="132">
        <f ca="1">IF(D12&lt;&gt;0,((D12-$C12)/ABS($C12)) / ($Q12/$P12-1),0)</f>
        <v>0.55434578760135611</v>
      </c>
      <c r="X12" s="132">
        <f ca="1">IF(E12&lt;&gt;0,((E12-$C12)/ABS($C12)) / ($Q12/$P12-1),0)</f>
        <v>-1.0024891338126143</v>
      </c>
      <c r="Y12" s="132">
        <f ca="1">IF(F12&lt;&gt;0,((F12-$C12)/ABS($C12)) / ($Q12/$P12-1),0)</f>
        <v>8.9229865747981946E-2</v>
      </c>
      <c r="Z12" s="132">
        <f ca="1">IF(G12&lt;&gt;0,((G12-$C12)/ABS($C12)) / ($Q12/$P12-1),0)</f>
        <v>-0.10287448241495513</v>
      </c>
      <c r="AA12" s="132">
        <f ca="1">IF(H12&lt;&gt;0,((H12-$C12)/ABS($C12)) / ($Q12/$P12-1),0)</f>
        <v>-0.14962623207926665</v>
      </c>
      <c r="AB12" s="132">
        <f t="shared" ref="AB12:AC21" ca="1" si="1">IF(I12&lt;&gt;0,((I12-$C12)/ABS($C12)) / ($Q12/$P12-1),AA12)</f>
        <v>-0.14962623207926665</v>
      </c>
      <c r="AC12" s="132">
        <f t="shared" ca="1" si="1"/>
        <v>-0.14962623207926665</v>
      </c>
      <c r="AD12" s="65" t="s">
        <v>113</v>
      </c>
      <c r="AE12" s="65" t="s">
        <v>113</v>
      </c>
      <c r="AF12" s="65" t="s">
        <v>113</v>
      </c>
      <c r="AG12" s="65" t="s">
        <v>113</v>
      </c>
      <c r="AH12" s="133">
        <f t="shared" ref="AH12:AH22" ca="1" si="2">MIN(W12,1)</f>
        <v>0.55434578760135611</v>
      </c>
      <c r="AI12" s="134">
        <f ca="1">IF(W12&gt;1,MAX(W12-SUM(AH12,AJ12:AO12),0),0)</f>
        <v>0</v>
      </c>
      <c r="AJ12" s="134">
        <f t="shared" ref="AJ12:AJ22" ca="1" si="3">IF(W12&gt;1,MIN($W12-Y12,W12-AH12),0)</f>
        <v>0</v>
      </c>
      <c r="AK12" s="134">
        <f t="shared" ref="AK12:AK20" ca="1" si="4">IF(W12&gt;1,MAX(MIN(Y12-Z12,W12-AH12-AJ12),0),0)</f>
        <v>0</v>
      </c>
      <c r="AL12" s="134">
        <f ca="1">IF(W12&gt;1,MAX(MIN(Z12-AA12,W12-AH12-AJ12-AK12),0),0)</f>
        <v>0</v>
      </c>
      <c r="AM12" s="134">
        <f ca="1">IF(I12&lt;&gt;0,IF(W12&gt;1,MAX(MIN(AA12-AB12,W12-AH12-AJ12-AK12-AL12),0),0),0)</f>
        <v>0</v>
      </c>
      <c r="AN12" s="135">
        <f t="shared" ref="AN12:AN13" ca="1" si="5">IF(J12&lt;&gt;0,IF(W12&gt;1,MAX(MIN(AB12-AC12,W12-AH12-AJ12-AK12-AL12-AM12),0),0),0)</f>
        <v>0</v>
      </c>
      <c r="AO12" s="134">
        <f ca="1">IF(W12&gt;1,MAX(0,MIN(W12-AH12-AJ12-AK12-AL12-AM12,W12-AH12-AJ12-AK12-AL12-AM12-X12+1)),0)</f>
        <v>0</v>
      </c>
      <c r="AP12" s="134">
        <f t="shared" ref="AP12:AP22" ca="1" si="6">AI12+AO12</f>
        <v>0</v>
      </c>
      <c r="AQ12" s="136" t="s">
        <v>113</v>
      </c>
      <c r="AR12" s="137">
        <f t="shared" ref="AR12:AY22" ca="1" si="7">AI12/($W12-1)*100</f>
        <v>0</v>
      </c>
      <c r="AS12" s="137">
        <f t="shared" ca="1" si="7"/>
        <v>0</v>
      </c>
      <c r="AT12" s="137">
        <f t="shared" ca="1" si="7"/>
        <v>0</v>
      </c>
      <c r="AU12" s="137">
        <f t="shared" ca="1" si="7"/>
        <v>0</v>
      </c>
      <c r="AV12" s="137">
        <f t="shared" ca="1" si="7"/>
        <v>0</v>
      </c>
      <c r="AW12" s="138">
        <f t="shared" ca="1" si="7"/>
        <v>0</v>
      </c>
      <c r="AX12" s="137">
        <f t="shared" ca="1" si="7"/>
        <v>0</v>
      </c>
      <c r="AY12" s="137">
        <f t="shared" ca="1" si="7"/>
        <v>0</v>
      </c>
      <c r="AZ12" s="66" t="s">
        <v>113</v>
      </c>
      <c r="BA12" s="66" t="s">
        <v>113</v>
      </c>
      <c r="BB12" s="66" t="s">
        <v>113</v>
      </c>
      <c r="BC12" s="66" t="s">
        <v>113</v>
      </c>
      <c r="BD12" s="66" t="s">
        <v>113</v>
      </c>
      <c r="BE12" s="66" t="s">
        <v>113</v>
      </c>
      <c r="BF12" s="66" t="s">
        <v>113</v>
      </c>
      <c r="BG12" s="66" t="s">
        <v>113</v>
      </c>
      <c r="BH12" s="29" cm="1">
        <f t="array" aca="1" ref="BH12" ca="1">IF(ISBLANK(INDIRECT("'" &amp; $I$2 &amp; "'!" &amp; ADDRESS(ROW(),COLUMN()))), "", INDIRECT("'" &amp; $I$2 &amp; "'!" &amp; ADDRESS(ROW(),COLUMN())))</f>
        <v>1870473976.3439999</v>
      </c>
      <c r="BI12" s="29" cm="1">
        <f t="array" aca="1" ref="BI12" ca="1">IF(ISBLANK(INDIRECT("'" &amp; $I$2 &amp; "'!" &amp; ADDRESS(ROW(),COLUMN()))), "", INDIRECT("'" &amp; $I$2 &amp; "'!" &amp; ADDRESS(ROW(),COLUMN())))</f>
        <v>942204428.35919988</v>
      </c>
      <c r="BJ12" s="29" cm="1">
        <f t="array" aca="1" ref="BJ12" ca="1">IF(ISBLANK(INDIRECT("'" &amp; $I$2 &amp; "'!" &amp; ADDRESS(ROW(),COLUMN()))), "", INDIRECT("'" &amp; $I$2 &amp; "'!" &amp; ADDRESS(ROW(),COLUMN())))</f>
        <v>270713920.40759999</v>
      </c>
      <c r="BK12" s="29" cm="1">
        <f t="array" aca="1" ref="BK12" ca="1">IF(ISBLANK(INDIRECT("'" &amp; $I$2 &amp; "'!" &amp; ADDRESS(ROW(),COLUMN()))), "", INDIRECT("'" &amp; $I$2 &amp; "'!" &amp; ADDRESS(ROW(),COLUMN())))</f>
        <v>142395765.36360002</v>
      </c>
      <c r="BL12" s="67">
        <f ca="1">BH12/SUM($BH12:$BK12)</f>
        <v>0.579850233146877</v>
      </c>
      <c r="BM12" s="67">
        <f ca="1">BI12/SUM($BH12:$BK12)</f>
        <v>0.29208503532562641</v>
      </c>
      <c r="BN12" s="67">
        <f ca="1">BJ12/SUM($BH12:$BK12)</f>
        <v>8.3921793005252099E-2</v>
      </c>
      <c r="BO12" s="67">
        <f ca="1">BK12/SUM($BH12:$BK12)</f>
        <v>4.4142938522244539E-2</v>
      </c>
      <c r="BP12" s="66" t="s">
        <v>113</v>
      </c>
      <c r="BQ12" s="66" t="s">
        <v>113</v>
      </c>
      <c r="BR12" s="66" t="s">
        <v>113</v>
      </c>
      <c r="BS12" s="30">
        <f ca="1">P12/P$22*100</f>
        <v>1.2309505165171661</v>
      </c>
      <c r="BT12" s="66" t="s">
        <v>113</v>
      </c>
      <c r="BU12" s="66" t="s">
        <v>113</v>
      </c>
      <c r="BV12" s="66" t="s">
        <v>113</v>
      </c>
      <c r="BW12" s="66" t="s">
        <v>113</v>
      </c>
      <c r="BX12" s="66" t="s">
        <v>113</v>
      </c>
      <c r="BY12" s="66" t="s">
        <v>113</v>
      </c>
      <c r="BZ12" s="66" t="s">
        <v>113</v>
      </c>
      <c r="CA12" s="66"/>
      <c r="CB12" s="66"/>
      <c r="CC12" s="68" t="s">
        <v>113</v>
      </c>
      <c r="CD12" s="68" t="s">
        <v>113</v>
      </c>
      <c r="CE12" s="68" t="s">
        <v>113</v>
      </c>
      <c r="CF12" s="68" t="s">
        <v>113</v>
      </c>
      <c r="CG12" s="68" t="s">
        <v>113</v>
      </c>
      <c r="CH12" s="68" t="s">
        <v>113</v>
      </c>
      <c r="CI12" s="68" t="s">
        <v>113</v>
      </c>
      <c r="CJ12" s="68"/>
      <c r="CK12" s="66" t="s">
        <v>113</v>
      </c>
      <c r="CL12" s="66" t="s">
        <v>113</v>
      </c>
      <c r="CM12" s="66" t="s">
        <v>113</v>
      </c>
      <c r="CN12" s="66" t="s">
        <v>113</v>
      </c>
      <c r="CO12" s="66" t="s">
        <v>113</v>
      </c>
      <c r="CP12" s="66" t="s">
        <v>113</v>
      </c>
      <c r="CQ12" s="66" t="s">
        <v>113</v>
      </c>
      <c r="CR12" s="66"/>
      <c r="CS12" s="143" t="s">
        <v>113</v>
      </c>
      <c r="CT12" s="143" t="s">
        <v>113</v>
      </c>
      <c r="CU12" s="143" t="s">
        <v>113</v>
      </c>
      <c r="CV12" s="143" t="s">
        <v>113</v>
      </c>
      <c r="CW12" s="143" t="s">
        <v>113</v>
      </c>
      <c r="CX12" s="143" t="s">
        <v>113</v>
      </c>
      <c r="CY12" s="143" t="s">
        <v>113</v>
      </c>
      <c r="CZ12" s="143"/>
      <c r="DA12" s="66" t="s">
        <v>113</v>
      </c>
      <c r="DB12" s="66" t="s">
        <v>113</v>
      </c>
      <c r="DC12" s="66" t="s">
        <v>113</v>
      </c>
      <c r="DD12" s="69">
        <f ca="1">(1-DE12)*100</f>
        <v>17.164667748349537</v>
      </c>
      <c r="DE12" s="29" cm="1">
        <f t="array" aca="1" ref="DE12" ca="1">IF(ISBLANK(INDIRECT("'" &amp; $I$2 &amp; "'!" &amp; ADDRESS(ROW(),COLUMN()))), "", INDIRECT("'" &amp; $I$2 &amp; "'!" &amp; ADDRESS(ROW(),COLUMN())))</f>
        <v>0.82835332251650462</v>
      </c>
      <c r="DF12" s="1"/>
      <c r="DG12" s="1"/>
      <c r="DH12" s="1"/>
      <c r="DI12" s="1"/>
      <c r="DJ12" s="1"/>
      <c r="DK12" s="1"/>
      <c r="DL12" s="1"/>
      <c r="DM12" s="1"/>
      <c r="DN12" s="1"/>
      <c r="DO12" s="1"/>
      <c r="DP12" s="1"/>
      <c r="DQ12" s="1"/>
      <c r="DR12" s="1"/>
      <c r="DS12" s="1"/>
      <c r="DT12" s="1"/>
      <c r="DU12" s="1"/>
      <c r="DV12" s="1"/>
      <c r="DW12" s="1"/>
      <c r="DX12" s="1"/>
      <c r="DY12" s="1"/>
      <c r="DZ12" s="1"/>
      <c r="EA12" s="29" cm="1">
        <f t="array" aca="1" ref="EA12" ca="1">IF(ISBLANK(INDIRECT("'" &amp; $I$2 &amp; "'!" &amp; ADDRESS(ROW(),COLUMN()))), "", INDIRECT("'" &amp; $I$2 &amp; "'!" &amp; ADDRESS(ROW(),COLUMN())))</f>
        <v>-294038166.66480011</v>
      </c>
      <c r="EB12" s="29" cm="1">
        <f t="array" aca="1" ref="EB12" ca="1">IF(ISBLANK(INDIRECT("'" &amp; $I$2 &amp; "'!" &amp; ADDRESS(ROW(),COLUMN()))), "", INDIRECT("'" &amp; $I$2 &amp; "'!" &amp; ADDRESS(ROW(),COLUMN())))</f>
        <v>-293369510.74920005</v>
      </c>
      <c r="EC12" s="29" cm="1">
        <f t="array" aca="1" ref="EC12" ca="1">IF(ISBLANK(INDIRECT("'" &amp; $I$2 &amp; "'!" &amp; ADDRESS(ROW(),COLUMN()))), "", INDIRECT("'" &amp; $I$2 &amp; "'!" &amp; ADDRESS(ROW(),COLUMN())))</f>
        <v>-296928595.99919993</v>
      </c>
      <c r="ED12" s="29" cm="1">
        <f t="array" aca="1" ref="ED12" ca="1">IF(ISBLANK(INDIRECT("'" &amp; $I$2 &amp; "'!" &amp; ADDRESS(ROW(),COLUMN()))), "", INDIRECT("'" &amp; $I$2 &amp; "'!" &amp; ADDRESS(ROW(),COLUMN())))</f>
        <v>-294352762.3824001</v>
      </c>
      <c r="EE12" s="29" cm="1">
        <f t="array" aca="1" ref="EE12" ca="1">IF(ISBLANK(INDIRECT("'" &amp; $I$2 &amp; "'!" &amp; ADDRESS(ROW(),COLUMN()))), "", INDIRECT("'" &amp; $I$2 &amp; "'!" &amp; ADDRESS(ROW(),COLUMN())))</f>
        <v>-295462636.34399992</v>
      </c>
      <c r="EF12" s="29" cm="1">
        <f t="array" aca="1" ref="EF12" ca="1">IF(ISBLANK(INDIRECT("'" &amp; $I$2 &amp; "'!" &amp; ADDRESS(ROW(),COLUMN()))), "", INDIRECT("'" &amp; $I$2 &amp; "'!" &amp; ADDRESS(ROW(),COLUMN())))</f>
        <v>-295536170.31359994</v>
      </c>
      <c r="EG12" s="29" cm="1">
        <f t="array" aca="1" ref="EG12" ca="1">IF(ISBLANK(INDIRECT("'" &amp; $I$2 &amp; "'!" &amp; ADDRESS(ROW(),COLUMN()))), "", INDIRECT("'" &amp; $I$2 &amp; "'!" &amp; ADDRESS(ROW(),COLUMN())))</f>
        <v>-293507916.04320025</v>
      </c>
      <c r="EH12" s="122"/>
      <c r="EI12" s="65" t="s">
        <v>113</v>
      </c>
      <c r="EJ12" s="65" t="s">
        <v>113</v>
      </c>
      <c r="EK12" s="65" t="s">
        <v>113</v>
      </c>
      <c r="EL12" s="65" t="s">
        <v>113</v>
      </c>
      <c r="EM12" s="30">
        <f t="shared" ref="EM12:EM21" ca="1" si="8">EA12/EA$22*100</f>
        <v>-0.7478453120423495</v>
      </c>
      <c r="EN12" s="29" cm="1">
        <f t="array" aca="1" ref="EN12" ca="1">IF(ISBLANK(INDIRECT("'" &amp; $I$2 &amp; "'!" &amp; ADDRESS(ROW(),COLUMN()))), "", INDIRECT("'" &amp; $I$2 &amp; "'!" &amp; ADDRESS(ROW(),COLUMN())))</f>
        <v>3751777116.8843994</v>
      </c>
      <c r="EO12" s="29" cm="1">
        <f t="array" aca="1" ref="EO12" ca="1">IF(ISBLANK(INDIRECT("'" &amp; $I$2 &amp; "'!" &amp; ADDRESS(ROW(),COLUMN()))), "", INDIRECT("'" &amp; $I$2 &amp; "'!" &amp; ADDRESS(ROW(),COLUMN())))</f>
        <v>3789294514.5816002</v>
      </c>
      <c r="EP12" s="30">
        <f t="shared" ref="EP12:EP21" ca="1" si="9">(EO12/EN12-1)*100</f>
        <v>0.99999004547361992</v>
      </c>
      <c r="EQ12" s="65" t="s">
        <v>113</v>
      </c>
      <c r="ER12" s="65" t="s">
        <v>113</v>
      </c>
      <c r="ES12" s="65" t="s">
        <v>113</v>
      </c>
      <c r="ET12" s="65" t="s">
        <v>113</v>
      </c>
      <c r="EU12" s="30">
        <f ca="1">EN12/EN$22*100</f>
        <v>1.2228735999174538</v>
      </c>
      <c r="EV12" s="31">
        <f ca="1">((EB12-$EA12)/ABS($EA12)) / ($EO12/$EN12-1)</f>
        <v>0.22740672729793582</v>
      </c>
      <c r="EW12" s="31">
        <f ca="1">IF(EC12&lt;&gt;0,((EC12-$EA12)/ABS($EA12)) / ($EO12/$EN12-1),0)</f>
        <v>-0.98302140172040586</v>
      </c>
      <c r="EX12" s="31"/>
      <c r="EY12" s="70">
        <f t="shared" ref="EY12:EY22" ca="1" si="10">EV12-W12</f>
        <v>-0.32693906030342029</v>
      </c>
      <c r="EZ12" s="69">
        <f ca="1">(1-FA12)*100</f>
        <v>15.580745170439513</v>
      </c>
      <c r="FA12" s="179" cm="1">
        <f t="array" aca="1" ref="FA12" ca="1">IF(ISBLANK(INDIRECT("'" &amp; $I$2 &amp; "'!" &amp; ADDRESS(ROW(),COLUMN()))), "", INDIRECT("'" &amp; $I$2 &amp; "'!" &amp; ADDRESS(ROW(),COLUMN())))</f>
        <v>0.84419254829560486</v>
      </c>
      <c r="FB12" s="65" t="s">
        <v>113</v>
      </c>
      <c r="FC12" s="65" t="s">
        <v>113</v>
      </c>
      <c r="FD12" s="65" t="s">
        <v>113</v>
      </c>
      <c r="FE12" s="65" t="s">
        <v>113</v>
      </c>
      <c r="FF12" s="65" t="s">
        <v>113</v>
      </c>
      <c r="FG12" s="65" t="s">
        <v>113</v>
      </c>
      <c r="FH12" s="65" t="s">
        <v>113</v>
      </c>
      <c r="FI12" s="65" t="s">
        <v>113</v>
      </c>
      <c r="FJ12" s="1"/>
      <c r="FK12" s="1"/>
      <c r="FL12" s="1"/>
      <c r="FM12" s="1"/>
      <c r="FN12" s="1"/>
      <c r="FO12" s="1"/>
      <c r="FP12" s="1"/>
      <c r="FQ12" s="1"/>
    </row>
    <row r="13" spans="1:173" x14ac:dyDescent="0.3">
      <c r="A13" s="1"/>
      <c r="B13" s="28">
        <v>2</v>
      </c>
      <c r="C13" s="29" cm="1">
        <f t="array" aca="1" ref="C13" ca="1">IF(ISBLANK(INDIRECT("'" &amp; $I$2 &amp; "'!" &amp; ADDRESS(ROW(),COLUMN()))), "", INDIRECT("'" &amp; $I$2 &amp; "'!" &amp; ADDRESS(ROW(),COLUMN())))</f>
        <v>26423258.423999995</v>
      </c>
      <c r="D13" s="29" cm="1">
        <f t="array" aca="1" ref="D13" ca="1">IF(ISBLANK(INDIRECT("'" &amp; $I$2 &amp; "'!" &amp; ADDRESS(ROW(),COLUMN()))), "", INDIRECT("'" &amp; $I$2 &amp; "'!" &amp; ADDRESS(ROW(),COLUMN())))</f>
        <v>36796736.848800033</v>
      </c>
      <c r="E13" s="29" cm="1">
        <f t="array" aca="1" ref="E13" ca="1">IF(ISBLANK(INDIRECT("'" &amp; $I$2 &amp; "'!" &amp; ADDRESS(ROW(),COLUMN()))), "", INDIRECT("'" &amp; $I$2 &amp; "'!" &amp; ADDRESS(ROW(),COLUMN())))</f>
        <v>26681813.81399997</v>
      </c>
      <c r="F13" s="29" cm="1">
        <f t="array" aca="1" ref="F13" ca="1">IF(ISBLANK(INDIRECT("'" &amp; $I$2 &amp; "'!" &amp; ADDRESS(ROW(),COLUMN()))), "", INDIRECT("'" &amp; $I$2 &amp; "'!" &amp; ADDRESS(ROW(),COLUMN())))</f>
        <v>29820419.902799997</v>
      </c>
      <c r="G13" s="29" cm="1">
        <f t="array" aca="1" ref="G13" ca="1">IF(ISBLANK(INDIRECT("'" &amp; $I$2 &amp; "'!" &amp; ADDRESS(ROW(),COLUMN()))), "", INDIRECT("'" &amp; $I$2 &amp; "'!" &amp; ADDRESS(ROW(),COLUMN())))</f>
        <v>28947727.582800005</v>
      </c>
      <c r="H13" s="29" cm="1">
        <f t="array" aca="1" ref="H13" ca="1">IF(ISBLANK(INDIRECT("'" &amp; $I$2 &amp; "'!" &amp; ADDRESS(ROW(),COLUMN()))), "", INDIRECT("'" &amp; $I$2 &amp; "'!" &amp; ADDRESS(ROW(),COLUMN())))</f>
        <v>28621805.043600015</v>
      </c>
      <c r="I13" s="29" cm="1">
        <f t="array" aca="1" ref="I13" ca="1">IF(ISBLANK(INDIRECT("'" &amp; $I$2 &amp; "'!" &amp; ADDRESS(ROW(),COLUMN()))), 0, INDIRECT("'" &amp; $I$2 &amp; "'!" &amp; ADDRESS(ROW(),COLUMN())))</f>
        <v>0</v>
      </c>
      <c r="J13" s="366" cm="1">
        <f t="array" aca="1" ref="J13" ca="1">IF(ISBLANK(INDIRECT("'" &amp; $I$2 &amp; "'!" &amp; ADDRESS(ROW(),COLUMN()))), 0, INDIRECT("'" &amp; $I$2 &amp; "'!" &amp; ADDRESS(ROW(),COLUMN())))</f>
        <v>0</v>
      </c>
      <c r="K13" s="65" t="s">
        <v>113</v>
      </c>
      <c r="L13" s="65" t="s">
        <v>113</v>
      </c>
      <c r="M13" s="65" t="s">
        <v>113</v>
      </c>
      <c r="N13" s="65" t="s">
        <v>113</v>
      </c>
      <c r="O13" s="30">
        <f t="shared" ref="O13:O21" ca="1" si="11">C13/C$22*100</f>
        <v>7.527859081961448E-2</v>
      </c>
      <c r="P13" s="29" cm="1">
        <f t="array" aca="1" ref="P13" ca="1">IF(ISBLANK(INDIRECT("'" &amp; $I$2 &amp; "'!" &amp; ADDRESS(ROW(),COLUMN()))), "", INDIRECT("'" &amp; $I$2 &amp; "'!" &amp; ADDRESS(ROW(),COLUMN())))</f>
        <v>10371950238.945591</v>
      </c>
      <c r="Q13" s="29" cm="1">
        <f t="array" aca="1" ref="Q13" ca="1">IF(ISBLANK(INDIRECT("'" &amp; $I$2 &amp; "'!" &amp; ADDRESS(ROW(),COLUMN()))), "", INDIRECT("'" &amp; $I$2 &amp; "'!" &amp; ADDRESS(ROW(),COLUMN())))</f>
        <v>10475669660.404789</v>
      </c>
      <c r="R13" s="30">
        <f t="shared" ca="1" si="0"/>
        <v>0.99999921971996031</v>
      </c>
      <c r="S13" s="65" t="s">
        <v>113</v>
      </c>
      <c r="T13" s="65" t="s">
        <v>113</v>
      </c>
      <c r="U13" s="65" t="s">
        <v>113</v>
      </c>
      <c r="V13" s="65" t="s">
        <v>113</v>
      </c>
      <c r="W13" s="132">
        <f t="shared" ref="W13:AA22" ca="1" si="12">IF(D13&lt;&gt;0,((D13-$C13)/ABS($C13)) / ($Q13/$P13-1),0)</f>
        <v>39.258922395439207</v>
      </c>
      <c r="X13" s="132">
        <f t="shared" ca="1" si="12"/>
        <v>0.97851516870795285</v>
      </c>
      <c r="Y13" s="132">
        <f t="shared" ca="1" si="12"/>
        <v>12.856719163953496</v>
      </c>
      <c r="Z13" s="132">
        <f t="shared" ca="1" si="12"/>
        <v>9.5539735792066018</v>
      </c>
      <c r="AA13" s="132">
        <f t="shared" ca="1" si="12"/>
        <v>8.320504230797221</v>
      </c>
      <c r="AB13" s="132">
        <f t="shared" ca="1" si="1"/>
        <v>8.320504230797221</v>
      </c>
      <c r="AC13" s="132">
        <f t="shared" ca="1" si="1"/>
        <v>8.320504230797221</v>
      </c>
      <c r="AD13" s="65" t="s">
        <v>113</v>
      </c>
      <c r="AE13" s="65" t="s">
        <v>113</v>
      </c>
      <c r="AF13" s="65" t="s">
        <v>113</v>
      </c>
      <c r="AG13" s="65" t="s">
        <v>113</v>
      </c>
      <c r="AH13" s="133">
        <f t="shared" ca="1" si="2"/>
        <v>1</v>
      </c>
      <c r="AI13" s="134">
        <f t="shared" ref="AI13:AI22" ca="1" si="13">IF(W13&gt;1,MAX(W13-SUM(AH13,AJ13:AO13),0),0)</f>
        <v>0</v>
      </c>
      <c r="AJ13" s="134">
        <f t="shared" ca="1" si="3"/>
        <v>26.402203231485711</v>
      </c>
      <c r="AK13" s="134">
        <f t="shared" ca="1" si="4"/>
        <v>3.3027455847468943</v>
      </c>
      <c r="AL13" s="134">
        <f t="shared" ref="AL13:AL22" ca="1" si="14">IF(W13&gt;1,MAX(MIN(Z13-AA13,W13-AH13-AJ13-AK13),0),0)</f>
        <v>1.2334693484093808</v>
      </c>
      <c r="AM13" s="134">
        <f t="shared" ref="AM13:AM21" ca="1" si="15">IF(I13&lt;&gt;0,IF(W13&gt;1,MAX(MIN(AA13-AB13,W13-AH13-AJ13-AK13-AL13),0),0),0)</f>
        <v>0</v>
      </c>
      <c r="AN13" s="135">
        <f t="shared" ca="1" si="5"/>
        <v>0</v>
      </c>
      <c r="AO13" s="134">
        <f t="shared" ref="AO13:AO22" ca="1" si="16">IF(W13&gt;1,MAX(0,MIN(W13-AH13-AJ13-AK13-AL13-AM13,W13-AH13-AJ13-AK13-AL13-AM13-X13+1)),0)</f>
        <v>7.320504230797221</v>
      </c>
      <c r="AP13" s="134">
        <f t="shared" ca="1" si="6"/>
        <v>7.320504230797221</v>
      </c>
      <c r="AQ13" s="136" t="s">
        <v>113</v>
      </c>
      <c r="AR13" s="137">
        <f t="shared" ca="1" si="7"/>
        <v>0</v>
      </c>
      <c r="AS13" s="137">
        <f t="shared" ca="1" si="7"/>
        <v>69.009270461399836</v>
      </c>
      <c r="AT13" s="137">
        <f t="shared" ca="1" si="7"/>
        <v>8.6326152906507634</v>
      </c>
      <c r="AU13" s="137">
        <f t="shared" ca="1" si="7"/>
        <v>3.2240044182645899</v>
      </c>
      <c r="AV13" s="137">
        <f t="shared" ca="1" si="7"/>
        <v>0</v>
      </c>
      <c r="AW13" s="138">
        <f t="shared" ca="1" si="7"/>
        <v>0</v>
      </c>
      <c r="AX13" s="137">
        <f t="shared" ca="1" si="7"/>
        <v>19.134109829684824</v>
      </c>
      <c r="AY13" s="137">
        <f t="shared" ca="1" si="7"/>
        <v>19.134109829684824</v>
      </c>
      <c r="AZ13" s="66" t="s">
        <v>113</v>
      </c>
      <c r="BA13" s="66" t="s">
        <v>113</v>
      </c>
      <c r="BB13" s="66" t="s">
        <v>113</v>
      </c>
      <c r="BC13" s="66" t="s">
        <v>113</v>
      </c>
      <c r="BD13" s="66" t="s">
        <v>113</v>
      </c>
      <c r="BE13" s="66" t="s">
        <v>113</v>
      </c>
      <c r="BF13" s="66" t="s">
        <v>113</v>
      </c>
      <c r="BG13" s="66" t="s">
        <v>113</v>
      </c>
      <c r="BH13" s="29" cm="1">
        <f t="array" aca="1" ref="BH13" ca="1">IF(ISBLANK(INDIRECT("'" &amp; $I$2 &amp; "'!" &amp; ADDRESS(ROW(),COLUMN()))), "", INDIRECT("'" &amp; $I$2 &amp; "'!" &amp; ADDRESS(ROW(),COLUMN())))</f>
        <v>4295787399.0971966</v>
      </c>
      <c r="BI13" s="29" cm="1">
        <f t="array" aca="1" ref="BI13" ca="1">IF(ISBLANK(INDIRECT("'" &amp; $I$2 &amp; "'!" &amp; ADDRESS(ROW(),COLUMN()))), "", INDIRECT("'" &amp; $I$2 &amp; "'!" &amp; ADDRESS(ROW(),COLUMN())))</f>
        <v>5146349533.2108002</v>
      </c>
      <c r="BJ13" s="29" cm="1">
        <f t="array" aca="1" ref="BJ13" ca="1">IF(ISBLANK(INDIRECT("'" &amp; $I$2 &amp; "'!" &amp; ADDRESS(ROW(),COLUMN()))), "", INDIRECT("'" &amp; $I$2 &amp; "'!" &amp; ADDRESS(ROW(),COLUMN())))</f>
        <v>742514439.56400001</v>
      </c>
      <c r="BK13" s="29" cm="1">
        <f t="array" aca="1" ref="BK13" ca="1">IF(ISBLANK(INDIRECT("'" &amp; $I$2 &amp; "'!" &amp; ADDRESS(ROW(),COLUMN()))), "", INDIRECT("'" &amp; $I$2 &amp; "'!" &amp; ADDRESS(ROW(),COLUMN())))</f>
        <v>187300130.82720008</v>
      </c>
      <c r="BL13" s="67">
        <f t="shared" ref="BL13:BL22" ca="1" si="17">BH13/SUM($BH13:$BK13)</f>
        <v>0.41417349454239749</v>
      </c>
      <c r="BM13" s="67">
        <f t="shared" ref="BM13:BM22" ca="1" si="18">BI13/SUM($BH13:$BK13)</f>
        <v>0.49617948289398717</v>
      </c>
      <c r="BN13" s="67">
        <f t="shared" ref="BN13:BO22" ca="1" si="19">BJ13/SUM($BH13:$BK13)</f>
        <v>7.1588691807011259E-2</v>
      </c>
      <c r="BO13" s="67">
        <f t="shared" ca="1" si="19"/>
        <v>1.8058330756604204E-2</v>
      </c>
      <c r="BP13" s="66" t="s">
        <v>113</v>
      </c>
      <c r="BQ13" s="66" t="s">
        <v>113</v>
      </c>
      <c r="BR13" s="66" t="s">
        <v>113</v>
      </c>
      <c r="BS13" s="30">
        <f t="shared" ref="BS13:BS21" ca="1" si="20">P13/P$22*100</f>
        <v>3.9579029388358147</v>
      </c>
      <c r="BT13" s="66" t="s">
        <v>113</v>
      </c>
      <c r="BU13" s="66" t="s">
        <v>113</v>
      </c>
      <c r="BV13" s="66" t="s">
        <v>113</v>
      </c>
      <c r="BW13" s="66" t="s">
        <v>113</v>
      </c>
      <c r="BX13" s="66" t="s">
        <v>113</v>
      </c>
      <c r="BY13" s="66" t="s">
        <v>113</v>
      </c>
      <c r="BZ13" s="66" t="s">
        <v>113</v>
      </c>
      <c r="CA13" s="66"/>
      <c r="CB13" s="66"/>
      <c r="CC13" s="68" t="s">
        <v>113</v>
      </c>
      <c r="CD13" s="68" t="s">
        <v>113</v>
      </c>
      <c r="CE13" s="68" t="s">
        <v>113</v>
      </c>
      <c r="CF13" s="68" t="s">
        <v>113</v>
      </c>
      <c r="CG13" s="68" t="s">
        <v>113</v>
      </c>
      <c r="CH13" s="68" t="s">
        <v>113</v>
      </c>
      <c r="CI13" s="68" t="s">
        <v>113</v>
      </c>
      <c r="CJ13" s="68"/>
      <c r="CK13" s="66" t="s">
        <v>113</v>
      </c>
      <c r="CL13" s="66" t="s">
        <v>113</v>
      </c>
      <c r="CM13" s="66" t="s">
        <v>113</v>
      </c>
      <c r="CN13" s="66" t="s">
        <v>113</v>
      </c>
      <c r="CO13" s="66" t="s">
        <v>113</v>
      </c>
      <c r="CP13" s="66" t="s">
        <v>113</v>
      </c>
      <c r="CQ13" s="66" t="s">
        <v>113</v>
      </c>
      <c r="CR13" s="66"/>
      <c r="CS13" s="143" t="s">
        <v>113</v>
      </c>
      <c r="CT13" s="143" t="s">
        <v>113</v>
      </c>
      <c r="CU13" s="143" t="s">
        <v>113</v>
      </c>
      <c r="CV13" s="143" t="s">
        <v>113</v>
      </c>
      <c r="CW13" s="143" t="s">
        <v>113</v>
      </c>
      <c r="CX13" s="143" t="s">
        <v>113</v>
      </c>
      <c r="CY13" s="143" t="s">
        <v>113</v>
      </c>
      <c r="CZ13" s="143"/>
      <c r="DA13" s="66" t="s">
        <v>113</v>
      </c>
      <c r="DB13" s="66" t="s">
        <v>113</v>
      </c>
      <c r="DC13" s="66" t="s">
        <v>113</v>
      </c>
      <c r="DD13" s="69">
        <f t="shared" ref="DD13:DD22" ca="1" si="21">(1-DE13)*100</f>
        <v>14.776200704358677</v>
      </c>
      <c r="DE13" s="29" cm="1">
        <f t="array" aca="1" ref="DE13" ca="1">IF(ISBLANK(INDIRECT("'" &amp; $I$2 &amp; "'!" &amp; ADDRESS(ROW(),COLUMN()))), "", INDIRECT("'" &amp; $I$2 &amp; "'!" &amp; ADDRESS(ROW(),COLUMN())))</f>
        <v>0.85223799295641323</v>
      </c>
      <c r="DF13" s="1"/>
      <c r="DG13" s="1"/>
      <c r="DH13" s="1"/>
      <c r="DI13" s="1"/>
      <c r="DJ13" s="1"/>
      <c r="DK13" s="1"/>
      <c r="DL13" s="1"/>
      <c r="DM13" s="1"/>
      <c r="DN13" s="1"/>
      <c r="DO13" s="1"/>
      <c r="DP13" s="1"/>
      <c r="DQ13" s="1"/>
      <c r="DR13" s="1"/>
      <c r="DS13" s="1"/>
      <c r="DT13" s="1"/>
      <c r="DU13" s="1"/>
      <c r="DV13" s="1"/>
      <c r="DW13" s="1"/>
      <c r="DX13" s="1"/>
      <c r="DY13" s="1"/>
      <c r="DZ13" s="1"/>
      <c r="EA13" s="29" cm="1">
        <f t="array" aca="1" ref="EA13" ca="1">IF(ISBLANK(INDIRECT("'" &amp; $I$2 &amp; "'!" &amp; ADDRESS(ROW(),COLUMN()))), "", INDIRECT("'" &amp; $I$2 &amp; "'!" &amp; ADDRESS(ROW(),COLUMN())))</f>
        <v>-170192101.28520009</v>
      </c>
      <c r="EB13" s="29" cm="1">
        <f t="array" aca="1" ref="EB13" ca="1">IF(ISBLANK(INDIRECT("'" &amp; $I$2 &amp; "'!" &amp; ADDRESS(ROW(),COLUMN()))), "", INDIRECT("'" &amp; $I$2 &amp; "'!" &amp; ADDRESS(ROW(),COLUMN())))</f>
        <v>-157464079.27200004</v>
      </c>
      <c r="EC13" s="29" cm="1">
        <f t="array" aca="1" ref="EC13" ca="1">IF(ISBLANK(INDIRECT("'" &amp; $I$2 &amp; "'!" &amp; ADDRESS(ROW(),COLUMN()))), "", INDIRECT("'" &amp; $I$2 &amp; "'!" &amp; ADDRESS(ROW(),COLUMN())))</f>
        <v>-171878507.69400007</v>
      </c>
      <c r="ED13" s="29" cm="1">
        <f t="array" aca="1" ref="ED13" ca="1">IF(ISBLANK(INDIRECT("'" &amp; $I$2 &amp; "'!" &amp; ADDRESS(ROW(),COLUMN()))), "", INDIRECT("'" &amp; $I$2 &amp; "'!" &amp; ADDRESS(ROW(),COLUMN())))</f>
        <v>-165745779.51839995</v>
      </c>
      <c r="EE13" s="29" cm="1">
        <f t="array" aca="1" ref="EE13" ca="1">IF(ISBLANK(INDIRECT("'" &amp; $I$2 &amp; "'!" &amp; ADDRESS(ROW(),COLUMN()))), "", INDIRECT("'" &amp; $I$2 &amp; "'!" &amp; ADDRESS(ROW(),COLUMN())))</f>
        <v>-166589249.45759997</v>
      </c>
      <c r="EF13" s="29" cm="1">
        <f t="array" aca="1" ref="EF13" ca="1">IF(ISBLANK(INDIRECT("'" &amp; $I$2 &amp; "'!" &amp; ADDRESS(ROW(),COLUMN()))), "", INDIRECT("'" &amp; $I$2 &amp; "'!" &amp; ADDRESS(ROW(),COLUMN())))</f>
        <v>-176139387.12599999</v>
      </c>
      <c r="EG13" s="29" cm="1">
        <f t="array" aca="1" ref="EG13" ca="1">IF(ISBLANK(INDIRECT("'" &amp; $I$2 &amp; "'!" &amp; ADDRESS(ROW(),COLUMN()))), "", INDIRECT("'" &amp; $I$2 &amp; "'!" &amp; ADDRESS(ROW(),COLUMN())))</f>
        <v>-165467401.9884001</v>
      </c>
      <c r="EH13" s="122"/>
      <c r="EI13" s="65" t="s">
        <v>113</v>
      </c>
      <c r="EJ13" s="65" t="s">
        <v>113</v>
      </c>
      <c r="EK13" s="65" t="s">
        <v>113</v>
      </c>
      <c r="EL13" s="65" t="s">
        <v>113</v>
      </c>
      <c r="EM13" s="30">
        <f t="shared" ca="1" si="8"/>
        <v>-0.43286001452276851</v>
      </c>
      <c r="EN13" s="29" cm="1">
        <f t="array" aca="1" ref="EN13" ca="1">IF(ISBLANK(INDIRECT("'" &amp; $I$2 &amp; "'!" &amp; ADDRESS(ROW(),COLUMN()))), "", INDIRECT("'" &amp; $I$2 &amp; "'!" &amp; ADDRESS(ROW(),COLUMN())))</f>
        <v>12216853305.060007</v>
      </c>
      <c r="EO13" s="29" cm="1">
        <f t="array" aca="1" ref="EO13" ca="1">IF(ISBLANK(INDIRECT("'" &amp; $I$2 &amp; "'!" &amp; ADDRESS(ROW(),COLUMN()))), "", INDIRECT("'" &amp; $I$2 &amp; "'!" &amp; ADDRESS(ROW(),COLUMN())))</f>
        <v>12339022042.9884</v>
      </c>
      <c r="EP13" s="30">
        <f t="shared" ca="1" si="9"/>
        <v>1.0000016770095099</v>
      </c>
      <c r="EQ13" s="65" t="s">
        <v>113</v>
      </c>
      <c r="ER13" s="65" t="s">
        <v>113</v>
      </c>
      <c r="ES13" s="65" t="s">
        <v>113</v>
      </c>
      <c r="ET13" s="65" t="s">
        <v>113</v>
      </c>
      <c r="EU13" s="30">
        <f t="shared" ref="EU13:EU21" ca="1" si="22">EN13/EN$22*100</f>
        <v>3.9820242288882479</v>
      </c>
      <c r="EV13" s="31">
        <f t="shared" ref="EV13:EV22" ca="1" si="23">((EB13-$EA13)/ABS($EA13)) / ($EO13/$EN13-1)</f>
        <v>7.4786083326469326</v>
      </c>
      <c r="EW13" s="31">
        <f t="shared" ref="EW13:EW22" ca="1" si="24">IF(EC13&lt;&gt;0,((EC13-$EA13)/ABS($EA13)) / ($EO13/$EN13-1),0)</f>
        <v>-0.99088240168040254</v>
      </c>
      <c r="EX13" s="31"/>
      <c r="EY13" s="70">
        <f t="shared" ca="1" si="10"/>
        <v>-31.780314062792275</v>
      </c>
      <c r="EZ13" s="69">
        <f t="shared" ref="EZ13:EZ22" ca="1" si="25">(1-FA13)*100</f>
        <v>0.4794052741409538</v>
      </c>
      <c r="FA13" s="179" cm="1">
        <f t="array" aca="1" ref="FA13" ca="1">IF(ISBLANK(INDIRECT("'" &amp; $I$2 &amp; "'!" &amp; ADDRESS(ROW(),COLUMN()))), "", INDIRECT("'" &amp; $I$2 &amp; "'!" &amp; ADDRESS(ROW(),COLUMN())))</f>
        <v>0.99520594725859046</v>
      </c>
      <c r="FB13" s="65" t="s">
        <v>113</v>
      </c>
      <c r="FC13" s="65" t="s">
        <v>113</v>
      </c>
      <c r="FD13" s="65" t="s">
        <v>113</v>
      </c>
      <c r="FE13" s="65" t="s">
        <v>113</v>
      </c>
      <c r="FF13" s="65" t="s">
        <v>113</v>
      </c>
      <c r="FG13" s="65" t="s">
        <v>113</v>
      </c>
      <c r="FH13" s="65" t="s">
        <v>113</v>
      </c>
      <c r="FI13" s="65" t="s">
        <v>113</v>
      </c>
      <c r="FJ13" s="1"/>
      <c r="FK13" s="1"/>
      <c r="FL13" s="1"/>
      <c r="FM13" s="1"/>
      <c r="FN13" s="1"/>
      <c r="FO13" s="1"/>
      <c r="FP13" s="1"/>
      <c r="FQ13" s="1"/>
    </row>
    <row r="14" spans="1:173" x14ac:dyDescent="0.3">
      <c r="A14" s="1"/>
      <c r="B14" s="28">
        <v>3</v>
      </c>
      <c r="C14" s="29" cm="1">
        <f t="array" aca="1" ref="C14" ca="1">IF(ISBLANK(INDIRECT("'" &amp; $I$2 &amp; "'!" &amp; ADDRESS(ROW(),COLUMN()))), "", INDIRECT("'" &amp; $I$2 &amp; "'!" &amp; ADDRESS(ROW(),COLUMN())))</f>
        <v>533224377.35880035</v>
      </c>
      <c r="D14" s="29" cm="1">
        <f t="array" aca="1" ref="D14" ca="1">IF(ISBLANK(INDIRECT("'" &amp; $I$2 &amp; "'!" &amp; ADDRESS(ROW(),COLUMN()))), "", INDIRECT("'" &amp; $I$2 &amp; "'!" &amp; ADDRESS(ROW(),COLUMN())))</f>
        <v>558992957.64600062</v>
      </c>
      <c r="E14" s="29" cm="1">
        <f t="array" aca="1" ref="E14" ca="1">IF(ISBLANK(INDIRECT("'" &amp; $I$2 &amp; "'!" &amp; ADDRESS(ROW(),COLUMN()))), "", INDIRECT("'" &amp; $I$2 &amp; "'!" &amp; ADDRESS(ROW(),COLUMN())))</f>
        <v>538552771.43400002</v>
      </c>
      <c r="F14" s="29" cm="1">
        <f t="array" aca="1" ref="F14" ca="1">IF(ISBLANK(INDIRECT("'" &amp; $I$2 &amp; "'!" &amp; ADDRESS(ROW(),COLUMN()))), "", INDIRECT("'" &amp; $I$2 &amp; "'!" &amp; ADDRESS(ROW(),COLUMN())))</f>
        <v>544342091.74080014</v>
      </c>
      <c r="G14" s="29" cm="1">
        <f t="array" aca="1" ref="G14" ca="1">IF(ISBLANK(INDIRECT("'" &amp; $I$2 &amp; "'!" &amp; ADDRESS(ROW(),COLUMN()))), "", INDIRECT("'" &amp; $I$2 &amp; "'!" &amp; ADDRESS(ROW(),COLUMN())))</f>
        <v>541691525.67240036</v>
      </c>
      <c r="H14" s="29" cm="1">
        <f t="array" aca="1" ref="H14" ca="1">IF(ISBLANK(INDIRECT("'" &amp; $I$2 &amp; "'!" &amp; ADDRESS(ROW(),COLUMN()))), "", INDIRECT("'" &amp; $I$2 &amp; "'!" &amp; ADDRESS(ROW(),COLUMN())))</f>
        <v>540836755.85759997</v>
      </c>
      <c r="I14" s="29" cm="1">
        <f t="array" aca="1" ref="I14" ca="1">IF(ISBLANK(INDIRECT("'" &amp; $I$2 &amp; "'!" &amp; ADDRESS(ROW(),COLUMN()))), 0, INDIRECT("'" &amp; $I$2 &amp; "'!" &amp; ADDRESS(ROW(),COLUMN())))</f>
        <v>0</v>
      </c>
      <c r="J14" s="366" cm="1">
        <f t="array" aca="1" ref="J14" ca="1">IF(ISBLANK(INDIRECT("'" &amp; $I$2 &amp; "'!" &amp; ADDRESS(ROW(),COLUMN()))), 0, INDIRECT("'" &amp; $I$2 &amp; "'!" &amp; ADDRESS(ROW(),COLUMN())))</f>
        <v>0</v>
      </c>
      <c r="K14" s="65" t="s">
        <v>113</v>
      </c>
      <c r="L14" s="65" t="s">
        <v>113</v>
      </c>
      <c r="M14" s="65" t="s">
        <v>113</v>
      </c>
      <c r="N14" s="65" t="s">
        <v>113</v>
      </c>
      <c r="O14" s="30">
        <f t="shared" ca="1" si="11"/>
        <v>1.5191305733049829</v>
      </c>
      <c r="P14" s="29" cm="1">
        <f t="array" aca="1" ref="P14" ca="1">IF(ISBLANK(INDIRECT("'" &amp; $I$2 &amp; "'!" &amp; ADDRESS(ROW(),COLUMN()))), "", INDIRECT("'" &amp; $I$2 &amp; "'!" &amp; ADDRESS(ROW(),COLUMN())))</f>
        <v>14137686600.587997</v>
      </c>
      <c r="Q14" s="29" cm="1">
        <f t="array" aca="1" ref="Q14" ca="1">IF(ISBLANK(INDIRECT("'" &amp; $I$2 &amp; "'!" &amp; ADDRESS(ROW(),COLUMN()))), "", INDIRECT("'" &amp; $I$2 &amp; "'!" &amp; ADDRESS(ROW(),COLUMN())))</f>
        <v>14279065563.985195</v>
      </c>
      <c r="R14" s="30">
        <f t="shared" ca="1" si="0"/>
        <v>1.0000148354633698</v>
      </c>
      <c r="S14" s="65" t="s">
        <v>113</v>
      </c>
      <c r="T14" s="65" t="s">
        <v>113</v>
      </c>
      <c r="U14" s="65" t="s">
        <v>113</v>
      </c>
      <c r="V14" s="65" t="s">
        <v>113</v>
      </c>
      <c r="W14" s="132">
        <f t="shared" ca="1" si="12"/>
        <v>4.832524374012924</v>
      </c>
      <c r="X14" s="132">
        <f t="shared" ca="1" si="12"/>
        <v>0.99926320952725234</v>
      </c>
      <c r="Y14" s="132">
        <f t="shared" ca="1" si="12"/>
        <v>2.0849664644122838</v>
      </c>
      <c r="Z14" s="132">
        <f t="shared" ca="1" si="12"/>
        <v>1.5878911506886166</v>
      </c>
      <c r="AA14" s="132">
        <f t="shared" ca="1" si="12"/>
        <v>1.4275914400272129</v>
      </c>
      <c r="AB14" s="132">
        <f t="shared" ca="1" si="1"/>
        <v>1.4275914400272129</v>
      </c>
      <c r="AC14" s="132">
        <f t="shared" ca="1" si="1"/>
        <v>1.4275914400272129</v>
      </c>
      <c r="AD14" s="65" t="s">
        <v>113</v>
      </c>
      <c r="AE14" s="65" t="s">
        <v>113</v>
      </c>
      <c r="AF14" s="65" t="s">
        <v>113</v>
      </c>
      <c r="AG14" s="65" t="s">
        <v>113</v>
      </c>
      <c r="AH14" s="133">
        <f t="shared" ca="1" si="2"/>
        <v>1</v>
      </c>
      <c r="AI14" s="134">
        <f t="shared" ca="1" si="13"/>
        <v>8.8817841970012523E-16</v>
      </c>
      <c r="AJ14" s="134">
        <f t="shared" ca="1" si="3"/>
        <v>2.7475579096006402</v>
      </c>
      <c r="AK14" s="134">
        <f t="shared" ca="1" si="4"/>
        <v>0.4970753137236672</v>
      </c>
      <c r="AL14" s="134">
        <f t="shared" ca="1" si="14"/>
        <v>0.16029971066140369</v>
      </c>
      <c r="AM14" s="134">
        <f t="shared" ca="1" si="15"/>
        <v>0</v>
      </c>
      <c r="AN14" s="135">
        <f ca="1">IF(J14&lt;&gt;0,IF(W14&gt;1,MAX(MIN(AB14-AC14,W14-AH14-AJ14-AK14-AL14-AM14),0),0),0)</f>
        <v>0</v>
      </c>
      <c r="AO14" s="134">
        <f t="shared" ca="1" si="16"/>
        <v>0.42759144002721294</v>
      </c>
      <c r="AP14" s="134">
        <f t="shared" ca="1" si="6"/>
        <v>0.42759144002721383</v>
      </c>
      <c r="AQ14" s="136" t="s">
        <v>113</v>
      </c>
      <c r="AR14" s="137">
        <f t="shared" ca="1" si="7"/>
        <v>2.3174762454808334E-14</v>
      </c>
      <c r="AS14" s="137">
        <f t="shared" ca="1" si="7"/>
        <v>71.690552791546963</v>
      </c>
      <c r="AT14" s="137">
        <f t="shared" ca="1" si="7"/>
        <v>12.96991917635723</v>
      </c>
      <c r="AU14" s="137">
        <f t="shared" ca="1" si="7"/>
        <v>4.182614251545087</v>
      </c>
      <c r="AV14" s="137">
        <f t="shared" ca="1" si="7"/>
        <v>0</v>
      </c>
      <c r="AW14" s="138">
        <f t="shared" ca="1" si="7"/>
        <v>0</v>
      </c>
      <c r="AX14" s="137">
        <f t="shared" ca="1" si="7"/>
        <v>11.156913780550715</v>
      </c>
      <c r="AY14" s="137">
        <f t="shared" ca="1" si="7"/>
        <v>11.156913780550738</v>
      </c>
      <c r="AZ14" s="66" t="s">
        <v>113</v>
      </c>
      <c r="BA14" s="66" t="s">
        <v>113</v>
      </c>
      <c r="BB14" s="66" t="s">
        <v>113</v>
      </c>
      <c r="BC14" s="66" t="s">
        <v>113</v>
      </c>
      <c r="BD14" s="66" t="s">
        <v>113</v>
      </c>
      <c r="BE14" s="66" t="s">
        <v>113</v>
      </c>
      <c r="BF14" s="66" t="s">
        <v>113</v>
      </c>
      <c r="BG14" s="66" t="s">
        <v>113</v>
      </c>
      <c r="BH14" s="29" cm="1">
        <f t="array" aca="1" ref="BH14" ca="1">IF(ISBLANK(INDIRECT("'" &amp; $I$2 &amp; "'!" &amp; ADDRESS(ROW(),COLUMN()))), "", INDIRECT("'" &amp; $I$2 &amp; "'!" &amp; ADDRESS(ROW(),COLUMN())))</f>
        <v>8055201553.1351948</v>
      </c>
      <c r="BI14" s="29" cm="1">
        <f t="array" aca="1" ref="BI14" ca="1">IF(ISBLANK(INDIRECT("'" &amp; $I$2 &amp; "'!" &amp; ADDRESS(ROW(),COLUMN()))), "", INDIRECT("'" &amp; $I$2 &amp; "'!" &amp; ADDRESS(ROW(),COLUMN())))</f>
        <v>5117223133.6019993</v>
      </c>
      <c r="BJ14" s="29" cm="1">
        <f t="array" aca="1" ref="BJ14" ca="1">IF(ISBLANK(INDIRECT("'" &amp; $I$2 &amp; "'!" &amp; ADDRESS(ROW(),COLUMN()))), "", INDIRECT("'" &amp; $I$2 &amp; "'!" &amp; ADDRESS(ROW(),COLUMN())))</f>
        <v>701430925.50240028</v>
      </c>
      <c r="BK14" s="29" cm="1">
        <f t="array" aca="1" ref="BK14" ca="1">IF(ISBLANK(INDIRECT("'" &amp; $I$2 &amp; "'!" &amp; ADDRESS(ROW(),COLUMN()))), "", INDIRECT("'" &amp; $I$2 &amp; "'!" &amp; ADDRESS(ROW(),COLUMN())))</f>
        <v>263832523.23119998</v>
      </c>
      <c r="BL14" s="67">
        <f t="shared" ca="1" si="17"/>
        <v>0.56976794762681704</v>
      </c>
      <c r="BM14" s="67">
        <f t="shared" ca="1" si="18"/>
        <v>0.36195614760825906</v>
      </c>
      <c r="BN14" s="67">
        <f t="shared" ca="1" si="19"/>
        <v>4.9614259331590659E-2</v>
      </c>
      <c r="BO14" s="67">
        <f t="shared" ca="1" si="19"/>
        <v>1.8661645433333377E-2</v>
      </c>
      <c r="BP14" s="66" t="s">
        <v>113</v>
      </c>
      <c r="BQ14" s="66" t="s">
        <v>113</v>
      </c>
      <c r="BR14" s="66" t="s">
        <v>113</v>
      </c>
      <c r="BS14" s="30">
        <f t="shared" ca="1" si="20"/>
        <v>5.3948958542723764</v>
      </c>
      <c r="BT14" s="66" t="s">
        <v>113</v>
      </c>
      <c r="BU14" s="66" t="s">
        <v>113</v>
      </c>
      <c r="BV14" s="66" t="s">
        <v>113</v>
      </c>
      <c r="BW14" s="66" t="s">
        <v>113</v>
      </c>
      <c r="BX14" s="66" t="s">
        <v>113</v>
      </c>
      <c r="BY14" s="66" t="s">
        <v>113</v>
      </c>
      <c r="BZ14" s="66" t="s">
        <v>113</v>
      </c>
      <c r="CA14" s="66"/>
      <c r="CB14" s="66"/>
      <c r="CC14" s="68" t="s">
        <v>113</v>
      </c>
      <c r="CD14" s="68" t="s">
        <v>113</v>
      </c>
      <c r="CE14" s="68" t="s">
        <v>113</v>
      </c>
      <c r="CF14" s="68" t="s">
        <v>113</v>
      </c>
      <c r="CG14" s="68" t="s">
        <v>113</v>
      </c>
      <c r="CH14" s="68" t="s">
        <v>113</v>
      </c>
      <c r="CI14" s="68" t="s">
        <v>113</v>
      </c>
      <c r="CJ14" s="68"/>
      <c r="CK14" s="66" t="s">
        <v>113</v>
      </c>
      <c r="CL14" s="66" t="s">
        <v>113</v>
      </c>
      <c r="CM14" s="66" t="s">
        <v>113</v>
      </c>
      <c r="CN14" s="66" t="s">
        <v>113</v>
      </c>
      <c r="CO14" s="66" t="s">
        <v>113</v>
      </c>
      <c r="CP14" s="66" t="s">
        <v>113</v>
      </c>
      <c r="CQ14" s="66" t="s">
        <v>113</v>
      </c>
      <c r="CR14" s="66"/>
      <c r="CS14" s="143" t="s">
        <v>113</v>
      </c>
      <c r="CT14" s="143" t="s">
        <v>113</v>
      </c>
      <c r="CU14" s="143" t="s">
        <v>113</v>
      </c>
      <c r="CV14" s="143" t="s">
        <v>113</v>
      </c>
      <c r="CW14" s="143" t="s">
        <v>113</v>
      </c>
      <c r="CX14" s="143" t="s">
        <v>113</v>
      </c>
      <c r="CY14" s="143" t="s">
        <v>113</v>
      </c>
      <c r="CZ14" s="143"/>
      <c r="DA14" s="66" t="s">
        <v>113</v>
      </c>
      <c r="DB14" s="66" t="s">
        <v>113</v>
      </c>
      <c r="DC14" s="66" t="s">
        <v>113</v>
      </c>
      <c r="DD14" s="69">
        <f t="shared" ca="1" si="21"/>
        <v>0</v>
      </c>
      <c r="DE14" s="29" cm="1">
        <f t="array" aca="1" ref="DE14" ca="1">IF(ISBLANK(INDIRECT("'" &amp; $I$2 &amp; "'!" &amp; ADDRESS(ROW(),COLUMN()))), "", INDIRECT("'" &amp; $I$2 &amp; "'!" &amp; ADDRESS(ROW(),COLUMN())))</f>
        <v>1</v>
      </c>
      <c r="DF14" s="1"/>
      <c r="DG14" s="1"/>
      <c r="DH14" s="1"/>
      <c r="DI14" s="1"/>
      <c r="DJ14" s="1"/>
      <c r="DK14" s="1"/>
      <c r="DL14" s="1"/>
      <c r="DM14" s="1"/>
      <c r="DN14" s="1"/>
      <c r="DO14" s="1"/>
      <c r="DP14" s="1"/>
      <c r="DQ14" s="1"/>
      <c r="DR14" s="1"/>
      <c r="DS14" s="1"/>
      <c r="DT14" s="1"/>
      <c r="DU14" s="1"/>
      <c r="DV14" s="1"/>
      <c r="DW14" s="1"/>
      <c r="DX14" s="1"/>
      <c r="DY14" s="1"/>
      <c r="DZ14" s="1"/>
      <c r="EA14" s="29" cm="1">
        <f t="array" aca="1" ref="EA14" ca="1">IF(ISBLANK(INDIRECT("'" &amp; $I$2 &amp; "'!" &amp; ADDRESS(ROW(),COLUMN()))), "", INDIRECT("'" &amp; $I$2 &amp; "'!" &amp; ADDRESS(ROW(),COLUMN())))</f>
        <v>413044467.48360026</v>
      </c>
      <c r="EB14" s="29" cm="1">
        <f t="array" aca="1" ref="EB14" ca="1">IF(ISBLANK(INDIRECT("'" &amp; $I$2 &amp; "'!" &amp; ADDRESS(ROW(),COLUMN()))), "", INDIRECT("'" &amp; $I$2 &amp; "'!" &amp; ADDRESS(ROW(),COLUMN())))</f>
        <v>443203891.36440003</v>
      </c>
      <c r="EC14" s="29" cm="1">
        <f t="array" aca="1" ref="EC14" ca="1">IF(ISBLANK(INDIRECT("'" &amp; $I$2 &amp; "'!" &amp; ADDRESS(ROW(),COLUMN()))), "", INDIRECT("'" &amp; $I$2 &amp; "'!" &amp; ADDRESS(ROW(),COLUMN())))</f>
        <v>417135487.17839974</v>
      </c>
      <c r="ED14" s="29" cm="1">
        <f t="array" aca="1" ref="ED14" ca="1">IF(ISBLANK(INDIRECT("'" &amp; $I$2 &amp; "'!" &amp; ADDRESS(ROW(),COLUMN()))), "", INDIRECT("'" &amp; $I$2 &amp; "'!" &amp; ADDRESS(ROW(),COLUMN())))</f>
        <v>427581305.98920023</v>
      </c>
      <c r="EE14" s="29" cm="1">
        <f t="array" aca="1" ref="EE14" ca="1">IF(ISBLANK(INDIRECT("'" &amp; $I$2 &amp; "'!" &amp; ADDRESS(ROW(),COLUMN()))), "", INDIRECT("'" &amp; $I$2 &amp; "'!" &amp; ADDRESS(ROW(),COLUMN())))</f>
        <v>424505563.96080011</v>
      </c>
      <c r="EF14" s="29" cm="1">
        <f t="array" aca="1" ref="EF14" ca="1">IF(ISBLANK(INDIRECT("'" &amp; $I$2 &amp; "'!" &amp; ADDRESS(ROW(),COLUMN()))), "", INDIRECT("'" &amp; $I$2 &amp; "'!" &amp; ADDRESS(ROW(),COLUMN())))</f>
        <v>422170749.62880003</v>
      </c>
      <c r="EG14" s="29" cm="1">
        <f t="array" aca="1" ref="EG14" ca="1">IF(ISBLANK(INDIRECT("'" &amp; $I$2 &amp; "'!" &amp; ADDRESS(ROW(),COLUMN()))), "", INDIRECT("'" &amp; $I$2 &amp; "'!" &amp; ADDRESS(ROW(),COLUMN())))</f>
        <v>428379646.24920011</v>
      </c>
      <c r="EH14" s="122"/>
      <c r="EI14" s="65" t="s">
        <v>113</v>
      </c>
      <c r="EJ14" s="65" t="s">
        <v>113</v>
      </c>
      <c r="EK14" s="65" t="s">
        <v>113</v>
      </c>
      <c r="EL14" s="65" t="s">
        <v>113</v>
      </c>
      <c r="EM14" s="30">
        <f t="shared" ca="1" si="8"/>
        <v>1.0505213393769175</v>
      </c>
      <c r="EN14" s="29" cm="1">
        <f t="array" aca="1" ref="EN14" ca="1">IF(ISBLANK(INDIRECT("'" &amp; $I$2 &amp; "'!" &amp; ADDRESS(ROW(),COLUMN()))), "", INDIRECT("'" &amp; $I$2 &amp; "'!" &amp; ADDRESS(ROW(),COLUMN())))</f>
        <v>16653157448.375984</v>
      </c>
      <c r="EO14" s="29" cm="1">
        <f t="array" aca="1" ref="EO14" ca="1">IF(ISBLANK(INDIRECT("'" &amp; $I$2 &amp; "'!" &amp; ADDRESS(ROW(),COLUMN()))), "", INDIRECT("'" &amp; $I$2 &amp; "'!" &amp; ADDRESS(ROW(),COLUMN())))</f>
        <v>16819689716.655596</v>
      </c>
      <c r="EP14" s="30">
        <f t="shared" ca="1" si="9"/>
        <v>1.000004166152002</v>
      </c>
      <c r="EQ14" s="65" t="s">
        <v>113</v>
      </c>
      <c r="ER14" s="65" t="s">
        <v>113</v>
      </c>
      <c r="ES14" s="65" t="s">
        <v>113</v>
      </c>
      <c r="ET14" s="65" t="s">
        <v>113</v>
      </c>
      <c r="EU14" s="30">
        <f t="shared" ca="1" si="22"/>
        <v>5.4280161012867492</v>
      </c>
      <c r="EV14" s="31">
        <f t="shared" ca="1" si="23"/>
        <v>7.3017073479567953</v>
      </c>
      <c r="EW14" s="31">
        <f t="shared" ca="1" si="24"/>
        <v>0.99045090132408775</v>
      </c>
      <c r="EX14" s="31"/>
      <c r="EY14" s="70">
        <f t="shared" ca="1" si="10"/>
        <v>2.4691829739438713</v>
      </c>
      <c r="EZ14" s="69">
        <f t="shared" ca="1" si="25"/>
        <v>0</v>
      </c>
      <c r="FA14" s="179" cm="1">
        <f t="array" aca="1" ref="FA14" ca="1">IF(ISBLANK(INDIRECT("'" &amp; $I$2 &amp; "'!" &amp; ADDRESS(ROW(),COLUMN()))), "", INDIRECT("'" &amp; $I$2 &amp; "'!" &amp; ADDRESS(ROW(),COLUMN())))</f>
        <v>1</v>
      </c>
      <c r="FB14" s="65" t="s">
        <v>113</v>
      </c>
      <c r="FC14" s="65" t="s">
        <v>113</v>
      </c>
      <c r="FD14" s="65" t="s">
        <v>113</v>
      </c>
      <c r="FE14" s="65" t="s">
        <v>113</v>
      </c>
      <c r="FF14" s="65" t="s">
        <v>113</v>
      </c>
      <c r="FG14" s="65" t="s">
        <v>113</v>
      </c>
      <c r="FH14" s="65" t="s">
        <v>113</v>
      </c>
      <c r="FI14" s="65" t="s">
        <v>113</v>
      </c>
      <c r="FJ14" s="1"/>
      <c r="FK14" s="1"/>
      <c r="FL14" s="1"/>
      <c r="FM14" s="1"/>
      <c r="FN14" s="1"/>
      <c r="FO14" s="1"/>
      <c r="FP14" s="1"/>
      <c r="FQ14" s="1"/>
    </row>
    <row r="15" spans="1:173" x14ac:dyDescent="0.3">
      <c r="A15" s="1"/>
      <c r="B15" s="28">
        <v>4</v>
      </c>
      <c r="C15" s="29" cm="1">
        <f t="array" aca="1" ref="C15" ca="1">IF(ISBLANK(INDIRECT("'" &amp; $I$2 &amp; "'!" &amp; ADDRESS(ROW(),COLUMN()))), "", INDIRECT("'" &amp; $I$2 &amp; "'!" &amp; ADDRESS(ROW(),COLUMN())))</f>
        <v>1052793523.0572011</v>
      </c>
      <c r="D15" s="29" cm="1">
        <f t="array" aca="1" ref="D15" ca="1">IF(ISBLANK(INDIRECT("'" &amp; $I$2 &amp; "'!" &amp; ADDRESS(ROW(),COLUMN()))), "", INDIRECT("'" &amp; $I$2 &amp; "'!" &amp; ADDRESS(ROW(),COLUMN())))</f>
        <v>1089449328.4307997</v>
      </c>
      <c r="E15" s="29" cm="1">
        <f t="array" aca="1" ref="E15" ca="1">IF(ISBLANK(INDIRECT("'" &amp; $I$2 &amp; "'!" &amp; ADDRESS(ROW(),COLUMN()))), "", INDIRECT("'" &amp; $I$2 &amp; "'!" &amp; ADDRESS(ROW(),COLUMN())))</f>
        <v>1063318306.2456005</v>
      </c>
      <c r="F15" s="29" cm="1">
        <f t="array" aca="1" ref="F15" ca="1">IF(ISBLANK(INDIRECT("'" &amp; $I$2 &amp; "'!" &amp; ADDRESS(ROW(),COLUMN()))), "", INDIRECT("'" &amp; $I$2 &amp; "'!" &amp; ADDRESS(ROW(),COLUMN())))</f>
        <v>1069456807.6247995</v>
      </c>
      <c r="G15" s="29" cm="1">
        <f t="array" aca="1" ref="G15" ca="1">IF(ISBLANK(INDIRECT("'" &amp; $I$2 &amp; "'!" &amp; ADDRESS(ROW(),COLUMN()))), "", INDIRECT("'" &amp; $I$2 &amp; "'!" &amp; ADDRESS(ROW(),COLUMN())))</f>
        <v>1066728281.9472002</v>
      </c>
      <c r="H15" s="29" cm="1">
        <f t="array" aca="1" ref="H15" ca="1">IF(ISBLANK(INDIRECT("'" &amp; $I$2 &amp; "'!" &amp; ADDRESS(ROW(),COLUMN()))), "", INDIRECT("'" &amp; $I$2 &amp; "'!" &amp; ADDRESS(ROW(),COLUMN())))</f>
        <v>1065667382.1155999</v>
      </c>
      <c r="I15" s="29" cm="1">
        <f t="array" aca="1" ref="I15" ca="1">IF(ISBLANK(INDIRECT("'" &amp; $I$2 &amp; "'!" &amp; ADDRESS(ROW(),COLUMN()))), 0, INDIRECT("'" &amp; $I$2 &amp; "'!" &amp; ADDRESS(ROW(),COLUMN())))</f>
        <v>0</v>
      </c>
      <c r="J15" s="366" cm="1">
        <f t="array" aca="1" ref="J15" ca="1">IF(ISBLANK(INDIRECT("'" &amp; $I$2 &amp; "'!" &amp; ADDRESS(ROW(),COLUMN()))), 0, INDIRECT("'" &amp; $I$2 &amp; "'!" &amp; ADDRESS(ROW(),COLUMN())))</f>
        <v>0</v>
      </c>
      <c r="K15" s="65" t="s">
        <v>113</v>
      </c>
      <c r="L15" s="65" t="s">
        <v>113</v>
      </c>
      <c r="M15" s="65" t="s">
        <v>113</v>
      </c>
      <c r="N15" s="65" t="s">
        <v>113</v>
      </c>
      <c r="O15" s="30">
        <f t="shared" ca="1" si="11"/>
        <v>2.9993580491866521</v>
      </c>
      <c r="P15" s="29" cm="1">
        <f t="array" aca="1" ref="P15" ca="1">IF(ISBLANK(INDIRECT("'" &amp; $I$2 &amp; "'!" &amp; ADDRESS(ROW(),COLUMN()))), "", INDIRECT("'" &amp; $I$2 &amp; "'!" &amp; ADDRESS(ROW(),COLUMN())))</f>
        <v>17268542592.614403</v>
      </c>
      <c r="Q15" s="29" cm="1">
        <f t="array" aca="1" ref="Q15" ca="1">IF(ISBLANK(INDIRECT("'" &amp; $I$2 &amp; "'!" &amp; ADDRESS(ROW(),COLUMN()))), "", INDIRECT("'" &amp; $I$2 &amp; "'!" &amp; ADDRESS(ROW(),COLUMN())))</f>
        <v>17441226257.442009</v>
      </c>
      <c r="R15" s="30">
        <f t="shared" ca="1" si="0"/>
        <v>0.99998980169559992</v>
      </c>
      <c r="S15" s="65" t="s">
        <v>113</v>
      </c>
      <c r="T15" s="65" t="s">
        <v>113</v>
      </c>
      <c r="U15" s="65" t="s">
        <v>113</v>
      </c>
      <c r="V15" s="65" t="s">
        <v>113</v>
      </c>
      <c r="W15" s="132">
        <f t="shared" ca="1" si="12"/>
        <v>3.4818013600640869</v>
      </c>
      <c r="X15" s="132">
        <f t="shared" ca="1" si="12"/>
        <v>0.99971079741006486</v>
      </c>
      <c r="Y15" s="132">
        <f t="shared" ca="1" si="12"/>
        <v>1.5827846716031122</v>
      </c>
      <c r="Z15" s="132">
        <f t="shared" ca="1" si="12"/>
        <v>1.3236119616214734</v>
      </c>
      <c r="AA15" s="132">
        <f t="shared" ca="1" si="12"/>
        <v>1.222840953075629</v>
      </c>
      <c r="AB15" s="132">
        <f t="shared" ca="1" si="1"/>
        <v>1.222840953075629</v>
      </c>
      <c r="AC15" s="132">
        <f t="shared" ca="1" si="1"/>
        <v>1.222840953075629</v>
      </c>
      <c r="AD15" s="65" t="s">
        <v>113</v>
      </c>
      <c r="AE15" s="65" t="s">
        <v>113</v>
      </c>
      <c r="AF15" s="65" t="s">
        <v>113</v>
      </c>
      <c r="AG15" s="65" t="s">
        <v>113</v>
      </c>
      <c r="AH15" s="133">
        <f t="shared" ca="1" si="2"/>
        <v>1</v>
      </c>
      <c r="AI15" s="134">
        <f t="shared" ca="1" si="13"/>
        <v>0</v>
      </c>
      <c r="AJ15" s="134">
        <f t="shared" ca="1" si="3"/>
        <v>1.8990166884609747</v>
      </c>
      <c r="AK15" s="134">
        <f t="shared" ca="1" si="4"/>
        <v>0.25917270998163877</v>
      </c>
      <c r="AL15" s="134">
        <f t="shared" ca="1" si="14"/>
        <v>0.10077100854584442</v>
      </c>
      <c r="AM15" s="134">
        <f t="shared" ca="1" si="15"/>
        <v>0</v>
      </c>
      <c r="AN15" s="135">
        <f t="shared" ref="AN15:AN21" ca="1" si="26">IF(J15&lt;&gt;0,IF(W15&gt;1,MAX(MIN(AB15-AC15,W15-AH15-AJ15-AK15-AL15-AM15),0),0),0)</f>
        <v>0</v>
      </c>
      <c r="AO15" s="134">
        <f t="shared" ca="1" si="16"/>
        <v>0.22284095307562901</v>
      </c>
      <c r="AP15" s="134">
        <f t="shared" ca="1" si="6"/>
        <v>0.22284095307562901</v>
      </c>
      <c r="AQ15" s="136" t="s">
        <v>113</v>
      </c>
      <c r="AR15" s="137">
        <f t="shared" ca="1" si="7"/>
        <v>0</v>
      </c>
      <c r="AS15" s="137">
        <f t="shared" ca="1" si="7"/>
        <v>76.517674581818142</v>
      </c>
      <c r="AT15" s="137">
        <f t="shared" ca="1" si="7"/>
        <v>10.442927228267223</v>
      </c>
      <c r="AU15" s="137">
        <f t="shared" ca="1" si="7"/>
        <v>4.0603978290688927</v>
      </c>
      <c r="AV15" s="137">
        <f t="shared" ca="1" si="7"/>
        <v>0</v>
      </c>
      <c r="AW15" s="138">
        <f t="shared" ca="1" si="7"/>
        <v>0</v>
      </c>
      <c r="AX15" s="137">
        <f t="shared" ca="1" si="7"/>
        <v>8.9790003608457472</v>
      </c>
      <c r="AY15" s="137">
        <f t="shared" ca="1" si="7"/>
        <v>8.9790003608457472</v>
      </c>
      <c r="AZ15" s="66" t="s">
        <v>113</v>
      </c>
      <c r="BA15" s="66" t="s">
        <v>113</v>
      </c>
      <c r="BB15" s="66" t="s">
        <v>113</v>
      </c>
      <c r="BC15" s="66" t="s">
        <v>113</v>
      </c>
      <c r="BD15" s="66" t="s">
        <v>113</v>
      </c>
      <c r="BE15" s="66" t="s">
        <v>113</v>
      </c>
      <c r="BF15" s="66" t="s">
        <v>113</v>
      </c>
      <c r="BG15" s="66" t="s">
        <v>113</v>
      </c>
      <c r="BH15" s="29" cm="1">
        <f t="array" aca="1" ref="BH15" ca="1">IF(ISBLANK(INDIRECT("'" &amp; $I$2 &amp; "'!" &amp; ADDRESS(ROW(),COLUMN()))), "", INDIRECT("'" &amp; $I$2 &amp; "'!" &amp; ADDRESS(ROW(),COLUMN())))</f>
        <v>9624971017.9895954</v>
      </c>
      <c r="BI15" s="29" cm="1">
        <f t="array" aca="1" ref="BI15" ca="1">IF(ISBLANK(INDIRECT("'" &amp; $I$2 &amp; "'!" &amp; ADDRESS(ROW(),COLUMN()))), "", INDIRECT("'" &amp; $I$2 &amp; "'!" &amp; ADDRESS(ROW(),COLUMN())))</f>
        <v>6209984427.9947968</v>
      </c>
      <c r="BJ15" s="29" cm="1">
        <f t="array" aca="1" ref="BJ15" ca="1">IF(ISBLANK(INDIRECT("'" &amp; $I$2 &amp; "'!" &amp; ADDRESS(ROW(),COLUMN()))), "", INDIRECT("'" &amp; $I$2 &amp; "'!" &amp; ADDRESS(ROW(),COLUMN())))</f>
        <v>1135547653.7855999</v>
      </c>
      <c r="BK15" s="29" cm="1">
        <f t="array" aca="1" ref="BK15" ca="1">IF(ISBLANK(INDIRECT("'" &amp; $I$2 &amp; "'!" &amp; ADDRESS(ROW(),COLUMN()))), "", INDIRECT("'" &amp; $I$2 &amp; "'!" &amp; ADDRESS(ROW(),COLUMN())))</f>
        <v>298039883.85720009</v>
      </c>
      <c r="BL15" s="67">
        <f t="shared" ca="1" si="17"/>
        <v>0.55737018618856904</v>
      </c>
      <c r="BM15" s="67">
        <f t="shared" ca="1" si="18"/>
        <v>0.35961252978219777</v>
      </c>
      <c r="BN15" s="67">
        <f t="shared" ca="1" si="19"/>
        <v>6.5758162391711075E-2</v>
      </c>
      <c r="BO15" s="67">
        <f t="shared" ca="1" si="19"/>
        <v>1.7259121637522076E-2</v>
      </c>
      <c r="BP15" s="66" t="s">
        <v>113</v>
      </c>
      <c r="BQ15" s="66" t="s">
        <v>113</v>
      </c>
      <c r="BR15" s="66" t="s">
        <v>113</v>
      </c>
      <c r="BS15" s="30">
        <f t="shared" ca="1" si="20"/>
        <v>6.5896204573064114</v>
      </c>
      <c r="BT15" s="66" t="s">
        <v>113</v>
      </c>
      <c r="BU15" s="66" t="s">
        <v>113</v>
      </c>
      <c r="BV15" s="66" t="s">
        <v>113</v>
      </c>
      <c r="BW15" s="66" t="s">
        <v>113</v>
      </c>
      <c r="BX15" s="66" t="s">
        <v>113</v>
      </c>
      <c r="BY15" s="66" t="s">
        <v>113</v>
      </c>
      <c r="BZ15" s="66" t="s">
        <v>113</v>
      </c>
      <c r="CA15" s="66"/>
      <c r="CB15" s="66"/>
      <c r="CC15" s="68" t="s">
        <v>113</v>
      </c>
      <c r="CD15" s="68" t="s">
        <v>113</v>
      </c>
      <c r="CE15" s="68" t="s">
        <v>113</v>
      </c>
      <c r="CF15" s="68" t="s">
        <v>113</v>
      </c>
      <c r="CG15" s="68" t="s">
        <v>113</v>
      </c>
      <c r="CH15" s="68" t="s">
        <v>113</v>
      </c>
      <c r="CI15" s="68" t="s">
        <v>113</v>
      </c>
      <c r="CJ15" s="68"/>
      <c r="CK15" s="66" t="s">
        <v>113</v>
      </c>
      <c r="CL15" s="66" t="s">
        <v>113</v>
      </c>
      <c r="CM15" s="66" t="s">
        <v>113</v>
      </c>
      <c r="CN15" s="66" t="s">
        <v>113</v>
      </c>
      <c r="CO15" s="66" t="s">
        <v>113</v>
      </c>
      <c r="CP15" s="66" t="s">
        <v>113</v>
      </c>
      <c r="CQ15" s="66" t="s">
        <v>113</v>
      </c>
      <c r="CR15" s="66"/>
      <c r="CS15" s="143" t="s">
        <v>113</v>
      </c>
      <c r="CT15" s="143" t="s">
        <v>113</v>
      </c>
      <c r="CU15" s="143" t="s">
        <v>113</v>
      </c>
      <c r="CV15" s="143" t="s">
        <v>113</v>
      </c>
      <c r="CW15" s="143" t="s">
        <v>113</v>
      </c>
      <c r="CX15" s="143" t="s">
        <v>113</v>
      </c>
      <c r="CY15" s="143" t="s">
        <v>113</v>
      </c>
      <c r="CZ15" s="143"/>
      <c r="DA15" s="66" t="s">
        <v>113</v>
      </c>
      <c r="DB15" s="66" t="s">
        <v>113</v>
      </c>
      <c r="DC15" s="66" t="s">
        <v>113</v>
      </c>
      <c r="DD15" s="69">
        <f t="shared" ca="1" si="21"/>
        <v>0</v>
      </c>
      <c r="DE15" s="29" cm="1">
        <f t="array" aca="1" ref="DE15" ca="1">IF(ISBLANK(INDIRECT("'" &amp; $I$2 &amp; "'!" &amp; ADDRESS(ROW(),COLUMN()))), "", INDIRECT("'" &amp; $I$2 &amp; "'!" &amp; ADDRESS(ROW(),COLUMN())))</f>
        <v>1</v>
      </c>
      <c r="DF15" s="1"/>
      <c r="DG15" s="1"/>
      <c r="DH15" s="1"/>
      <c r="DI15" s="1"/>
      <c r="DJ15" s="1"/>
      <c r="DK15" s="1"/>
      <c r="DL15" s="1"/>
      <c r="DM15" s="1"/>
      <c r="DN15" s="1"/>
      <c r="DO15" s="1"/>
      <c r="DP15" s="1"/>
      <c r="DQ15" s="1"/>
      <c r="DR15" s="1"/>
      <c r="DS15" s="1"/>
      <c r="DT15" s="1"/>
      <c r="DU15" s="1"/>
      <c r="DV15" s="1"/>
      <c r="DW15" s="1"/>
      <c r="DX15" s="1"/>
      <c r="DY15" s="1"/>
      <c r="DZ15" s="1"/>
      <c r="EA15" s="29" cm="1">
        <f t="array" aca="1" ref="EA15" ca="1">IF(ISBLANK(INDIRECT("'" &amp; $I$2 &amp; "'!" &amp; ADDRESS(ROW(),COLUMN()))), "", INDIRECT("'" &amp; $I$2 &amp; "'!" &amp; ADDRESS(ROW(),COLUMN())))</f>
        <v>1015817450.4203994</v>
      </c>
      <c r="EB15" s="29" cm="1">
        <f t="array" aca="1" ref="EB15" ca="1">IF(ISBLANK(INDIRECT("'" &amp; $I$2 &amp; "'!" &amp; ADDRESS(ROW(),COLUMN()))), "", INDIRECT("'" &amp; $I$2 &amp; "'!" &amp; ADDRESS(ROW(),COLUMN())))</f>
        <v>1059161503.9811995</v>
      </c>
      <c r="EC15" s="29" cm="1">
        <f t="array" aca="1" ref="EC15" ca="1">IF(ISBLANK(INDIRECT("'" &amp; $I$2 &amp; "'!" &amp; ADDRESS(ROW(),COLUMN()))), "", INDIRECT("'" &amp; $I$2 &amp; "'!" &amp; ADDRESS(ROW(),COLUMN())))</f>
        <v>1025919729.4703994</v>
      </c>
      <c r="ED15" s="29" cm="1">
        <f t="array" aca="1" ref="ED15" ca="1">IF(ISBLANK(INDIRECT("'" &amp; $I$2 &amp; "'!" &amp; ADDRESS(ROW(),COLUMN()))), "", INDIRECT("'" &amp; $I$2 &amp; "'!" &amp; ADDRESS(ROW(),COLUMN())))</f>
        <v>1037281138.6524003</v>
      </c>
      <c r="EE15" s="29" cm="1">
        <f t="array" aca="1" ref="EE15" ca="1">IF(ISBLANK(INDIRECT("'" &amp; $I$2 &amp; "'!" &amp; ADDRESS(ROW(),COLUMN()))), "", INDIRECT("'" &amp; $I$2 &amp; "'!" &amp; ADDRESS(ROW(),COLUMN())))</f>
        <v>1033683454.9008</v>
      </c>
      <c r="EF15" s="29" cm="1">
        <f t="array" aca="1" ref="EF15" ca="1">IF(ISBLANK(INDIRECT("'" &amp; $I$2 &amp; "'!" &amp; ADDRESS(ROW(),COLUMN()))), "", INDIRECT("'" &amp; $I$2 &amp; "'!" &amp; ADDRESS(ROW(),COLUMN())))</f>
        <v>1031947716.9012003</v>
      </c>
      <c r="EG15" s="29" cm="1">
        <f t="array" aca="1" ref="EG15" ca="1">IF(ISBLANK(INDIRECT("'" &amp; $I$2 &amp; "'!" &amp; ADDRESS(ROW(),COLUMN()))), "", INDIRECT("'" &amp; $I$2 &amp; "'!" &amp; ADDRESS(ROW(),COLUMN())))</f>
        <v>1038900430.7963991</v>
      </c>
      <c r="EH15" s="122"/>
      <c r="EI15" s="65" t="s">
        <v>113</v>
      </c>
      <c r="EJ15" s="65" t="s">
        <v>113</v>
      </c>
      <c r="EK15" s="65" t="s">
        <v>113</v>
      </c>
      <c r="EL15" s="65" t="s">
        <v>113</v>
      </c>
      <c r="EM15" s="30">
        <f t="shared" ca="1" si="8"/>
        <v>2.5835908542231079</v>
      </c>
      <c r="EN15" s="29" cm="1">
        <f t="array" aca="1" ref="EN15" ca="1">IF(ISBLANK(INDIRECT("'" &amp; $I$2 &amp; "'!" &amp; ADDRESS(ROW(),COLUMN()))), "", INDIRECT("'" &amp; $I$2 &amp; "'!" &amp; ADDRESS(ROW(),COLUMN())))</f>
        <v>20117273412.458408</v>
      </c>
      <c r="EO15" s="29" cm="1">
        <f t="array" aca="1" ref="EO15" ca="1">IF(ISBLANK(INDIRECT("'" &amp; $I$2 &amp; "'!" &amp; ADDRESS(ROW(),COLUMN()))), "", INDIRECT("'" &amp; $I$2 &amp; "'!" &amp; ADDRESS(ROW(),COLUMN())))</f>
        <v>20318445947.073578</v>
      </c>
      <c r="EP15" s="30">
        <f t="shared" ca="1" si="9"/>
        <v>0.99999900826812649</v>
      </c>
      <c r="EQ15" s="65" t="s">
        <v>113</v>
      </c>
      <c r="ER15" s="65" t="s">
        <v>113</v>
      </c>
      <c r="ES15" s="65" t="s">
        <v>113</v>
      </c>
      <c r="ET15" s="65" t="s">
        <v>113</v>
      </c>
      <c r="EU15" s="30">
        <f t="shared" ca="1" si="22"/>
        <v>6.5571279401709468</v>
      </c>
      <c r="EV15" s="31">
        <f t="shared" ca="1" si="23"/>
        <v>4.2669178924406204</v>
      </c>
      <c r="EW15" s="31">
        <f t="shared" ca="1" si="24"/>
        <v>0.99449847653051748</v>
      </c>
      <c r="EX15" s="31"/>
      <c r="EY15" s="70">
        <f t="shared" ca="1" si="10"/>
        <v>0.78511653237653345</v>
      </c>
      <c r="EZ15" s="69">
        <f t="shared" ca="1" si="25"/>
        <v>0.44253135663493426</v>
      </c>
      <c r="FA15" s="179" cm="1">
        <f t="array" aca="1" ref="FA15" ca="1">IF(ISBLANK(INDIRECT("'" &amp; $I$2 &amp; "'!" &amp; ADDRESS(ROW(),COLUMN()))), "", INDIRECT("'" &amp; $I$2 &amp; "'!" &amp; ADDRESS(ROW(),COLUMN())))</f>
        <v>0.99557468643365066</v>
      </c>
      <c r="FB15" s="65" t="s">
        <v>113</v>
      </c>
      <c r="FC15" s="65" t="s">
        <v>113</v>
      </c>
      <c r="FD15" s="65" t="s">
        <v>113</v>
      </c>
      <c r="FE15" s="65" t="s">
        <v>113</v>
      </c>
      <c r="FF15" s="65" t="s">
        <v>113</v>
      </c>
      <c r="FG15" s="65" t="s">
        <v>113</v>
      </c>
      <c r="FH15" s="65" t="s">
        <v>113</v>
      </c>
      <c r="FI15" s="65" t="s">
        <v>113</v>
      </c>
      <c r="FJ15" s="1"/>
      <c r="FK15" s="1"/>
      <c r="FL15" s="1"/>
      <c r="FM15" s="1"/>
      <c r="FN15" s="1"/>
      <c r="FO15" s="1"/>
      <c r="FP15" s="1"/>
      <c r="FQ15" s="1"/>
    </row>
    <row r="16" spans="1:173" x14ac:dyDescent="0.3">
      <c r="A16" s="1"/>
      <c r="B16" s="28">
        <v>5</v>
      </c>
      <c r="C16" s="29" cm="1">
        <f t="array" aca="1" ref="C16" ca="1">IF(ISBLANK(INDIRECT("'" &amp; $I$2 &amp; "'!" &amp; ADDRESS(ROW(),COLUMN()))), "", INDIRECT("'" &amp; $I$2 &amp; "'!" &amp; ADDRESS(ROW(),COLUMN())))</f>
        <v>1607354110.5036001</v>
      </c>
      <c r="D16" s="29" cm="1">
        <f t="array" aca="1" ref="D16" ca="1">IF(ISBLANK(INDIRECT("'" &amp; $I$2 &amp; "'!" &amp; ADDRESS(ROW(),COLUMN()))), "", INDIRECT("'" &amp; $I$2 &amp; "'!" &amp; ADDRESS(ROW(),COLUMN())))</f>
        <v>1652337892.7183998</v>
      </c>
      <c r="E16" s="29" cm="1">
        <f t="array" aca="1" ref="E16" ca="1">IF(ISBLANK(INDIRECT("'" &amp; $I$2 &amp; "'!" &amp; ADDRESS(ROW(),COLUMN()))), "", INDIRECT("'" &amp; $I$2 &amp; "'!" &amp; ADDRESS(ROW(),COLUMN())))</f>
        <v>1623424202.5044</v>
      </c>
      <c r="F16" s="29" cm="1">
        <f t="array" aca="1" ref="F16" ca="1">IF(ISBLANK(INDIRECT("'" &amp; $I$2 &amp; "'!" &amp; ADDRESS(ROW(),COLUMN()))), "", INDIRECT("'" &amp; $I$2 &amp; "'!" &amp; ADDRESS(ROW(),COLUMN())))</f>
        <v>1629388121.1108012</v>
      </c>
      <c r="G16" s="29" cm="1">
        <f t="array" aca="1" ref="G16" ca="1">IF(ISBLANK(INDIRECT("'" &amp; $I$2 &amp; "'!" &amp; ADDRESS(ROW(),COLUMN()))), "", INDIRECT("'" &amp; $I$2 &amp; "'!" &amp; ADDRESS(ROW(),COLUMN())))</f>
        <v>1626863266.8372011</v>
      </c>
      <c r="H16" s="29" cm="1">
        <f t="array" aca="1" ref="H16" ca="1">IF(ISBLANK(INDIRECT("'" &amp; $I$2 &amp; "'!" &amp; ADDRESS(ROW(),COLUMN()))), "", INDIRECT("'" &amp; $I$2 &amp; "'!" &amp; ADDRESS(ROW(),COLUMN())))</f>
        <v>1625611487.3807998</v>
      </c>
      <c r="I16" s="29" cm="1">
        <f t="array" aca="1" ref="I16" ca="1">IF(ISBLANK(INDIRECT("'" &amp; $I$2 &amp; "'!" &amp; ADDRESS(ROW(),COLUMN()))), 0, INDIRECT("'" &amp; $I$2 &amp; "'!" &amp; ADDRESS(ROW(),COLUMN())))</f>
        <v>0</v>
      </c>
      <c r="J16" s="366" cm="1">
        <f t="array" aca="1" ref="J16" ca="1">IF(ISBLANK(INDIRECT("'" &amp; $I$2 &amp; "'!" &amp; ADDRESS(ROW(),COLUMN()))), 0, INDIRECT("'" &amp; $I$2 &amp; "'!" &amp; ADDRESS(ROW(),COLUMN())))</f>
        <v>0</v>
      </c>
      <c r="K16" s="65" t="s">
        <v>113</v>
      </c>
      <c r="L16" s="65" t="s">
        <v>113</v>
      </c>
      <c r="M16" s="65" t="s">
        <v>113</v>
      </c>
      <c r="N16" s="65" t="s">
        <v>113</v>
      </c>
      <c r="O16" s="30">
        <f t="shared" ca="1" si="11"/>
        <v>4.5792744575711879</v>
      </c>
      <c r="P16" s="29" cm="1">
        <f t="array" aca="1" ref="P16" ca="1">IF(ISBLANK(INDIRECT("'" &amp; $I$2 &amp; "'!" &amp; ADDRESS(ROW(),COLUMN()))), "", INDIRECT("'" &amp; $I$2 &amp; "'!" &amp; ADDRESS(ROW(),COLUMN())))</f>
        <v>20486801428.033207</v>
      </c>
      <c r="Q16" s="29" cm="1">
        <f t="array" aca="1" ref="Q16" ca="1">IF(ISBLANK(INDIRECT("'" &amp; $I$2 &amp; "'!" &amp; ADDRESS(ROW(),COLUMN()))), "", INDIRECT("'" &amp; $I$2 &amp; "'!" &amp; ADDRESS(ROW(),COLUMN())))</f>
        <v>20691667703.717968</v>
      </c>
      <c r="R16" s="30">
        <f t="shared" ca="1" si="0"/>
        <v>0.99999151358216576</v>
      </c>
      <c r="S16" s="65" t="s">
        <v>113</v>
      </c>
      <c r="T16" s="65" t="s">
        <v>113</v>
      </c>
      <c r="U16" s="65" t="s">
        <v>113</v>
      </c>
      <c r="V16" s="65" t="s">
        <v>113</v>
      </c>
      <c r="W16" s="132">
        <f t="shared" ca="1" si="12"/>
        <v>2.798646774550321</v>
      </c>
      <c r="X16" s="132">
        <f t="shared" ca="1" si="12"/>
        <v>0.99979390194470907</v>
      </c>
      <c r="Y16" s="132">
        <f t="shared" ca="1" si="12"/>
        <v>1.3708365477539375</v>
      </c>
      <c r="Z16" s="132">
        <f t="shared" ca="1" si="12"/>
        <v>1.2137538187988843</v>
      </c>
      <c r="AA16" s="132">
        <f t="shared" ca="1" si="12"/>
        <v>1.135874895204207</v>
      </c>
      <c r="AB16" s="132">
        <f t="shared" ca="1" si="1"/>
        <v>1.135874895204207</v>
      </c>
      <c r="AC16" s="132">
        <f t="shared" ca="1" si="1"/>
        <v>1.135874895204207</v>
      </c>
      <c r="AD16" s="65" t="s">
        <v>113</v>
      </c>
      <c r="AE16" s="65" t="s">
        <v>113</v>
      </c>
      <c r="AF16" s="65" t="s">
        <v>113</v>
      </c>
      <c r="AG16" s="65" t="s">
        <v>113</v>
      </c>
      <c r="AH16" s="133">
        <f t="shared" ca="1" si="2"/>
        <v>1</v>
      </c>
      <c r="AI16" s="134">
        <f t="shared" ca="1" si="13"/>
        <v>0</v>
      </c>
      <c r="AJ16" s="134">
        <f t="shared" ca="1" si="3"/>
        <v>1.4278102267963835</v>
      </c>
      <c r="AK16" s="134">
        <f t="shared" ca="1" si="4"/>
        <v>0.15708272895505315</v>
      </c>
      <c r="AL16" s="134">
        <f t="shared" ca="1" si="14"/>
        <v>7.7878923594677296E-2</v>
      </c>
      <c r="AM16" s="134">
        <f t="shared" ca="1" si="15"/>
        <v>0</v>
      </c>
      <c r="AN16" s="135">
        <f t="shared" ca="1" si="26"/>
        <v>0</v>
      </c>
      <c r="AO16" s="134">
        <f t="shared" ca="1" si="16"/>
        <v>0.13587489520420704</v>
      </c>
      <c r="AP16" s="134">
        <f t="shared" ca="1" si="6"/>
        <v>0.13587489520420704</v>
      </c>
      <c r="AQ16" s="136" t="s">
        <v>113</v>
      </c>
      <c r="AR16" s="137">
        <f t="shared" ca="1" si="7"/>
        <v>0</v>
      </c>
      <c r="AS16" s="137">
        <f t="shared" ca="1" si="7"/>
        <v>79.382469476440136</v>
      </c>
      <c r="AT16" s="137">
        <f t="shared" ca="1" si="7"/>
        <v>8.7333839627475136</v>
      </c>
      <c r="AU16" s="137">
        <f t="shared" ca="1" si="7"/>
        <v>4.3298620216383386</v>
      </c>
      <c r="AV16" s="137">
        <f t="shared" ca="1" si="7"/>
        <v>0</v>
      </c>
      <c r="AW16" s="138">
        <f t="shared" ca="1" si="7"/>
        <v>0</v>
      </c>
      <c r="AX16" s="137">
        <f t="shared" ca="1" si="7"/>
        <v>7.5542845391740165</v>
      </c>
      <c r="AY16" s="137">
        <f t="shared" ca="1" si="7"/>
        <v>7.5542845391740165</v>
      </c>
      <c r="AZ16" s="66" t="s">
        <v>113</v>
      </c>
      <c r="BA16" s="66" t="s">
        <v>113</v>
      </c>
      <c r="BB16" s="66" t="s">
        <v>113</v>
      </c>
      <c r="BC16" s="66" t="s">
        <v>113</v>
      </c>
      <c r="BD16" s="66" t="s">
        <v>113</v>
      </c>
      <c r="BE16" s="66" t="s">
        <v>113</v>
      </c>
      <c r="BF16" s="66" t="s">
        <v>113</v>
      </c>
      <c r="BG16" s="66" t="s">
        <v>113</v>
      </c>
      <c r="BH16" s="29" cm="1">
        <f t="array" aca="1" ref="BH16" ca="1">IF(ISBLANK(INDIRECT("'" &amp; $I$2 &amp; "'!" &amp; ADDRESS(ROW(),COLUMN()))), "", INDIRECT("'" &amp; $I$2 &amp; "'!" &amp; ADDRESS(ROW(),COLUMN())))</f>
        <v>12203247567.338404</v>
      </c>
      <c r="BI16" s="29" cm="1">
        <f t="array" aca="1" ref="BI16" ca="1">IF(ISBLANK(INDIRECT("'" &amp; $I$2 &amp; "'!" &amp; ADDRESS(ROW(),COLUMN()))), "", INDIRECT("'" &amp; $I$2 &amp; "'!" &amp; ADDRESS(ROW(),COLUMN())))</f>
        <v>6526372172.9952011</v>
      </c>
      <c r="BJ16" s="29" cm="1">
        <f t="array" aca="1" ref="BJ16" ca="1">IF(ISBLANK(INDIRECT("'" &amp; $I$2 &amp; "'!" &amp; ADDRESS(ROW(),COLUMN()))), "", INDIRECT("'" &amp; $I$2 &amp; "'!" &amp; ADDRESS(ROW(),COLUMN())))</f>
        <v>1497851333.4312</v>
      </c>
      <c r="BK16" s="29" cm="1">
        <f t="array" aca="1" ref="BK16" ca="1">IF(ISBLANK(INDIRECT("'" &amp; $I$2 &amp; "'!" &amp; ADDRESS(ROW(),COLUMN()))), "", INDIRECT("'" &amp; $I$2 &amp; "'!" &amp; ADDRESS(ROW(),COLUMN())))</f>
        <v>259329002.41559967</v>
      </c>
      <c r="BL16" s="67">
        <f t="shared" ca="1" si="17"/>
        <v>0.59566391637349358</v>
      </c>
      <c r="BM16" s="67">
        <f t="shared" ca="1" si="18"/>
        <v>0.31856474162518361</v>
      </c>
      <c r="BN16" s="67">
        <f t="shared" ca="1" si="19"/>
        <v>7.3112996068757569E-2</v>
      </c>
      <c r="BO16" s="67">
        <f t="shared" ca="1" si="19"/>
        <v>1.2658345932565448E-2</v>
      </c>
      <c r="BP16" s="66" t="s">
        <v>113</v>
      </c>
      <c r="BQ16" s="66" t="s">
        <v>113</v>
      </c>
      <c r="BR16" s="66" t="s">
        <v>113</v>
      </c>
      <c r="BS16" s="30">
        <f t="shared" ca="1" si="20"/>
        <v>7.8176977049979985</v>
      </c>
      <c r="BT16" s="66" t="s">
        <v>113</v>
      </c>
      <c r="BU16" s="66" t="s">
        <v>113</v>
      </c>
      <c r="BV16" s="66" t="s">
        <v>113</v>
      </c>
      <c r="BW16" s="66" t="s">
        <v>113</v>
      </c>
      <c r="BX16" s="66" t="s">
        <v>113</v>
      </c>
      <c r="BY16" s="66" t="s">
        <v>113</v>
      </c>
      <c r="BZ16" s="66" t="s">
        <v>113</v>
      </c>
      <c r="CA16" s="66"/>
      <c r="CB16" s="66"/>
      <c r="CC16" s="68" t="s">
        <v>113</v>
      </c>
      <c r="CD16" s="68" t="s">
        <v>113</v>
      </c>
      <c r="CE16" s="68" t="s">
        <v>113</v>
      </c>
      <c r="CF16" s="68" t="s">
        <v>113</v>
      </c>
      <c r="CG16" s="68" t="s">
        <v>113</v>
      </c>
      <c r="CH16" s="68" t="s">
        <v>113</v>
      </c>
      <c r="CI16" s="68" t="s">
        <v>113</v>
      </c>
      <c r="CJ16" s="68"/>
      <c r="CK16" s="66" t="s">
        <v>113</v>
      </c>
      <c r="CL16" s="66" t="s">
        <v>113</v>
      </c>
      <c r="CM16" s="66" t="s">
        <v>113</v>
      </c>
      <c r="CN16" s="66" t="s">
        <v>113</v>
      </c>
      <c r="CO16" s="66" t="s">
        <v>113</v>
      </c>
      <c r="CP16" s="66" t="s">
        <v>113</v>
      </c>
      <c r="CQ16" s="66" t="s">
        <v>113</v>
      </c>
      <c r="CR16" s="66"/>
      <c r="CS16" s="143" t="s">
        <v>113</v>
      </c>
      <c r="CT16" s="143" t="s">
        <v>113</v>
      </c>
      <c r="CU16" s="143" t="s">
        <v>113</v>
      </c>
      <c r="CV16" s="143" t="s">
        <v>113</v>
      </c>
      <c r="CW16" s="143" t="s">
        <v>113</v>
      </c>
      <c r="CX16" s="143" t="s">
        <v>113</v>
      </c>
      <c r="CY16" s="143" t="s">
        <v>113</v>
      </c>
      <c r="CZ16" s="143"/>
      <c r="DA16" s="66" t="s">
        <v>113</v>
      </c>
      <c r="DB16" s="66" t="s">
        <v>113</v>
      </c>
      <c r="DC16" s="66" t="s">
        <v>113</v>
      </c>
      <c r="DD16" s="69">
        <f t="shared" ca="1" si="21"/>
        <v>0</v>
      </c>
      <c r="DE16" s="29" cm="1">
        <f t="array" aca="1" ref="DE16" ca="1">IF(ISBLANK(INDIRECT("'" &amp; $I$2 &amp; "'!" &amp; ADDRESS(ROW(),COLUMN()))), "", INDIRECT("'" &amp; $I$2 &amp; "'!" &amp; ADDRESS(ROW(),COLUMN())))</f>
        <v>1</v>
      </c>
      <c r="DF16" s="1"/>
      <c r="DG16" s="1"/>
      <c r="DH16" s="1"/>
      <c r="DI16" s="1"/>
      <c r="DJ16" s="1"/>
      <c r="DK16" s="1"/>
      <c r="DL16" s="1"/>
      <c r="DM16" s="1"/>
      <c r="DN16" s="1"/>
      <c r="DO16" s="1"/>
      <c r="DP16" s="1"/>
      <c r="DQ16" s="1"/>
      <c r="DR16" s="1"/>
      <c r="DS16" s="1"/>
      <c r="DT16" s="1"/>
      <c r="DU16" s="1"/>
      <c r="DV16" s="1"/>
      <c r="DW16" s="1"/>
      <c r="DX16" s="1"/>
      <c r="DY16" s="1"/>
      <c r="DZ16" s="1"/>
      <c r="EA16" s="29" cm="1">
        <f t="array" aca="1" ref="EA16" ca="1">IF(ISBLANK(INDIRECT("'" &amp; $I$2 &amp; "'!" &amp; ADDRESS(ROW(),COLUMN()))), "", INDIRECT("'" &amp; $I$2 &amp; "'!" &amp; ADDRESS(ROW(),COLUMN())))</f>
        <v>1660539397.3116009</v>
      </c>
      <c r="EB16" s="29" cm="1">
        <f t="array" aca="1" ref="EB16" ca="1">IF(ISBLANK(INDIRECT("'" &amp; $I$2 &amp; "'!" &amp; ADDRESS(ROW(),COLUMN()))), "", INDIRECT("'" &amp; $I$2 &amp; "'!" &amp; ADDRESS(ROW(),COLUMN())))</f>
        <v>1713026529.0492003</v>
      </c>
      <c r="EC16" s="29" cm="1">
        <f t="array" aca="1" ref="EC16" ca="1">IF(ISBLANK(INDIRECT("'" &amp; $I$2 &amp; "'!" &amp; ADDRESS(ROW(),COLUMN()))), "", INDIRECT("'" &amp; $I$2 &amp; "'!" &amp; ADDRESS(ROW(),COLUMN())))</f>
        <v>1677134177.707202</v>
      </c>
      <c r="ED16" s="29" cm="1">
        <f t="array" aca="1" ref="ED16" ca="1">IF(ISBLANK(INDIRECT("'" &amp; $I$2 &amp; "'!" &amp; ADDRESS(ROW(),COLUMN()))), "", INDIRECT("'" &amp; $I$2 &amp; "'!" &amp; ADDRESS(ROW(),COLUMN())))</f>
        <v>1687635486.1800027</v>
      </c>
      <c r="EE16" s="29" cm="1">
        <f t="array" aca="1" ref="EE16" ca="1">IF(ISBLANK(INDIRECT("'" &amp; $I$2 &amp; "'!" &amp; ADDRESS(ROW(),COLUMN()))), "", INDIRECT("'" &amp; $I$2 &amp; "'!" &amp; ADDRESS(ROW(),COLUMN())))</f>
        <v>1684125189.5352025</v>
      </c>
      <c r="EF16" s="29" cm="1">
        <f t="array" aca="1" ref="EF16" ca="1">IF(ISBLANK(INDIRECT("'" &amp; $I$2 &amp; "'!" &amp; ADDRESS(ROW(),COLUMN()))), "", INDIRECT("'" &amp; $I$2 &amp; "'!" &amp; ADDRESS(ROW(),COLUMN())))</f>
        <v>1682773797.6084018</v>
      </c>
      <c r="EG16" s="29" cm="1">
        <f t="array" aca="1" ref="EG16" ca="1">IF(ISBLANK(INDIRECT("'" &amp; $I$2 &amp; "'!" &amp; ADDRESS(ROW(),COLUMN()))), "", INDIRECT("'" &amp; $I$2 &amp; "'!" &amp; ADDRESS(ROW(),COLUMN())))</f>
        <v>1690570518.8124003</v>
      </c>
      <c r="EH16" s="122"/>
      <c r="EI16" s="65" t="s">
        <v>113</v>
      </c>
      <c r="EJ16" s="65" t="s">
        <v>113</v>
      </c>
      <c r="EK16" s="65" t="s">
        <v>113</v>
      </c>
      <c r="EL16" s="65" t="s">
        <v>113</v>
      </c>
      <c r="EM16" s="30">
        <f t="shared" ca="1" si="8"/>
        <v>4.2233517431659688</v>
      </c>
      <c r="EN16" s="29" cm="1">
        <f t="array" aca="1" ref="EN16" ca="1">IF(ISBLANK(INDIRECT("'" &amp; $I$2 &amp; "'!" &amp; ADDRESS(ROW(),COLUMN()))), "", INDIRECT("'" &amp; $I$2 &amp; "'!" &amp; ADDRESS(ROW(),COLUMN())))</f>
        <v>23902111260.021591</v>
      </c>
      <c r="EO16" s="29" cm="1">
        <f t="array" aca="1" ref="EO16" ca="1">IF(ISBLANK(INDIRECT("'" &amp; $I$2 &amp; "'!" &amp; ADDRESS(ROW(),COLUMN()))), "", INDIRECT("'" &amp; $I$2 &amp; "'!" &amp; ADDRESS(ROW(),COLUMN())))</f>
        <v>24141130114.253983</v>
      </c>
      <c r="EP16" s="30">
        <f t="shared" ca="1" si="9"/>
        <v>0.99999055159689654</v>
      </c>
      <c r="EQ16" s="65" t="s">
        <v>113</v>
      </c>
      <c r="ER16" s="65" t="s">
        <v>113</v>
      </c>
      <c r="ES16" s="65" t="s">
        <v>113</v>
      </c>
      <c r="ET16" s="65" t="s">
        <v>113</v>
      </c>
      <c r="EU16" s="30">
        <f t="shared" ca="1" si="22"/>
        <v>7.7907775253032785</v>
      </c>
      <c r="EV16" s="31">
        <f t="shared" ca="1" si="23"/>
        <v>3.160878190956534</v>
      </c>
      <c r="EW16" s="31">
        <f t="shared" ca="1" si="24"/>
        <v>0.9993702780026873</v>
      </c>
      <c r="EX16" s="31"/>
      <c r="EY16" s="70">
        <f t="shared" ca="1" si="10"/>
        <v>0.36223141640621304</v>
      </c>
      <c r="EZ16" s="69">
        <f t="shared" ca="1" si="25"/>
        <v>0</v>
      </c>
      <c r="FA16" s="179" cm="1">
        <f t="array" aca="1" ref="FA16" ca="1">IF(ISBLANK(INDIRECT("'" &amp; $I$2 &amp; "'!" &amp; ADDRESS(ROW(),COLUMN()))), "", INDIRECT("'" &amp; $I$2 &amp; "'!" &amp; ADDRESS(ROW(),COLUMN())))</f>
        <v>1</v>
      </c>
      <c r="FB16" s="65" t="s">
        <v>113</v>
      </c>
      <c r="FC16" s="65" t="s">
        <v>113</v>
      </c>
      <c r="FD16" s="65" t="s">
        <v>113</v>
      </c>
      <c r="FE16" s="65" t="s">
        <v>113</v>
      </c>
      <c r="FF16" s="65" t="s">
        <v>113</v>
      </c>
      <c r="FG16" s="65" t="s">
        <v>113</v>
      </c>
      <c r="FH16" s="65" t="s">
        <v>113</v>
      </c>
      <c r="FI16" s="65" t="s">
        <v>113</v>
      </c>
      <c r="FJ16" s="1"/>
      <c r="FK16" s="1"/>
      <c r="FL16" s="1"/>
      <c r="FM16" s="1"/>
      <c r="FN16" s="1"/>
      <c r="FO16" s="1"/>
      <c r="FP16" s="1"/>
      <c r="FQ16" s="1"/>
    </row>
    <row r="17" spans="1:173" x14ac:dyDescent="0.3">
      <c r="A17" s="1"/>
      <c r="B17" s="28">
        <v>6</v>
      </c>
      <c r="C17" s="29" cm="1">
        <f t="array" aca="1" ref="C17" ca="1">IF(ISBLANK(INDIRECT("'" &amp; $I$2 &amp; "'!" &amp; ADDRESS(ROW(),COLUMN()))), "", INDIRECT("'" &amp; $I$2 &amp; "'!" &amp; ADDRESS(ROW(),COLUMN())))</f>
        <v>2298800311.6524019</v>
      </c>
      <c r="D17" s="29" cm="1">
        <f t="array" aca="1" ref="D17" ca="1">IF(ISBLANK(INDIRECT("'" &amp; $I$2 &amp; "'!" &amp; ADDRESS(ROW(),COLUMN()))), "", INDIRECT("'" &amp; $I$2 &amp; "'!" &amp; ADDRESS(ROW(),COLUMN())))</f>
        <v>2353982432.1155996</v>
      </c>
      <c r="E17" s="29" cm="1">
        <f t="array" aca="1" ref="E17" ca="1">IF(ISBLANK(INDIRECT("'" &amp; $I$2 &amp; "'!" &amp; ADDRESS(ROW(),COLUMN()))), "", INDIRECT("'" &amp; $I$2 &amp; "'!" &amp; ADDRESS(ROW(),COLUMN())))</f>
        <v>2321785697.5140023</v>
      </c>
      <c r="F17" s="29" cm="1">
        <f t="array" aca="1" ref="F17" ca="1">IF(ISBLANK(INDIRECT("'" &amp; $I$2 &amp; "'!" &amp; ADDRESS(ROW(),COLUMN()))), "", INDIRECT("'" &amp; $I$2 &amp; "'!" &amp; ADDRESS(ROW(),COLUMN())))</f>
        <v>2327109428.3699989</v>
      </c>
      <c r="G17" s="29" cm="1">
        <f t="array" aca="1" ref="G17" ca="1">IF(ISBLANK(INDIRECT("'" &amp; $I$2 &amp; "'!" &amp; ADDRESS(ROW(),COLUMN()))), "", INDIRECT("'" &amp; $I$2 &amp; "'!" &amp; ADDRESS(ROW(),COLUMN())))</f>
        <v>2324735831.9580011</v>
      </c>
      <c r="H17" s="29" cm="1">
        <f t="array" aca="1" ref="H17" ca="1">IF(ISBLANK(INDIRECT("'" &amp; $I$2 &amp; "'!" &amp; ADDRESS(ROW(),COLUMN()))), "", INDIRECT("'" &amp; $I$2 &amp; "'!" &amp; ADDRESS(ROW(),COLUMN())))</f>
        <v>2323221035.9555998</v>
      </c>
      <c r="I17" s="29" cm="1">
        <f t="array" aca="1" ref="I17" ca="1">IF(ISBLANK(INDIRECT("'" &amp; $I$2 &amp; "'!" &amp; ADDRESS(ROW(),COLUMN()))), 0, INDIRECT("'" &amp; $I$2 &amp; "'!" &amp; ADDRESS(ROW(),COLUMN())))</f>
        <v>0</v>
      </c>
      <c r="J17" s="366" cm="1">
        <f t="array" aca="1" ref="J17" ca="1">IF(ISBLANK(INDIRECT("'" &amp; $I$2 &amp; "'!" &amp; ADDRESS(ROW(),COLUMN()))), 0, INDIRECT("'" &amp; $I$2 &amp; "'!" &amp; ADDRESS(ROW(),COLUMN())))</f>
        <v>0</v>
      </c>
      <c r="K17" s="65" t="s">
        <v>113</v>
      </c>
      <c r="L17" s="65" t="s">
        <v>113</v>
      </c>
      <c r="M17" s="65" t="s">
        <v>113</v>
      </c>
      <c r="N17" s="65" t="s">
        <v>113</v>
      </c>
      <c r="O17" s="30">
        <f t="shared" ca="1" si="11"/>
        <v>6.5491713875720681</v>
      </c>
      <c r="P17" s="29" cm="1">
        <f t="array" aca="1" ref="P17" ca="1">IF(ISBLANK(INDIRECT("'" &amp; $I$2 &amp; "'!" &amp; ADDRESS(ROW(),COLUMN()))), "", INDIRECT("'" &amp; $I$2 &amp; "'!" &amp; ADDRESS(ROW(),COLUMN())))</f>
        <v>23783687010.391197</v>
      </c>
      <c r="Q17" s="29" cm="1">
        <f t="array" aca="1" ref="Q17" ca="1">IF(ISBLANK(INDIRECT("'" &amp; $I$2 &amp; "'!" &amp; ADDRESS(ROW(),COLUMN()))), "", INDIRECT("'" &amp; $I$2 &amp; "'!" &amp; ADDRESS(ROW(),COLUMN())))</f>
        <v>24021524584.191608</v>
      </c>
      <c r="R17" s="30">
        <f t="shared" ca="1" si="0"/>
        <v>1.000002958735946</v>
      </c>
      <c r="S17" s="65" t="s">
        <v>113</v>
      </c>
      <c r="T17" s="65" t="s">
        <v>113</v>
      </c>
      <c r="U17" s="65" t="s">
        <v>113</v>
      </c>
      <c r="V17" s="65" t="s">
        <v>113</v>
      </c>
      <c r="W17" s="132">
        <f t="shared" ca="1" si="12"/>
        <v>2.4004676228137454</v>
      </c>
      <c r="X17" s="132">
        <f t="shared" ca="1" si="12"/>
        <v>0.99988318853115798</v>
      </c>
      <c r="Y17" s="132">
        <f t="shared" ca="1" si="12"/>
        <v>1.2314698590890116</v>
      </c>
      <c r="Z17" s="132">
        <f t="shared" ca="1" si="12"/>
        <v>1.1282164630831888</v>
      </c>
      <c r="AA17" s="132">
        <f t="shared" ca="1" si="12"/>
        <v>1.0623215911860997</v>
      </c>
      <c r="AB17" s="132">
        <f t="shared" ca="1" si="1"/>
        <v>1.0623215911860997</v>
      </c>
      <c r="AC17" s="132">
        <f t="shared" ca="1" si="1"/>
        <v>1.0623215911860997</v>
      </c>
      <c r="AD17" s="65" t="s">
        <v>113</v>
      </c>
      <c r="AE17" s="65" t="s">
        <v>113</v>
      </c>
      <c r="AF17" s="65" t="s">
        <v>113</v>
      </c>
      <c r="AG17" s="65" t="s">
        <v>113</v>
      </c>
      <c r="AH17" s="133">
        <f t="shared" ca="1" si="2"/>
        <v>1</v>
      </c>
      <c r="AI17" s="134">
        <f t="shared" ca="1" si="13"/>
        <v>0</v>
      </c>
      <c r="AJ17" s="134">
        <f t="shared" ca="1" si="3"/>
        <v>1.1689977637247337</v>
      </c>
      <c r="AK17" s="134">
        <f t="shared" ca="1" si="4"/>
        <v>0.10325339600582284</v>
      </c>
      <c r="AL17" s="134">
        <f t="shared" ca="1" si="14"/>
        <v>6.5894871897089091E-2</v>
      </c>
      <c r="AM17" s="134">
        <f t="shared" ca="1" si="15"/>
        <v>0</v>
      </c>
      <c r="AN17" s="135">
        <f t="shared" ca="1" si="26"/>
        <v>0</v>
      </c>
      <c r="AO17" s="134">
        <f t="shared" ca="1" si="16"/>
        <v>6.2321591186099701E-2</v>
      </c>
      <c r="AP17" s="134">
        <f t="shared" ca="1" si="6"/>
        <v>6.2321591186099701E-2</v>
      </c>
      <c r="AQ17" s="136" t="s">
        <v>113</v>
      </c>
      <c r="AR17" s="137">
        <f t="shared" ca="1" si="7"/>
        <v>0</v>
      </c>
      <c r="AS17" s="137">
        <f t="shared" ca="1" si="7"/>
        <v>83.471959271435736</v>
      </c>
      <c r="AT17" s="137">
        <f t="shared" ca="1" si="7"/>
        <v>7.3727799432000847</v>
      </c>
      <c r="AU17" s="137">
        <f t="shared" ca="1" si="7"/>
        <v>4.7052049489510228</v>
      </c>
      <c r="AV17" s="137">
        <f t="shared" ca="1" si="7"/>
        <v>0</v>
      </c>
      <c r="AW17" s="138">
        <f t="shared" ca="1" si="7"/>
        <v>0</v>
      </c>
      <c r="AX17" s="137">
        <f t="shared" ca="1" si="7"/>
        <v>4.450055836413159</v>
      </c>
      <c r="AY17" s="137">
        <f t="shared" ca="1" si="7"/>
        <v>4.450055836413159</v>
      </c>
      <c r="AZ17" s="66" t="s">
        <v>113</v>
      </c>
      <c r="BA17" s="66" t="s">
        <v>113</v>
      </c>
      <c r="BB17" s="66" t="s">
        <v>113</v>
      </c>
      <c r="BC17" s="66" t="s">
        <v>113</v>
      </c>
      <c r="BD17" s="66" t="s">
        <v>113</v>
      </c>
      <c r="BE17" s="66" t="s">
        <v>113</v>
      </c>
      <c r="BF17" s="66" t="s">
        <v>113</v>
      </c>
      <c r="BG17" s="66" t="s">
        <v>113</v>
      </c>
      <c r="BH17" s="29" cm="1">
        <f t="array" aca="1" ref="BH17" ca="1">IF(ISBLANK(INDIRECT("'" &amp; $I$2 &amp; "'!" &amp; ADDRESS(ROW(),COLUMN()))), "", INDIRECT("'" &amp; $I$2 &amp; "'!" &amp; ADDRESS(ROW(),COLUMN())))</f>
        <v>15285858253.549206</v>
      </c>
      <c r="BI17" s="29" cm="1">
        <f t="array" aca="1" ref="BI17" ca="1">IF(ISBLANK(INDIRECT("'" &amp; $I$2 &amp; "'!" &amp; ADDRESS(ROW(),COLUMN()))), "", INDIRECT("'" &amp; $I$2 &amp; "'!" &amp; ADDRESS(ROW(),COLUMN())))</f>
        <v>7179909544.1868</v>
      </c>
      <c r="BJ17" s="29" cm="1">
        <f t="array" aca="1" ref="BJ17" ca="1">IF(ISBLANK(INDIRECT("'" &amp; $I$2 &amp; "'!" &amp; ADDRESS(ROW(),COLUMN()))), "", INDIRECT("'" &amp; $I$2 &amp; "'!" &amp; ADDRESS(ROW(),COLUMN())))</f>
        <v>1049002933.3908</v>
      </c>
      <c r="BK17" s="29" cm="1">
        <f t="array" aca="1" ref="BK17" ca="1">IF(ISBLANK(INDIRECT("'" &amp; $I$2 &amp; "'!" &amp; ADDRESS(ROW(),COLUMN()))), "", INDIRECT("'" &amp; $I$2 &amp; "'!" &amp; ADDRESS(ROW(),COLUMN())))</f>
        <v>268917767.41439992</v>
      </c>
      <c r="BL17" s="67">
        <f t="shared" ca="1" si="17"/>
        <v>0.64270343325791446</v>
      </c>
      <c r="BM17" s="67">
        <f t="shared" ca="1" si="18"/>
        <v>0.30188376982095044</v>
      </c>
      <c r="BN17" s="67">
        <f t="shared" ca="1" si="19"/>
        <v>4.4105981856226446E-2</v>
      </c>
      <c r="BO17" s="67">
        <f t="shared" ca="1" si="19"/>
        <v>1.1306815064908634E-2</v>
      </c>
      <c r="BP17" s="66" t="s">
        <v>113</v>
      </c>
      <c r="BQ17" s="66" t="s">
        <v>113</v>
      </c>
      <c r="BR17" s="66" t="s">
        <v>113</v>
      </c>
      <c r="BS17" s="30">
        <f t="shared" ca="1" si="20"/>
        <v>9.0757786670935765</v>
      </c>
      <c r="BT17" s="66" t="s">
        <v>113</v>
      </c>
      <c r="BU17" s="66" t="s">
        <v>113</v>
      </c>
      <c r="BV17" s="66" t="s">
        <v>113</v>
      </c>
      <c r="BW17" s="66" t="s">
        <v>113</v>
      </c>
      <c r="BX17" s="66" t="s">
        <v>113</v>
      </c>
      <c r="BY17" s="66" t="s">
        <v>113</v>
      </c>
      <c r="BZ17" s="66" t="s">
        <v>113</v>
      </c>
      <c r="CA17" s="66"/>
      <c r="CB17" s="66"/>
      <c r="CC17" s="68" t="s">
        <v>113</v>
      </c>
      <c r="CD17" s="68" t="s">
        <v>113</v>
      </c>
      <c r="CE17" s="68" t="s">
        <v>113</v>
      </c>
      <c r="CF17" s="68" t="s">
        <v>113</v>
      </c>
      <c r="CG17" s="68" t="s">
        <v>113</v>
      </c>
      <c r="CH17" s="68" t="s">
        <v>113</v>
      </c>
      <c r="CI17" s="68" t="s">
        <v>113</v>
      </c>
      <c r="CJ17" s="68"/>
      <c r="CK17" s="66" t="s">
        <v>113</v>
      </c>
      <c r="CL17" s="66" t="s">
        <v>113</v>
      </c>
      <c r="CM17" s="66" t="s">
        <v>113</v>
      </c>
      <c r="CN17" s="66" t="s">
        <v>113</v>
      </c>
      <c r="CO17" s="66" t="s">
        <v>113</v>
      </c>
      <c r="CP17" s="66" t="s">
        <v>113</v>
      </c>
      <c r="CQ17" s="66" t="s">
        <v>113</v>
      </c>
      <c r="CR17" s="66"/>
      <c r="CS17" s="143" t="s">
        <v>113</v>
      </c>
      <c r="CT17" s="143" t="s">
        <v>113</v>
      </c>
      <c r="CU17" s="143" t="s">
        <v>113</v>
      </c>
      <c r="CV17" s="143" t="s">
        <v>113</v>
      </c>
      <c r="CW17" s="143" t="s">
        <v>113</v>
      </c>
      <c r="CX17" s="143" t="s">
        <v>113</v>
      </c>
      <c r="CY17" s="143" t="s">
        <v>113</v>
      </c>
      <c r="CZ17" s="143"/>
      <c r="DA17" s="66" t="s">
        <v>113</v>
      </c>
      <c r="DB17" s="66" t="s">
        <v>113</v>
      </c>
      <c r="DC17" s="66" t="s">
        <v>113</v>
      </c>
      <c r="DD17" s="69">
        <f t="shared" ca="1" si="21"/>
        <v>0</v>
      </c>
      <c r="DE17" s="29" cm="1">
        <f t="array" aca="1" ref="DE17" ca="1">IF(ISBLANK(INDIRECT("'" &amp; $I$2 &amp; "'!" &amp; ADDRESS(ROW(),COLUMN()))), "", INDIRECT("'" &amp; $I$2 &amp; "'!" &amp; ADDRESS(ROW(),COLUMN())))</f>
        <v>1</v>
      </c>
      <c r="DF17" s="1"/>
      <c r="DG17" s="1"/>
      <c r="DH17" s="1"/>
      <c r="DI17" s="1"/>
      <c r="DJ17" s="1"/>
      <c r="DK17" s="1"/>
      <c r="DL17" s="1"/>
      <c r="DM17" s="1"/>
      <c r="DN17" s="1"/>
      <c r="DO17" s="1"/>
      <c r="DP17" s="1"/>
      <c r="DQ17" s="1"/>
      <c r="DR17" s="1"/>
      <c r="DS17" s="1"/>
      <c r="DT17" s="1"/>
      <c r="DU17" s="1"/>
      <c r="DV17" s="1"/>
      <c r="DW17" s="1"/>
      <c r="DX17" s="1"/>
      <c r="DY17" s="1"/>
      <c r="DZ17" s="1"/>
      <c r="EA17" s="29" cm="1">
        <f t="array" aca="1" ref="EA17" ca="1">IF(ISBLANK(INDIRECT("'" &amp; $I$2 &amp; "'!" &amp; ADDRESS(ROW(),COLUMN()))), "", INDIRECT("'" &amp; $I$2 &amp; "'!" &amp; ADDRESS(ROW(),COLUMN())))</f>
        <v>2452915151.948401</v>
      </c>
      <c r="EB17" s="29" cm="1">
        <f t="array" aca="1" ref="EB17" ca="1">IF(ISBLANK(INDIRECT("'" &amp; $I$2 &amp; "'!" &amp; ADDRESS(ROW(),COLUMN()))), "", INDIRECT("'" &amp; $I$2 &amp; "'!" &amp; ADDRESS(ROW(),COLUMN())))</f>
        <v>2516947971.1860008</v>
      </c>
      <c r="EC17" s="29" cm="1">
        <f t="array" aca="1" ref="EC17" ca="1">IF(ISBLANK(INDIRECT("'" &amp; $I$2 &amp; "'!" &amp; ADDRESS(ROW(),COLUMN()))), "", INDIRECT("'" &amp; $I$2 &amp; "'!" &amp; ADDRESS(ROW(),COLUMN())))</f>
        <v>2477414001.2784014</v>
      </c>
      <c r="ED17" s="29" cm="1">
        <f t="array" aca="1" ref="ED17" ca="1">IF(ISBLANK(INDIRECT("'" &amp; $I$2 &amp; "'!" &amp; ADDRESS(ROW(),COLUMN()))), "", INDIRECT("'" &amp; $I$2 &amp; "'!" &amp; ADDRESS(ROW(),COLUMN())))</f>
        <v>2486269566.4200015</v>
      </c>
      <c r="EE17" s="29" cm="1">
        <f t="array" aca="1" ref="EE17" ca="1">IF(ISBLANK(INDIRECT("'" &amp; $I$2 &amp; "'!" &amp; ADDRESS(ROW(),COLUMN()))), "", INDIRECT("'" &amp; $I$2 &amp; "'!" &amp; ADDRESS(ROW(),COLUMN())))</f>
        <v>2483199310.4652019</v>
      </c>
      <c r="EF17" s="29" cm="1">
        <f t="array" aca="1" ref="EF17" ca="1">IF(ISBLANK(INDIRECT("'" &amp; $I$2 &amp; "'!" &amp; ADDRESS(ROW(),COLUMN()))), "", INDIRECT("'" &amp; $I$2 &amp; "'!" &amp; ADDRESS(ROW(),COLUMN())))</f>
        <v>2481587164.2096024</v>
      </c>
      <c r="EG17" s="29" cm="1">
        <f t="array" aca="1" ref="EG17" ca="1">IF(ISBLANK(INDIRECT("'" &amp; $I$2 &amp; "'!" &amp; ADDRESS(ROW(),COLUMN()))), "", INDIRECT("'" &amp; $I$2 &amp; "'!" &amp; ADDRESS(ROW(),COLUMN())))</f>
        <v>2491647441.1344047</v>
      </c>
      <c r="EH17" s="122"/>
      <c r="EI17" s="65" t="s">
        <v>113</v>
      </c>
      <c r="EJ17" s="65" t="s">
        <v>113</v>
      </c>
      <c r="EK17" s="65" t="s">
        <v>113</v>
      </c>
      <c r="EL17" s="65" t="s">
        <v>113</v>
      </c>
      <c r="EM17" s="30">
        <f t="shared" ca="1" si="8"/>
        <v>6.2386496216780376</v>
      </c>
      <c r="EN17" s="29" cm="1">
        <f t="array" aca="1" ref="EN17" ca="1">IF(ISBLANK(INDIRECT("'" &amp; $I$2 &amp; "'!" &amp; ADDRESS(ROW(),COLUMN()))), "", INDIRECT("'" &amp; $I$2 &amp; "'!" &amp; ADDRESS(ROW(),COLUMN())))</f>
        <v>27869724791.583607</v>
      </c>
      <c r="EO17" s="29" cm="1">
        <f t="array" aca="1" ref="EO17" ca="1">IF(ISBLANK(INDIRECT("'" &amp; $I$2 &amp; "'!" &amp; ADDRESS(ROW(),COLUMN()))), "", INDIRECT("'" &amp; $I$2 &amp; "'!" &amp; ADDRESS(ROW(),COLUMN())))</f>
        <v>28148421359.047241</v>
      </c>
      <c r="EP17" s="30">
        <f t="shared" ca="1" si="9"/>
        <v>0.99999755845381344</v>
      </c>
      <c r="EQ17" s="65" t="s">
        <v>113</v>
      </c>
      <c r="ER17" s="65" t="s">
        <v>113</v>
      </c>
      <c r="ES17" s="65" t="s">
        <v>113</v>
      </c>
      <c r="ET17" s="65" t="s">
        <v>113</v>
      </c>
      <c r="EU17" s="30">
        <f t="shared" ca="1" si="22"/>
        <v>9.0840019603549038</v>
      </c>
      <c r="EV17" s="31">
        <f t="shared" ca="1" si="23"/>
        <v>2.6104847338973167</v>
      </c>
      <c r="EW17" s="31">
        <f t="shared" ca="1" si="24"/>
        <v>0.99876708437136974</v>
      </c>
      <c r="EX17" s="31"/>
      <c r="EY17" s="70">
        <f t="shared" ca="1" si="10"/>
        <v>0.21001711108357135</v>
      </c>
      <c r="EZ17" s="69">
        <f t="shared" ca="1" si="25"/>
        <v>0</v>
      </c>
      <c r="FA17" s="179" cm="1">
        <f t="array" aca="1" ref="FA17" ca="1">IF(ISBLANK(INDIRECT("'" &amp; $I$2 &amp; "'!" &amp; ADDRESS(ROW(),COLUMN()))), "", INDIRECT("'" &amp; $I$2 &amp; "'!" &amp; ADDRESS(ROW(),COLUMN())))</f>
        <v>1</v>
      </c>
      <c r="FB17" s="65" t="s">
        <v>113</v>
      </c>
      <c r="FC17" s="65" t="s">
        <v>113</v>
      </c>
      <c r="FD17" s="65" t="s">
        <v>113</v>
      </c>
      <c r="FE17" s="65" t="s">
        <v>113</v>
      </c>
      <c r="FF17" s="65" t="s">
        <v>113</v>
      </c>
      <c r="FG17" s="65" t="s">
        <v>113</v>
      </c>
      <c r="FH17" s="65" t="s">
        <v>113</v>
      </c>
      <c r="FI17" s="65" t="s">
        <v>113</v>
      </c>
      <c r="FJ17" s="1"/>
      <c r="FK17" s="1"/>
      <c r="FL17" s="1"/>
      <c r="FM17" s="1"/>
      <c r="FN17" s="1"/>
      <c r="FO17" s="1"/>
      <c r="FP17" s="1"/>
      <c r="FQ17" s="1"/>
    </row>
    <row r="18" spans="1:173" x14ac:dyDescent="0.3">
      <c r="A18" s="1"/>
      <c r="B18" s="28">
        <v>7</v>
      </c>
      <c r="C18" s="29" cm="1">
        <f t="array" aca="1" ref="C18" ca="1">IF(ISBLANK(INDIRECT("'" &amp; $I$2 &amp; "'!" &amp; ADDRESS(ROW(),COLUMN()))), "", INDIRECT("'" &amp; $I$2 &amp; "'!" &amp; ADDRESS(ROW(),COLUMN())))</f>
        <v>3100813048.0092034</v>
      </c>
      <c r="D18" s="29" cm="1">
        <f t="array" aca="1" ref="D18" ca="1">IF(ISBLANK(INDIRECT("'" &amp; $I$2 &amp; "'!" &amp; ADDRESS(ROW(),COLUMN()))), "", INDIRECT("'" &amp; $I$2 &amp; "'!" &amp; ADDRESS(ROW(),COLUMN())))</f>
        <v>3167752240.1819963</v>
      </c>
      <c r="E18" s="29" cm="1">
        <f t="array" aca="1" ref="E18" ca="1">IF(ISBLANK(INDIRECT("'" &amp; $I$2 &amp; "'!" &amp; ADDRESS(ROW(),COLUMN()))), "", INDIRECT("'" &amp; $I$2 &amp; "'!" &amp; ADDRESS(ROW(),COLUMN())))</f>
        <v>3131818879.7975965</v>
      </c>
      <c r="F18" s="29" cm="1">
        <f t="array" aca="1" ref="F18" ca="1">IF(ISBLANK(INDIRECT("'" &amp; $I$2 &amp; "'!" &amp; ADDRESS(ROW(),COLUMN()))), "", INDIRECT("'" &amp; $I$2 &amp; "'!" &amp; ADDRESS(ROW(),COLUMN())))</f>
        <v>3136855239.9456015</v>
      </c>
      <c r="G18" s="29" cm="1">
        <f t="array" aca="1" ref="G18" ca="1">IF(ISBLANK(INDIRECT("'" &amp; $I$2 &amp; "'!" &amp; ADDRESS(ROW(),COLUMN()))), "", INDIRECT("'" &amp; $I$2 &amp; "'!" &amp; ADDRESS(ROW(),COLUMN())))</f>
        <v>3134910132.4812021</v>
      </c>
      <c r="H18" s="29" cm="1">
        <f t="array" aca="1" ref="H18" ca="1">IF(ISBLANK(INDIRECT("'" &amp; $I$2 &amp; "'!" &amp; ADDRESS(ROW(),COLUMN()))), "", INDIRECT("'" &amp; $I$2 &amp; "'!" &amp; ADDRESS(ROW(),COLUMN())))</f>
        <v>3133267380.5940022</v>
      </c>
      <c r="I18" s="29" cm="1">
        <f t="array" aca="1" ref="I18" ca="1">IF(ISBLANK(INDIRECT("'" &amp; $I$2 &amp; "'!" &amp; ADDRESS(ROW(),COLUMN()))), 0, INDIRECT("'" &amp; $I$2 &amp; "'!" &amp; ADDRESS(ROW(),COLUMN())))</f>
        <v>0</v>
      </c>
      <c r="J18" s="366" cm="1">
        <f t="array" aca="1" ref="J18" ca="1">IF(ISBLANK(INDIRECT("'" &amp; $I$2 &amp; "'!" &amp; ADDRESS(ROW(),COLUMN()))), 0, INDIRECT("'" &amp; $I$2 &amp; "'!" &amp; ADDRESS(ROW(),COLUMN())))</f>
        <v>0</v>
      </c>
      <c r="K18" s="65" t="s">
        <v>113</v>
      </c>
      <c r="L18" s="65" t="s">
        <v>113</v>
      </c>
      <c r="M18" s="65" t="s">
        <v>113</v>
      </c>
      <c r="N18" s="65" t="s">
        <v>113</v>
      </c>
      <c r="O18" s="30">
        <f t="shared" ca="1" si="11"/>
        <v>8.8340670519722444</v>
      </c>
      <c r="P18" s="29" cm="1">
        <f t="array" aca="1" ref="P18" ca="1">IF(ISBLANK(INDIRECT("'" &amp; $I$2 &amp; "'!" &amp; ADDRESS(ROW(),COLUMN()))), "", INDIRECT("'" &amp; $I$2 &amp; "'!" &amp; ADDRESS(ROW(),COLUMN())))</f>
        <v>28139029269.190804</v>
      </c>
      <c r="Q18" s="29" cm="1">
        <f t="array" aca="1" ref="Q18" ca="1">IF(ISBLANK(INDIRECT("'" &amp; $I$2 &amp; "'!" &amp; ADDRESS(ROW(),COLUMN()))), "", INDIRECT("'" &amp; $I$2 &amp; "'!" &amp; ADDRESS(ROW(),COLUMN())))</f>
        <v>28420420306.471199</v>
      </c>
      <c r="R18" s="30">
        <f t="shared" ca="1" si="0"/>
        <v>1.000002646105802</v>
      </c>
      <c r="S18" s="65" t="s">
        <v>113</v>
      </c>
      <c r="T18" s="65" t="s">
        <v>113</v>
      </c>
      <c r="U18" s="65" t="s">
        <v>113</v>
      </c>
      <c r="V18" s="65" t="s">
        <v>113</v>
      </c>
      <c r="W18" s="132">
        <f t="shared" ca="1" si="12"/>
        <v>2.1587568811364899</v>
      </c>
      <c r="X18" s="132">
        <f t="shared" ca="1" si="12"/>
        <v>0.99992322219506791</v>
      </c>
      <c r="Y18" s="132">
        <f t="shared" ca="1" si="12"/>
        <v>1.1623434243588817</v>
      </c>
      <c r="Z18" s="132">
        <f t="shared" ca="1" si="12"/>
        <v>1.0996146404129548</v>
      </c>
      <c r="AA18" s="132">
        <f t="shared" ca="1" si="12"/>
        <v>1.0466366789918118</v>
      </c>
      <c r="AB18" s="132">
        <f t="shared" ca="1" si="1"/>
        <v>1.0466366789918118</v>
      </c>
      <c r="AC18" s="132">
        <f t="shared" ca="1" si="1"/>
        <v>1.0466366789918118</v>
      </c>
      <c r="AD18" s="65" t="s">
        <v>113</v>
      </c>
      <c r="AE18" s="65" t="s">
        <v>113</v>
      </c>
      <c r="AF18" s="65" t="s">
        <v>113</v>
      </c>
      <c r="AG18" s="65" t="s">
        <v>113</v>
      </c>
      <c r="AH18" s="133">
        <f t="shared" ca="1" si="2"/>
        <v>1</v>
      </c>
      <c r="AI18" s="134">
        <f t="shared" ca="1" si="13"/>
        <v>4.4408920985006262E-16</v>
      </c>
      <c r="AJ18" s="134">
        <f t="shared" ca="1" si="3"/>
        <v>0.99641345677760818</v>
      </c>
      <c r="AK18" s="134">
        <f t="shared" ca="1" si="4"/>
        <v>6.2728783945926958E-2</v>
      </c>
      <c r="AL18" s="134">
        <f t="shared" ca="1" si="14"/>
        <v>5.2977961421142972E-2</v>
      </c>
      <c r="AM18" s="134">
        <f t="shared" ca="1" si="15"/>
        <v>0</v>
      </c>
      <c r="AN18" s="135">
        <f t="shared" ca="1" si="26"/>
        <v>0</v>
      </c>
      <c r="AO18" s="134">
        <f t="shared" ca="1" si="16"/>
        <v>4.6636678991811786E-2</v>
      </c>
      <c r="AP18" s="134">
        <f t="shared" ca="1" si="6"/>
        <v>4.663667899181223E-2</v>
      </c>
      <c r="AQ18" s="136" t="s">
        <v>113</v>
      </c>
      <c r="AR18" s="137">
        <f t="shared" ca="1" si="7"/>
        <v>3.8324623316541352E-14</v>
      </c>
      <c r="AS18" s="137">
        <f t="shared" ca="1" si="7"/>
        <v>85.98986318858725</v>
      </c>
      <c r="AT18" s="137">
        <f t="shared" ca="1" si="7"/>
        <v>5.413455140340016</v>
      </c>
      <c r="AU18" s="137">
        <f t="shared" ca="1" si="7"/>
        <v>4.5719652054349007</v>
      </c>
      <c r="AV18" s="137">
        <f t="shared" ca="1" si="7"/>
        <v>0</v>
      </c>
      <c r="AW18" s="138">
        <f t="shared" ca="1" si="7"/>
        <v>0</v>
      </c>
      <c r="AX18" s="137">
        <f t="shared" ca="1" si="7"/>
        <v>4.0247164656378382</v>
      </c>
      <c r="AY18" s="137">
        <f t="shared" ca="1" si="7"/>
        <v>4.0247164656378764</v>
      </c>
      <c r="AZ18" s="66" t="s">
        <v>113</v>
      </c>
      <c r="BA18" s="66" t="s">
        <v>113</v>
      </c>
      <c r="BB18" s="66" t="s">
        <v>113</v>
      </c>
      <c r="BC18" s="66" t="s">
        <v>113</v>
      </c>
      <c r="BD18" s="66" t="s">
        <v>113</v>
      </c>
      <c r="BE18" s="66" t="s">
        <v>113</v>
      </c>
      <c r="BF18" s="66" t="s">
        <v>113</v>
      </c>
      <c r="BG18" s="66" t="s">
        <v>113</v>
      </c>
      <c r="BH18" s="29" cm="1">
        <f t="array" aca="1" ref="BH18" ca="1">IF(ISBLANK(INDIRECT("'" &amp; $I$2 &amp; "'!" &amp; ADDRESS(ROW(),COLUMN()))), "", INDIRECT("'" &amp; $I$2 &amp; "'!" &amp; ADDRESS(ROW(),COLUMN())))</f>
        <v>18210681717.676773</v>
      </c>
      <c r="BI18" s="29" cm="1">
        <f t="array" aca="1" ref="BI18" ca="1">IF(ISBLANK(INDIRECT("'" &amp; $I$2 &amp; "'!" &amp; ADDRESS(ROW(),COLUMN()))), "", INDIRECT("'" &amp; $I$2 &amp; "'!" &amp; ADDRESS(ROW(),COLUMN())))</f>
        <v>7827454309.8959999</v>
      </c>
      <c r="BJ18" s="29" cm="1">
        <f t="array" aca="1" ref="BJ18" ca="1">IF(ISBLANK(INDIRECT("'" &amp; $I$2 &amp; "'!" &amp; ADDRESS(ROW(),COLUMN()))), "", INDIRECT("'" &amp; $I$2 &amp; "'!" &amp; ADDRESS(ROW(),COLUMN())))</f>
        <v>1722736011.6623998</v>
      </c>
      <c r="BK18" s="29" cm="1">
        <f t="array" aca="1" ref="BK18" ca="1">IF(ISBLANK(INDIRECT("'" &amp; $I$2 &amp; "'!" &amp; ADDRESS(ROW(),COLUMN()))), "", INDIRECT("'" &amp; $I$2 &amp; "'!" &amp; ADDRESS(ROW(),COLUMN())))</f>
        <v>378160606.75199962</v>
      </c>
      <c r="BL18" s="67">
        <f t="shared" ca="1" si="17"/>
        <v>0.64716800846647971</v>
      </c>
      <c r="BM18" s="67">
        <f t="shared" ca="1" si="18"/>
        <v>0.27817069649735282</v>
      </c>
      <c r="BN18" s="67">
        <f t="shared" ca="1" si="19"/>
        <v>6.1222289811305022E-2</v>
      </c>
      <c r="BO18" s="67">
        <f t="shared" ca="1" si="19"/>
        <v>1.3439005224862556E-2</v>
      </c>
      <c r="BP18" s="66" t="s">
        <v>113</v>
      </c>
      <c r="BQ18" s="66" t="s">
        <v>113</v>
      </c>
      <c r="BR18" s="66" t="s">
        <v>113</v>
      </c>
      <c r="BS18" s="30">
        <f t="shared" ca="1" si="20"/>
        <v>10.737763301479095</v>
      </c>
      <c r="BT18" s="66" t="s">
        <v>113</v>
      </c>
      <c r="BU18" s="66" t="s">
        <v>113</v>
      </c>
      <c r="BV18" s="66" t="s">
        <v>113</v>
      </c>
      <c r="BW18" s="66" t="s">
        <v>113</v>
      </c>
      <c r="BX18" s="66" t="s">
        <v>113</v>
      </c>
      <c r="BY18" s="66" t="s">
        <v>113</v>
      </c>
      <c r="BZ18" s="66" t="s">
        <v>113</v>
      </c>
      <c r="CA18" s="66"/>
      <c r="CB18" s="66"/>
      <c r="CC18" s="68" t="s">
        <v>113</v>
      </c>
      <c r="CD18" s="68" t="s">
        <v>113</v>
      </c>
      <c r="CE18" s="68" t="s">
        <v>113</v>
      </c>
      <c r="CF18" s="68" t="s">
        <v>113</v>
      </c>
      <c r="CG18" s="68" t="s">
        <v>113</v>
      </c>
      <c r="CH18" s="68" t="s">
        <v>113</v>
      </c>
      <c r="CI18" s="68" t="s">
        <v>113</v>
      </c>
      <c r="CJ18" s="68"/>
      <c r="CK18" s="66" t="s">
        <v>113</v>
      </c>
      <c r="CL18" s="66" t="s">
        <v>113</v>
      </c>
      <c r="CM18" s="66" t="s">
        <v>113</v>
      </c>
      <c r="CN18" s="66" t="s">
        <v>113</v>
      </c>
      <c r="CO18" s="66" t="s">
        <v>113</v>
      </c>
      <c r="CP18" s="66" t="s">
        <v>113</v>
      </c>
      <c r="CQ18" s="66" t="s">
        <v>113</v>
      </c>
      <c r="CR18" s="66"/>
      <c r="CS18" s="143" t="s">
        <v>113</v>
      </c>
      <c r="CT18" s="143" t="s">
        <v>113</v>
      </c>
      <c r="CU18" s="143" t="s">
        <v>113</v>
      </c>
      <c r="CV18" s="143" t="s">
        <v>113</v>
      </c>
      <c r="CW18" s="143" t="s">
        <v>113</v>
      </c>
      <c r="CX18" s="143" t="s">
        <v>113</v>
      </c>
      <c r="CY18" s="143" t="s">
        <v>113</v>
      </c>
      <c r="CZ18" s="143"/>
      <c r="DA18" s="66" t="s">
        <v>113</v>
      </c>
      <c r="DB18" s="66" t="s">
        <v>113</v>
      </c>
      <c r="DC18" s="66" t="s">
        <v>113</v>
      </c>
      <c r="DD18" s="69">
        <f t="shared" ca="1" si="21"/>
        <v>0</v>
      </c>
      <c r="DE18" s="29" cm="1">
        <f t="array" aca="1" ref="DE18" ca="1">IF(ISBLANK(INDIRECT("'" &amp; $I$2 &amp; "'!" &amp; ADDRESS(ROW(),COLUMN()))), "", INDIRECT("'" &amp; $I$2 &amp; "'!" &amp; ADDRESS(ROW(),COLUMN())))</f>
        <v>1</v>
      </c>
      <c r="DF18" s="1"/>
      <c r="DG18" s="1"/>
      <c r="DH18" s="1"/>
      <c r="DI18" s="1"/>
      <c r="DJ18" s="1"/>
      <c r="DK18" s="1"/>
      <c r="DL18" s="1"/>
      <c r="DM18" s="1"/>
      <c r="DN18" s="1"/>
      <c r="DO18" s="1"/>
      <c r="DP18" s="1"/>
      <c r="DQ18" s="1"/>
      <c r="DR18" s="1"/>
      <c r="DS18" s="1"/>
      <c r="DT18" s="1"/>
      <c r="DU18" s="1"/>
      <c r="DV18" s="1"/>
      <c r="DW18" s="1"/>
      <c r="DX18" s="1"/>
      <c r="DY18" s="1"/>
      <c r="DZ18" s="1"/>
      <c r="EA18" s="29" cm="1">
        <f t="array" aca="1" ref="EA18" ca="1">IF(ISBLANK(INDIRECT("'" &amp; $I$2 &amp; "'!" &amp; ADDRESS(ROW(),COLUMN()))), "", INDIRECT("'" &amp; $I$2 &amp; "'!" &amp; ADDRESS(ROW(),COLUMN())))</f>
        <v>3345147438.2015991</v>
      </c>
      <c r="EB18" s="29" cm="1">
        <f t="array" aca="1" ref="EB18" ca="1">IF(ISBLANK(INDIRECT("'" &amp; $I$2 &amp; "'!" &amp; ADDRESS(ROW(),COLUMN()))), "", INDIRECT("'" &amp; $I$2 &amp; "'!" &amp; ADDRESS(ROW(),COLUMN())))</f>
        <v>3423843525.8160024</v>
      </c>
      <c r="EC18" s="29" cm="1">
        <f t="array" aca="1" ref="EC18" ca="1">IF(ISBLANK(INDIRECT("'" &amp; $I$2 &amp; "'!" &amp; ADDRESS(ROW(),COLUMN()))), "", INDIRECT("'" &amp; $I$2 &amp; "'!" &amp; ADDRESS(ROW(),COLUMN())))</f>
        <v>3378544853.686801</v>
      </c>
      <c r="ED18" s="29" cm="1">
        <f t="array" aca="1" ref="ED18" ca="1">IF(ISBLANK(INDIRECT("'" &amp; $I$2 &amp; "'!" &amp; ADDRESS(ROW(),COLUMN()))), "", INDIRECT("'" &amp; $I$2 &amp; "'!" &amp; ADDRESS(ROW(),COLUMN())))</f>
        <v>3387263040.7884007</v>
      </c>
      <c r="EE18" s="29" cm="1">
        <f t="array" aca="1" ref="EE18" ca="1">IF(ISBLANK(INDIRECT("'" &amp; $I$2 &amp; "'!" &amp; ADDRESS(ROW(),COLUMN()))), "", INDIRECT("'" &amp; $I$2 &amp; "'!" &amp; ADDRESS(ROW(),COLUMN())))</f>
        <v>3384558169.5659995</v>
      </c>
      <c r="EF18" s="29" cm="1">
        <f t="array" aca="1" ref="EF18" ca="1">IF(ISBLANK(INDIRECT("'" &amp; $I$2 &amp; "'!" &amp; ADDRESS(ROW(),COLUMN()))), "", INDIRECT("'" &amp; $I$2 &amp; "'!" &amp; ADDRESS(ROW(),COLUMN())))</f>
        <v>3382706583.4536028</v>
      </c>
      <c r="EG18" s="29" cm="1">
        <f t="array" aca="1" ref="EG18" ca="1">IF(ISBLANK(INDIRECT("'" &amp; $I$2 &amp; "'!" &amp; ADDRESS(ROW(),COLUMN()))), "", INDIRECT("'" &amp; $I$2 &amp; "'!" &amp; ADDRESS(ROW(),COLUMN())))</f>
        <v>3397086309.490799</v>
      </c>
      <c r="EH18" s="122"/>
      <c r="EI18" s="65" t="s">
        <v>113</v>
      </c>
      <c r="EJ18" s="65" t="s">
        <v>113</v>
      </c>
      <c r="EK18" s="65" t="s">
        <v>113</v>
      </c>
      <c r="EL18" s="65" t="s">
        <v>113</v>
      </c>
      <c r="EM18" s="30">
        <f t="shared" ca="1" si="8"/>
        <v>8.5079187444444724</v>
      </c>
      <c r="EN18" s="29" cm="1">
        <f t="array" aca="1" ref="EN18" ca="1">IF(ISBLANK(INDIRECT("'" &amp; $I$2 &amp; "'!" &amp; ADDRESS(ROW(),COLUMN()))), "", INDIRECT("'" &amp; $I$2 &amp; "'!" &amp; ADDRESS(ROW(),COLUMN())))</f>
        <v>32873385233.864388</v>
      </c>
      <c r="EO18" s="29" cm="1">
        <f t="array" aca="1" ref="EO18" ca="1">IF(ISBLANK(INDIRECT("'" &amp; $I$2 &amp; "'!" &amp; ADDRESS(ROW(),COLUMN()))), "", INDIRECT("'" &amp; $I$2 &amp; "'!" &amp; ADDRESS(ROW(),COLUMN())))</f>
        <v>33202118426.792366</v>
      </c>
      <c r="EP18" s="30">
        <f t="shared" ca="1" si="9"/>
        <v>0.99999799408956314</v>
      </c>
      <c r="EQ18" s="65" t="s">
        <v>113</v>
      </c>
      <c r="ER18" s="65" t="s">
        <v>113</v>
      </c>
      <c r="ES18" s="65" t="s">
        <v>113</v>
      </c>
      <c r="ET18" s="65" t="s">
        <v>113</v>
      </c>
      <c r="EU18" s="30">
        <f t="shared" ca="1" si="22"/>
        <v>10.714920873495926</v>
      </c>
      <c r="EV18" s="31">
        <f t="shared" ca="1" si="23"/>
        <v>2.3525493846194014</v>
      </c>
      <c r="EW18" s="31">
        <f t="shared" ca="1" si="24"/>
        <v>0.99838596338568208</v>
      </c>
      <c r="EX18" s="31"/>
      <c r="EY18" s="70">
        <f t="shared" ca="1" si="10"/>
        <v>0.19379250348291155</v>
      </c>
      <c r="EZ18" s="69">
        <f t="shared" ca="1" si="25"/>
        <v>0</v>
      </c>
      <c r="FA18" s="179" cm="1">
        <f t="array" aca="1" ref="FA18" ca="1">IF(ISBLANK(INDIRECT("'" &amp; $I$2 &amp; "'!" &amp; ADDRESS(ROW(),COLUMN()))), "", INDIRECT("'" &amp; $I$2 &amp; "'!" &amp; ADDRESS(ROW(),COLUMN())))</f>
        <v>1</v>
      </c>
      <c r="FB18" s="65" t="s">
        <v>113</v>
      </c>
      <c r="FC18" s="65" t="s">
        <v>113</v>
      </c>
      <c r="FD18" s="65" t="s">
        <v>113</v>
      </c>
      <c r="FE18" s="65" t="s">
        <v>113</v>
      </c>
      <c r="FF18" s="65" t="s">
        <v>113</v>
      </c>
      <c r="FG18" s="65" t="s">
        <v>113</v>
      </c>
      <c r="FH18" s="65" t="s">
        <v>113</v>
      </c>
      <c r="FI18" s="65" t="s">
        <v>113</v>
      </c>
      <c r="FJ18" s="1"/>
      <c r="FK18" s="1"/>
      <c r="FL18" s="1"/>
      <c r="FM18" s="1"/>
      <c r="FN18" s="1"/>
      <c r="FO18" s="1"/>
      <c r="FP18" s="1"/>
      <c r="FQ18" s="1"/>
    </row>
    <row r="19" spans="1:173" x14ac:dyDescent="0.3">
      <c r="A19" s="1"/>
      <c r="B19" s="28">
        <v>8</v>
      </c>
      <c r="C19" s="29" cm="1">
        <f t="array" aca="1" ref="C19" ca="1">IF(ISBLANK(INDIRECT("'" &amp; $I$2 &amp; "'!" &amp; ADDRESS(ROW(),COLUMN()))), "", INDIRECT("'" &amp; $I$2 &amp; "'!" &amp; ADDRESS(ROW(),COLUMN())))</f>
        <v>4101148714.0907993</v>
      </c>
      <c r="D19" s="29" cm="1">
        <f t="array" aca="1" ref="D19" ca="1">IF(ISBLANK(INDIRECT("'" &amp; $I$2 &amp; "'!" &amp; ADDRESS(ROW(),COLUMN()))), "", INDIRECT("'" &amp; $I$2 &amp; "'!" &amp; ADDRESS(ROW(),COLUMN())))</f>
        <v>4183343616.3527999</v>
      </c>
      <c r="E19" s="29" cm="1">
        <f t="array" aca="1" ref="E19" ca="1">IF(ISBLANK(INDIRECT("'" &amp; $I$2 &amp; "'!" &amp; ADDRESS(ROW(),COLUMN()))), "", INDIRECT("'" &amp; $I$2 &amp; "'!" &amp; ADDRESS(ROW(),COLUMN())))</f>
        <v>4142157256.4855995</v>
      </c>
      <c r="F19" s="29" cm="1">
        <f t="array" aca="1" ref="F19" ca="1">IF(ISBLANK(INDIRECT("'" &amp; $I$2 &amp; "'!" &amp; ADDRESS(ROW(),COLUMN()))), "", INDIRECT("'" &amp; $I$2 &amp; "'!" &amp; ADDRESS(ROW(),COLUMN())))</f>
        <v>4147393719.2196035</v>
      </c>
      <c r="G19" s="29" cm="1">
        <f t="array" aca="1" ref="G19" ca="1">IF(ISBLANK(INDIRECT("'" &amp; $I$2 &amp; "'!" &amp; ADDRESS(ROW(),COLUMN()))), "", INDIRECT("'" &amp; $I$2 &amp; "'!" &amp; ADDRESS(ROW(),COLUMN())))</f>
        <v>4145488887.8760033</v>
      </c>
      <c r="H19" s="29" cm="1">
        <f t="array" aca="1" ref="H19" ca="1">IF(ISBLANK(INDIRECT("'" &amp; $I$2 &amp; "'!" &amp; ADDRESS(ROW(),COLUMN()))), "", INDIRECT("'" &amp; $I$2 &amp; "'!" &amp; ADDRESS(ROW(),COLUMN())))</f>
        <v>4143421053.1380014</v>
      </c>
      <c r="I19" s="29" cm="1">
        <f t="array" aca="1" ref="I19" ca="1">IF(ISBLANK(INDIRECT("'" &amp; $I$2 &amp; "'!" &amp; ADDRESS(ROW(),COLUMN()))), 0, INDIRECT("'" &amp; $I$2 &amp; "'!" &amp; ADDRESS(ROW(),COLUMN())))</f>
        <v>0</v>
      </c>
      <c r="J19" s="366" cm="1">
        <f t="array" aca="1" ref="J19" ca="1">IF(ISBLANK(INDIRECT("'" &amp; $I$2 &amp; "'!" &amp; ADDRESS(ROW(),COLUMN()))), 0, INDIRECT("'" &amp; $I$2 &amp; "'!" &amp; ADDRESS(ROW(),COLUMN())))</f>
        <v>0</v>
      </c>
      <c r="K19" s="65" t="s">
        <v>113</v>
      </c>
      <c r="L19" s="65" t="s">
        <v>113</v>
      </c>
      <c r="M19" s="65" t="s">
        <v>113</v>
      </c>
      <c r="N19" s="65" t="s">
        <v>113</v>
      </c>
      <c r="O19" s="30">
        <f t="shared" ca="1" si="11"/>
        <v>11.683975192779934</v>
      </c>
      <c r="P19" s="29" cm="1">
        <f t="array" aca="1" ref="P19" ca="1">IF(ISBLANK(INDIRECT("'" &amp; $I$2 &amp; "'!" &amp; ADDRESS(ROW(),COLUMN()))), "", INDIRECT("'" &amp; $I$2 &amp; "'!" &amp; ADDRESS(ROW(),COLUMN())))</f>
        <v>33005545716.703194</v>
      </c>
      <c r="Q19" s="29" cm="1">
        <f t="array" aca="1" ref="Q19" ca="1">IF(ISBLANK(INDIRECT("'" &amp; $I$2 &amp; "'!" &amp; ADDRESS(ROW(),COLUMN()))), "", INDIRECT("'" &amp; $I$2 &amp; "'!" &amp; ADDRESS(ROW(),COLUMN())))</f>
        <v>33335600943.068378</v>
      </c>
      <c r="R19" s="30">
        <f t="shared" ca="1" si="0"/>
        <v>0.99999930071796861</v>
      </c>
      <c r="S19" s="65" t="s">
        <v>113</v>
      </c>
      <c r="T19" s="65" t="s">
        <v>113</v>
      </c>
      <c r="U19" s="65" t="s">
        <v>113</v>
      </c>
      <c r="V19" s="65" t="s">
        <v>113</v>
      </c>
      <c r="W19" s="132">
        <f t="shared" ca="1" si="12"/>
        <v>2.0041935923233427</v>
      </c>
      <c r="X19" s="132">
        <f t="shared" ca="1" si="12"/>
        <v>0.99992889627384385</v>
      </c>
      <c r="Y19" s="132">
        <f t="shared" ca="1" si="12"/>
        <v>1.1276118153979258</v>
      </c>
      <c r="Z19" s="132">
        <f t="shared" ca="1" si="12"/>
        <v>1.0811654949055505</v>
      </c>
      <c r="AA19" s="132">
        <f t="shared" ca="1" si="12"/>
        <v>1.0307445926618011</v>
      </c>
      <c r="AB19" s="132">
        <f t="shared" ca="1" si="1"/>
        <v>1.0307445926618011</v>
      </c>
      <c r="AC19" s="132">
        <f t="shared" ca="1" si="1"/>
        <v>1.0307445926618011</v>
      </c>
      <c r="AD19" s="65" t="s">
        <v>113</v>
      </c>
      <c r="AE19" s="65" t="s">
        <v>113</v>
      </c>
      <c r="AF19" s="65" t="s">
        <v>113</v>
      </c>
      <c r="AG19" s="65" t="s">
        <v>113</v>
      </c>
      <c r="AH19" s="133">
        <f t="shared" ca="1" si="2"/>
        <v>1</v>
      </c>
      <c r="AI19" s="134">
        <f t="shared" ca="1" si="13"/>
        <v>0</v>
      </c>
      <c r="AJ19" s="134">
        <f t="shared" ca="1" si="3"/>
        <v>0.87658177692541694</v>
      </c>
      <c r="AK19" s="134">
        <f t="shared" ca="1" si="4"/>
        <v>4.6446320492375293E-2</v>
      </c>
      <c r="AL19" s="134">
        <f t="shared" ca="1" si="14"/>
        <v>5.0420902243749399E-2</v>
      </c>
      <c r="AM19" s="134">
        <f t="shared" ca="1" si="15"/>
        <v>0</v>
      </c>
      <c r="AN19" s="135">
        <f t="shared" ca="1" si="26"/>
        <v>0</v>
      </c>
      <c r="AO19" s="134">
        <f t="shared" ca="1" si="16"/>
        <v>3.0744592661801073E-2</v>
      </c>
      <c r="AP19" s="134">
        <f t="shared" ca="1" si="6"/>
        <v>3.0744592661801073E-2</v>
      </c>
      <c r="AQ19" s="136" t="s">
        <v>113</v>
      </c>
      <c r="AR19" s="137">
        <f t="shared" ca="1" si="7"/>
        <v>0</v>
      </c>
      <c r="AS19" s="137">
        <f t="shared" ca="1" si="7"/>
        <v>87.292110169446715</v>
      </c>
      <c r="AT19" s="137">
        <f t="shared" ca="1" si="7"/>
        <v>4.6252356963277581</v>
      </c>
      <c r="AU19" s="137">
        <f t="shared" ca="1" si="7"/>
        <v>5.0210340545087098</v>
      </c>
      <c r="AV19" s="137">
        <f t="shared" ca="1" si="7"/>
        <v>0</v>
      </c>
      <c r="AW19" s="138">
        <f t="shared" ca="1" si="7"/>
        <v>0</v>
      </c>
      <c r="AX19" s="137">
        <f t="shared" ca="1" si="7"/>
        <v>3.0616200797168149</v>
      </c>
      <c r="AY19" s="137">
        <f t="shared" ca="1" si="7"/>
        <v>3.0616200797168149</v>
      </c>
      <c r="AZ19" s="66" t="s">
        <v>113</v>
      </c>
      <c r="BA19" s="66" t="s">
        <v>113</v>
      </c>
      <c r="BB19" s="66" t="s">
        <v>113</v>
      </c>
      <c r="BC19" s="66" t="s">
        <v>113</v>
      </c>
      <c r="BD19" s="66" t="s">
        <v>113</v>
      </c>
      <c r="BE19" s="66" t="s">
        <v>113</v>
      </c>
      <c r="BF19" s="66" t="s">
        <v>113</v>
      </c>
      <c r="BG19" s="66" t="s">
        <v>113</v>
      </c>
      <c r="BH19" s="29" cm="1">
        <f t="array" aca="1" ref="BH19" ca="1">IF(ISBLANK(INDIRECT("'" &amp; $I$2 &amp; "'!" &amp; ADDRESS(ROW(),COLUMN()))), "", INDIRECT("'" &amp; $I$2 &amp; "'!" &amp; ADDRESS(ROW(),COLUMN())))</f>
        <v>24600139842.098381</v>
      </c>
      <c r="BI19" s="29" cm="1">
        <f t="array" aca="1" ref="BI19" ca="1">IF(ISBLANK(INDIRECT("'" &amp; $I$2 &amp; "'!" &amp; ADDRESS(ROW(),COLUMN()))), "", INDIRECT("'" &amp; $I$2 &amp; "'!" &amp; ADDRESS(ROW(),COLUMN())))</f>
        <v>6477785677.3044033</v>
      </c>
      <c r="BJ19" s="29" cm="1">
        <f t="array" aca="1" ref="BJ19" ca="1">IF(ISBLANK(INDIRECT("'" &amp; $I$2 &amp; "'!" &amp; ADDRESS(ROW(),COLUMN()))), "", INDIRECT("'" &amp; $I$2 &amp; "'!" &amp; ADDRESS(ROW(),COLUMN())))</f>
        <v>1537907348.4875998</v>
      </c>
      <c r="BK19" s="29" cm="1">
        <f t="array" aca="1" ref="BK19" ca="1">IF(ISBLANK(INDIRECT("'" &amp; $I$2 &amp; "'!" &amp; ADDRESS(ROW(),COLUMN()))), "", INDIRECT("'" &amp; $I$2 &amp; "'!" &amp; ADDRESS(ROW(),COLUMN())))</f>
        <v>389712716.28480011</v>
      </c>
      <c r="BL19" s="67">
        <f t="shared" ca="1" si="17"/>
        <v>0.74533353128066893</v>
      </c>
      <c r="BM19" s="67">
        <f t="shared" ca="1" si="18"/>
        <v>0.19626355397713036</v>
      </c>
      <c r="BN19" s="67">
        <f t="shared" ca="1" si="19"/>
        <v>4.6595422716628677E-2</v>
      </c>
      <c r="BO19" s="67">
        <f t="shared" ca="1" si="19"/>
        <v>1.1807492025571954E-2</v>
      </c>
      <c r="BP19" s="66" t="s">
        <v>113</v>
      </c>
      <c r="BQ19" s="66" t="s">
        <v>113</v>
      </c>
      <c r="BR19" s="66" t="s">
        <v>113</v>
      </c>
      <c r="BS19" s="30">
        <f t="shared" ca="1" si="20"/>
        <v>12.594810366473519</v>
      </c>
      <c r="BT19" s="66" t="s">
        <v>113</v>
      </c>
      <c r="BU19" s="66" t="s">
        <v>113</v>
      </c>
      <c r="BV19" s="66" t="s">
        <v>113</v>
      </c>
      <c r="BW19" s="66" t="s">
        <v>113</v>
      </c>
      <c r="BX19" s="66" t="s">
        <v>113</v>
      </c>
      <c r="BY19" s="66" t="s">
        <v>113</v>
      </c>
      <c r="BZ19" s="66" t="s">
        <v>113</v>
      </c>
      <c r="CA19" s="66"/>
      <c r="CB19" s="66"/>
      <c r="CC19" s="68" t="s">
        <v>113</v>
      </c>
      <c r="CD19" s="68" t="s">
        <v>113</v>
      </c>
      <c r="CE19" s="68" t="s">
        <v>113</v>
      </c>
      <c r="CF19" s="68" t="s">
        <v>113</v>
      </c>
      <c r="CG19" s="68" t="s">
        <v>113</v>
      </c>
      <c r="CH19" s="68" t="s">
        <v>113</v>
      </c>
      <c r="CI19" s="68" t="s">
        <v>113</v>
      </c>
      <c r="CJ19" s="68"/>
      <c r="CK19" s="66" t="s">
        <v>113</v>
      </c>
      <c r="CL19" s="66" t="s">
        <v>113</v>
      </c>
      <c r="CM19" s="66" t="s">
        <v>113</v>
      </c>
      <c r="CN19" s="66" t="s">
        <v>113</v>
      </c>
      <c r="CO19" s="66" t="s">
        <v>113</v>
      </c>
      <c r="CP19" s="66" t="s">
        <v>113</v>
      </c>
      <c r="CQ19" s="66" t="s">
        <v>113</v>
      </c>
      <c r="CR19" s="66"/>
      <c r="CS19" s="143" t="s">
        <v>113</v>
      </c>
      <c r="CT19" s="143" t="s">
        <v>113</v>
      </c>
      <c r="CU19" s="143" t="s">
        <v>113</v>
      </c>
      <c r="CV19" s="143" t="s">
        <v>113</v>
      </c>
      <c r="CW19" s="143" t="s">
        <v>113</v>
      </c>
      <c r="CX19" s="143" t="s">
        <v>113</v>
      </c>
      <c r="CY19" s="143" t="s">
        <v>113</v>
      </c>
      <c r="CZ19" s="143"/>
      <c r="DA19" s="66" t="s">
        <v>113</v>
      </c>
      <c r="DB19" s="66" t="s">
        <v>113</v>
      </c>
      <c r="DC19" s="66" t="s">
        <v>113</v>
      </c>
      <c r="DD19" s="69">
        <f t="shared" ca="1" si="21"/>
        <v>0</v>
      </c>
      <c r="DE19" s="29" cm="1">
        <f t="array" aca="1" ref="DE19" ca="1">IF(ISBLANK(INDIRECT("'" &amp; $I$2 &amp; "'!" &amp; ADDRESS(ROW(),COLUMN()))), "", INDIRECT("'" &amp; $I$2 &amp; "'!" &amp; ADDRESS(ROW(),COLUMN())))</f>
        <v>1</v>
      </c>
      <c r="DF19" s="1"/>
      <c r="DG19" s="1"/>
      <c r="DH19" s="1"/>
      <c r="DI19" s="1"/>
      <c r="DJ19" s="1"/>
      <c r="DK19" s="1"/>
      <c r="DL19" s="1"/>
      <c r="DM19" s="1"/>
      <c r="DN19" s="1"/>
      <c r="DO19" s="1"/>
      <c r="DP19" s="1"/>
      <c r="DQ19" s="1"/>
      <c r="DR19" s="1"/>
      <c r="DS19" s="1"/>
      <c r="DT19" s="1"/>
      <c r="DU19" s="1"/>
      <c r="DV19" s="1"/>
      <c r="DW19" s="1"/>
      <c r="DX19" s="1"/>
      <c r="DY19" s="1"/>
      <c r="DZ19" s="1"/>
      <c r="EA19" s="29" cm="1">
        <f t="array" aca="1" ref="EA19" ca="1">IF(ISBLANK(INDIRECT("'" &amp; $I$2 &amp; "'!" &amp; ADDRESS(ROW(),COLUMN()))), "", INDIRECT("'" &amp; $I$2 &amp; "'!" &amp; ADDRESS(ROW(),COLUMN())))</f>
        <v>4552331427.8915968</v>
      </c>
      <c r="EB19" s="29" cm="1">
        <f t="array" aca="1" ref="EB19" ca="1">IF(ISBLANK(INDIRECT("'" &amp; $I$2 &amp; "'!" &amp; ADDRESS(ROW(),COLUMN()))), "", INDIRECT("'" &amp; $I$2 &amp; "'!" &amp; ADDRESS(ROW(),COLUMN())))</f>
        <v>4649583575.1143999</v>
      </c>
      <c r="EC19" s="29" cm="1">
        <f t="array" aca="1" ref="EC19" ca="1">IF(ISBLANK(INDIRECT("'" &amp; $I$2 &amp; "'!" &amp; ADDRESS(ROW(),COLUMN()))), "", INDIRECT("'" &amp; $I$2 &amp; "'!" &amp; ADDRESS(ROW(),COLUMN())))</f>
        <v>4597835612.2235966</v>
      </c>
      <c r="ED19" s="29" cm="1">
        <f t="array" aca="1" ref="ED19" ca="1">IF(ISBLANK(INDIRECT("'" &amp; $I$2 &amp; "'!" &amp; ADDRESS(ROW(),COLUMN()))), "", INDIRECT("'" &amp; $I$2 &amp; "'!" &amp; ADDRESS(ROW(),COLUMN())))</f>
        <v>4606450177.9620008</v>
      </c>
      <c r="EE19" s="29" cm="1">
        <f t="array" aca="1" ref="EE19" ca="1">IF(ISBLANK(INDIRECT("'" &amp; $I$2 &amp; "'!" &amp; ADDRESS(ROW(),COLUMN()))), "", INDIRECT("'" &amp; $I$2 &amp; "'!" &amp; ADDRESS(ROW(),COLUMN())))</f>
        <v>4603923328.8276024</v>
      </c>
      <c r="EF19" s="29" cm="1">
        <f t="array" aca="1" ref="EF19" ca="1">IF(ISBLANK(INDIRECT("'" &amp; $I$2 &amp; "'!" &amp; ADDRESS(ROW(),COLUMN()))), "", INDIRECT("'" &amp; $I$2 &amp; "'!" &amp; ADDRESS(ROW(),COLUMN())))</f>
        <v>4601692822.8372021</v>
      </c>
      <c r="EG19" s="29" cm="1">
        <f t="array" aca="1" ref="EG19" ca="1">IF(ISBLANK(INDIRECT("'" &amp; $I$2 &amp; "'!" &amp; ADDRESS(ROW(),COLUMN()))), "", INDIRECT("'" &amp; $I$2 &amp; "'!" &amp; ADDRESS(ROW(),COLUMN())))</f>
        <v>4624055007.9924059</v>
      </c>
      <c r="EH19" s="122"/>
      <c r="EI19" s="65" t="s">
        <v>113</v>
      </c>
      <c r="EJ19" s="65" t="s">
        <v>113</v>
      </c>
      <c r="EK19" s="65" t="s">
        <v>113</v>
      </c>
      <c r="EL19" s="65" t="s">
        <v>113</v>
      </c>
      <c r="EM19" s="30">
        <f t="shared" ca="1" si="8"/>
        <v>11.578223860621485</v>
      </c>
      <c r="EN19" s="29" cm="1">
        <f t="array" aca="1" ref="EN19" ca="1">IF(ISBLANK(INDIRECT("'" &amp; $I$2 &amp; "'!" &amp; ADDRESS(ROW(),COLUMN()))), "", INDIRECT("'" &amp; $I$2 &amp; "'!" &amp; ADDRESS(ROW(),COLUMN())))</f>
        <v>38599376384.85965</v>
      </c>
      <c r="EO19" s="29" cm="1">
        <f t="array" aca="1" ref="EO19" ca="1">IF(ISBLANK(INDIRECT("'" &amp; $I$2 &amp; "'!" &amp; ADDRESS(ROW(),COLUMN()))), "", INDIRECT("'" &amp; $I$2 &amp; "'!" &amp; ADDRESS(ROW(),COLUMN())))</f>
        <v>38985370325.803177</v>
      </c>
      <c r="EP19" s="30">
        <f t="shared" ca="1" si="9"/>
        <v>1.0000004588025746</v>
      </c>
      <c r="EQ19" s="65" t="s">
        <v>113</v>
      </c>
      <c r="ER19" s="65" t="s">
        <v>113</v>
      </c>
      <c r="ES19" s="65" t="s">
        <v>113</v>
      </c>
      <c r="ET19" s="65" t="s">
        <v>113</v>
      </c>
      <c r="EU19" s="30">
        <f t="shared" ca="1" si="22"/>
        <v>12.58127998646154</v>
      </c>
      <c r="EV19" s="31">
        <f t="shared" ca="1" si="23"/>
        <v>2.1363141973239448</v>
      </c>
      <c r="EW19" s="31">
        <f t="shared" ca="1" si="24"/>
        <v>0.99957931831970315</v>
      </c>
      <c r="EX19" s="31"/>
      <c r="EY19" s="70">
        <f t="shared" ca="1" si="10"/>
        <v>0.13212060500060208</v>
      </c>
      <c r="EZ19" s="69">
        <f t="shared" ca="1" si="25"/>
        <v>0</v>
      </c>
      <c r="FA19" s="179" cm="1">
        <f t="array" aca="1" ref="FA19" ca="1">IF(ISBLANK(INDIRECT("'" &amp; $I$2 &amp; "'!" &amp; ADDRESS(ROW(),COLUMN()))), "", INDIRECT("'" &amp; $I$2 &amp; "'!" &amp; ADDRESS(ROW(),COLUMN())))</f>
        <v>1</v>
      </c>
      <c r="FB19" s="65" t="s">
        <v>113</v>
      </c>
      <c r="FC19" s="65" t="s">
        <v>113</v>
      </c>
      <c r="FD19" s="65" t="s">
        <v>113</v>
      </c>
      <c r="FE19" s="65" t="s">
        <v>113</v>
      </c>
      <c r="FF19" s="65" t="s">
        <v>113</v>
      </c>
      <c r="FG19" s="65" t="s">
        <v>113</v>
      </c>
      <c r="FH19" s="65" t="s">
        <v>113</v>
      </c>
      <c r="FI19" s="65" t="s">
        <v>113</v>
      </c>
      <c r="FJ19" s="1"/>
      <c r="FK19" s="1"/>
      <c r="FL19" s="1"/>
      <c r="FM19" s="1"/>
      <c r="FN19" s="1"/>
      <c r="FO19" s="1"/>
      <c r="FP19" s="1"/>
      <c r="FQ19" s="1"/>
    </row>
    <row r="20" spans="1:173" x14ac:dyDescent="0.3">
      <c r="A20" s="1"/>
      <c r="B20" s="28">
        <v>9</v>
      </c>
      <c r="C20" s="29" cm="1">
        <f t="array" aca="1" ref="C20" ca="1">IF(ISBLANK(INDIRECT("'" &amp; $I$2 &amp; "'!" &amp; ADDRESS(ROW(),COLUMN()))), "", INDIRECT("'" &amp; $I$2 &amp; "'!" &amp; ADDRESS(ROW(),COLUMN())))</f>
        <v>6452372297.5272064</v>
      </c>
      <c r="D20" s="29" cm="1">
        <f t="array" aca="1" ref="D20" ca="1">IF(ISBLANK(INDIRECT("'" &amp; $I$2 &amp; "'!" &amp; ADDRESS(ROW(),COLUMN()))), "", INDIRECT("'" &amp; $I$2 &amp; "'!" &amp; ADDRESS(ROW(),COLUMN())))</f>
        <v>6565633552.801199</v>
      </c>
      <c r="E20" s="29" cm="1">
        <f t="array" aca="1" ref="E20" ca="1">IF(ISBLANK(INDIRECT("'" &amp; $I$2 &amp; "'!" &amp; ADDRESS(ROW(),COLUMN()))), "", INDIRECT("'" &amp; $I$2 &amp; "'!" &amp; ADDRESS(ROW(),COLUMN())))</f>
        <v>6516896639.2163982</v>
      </c>
      <c r="F20" s="29" cm="1">
        <f t="array" aca="1" ref="F20" ca="1">IF(ISBLANK(INDIRECT("'" &amp; $I$2 &amp; "'!" &amp; ADDRESS(ROW(),COLUMN()))), "", INDIRECT("'" &amp; $I$2 &amp; "'!" &amp; ADDRESS(ROW(),COLUMN())))</f>
        <v>6521899434.4247913</v>
      </c>
      <c r="G20" s="29" cm="1">
        <f t="array" aca="1" ref="G20" ca="1">IF(ISBLANK(INDIRECT("'" &amp; $I$2 &amp; "'!" &amp; ADDRESS(ROW(),COLUMN()))), "", INDIRECT("'" &amp; $I$2 &amp; "'!" &amp; ADDRESS(ROW(),COLUMN())))</f>
        <v>6520405443.4355927</v>
      </c>
      <c r="H20" s="29" cm="1">
        <f t="array" aca="1" ref="H20" ca="1">IF(ISBLANK(INDIRECT("'" &amp; $I$2 &amp; "'!" &amp; ADDRESS(ROW(),COLUMN()))), "", INDIRECT("'" &amp; $I$2 &amp; "'!" &amp; ADDRESS(ROW(),COLUMN())))</f>
        <v>6518273323.9920025</v>
      </c>
      <c r="I20" s="29" cm="1">
        <f t="array" aca="1" ref="I20" ca="1">IF(ISBLANK(INDIRECT("'" &amp; $I$2 &amp; "'!" &amp; ADDRESS(ROW(),COLUMN()))), 0, INDIRECT("'" &amp; $I$2 &amp; "'!" &amp; ADDRESS(ROW(),COLUMN())))</f>
        <v>0</v>
      </c>
      <c r="J20" s="366" cm="1">
        <f t="array" aca="1" ref="J20" ca="1">IF(ISBLANK(INDIRECT("'" &amp; $I$2 &amp; "'!" &amp; ADDRESS(ROW(),COLUMN()))), 0, INDIRECT("'" &amp; $I$2 &amp; "'!" &amp; ADDRESS(ROW(),COLUMN())))</f>
        <v>0</v>
      </c>
      <c r="K20" s="65" t="s">
        <v>113</v>
      </c>
      <c r="L20" s="65" t="s">
        <v>113</v>
      </c>
      <c r="M20" s="65" t="s">
        <v>113</v>
      </c>
      <c r="N20" s="65" t="s">
        <v>113</v>
      </c>
      <c r="O20" s="30">
        <f t="shared" ca="1" si="11"/>
        <v>18.382497957185571</v>
      </c>
      <c r="P20" s="29" cm="1">
        <f t="array" aca="1" ref="P20" ca="1">IF(ISBLANK(INDIRECT("'" &amp; $I$2 &amp; "'!" &amp; ADDRESS(ROW(),COLUMN()))), "", INDIRECT("'" &amp; $I$2 &amp; "'!" &amp; ADDRESS(ROW(),COLUMN())))</f>
        <v>41649730656.535202</v>
      </c>
      <c r="Q20" s="29" cm="1">
        <f t="array" aca="1" ref="Q20" ca="1">IF(ISBLANK(INDIRECT("'" &amp; $I$2 &amp; "'!" &amp; ADDRESS(ROW(),COLUMN()))), "", INDIRECT("'" &amp; $I$2 &amp; "'!" &amp; ADDRESS(ROW(),COLUMN())))</f>
        <v>42066226697.870392</v>
      </c>
      <c r="R20" s="30">
        <f t="shared" ca="1" si="0"/>
        <v>0.99999696221286793</v>
      </c>
      <c r="S20" s="65" t="s">
        <v>113</v>
      </c>
      <c r="T20" s="65" t="s">
        <v>113</v>
      </c>
      <c r="U20" s="65" t="s">
        <v>113</v>
      </c>
      <c r="V20" s="65" t="s">
        <v>113</v>
      </c>
      <c r="W20" s="132">
        <f t="shared" ca="1" si="12"/>
        <v>1.755348174531524</v>
      </c>
      <c r="X20" s="132">
        <f t="shared" ca="1" si="12"/>
        <v>1.0000126267625691</v>
      </c>
      <c r="Y20" s="132">
        <f t="shared" ca="1" si="12"/>
        <v>1.0775470617762375</v>
      </c>
      <c r="Z20" s="132">
        <f t="shared" ca="1" si="12"/>
        <v>1.0543928564894218</v>
      </c>
      <c r="AA20" s="132">
        <f t="shared" ca="1" si="12"/>
        <v>1.0213487942093831</v>
      </c>
      <c r="AB20" s="132">
        <f t="shared" ca="1" si="1"/>
        <v>1.0213487942093831</v>
      </c>
      <c r="AC20" s="132">
        <f t="shared" ca="1" si="1"/>
        <v>1.0213487942093831</v>
      </c>
      <c r="AD20" s="65" t="s">
        <v>113</v>
      </c>
      <c r="AE20" s="65" t="s">
        <v>113</v>
      </c>
      <c r="AF20" s="65" t="s">
        <v>113</v>
      </c>
      <c r="AG20" s="65" t="s">
        <v>113</v>
      </c>
      <c r="AH20" s="133">
        <f t="shared" ca="1" si="2"/>
        <v>1</v>
      </c>
      <c r="AI20" s="134">
        <f t="shared" ca="1" si="13"/>
        <v>1.262676256907902E-5</v>
      </c>
      <c r="AJ20" s="134">
        <f t="shared" ca="1" si="3"/>
        <v>0.67780111275528654</v>
      </c>
      <c r="AK20" s="134">
        <f t="shared" ca="1" si="4"/>
        <v>2.3154205286815666E-2</v>
      </c>
      <c r="AL20" s="134">
        <f t="shared" ca="1" si="14"/>
        <v>3.3044062280038755E-2</v>
      </c>
      <c r="AM20" s="134">
        <f t="shared" ca="1" si="15"/>
        <v>0</v>
      </c>
      <c r="AN20" s="135">
        <f t="shared" ca="1" si="26"/>
        <v>0</v>
      </c>
      <c r="AO20" s="134">
        <f t="shared" ca="1" si="16"/>
        <v>2.1336167446813992E-2</v>
      </c>
      <c r="AP20" s="134">
        <f t="shared" ca="1" si="6"/>
        <v>2.1348794209383071E-2</v>
      </c>
      <c r="AQ20" s="136" t="s">
        <v>113</v>
      </c>
      <c r="AR20" s="137">
        <f t="shared" ca="1" si="7"/>
        <v>1.67164798894368E-3</v>
      </c>
      <c r="AS20" s="137">
        <f t="shared" ca="1" si="7"/>
        <v>89.733600425481512</v>
      </c>
      <c r="AT20" s="137">
        <f t="shared" ca="1" si="7"/>
        <v>3.0653685369897374</v>
      </c>
      <c r="AU20" s="137">
        <f t="shared" ca="1" si="7"/>
        <v>4.3746795708526172</v>
      </c>
      <c r="AV20" s="137">
        <f t="shared" ca="1" si="7"/>
        <v>0</v>
      </c>
      <c r="AW20" s="138">
        <f t="shared" ca="1" si="7"/>
        <v>0</v>
      </c>
      <c r="AX20" s="137">
        <f t="shared" ca="1" si="7"/>
        <v>2.8246798186871822</v>
      </c>
      <c r="AY20" s="137">
        <f t="shared" ca="1" si="7"/>
        <v>2.8263514666761256</v>
      </c>
      <c r="AZ20" s="66" t="s">
        <v>113</v>
      </c>
      <c r="BA20" s="66" t="s">
        <v>113</v>
      </c>
      <c r="BB20" s="66" t="s">
        <v>113</v>
      </c>
      <c r="BC20" s="66" t="s">
        <v>113</v>
      </c>
      <c r="BD20" s="66" t="s">
        <v>113</v>
      </c>
      <c r="BE20" s="66" t="s">
        <v>113</v>
      </c>
      <c r="BF20" s="66" t="s">
        <v>113</v>
      </c>
      <c r="BG20" s="66" t="s">
        <v>113</v>
      </c>
      <c r="BH20" s="29" cm="1">
        <f t="array" aca="1" ref="BH20" ca="1">IF(ISBLANK(INDIRECT("'" &amp; $I$2 &amp; "'!" &amp; ADDRESS(ROW(),COLUMN()))), "", INDIRECT("'" &amp; $I$2 &amp; "'!" &amp; ADDRESS(ROW(),COLUMN())))</f>
        <v>28983695665.329586</v>
      </c>
      <c r="BI20" s="29" cm="1">
        <f t="array" aca="1" ref="BI20" ca="1">IF(ISBLANK(INDIRECT("'" &amp; $I$2 &amp; "'!" &amp; ADDRESS(ROW(),COLUMN()))), "", INDIRECT("'" &amp; $I$2 &amp; "'!" &amp; ADDRESS(ROW(),COLUMN())))</f>
        <v>8332544823.6012068</v>
      </c>
      <c r="BJ20" s="29" cm="1">
        <f t="array" aca="1" ref="BJ20" ca="1">IF(ISBLANK(INDIRECT("'" &amp; $I$2 &amp; "'!" &amp; ADDRESS(ROW(),COLUMN()))), "", INDIRECT("'" &amp; $I$2 &amp; "'!" &amp; ADDRESS(ROW(),COLUMN())))</f>
        <v>3009387744.8903985</v>
      </c>
      <c r="BK20" s="29" cm="1">
        <f t="array" aca="1" ref="BK20" ca="1">IF(ISBLANK(INDIRECT("'" &amp; $I$2 &amp; "'!" &amp; ADDRESS(ROW(),COLUMN()))), "", INDIRECT("'" &amp; $I$2 &amp; "'!" &amp; ADDRESS(ROW(),COLUMN())))</f>
        <v>1324104251.6363997</v>
      </c>
      <c r="BL20" s="67">
        <f t="shared" ca="1" si="17"/>
        <v>0.69589152044252689</v>
      </c>
      <c r="BM20" s="67">
        <f t="shared" ca="1" si="18"/>
        <v>0.20006238519084357</v>
      </c>
      <c r="BN20" s="67">
        <f t="shared" ca="1" si="19"/>
        <v>7.2254671646238194E-2</v>
      </c>
      <c r="BO20" s="67">
        <f t="shared" ca="1" si="19"/>
        <v>3.1791422720391392E-2</v>
      </c>
      <c r="BP20" s="66" t="s">
        <v>113</v>
      </c>
      <c r="BQ20" s="66" t="s">
        <v>113</v>
      </c>
      <c r="BR20" s="66" t="s">
        <v>113</v>
      </c>
      <c r="BS20" s="30">
        <f t="shared" ca="1" si="20"/>
        <v>15.893403609693655</v>
      </c>
      <c r="BT20" s="66" t="s">
        <v>113</v>
      </c>
      <c r="BU20" s="66" t="s">
        <v>113</v>
      </c>
      <c r="BV20" s="66" t="s">
        <v>113</v>
      </c>
      <c r="BW20" s="66" t="s">
        <v>113</v>
      </c>
      <c r="BX20" s="66" t="s">
        <v>113</v>
      </c>
      <c r="BY20" s="66" t="s">
        <v>113</v>
      </c>
      <c r="BZ20" s="66" t="s">
        <v>113</v>
      </c>
      <c r="CA20" s="66"/>
      <c r="CB20" s="66"/>
      <c r="CC20" s="68" t="s">
        <v>113</v>
      </c>
      <c r="CD20" s="68" t="s">
        <v>113</v>
      </c>
      <c r="CE20" s="68" t="s">
        <v>113</v>
      </c>
      <c r="CF20" s="68" t="s">
        <v>113</v>
      </c>
      <c r="CG20" s="68" t="s">
        <v>113</v>
      </c>
      <c r="CH20" s="68" t="s">
        <v>113</v>
      </c>
      <c r="CI20" s="68" t="s">
        <v>113</v>
      </c>
      <c r="CJ20" s="68"/>
      <c r="CK20" s="66" t="s">
        <v>113</v>
      </c>
      <c r="CL20" s="66" t="s">
        <v>113</v>
      </c>
      <c r="CM20" s="66" t="s">
        <v>113</v>
      </c>
      <c r="CN20" s="66" t="s">
        <v>113</v>
      </c>
      <c r="CO20" s="66" t="s">
        <v>113</v>
      </c>
      <c r="CP20" s="66" t="s">
        <v>113</v>
      </c>
      <c r="CQ20" s="66" t="s">
        <v>113</v>
      </c>
      <c r="CR20" s="66"/>
      <c r="CS20" s="143" t="s">
        <v>113</v>
      </c>
      <c r="CT20" s="143" t="s">
        <v>113</v>
      </c>
      <c r="CU20" s="143" t="s">
        <v>113</v>
      </c>
      <c r="CV20" s="143" t="s">
        <v>113</v>
      </c>
      <c r="CW20" s="143" t="s">
        <v>113</v>
      </c>
      <c r="CX20" s="143" t="s">
        <v>113</v>
      </c>
      <c r="CY20" s="143" t="s">
        <v>113</v>
      </c>
      <c r="CZ20" s="143"/>
      <c r="DA20" s="66" t="s">
        <v>113</v>
      </c>
      <c r="DB20" s="66" t="s">
        <v>113</v>
      </c>
      <c r="DC20" s="66" t="s">
        <v>113</v>
      </c>
      <c r="DD20" s="69">
        <f t="shared" ca="1" si="21"/>
        <v>0</v>
      </c>
      <c r="DE20" s="29" cm="1">
        <f t="array" aca="1" ref="DE20" ca="1">IF(ISBLANK(INDIRECT("'" &amp; $I$2 &amp; "'!" &amp; ADDRESS(ROW(),COLUMN()))), "", INDIRECT("'" &amp; $I$2 &amp; "'!" &amp; ADDRESS(ROW(),COLUMN())))</f>
        <v>1</v>
      </c>
      <c r="DF20" s="1"/>
      <c r="DG20" s="1"/>
      <c r="DH20" s="1"/>
      <c r="DI20" s="1"/>
      <c r="DJ20" s="1"/>
      <c r="DK20" s="1"/>
      <c r="DL20" s="1"/>
      <c r="DM20" s="1"/>
      <c r="DN20" s="1"/>
      <c r="DO20" s="1"/>
      <c r="DP20" s="1"/>
      <c r="DQ20" s="1"/>
      <c r="DR20" s="1"/>
      <c r="DS20" s="1"/>
      <c r="DT20" s="1"/>
      <c r="DU20" s="1"/>
      <c r="DV20" s="1"/>
      <c r="DW20" s="1"/>
      <c r="DX20" s="1"/>
      <c r="DY20" s="1"/>
      <c r="DZ20" s="1"/>
      <c r="EA20" s="29" cm="1">
        <f t="array" aca="1" ref="EA20" ca="1">IF(ISBLANK(INDIRECT("'" &amp; $I$2 &amp; "'!" &amp; ADDRESS(ROW(),COLUMN()))), "", INDIRECT("'" &amp; $I$2 &amp; "'!" &amp; ADDRESS(ROW(),COLUMN())))</f>
        <v>7334278200.2771931</v>
      </c>
      <c r="EB20" s="29" cm="1">
        <f t="array" aca="1" ref="EB20" ca="1">IF(ISBLANK(INDIRECT("'" &amp; $I$2 &amp; "'!" &amp; ADDRESS(ROW(),COLUMN()))), "", INDIRECT("'" &amp; $I$2 &amp; "'!" &amp; ADDRESS(ROW(),COLUMN())))</f>
        <v>7466790479.4228077</v>
      </c>
      <c r="EC20" s="29" cm="1">
        <f t="array" aca="1" ref="EC20" ca="1">IF(ISBLANK(INDIRECT("'" &amp; $I$2 &amp; "'!" &amp; ADDRESS(ROW(),COLUMN()))), "", INDIRECT("'" &amp; $I$2 &amp; "'!" &amp; ADDRESS(ROW(),COLUMN())))</f>
        <v>7407532035.4644098</v>
      </c>
      <c r="ED20" s="29" cm="1">
        <f t="array" aca="1" ref="ED20" ca="1">IF(ISBLANK(INDIRECT("'" &amp; $I$2 &amp; "'!" &amp; ADDRESS(ROW(),COLUMN()))), "", INDIRECT("'" &amp; $I$2 &amp; "'!" &amp; ADDRESS(ROW(),COLUMN())))</f>
        <v>7415002243.6572056</v>
      </c>
      <c r="EE20" s="29" cm="1">
        <f t="array" aca="1" ref="EE20" ca="1">IF(ISBLANK(INDIRECT("'" &amp; $I$2 &amp; "'!" &amp; ADDRESS(ROW(),COLUMN()))), "", INDIRECT("'" &amp; $I$2 &amp; "'!" &amp; ADDRESS(ROW(),COLUMN())))</f>
        <v>7412891785.0896034</v>
      </c>
      <c r="EF20" s="29" cm="1">
        <f t="array" aca="1" ref="EF20" ca="1">IF(ISBLANK(INDIRECT("'" &amp; $I$2 &amp; "'!" &amp; ADDRESS(ROW(),COLUMN()))), "", INDIRECT("'" &amp; $I$2 &amp; "'!" &amp; ADDRESS(ROW(),COLUMN())))</f>
        <v>7410627667.8431997</v>
      </c>
      <c r="EG20" s="29" cm="1">
        <f t="array" aca="1" ref="EG20" ca="1">IF(ISBLANK(INDIRECT("'" &amp; $I$2 &amp; "'!" &amp; ADDRESS(ROW(),COLUMN()))), "", INDIRECT("'" &amp; $I$2 &amp; "'!" &amp; ADDRESS(ROW(),COLUMN())))</f>
        <v>7424068407.2507992</v>
      </c>
      <c r="EH20" s="122"/>
      <c r="EI20" s="65" t="s">
        <v>113</v>
      </c>
      <c r="EJ20" s="65" t="s">
        <v>113</v>
      </c>
      <c r="EK20" s="65" t="s">
        <v>113</v>
      </c>
      <c r="EL20" s="65" t="s">
        <v>113</v>
      </c>
      <c r="EM20" s="30">
        <f t="shared" ca="1" si="8"/>
        <v>18.653719792588774</v>
      </c>
      <c r="EN20" s="29" cm="1">
        <f t="array" aca="1" ref="EN20" ca="1">IF(ISBLANK(INDIRECT("'" &amp; $I$2 &amp; "'!" &amp; ADDRESS(ROW(),COLUMN()))), "", INDIRECT("'" &amp; $I$2 &amp; "'!" &amp; ADDRESS(ROW(),COLUMN())))</f>
        <v>48567602424.763275</v>
      </c>
      <c r="EO20" s="29" cm="1">
        <f t="array" aca="1" ref="EO20" ca="1">IF(ISBLANK(INDIRECT("'" &amp; $I$2 &amp; "'!" &amp; ADDRESS(ROW(),COLUMN()))), "", INDIRECT("'" &amp; $I$2 &amp; "'!" &amp; ADDRESS(ROW(),COLUMN())))</f>
        <v>49053279342.68998</v>
      </c>
      <c r="EP20" s="30">
        <f t="shared" ca="1" si="9"/>
        <v>1.0000018400724509</v>
      </c>
      <c r="EQ20" s="65" t="s">
        <v>113</v>
      </c>
      <c r="ER20" s="65" t="s">
        <v>113</v>
      </c>
      <c r="ES20" s="65" t="s">
        <v>113</v>
      </c>
      <c r="ET20" s="65" t="s">
        <v>113</v>
      </c>
      <c r="EU20" s="30">
        <f t="shared" ca="1" si="22"/>
        <v>15.830375037270617</v>
      </c>
      <c r="EV20" s="31">
        <f t="shared" ca="1" si="23"/>
        <v>1.8067495082046499</v>
      </c>
      <c r="EW20" s="31">
        <f t="shared" ca="1" si="24"/>
        <v>0.99878540729927823</v>
      </c>
      <c r="EX20" s="31"/>
      <c r="EY20" s="70">
        <f t="shared" ca="1" si="10"/>
        <v>5.1401333673125826E-2</v>
      </c>
      <c r="EZ20" s="69">
        <f t="shared" ca="1" si="25"/>
        <v>0</v>
      </c>
      <c r="FA20" s="179" cm="1">
        <f t="array" aca="1" ref="FA20" ca="1">IF(ISBLANK(INDIRECT("'" &amp; $I$2 &amp; "'!" &amp; ADDRESS(ROW(),COLUMN()))), "", INDIRECT("'" &amp; $I$2 &amp; "'!" &amp; ADDRESS(ROW(),COLUMN())))</f>
        <v>1</v>
      </c>
      <c r="FB20" s="65" t="s">
        <v>113</v>
      </c>
      <c r="FC20" s="65" t="s">
        <v>113</v>
      </c>
      <c r="FD20" s="65" t="s">
        <v>113</v>
      </c>
      <c r="FE20" s="65" t="s">
        <v>113</v>
      </c>
      <c r="FF20" s="65" t="s">
        <v>113</v>
      </c>
      <c r="FG20" s="65" t="s">
        <v>113</v>
      </c>
      <c r="FH20" s="65" t="s">
        <v>113</v>
      </c>
      <c r="FI20" s="65" t="s">
        <v>113</v>
      </c>
      <c r="FJ20" s="1"/>
      <c r="FK20" s="1"/>
      <c r="FL20" s="1"/>
      <c r="FM20" s="1"/>
      <c r="FN20" s="1"/>
      <c r="FO20" s="1"/>
      <c r="FP20" s="1"/>
      <c r="FQ20" s="1"/>
    </row>
    <row r="21" spans="1:173" x14ac:dyDescent="0.3">
      <c r="A21" s="1"/>
      <c r="B21" s="33">
        <v>10</v>
      </c>
      <c r="C21" s="29" cm="1">
        <f t="array" aca="1" ref="C21" ca="1">IF(ISBLANK(INDIRECT("'" &amp; $I$2 &amp; "'!" &amp; ADDRESS(ROW(),COLUMN()))), "", INDIRECT("'" &amp; $I$2 &amp; "'!" &amp; ADDRESS(ROW(),COLUMN())))</f>
        <v>16084719443.025608</v>
      </c>
      <c r="D21" s="29" cm="1">
        <f t="array" aca="1" ref="D21" ca="1">IF(ISBLANK(INDIRECT("'" &amp; $I$2 &amp; "'!" &amp; ADDRESS(ROW(),COLUMN()))), "", INDIRECT("'" &amp; $I$2 &amp; "'!" &amp; ADDRESS(ROW(),COLUMN())))</f>
        <v>16310706558.804016</v>
      </c>
      <c r="E21" s="29" cm="1">
        <f t="array" aca="1" ref="E21" ca="1">IF(ISBLANK(INDIRECT("'" &amp; $I$2 &amp; "'!" &amp; ADDRESS(ROW(),COLUMN()))), "", INDIRECT("'" &amp; $I$2 &amp; "'!" &amp; ADDRESS(ROW(),COLUMN())))</f>
        <v>16245566644.683594</v>
      </c>
      <c r="F21" s="29" cm="1">
        <f t="array" aca="1" ref="F21" ca="1">IF(ISBLANK(INDIRECT("'" &amp; $I$2 &amp; "'!" &amp; ADDRESS(ROW(),COLUMN()))), "", INDIRECT("'" &amp; $I$2 &amp; "'!" &amp; ADDRESS(ROW(),COLUMN())))</f>
        <v>16251080415.540001</v>
      </c>
      <c r="G21" s="29" cm="1">
        <f t="array" aca="1" ref="G21" ca="1">IF(ISBLANK(INDIRECT("'" &amp; $I$2 &amp; "'!" &amp; ADDRESS(ROW(),COLUMN()))), "", INDIRECT("'" &amp; $I$2 &amp; "'!" &amp; ADDRESS(ROW(),COLUMN())))</f>
        <v>16249879759.2684</v>
      </c>
      <c r="H21" s="29" cm="1">
        <f t="array" aca="1" ref="H21" ca="1">IF(ISBLANK(INDIRECT("'" &amp; $I$2 &amp; "'!" &amp; ADDRESS(ROW(),COLUMN()))), "", INDIRECT("'" &amp; $I$2 &amp; "'!" &amp; ADDRESS(ROW(),COLUMN())))</f>
        <v>16247566951.51918</v>
      </c>
      <c r="I21" s="29" cm="1">
        <f t="array" aca="1" ref="I21" ca="1">IF(ISBLANK(INDIRECT("'" &amp; $I$2 &amp; "'!" &amp; ADDRESS(ROW(),COLUMN()))), 0, INDIRECT("'" &amp; $I$2 &amp; "'!" &amp; ADDRESS(ROW(),COLUMN())))</f>
        <v>0</v>
      </c>
      <c r="J21" s="366" cm="1">
        <f t="array" aca="1" ref="J21" ca="1">IF(ISBLANK(INDIRECT("'" &amp; $I$2 &amp; "'!" &amp; ADDRESS(ROW(),COLUMN()))), 0, INDIRECT("'" &amp; $I$2 &amp; "'!" &amp; ADDRESS(ROW(),COLUMN())))</f>
        <v>0</v>
      </c>
      <c r="K21" s="65" t="s">
        <v>113</v>
      </c>
      <c r="L21" s="65" t="s">
        <v>113</v>
      </c>
      <c r="M21" s="65" t="s">
        <v>113</v>
      </c>
      <c r="N21" s="65" t="s">
        <v>113</v>
      </c>
      <c r="O21" s="30">
        <f t="shared" ca="1" si="11"/>
        <v>45.824591122343641</v>
      </c>
      <c r="P21" s="29" cm="1">
        <f t="array" aca="1" ref="P21" ca="1">IF(ISBLANK(INDIRECT("'" &amp; $I$2 &amp; "'!" &amp; ADDRESS(ROW(),COLUMN()))), "", INDIRECT("'" &amp; $I$2 &amp; "'!" &amp; ADDRESS(ROW(),COLUMN())))</f>
        <v>69987948372.103165</v>
      </c>
      <c r="Q21" s="29" cm="1">
        <f t="array" aca="1" ref="Q21" ca="1">IF(ISBLANK(INDIRECT("'" &amp; $I$2 &amp; "'!" &amp; ADDRESS(ROW(),COLUMN()))), "", INDIRECT("'" &amp; $I$2 &amp; "'!" &amp; ADDRESS(ROW(),COLUMN())))</f>
        <v>70687825848.696014</v>
      </c>
      <c r="R21" s="30">
        <f t="shared" ca="1" si="0"/>
        <v>0.99999713218028585</v>
      </c>
      <c r="S21" s="65" t="s">
        <v>113</v>
      </c>
      <c r="T21" s="65" t="s">
        <v>113</v>
      </c>
      <c r="U21" s="65" t="s">
        <v>113</v>
      </c>
      <c r="V21" s="65" t="s">
        <v>113</v>
      </c>
      <c r="W21" s="132">
        <f t="shared" ca="1" si="12"/>
        <v>1.4049841818569087</v>
      </c>
      <c r="X21" s="132">
        <f t="shared" ca="1" si="12"/>
        <v>1.0000029127634462</v>
      </c>
      <c r="Y21" s="132">
        <f t="shared" ca="1" si="12"/>
        <v>1.0342825698534186</v>
      </c>
      <c r="Z21" s="132">
        <f t="shared" ca="1" si="12"/>
        <v>1.0268179714242744</v>
      </c>
      <c r="AA21" s="132">
        <f t="shared" ca="1" si="12"/>
        <v>1.0124390175970293</v>
      </c>
      <c r="AB21" s="132">
        <f t="shared" ca="1" si="1"/>
        <v>1.0124390175970293</v>
      </c>
      <c r="AC21" s="132">
        <f t="shared" ca="1" si="1"/>
        <v>1.0124390175970293</v>
      </c>
      <c r="AD21" s="65" t="s">
        <v>113</v>
      </c>
      <c r="AE21" s="65" t="s">
        <v>113</v>
      </c>
      <c r="AF21" s="65" t="s">
        <v>113</v>
      </c>
      <c r="AG21" s="65" t="s">
        <v>113</v>
      </c>
      <c r="AH21" s="133">
        <f t="shared" ca="1" si="2"/>
        <v>1</v>
      </c>
      <c r="AI21" s="134">
        <f t="shared" ca="1" si="13"/>
        <v>2.9127634462167151E-6</v>
      </c>
      <c r="AJ21" s="134">
        <f t="shared" ca="1" si="3"/>
        <v>0.37070161200349006</v>
      </c>
      <c r="AK21" s="134">
        <f ca="1">IF(W21&gt;1,MAX(MIN(Y21-Z21,W21-AH21-AJ21),0),0)</f>
        <v>7.4645984291441536E-3</v>
      </c>
      <c r="AL21" s="134">
        <f t="shared" ca="1" si="14"/>
        <v>1.4378953827245189E-2</v>
      </c>
      <c r="AM21" s="134">
        <f t="shared" ca="1" si="15"/>
        <v>0</v>
      </c>
      <c r="AN21" s="135">
        <f t="shared" ca="1" si="26"/>
        <v>0</v>
      </c>
      <c r="AO21" s="134">
        <f t="shared" ca="1" si="16"/>
        <v>1.2436104833583039E-2</v>
      </c>
      <c r="AP21" s="134">
        <f t="shared" ca="1" si="6"/>
        <v>1.2439017597029256E-2</v>
      </c>
      <c r="AQ21" s="136" t="s">
        <v>113</v>
      </c>
      <c r="AR21" s="137">
        <f t="shared" ca="1" si="7"/>
        <v>7.1922894194565584E-4</v>
      </c>
      <c r="AS21" s="137">
        <f t="shared" ca="1" si="7"/>
        <v>91.534837312354213</v>
      </c>
      <c r="AT21" s="137">
        <f t="shared" ca="1" si="7"/>
        <v>1.8431827126970575</v>
      </c>
      <c r="AU21" s="137">
        <f t="shared" ca="1" si="7"/>
        <v>3.5504976419858405</v>
      </c>
      <c r="AV21" s="137">
        <f t="shared" ca="1" si="7"/>
        <v>0</v>
      </c>
      <c r="AW21" s="138">
        <f t="shared" ca="1" si="7"/>
        <v>0</v>
      </c>
      <c r="AX21" s="137">
        <f t="shared" ca="1" si="7"/>
        <v>3.0707631040209455</v>
      </c>
      <c r="AY21" s="137">
        <f t="shared" ca="1" si="7"/>
        <v>3.0714823329628915</v>
      </c>
      <c r="AZ21" s="66" t="s">
        <v>113</v>
      </c>
      <c r="BA21" s="66" t="s">
        <v>113</v>
      </c>
      <c r="BB21" s="66" t="s">
        <v>113</v>
      </c>
      <c r="BC21" s="66" t="s">
        <v>113</v>
      </c>
      <c r="BD21" s="66" t="s">
        <v>113</v>
      </c>
      <c r="BE21" s="66" t="s">
        <v>113</v>
      </c>
      <c r="BF21" s="66" t="s">
        <v>113</v>
      </c>
      <c r="BG21" s="66" t="s">
        <v>113</v>
      </c>
      <c r="BH21" s="29" cm="1">
        <f t="array" aca="1" ref="BH21" ca="1">IF(ISBLANK(INDIRECT("'" &amp; $I$2 &amp; "'!" &amp; ADDRESS(ROW(),COLUMN()))), "", INDIRECT("'" &amp; $I$2 &amp; "'!" &amp; ADDRESS(ROW(),COLUMN())))</f>
        <v>47316501866.788773</v>
      </c>
      <c r="BI21" s="29" cm="1">
        <f t="array" aca="1" ref="BI21" ca="1">IF(ISBLANK(INDIRECT("'" &amp; $I$2 &amp; "'!" &amp; ADDRESS(ROW(),COLUMN()))), "", INDIRECT("'" &amp; $I$2 &amp; "'!" &amp; ADDRESS(ROW(),COLUMN())))</f>
        <v>9577799120.4276047</v>
      </c>
      <c r="BJ21" s="29" cm="1">
        <f t="array" aca="1" ref="BJ21" ca="1">IF(ISBLANK(INDIRECT("'" &amp; $I$2 &amp; "'!" &amp; ADDRESS(ROW(),COLUMN()))), "", INDIRECT("'" &amp; $I$2 &amp; "'!" &amp; ADDRESS(ROW(),COLUMN())))</f>
        <v>9555831620.3136024</v>
      </c>
      <c r="BK21" s="29" cm="1">
        <f t="array" aca="1" ref="BK21" ca="1">IF(ISBLANK(INDIRECT("'" &amp; $I$2 &amp; "'!" &amp; ADDRESS(ROW(),COLUMN()))), "", INDIRECT("'" &amp; $I$2 &amp; "'!" &amp; ADDRESS(ROW(),COLUMN())))</f>
        <v>3537816774.9659958</v>
      </c>
      <c r="BL21" s="67">
        <f t="shared" ca="1" si="17"/>
        <v>0.67606641263621103</v>
      </c>
      <c r="BM21" s="67">
        <f t="shared" ca="1" si="18"/>
        <v>0.13684926055031724</v>
      </c>
      <c r="BN21" s="67">
        <f t="shared" ca="1" si="19"/>
        <v>0.13653538508592911</v>
      </c>
      <c r="BO21" s="67">
        <f t="shared" ca="1" si="19"/>
        <v>5.0548941727542686E-2</v>
      </c>
      <c r="BP21" s="66" t="s">
        <v>113</v>
      </c>
      <c r="BQ21" s="66" t="s">
        <v>113</v>
      </c>
      <c r="BR21" s="66" t="s">
        <v>113</v>
      </c>
      <c r="BS21" s="30">
        <f t="shared" ca="1" si="20"/>
        <v>26.707176583330455</v>
      </c>
      <c r="BT21" s="66" t="s">
        <v>113</v>
      </c>
      <c r="BU21" s="66" t="s">
        <v>113</v>
      </c>
      <c r="BV21" s="66" t="s">
        <v>113</v>
      </c>
      <c r="BW21" s="66" t="s">
        <v>113</v>
      </c>
      <c r="BX21" s="66" t="s">
        <v>113</v>
      </c>
      <c r="BY21" s="66" t="s">
        <v>113</v>
      </c>
      <c r="BZ21" s="66" t="s">
        <v>113</v>
      </c>
      <c r="CA21" s="66"/>
      <c r="CB21" s="66"/>
      <c r="CC21" s="68" t="s">
        <v>113</v>
      </c>
      <c r="CD21" s="68" t="s">
        <v>113</v>
      </c>
      <c r="CE21" s="68" t="s">
        <v>113</v>
      </c>
      <c r="CF21" s="68" t="s">
        <v>113</v>
      </c>
      <c r="CG21" s="68" t="s">
        <v>113</v>
      </c>
      <c r="CH21" s="68" t="s">
        <v>113</v>
      </c>
      <c r="CI21" s="68" t="s">
        <v>113</v>
      </c>
      <c r="CJ21" s="68"/>
      <c r="CK21" s="66" t="s">
        <v>113</v>
      </c>
      <c r="CL21" s="66" t="s">
        <v>113</v>
      </c>
      <c r="CM21" s="66" t="s">
        <v>113</v>
      </c>
      <c r="CN21" s="66" t="s">
        <v>113</v>
      </c>
      <c r="CO21" s="66" t="s">
        <v>113</v>
      </c>
      <c r="CP21" s="66" t="s">
        <v>113</v>
      </c>
      <c r="CQ21" s="66" t="s">
        <v>113</v>
      </c>
      <c r="CR21" s="66"/>
      <c r="CS21" s="143" t="s">
        <v>113</v>
      </c>
      <c r="CT21" s="143" t="s">
        <v>113</v>
      </c>
      <c r="CU21" s="143" t="s">
        <v>113</v>
      </c>
      <c r="CV21" s="143" t="s">
        <v>113</v>
      </c>
      <c r="CW21" s="143" t="s">
        <v>113</v>
      </c>
      <c r="CX21" s="143" t="s">
        <v>113</v>
      </c>
      <c r="CY21" s="143" t="s">
        <v>113</v>
      </c>
      <c r="CZ21" s="143"/>
      <c r="DA21" s="66" t="s">
        <v>113</v>
      </c>
      <c r="DB21" s="66" t="s">
        <v>113</v>
      </c>
      <c r="DC21" s="66" t="s">
        <v>113</v>
      </c>
      <c r="DD21" s="69">
        <f t="shared" ca="1" si="21"/>
        <v>0</v>
      </c>
      <c r="DE21" s="29" cm="1">
        <f t="array" aca="1" ref="DE21" ca="1">IF(ISBLANK(INDIRECT("'" &amp; $I$2 &amp; "'!" &amp; ADDRESS(ROW(),COLUMN()))), "", INDIRECT("'" &amp; $I$2 &amp; "'!" &amp; ADDRESS(ROW(),COLUMN())))</f>
        <v>1</v>
      </c>
      <c r="DF21" s="1"/>
      <c r="DG21" s="1"/>
      <c r="DH21" s="1"/>
      <c r="DI21" s="1"/>
      <c r="DJ21" s="1"/>
      <c r="DK21" s="1"/>
      <c r="DL21" s="1"/>
      <c r="DM21" s="1"/>
      <c r="DN21" s="1"/>
      <c r="DO21" s="1"/>
      <c r="DP21" s="1"/>
      <c r="DQ21" s="1"/>
      <c r="DR21" s="1"/>
      <c r="DS21" s="1"/>
      <c r="DT21" s="1"/>
      <c r="DU21" s="1"/>
      <c r="DV21" s="1"/>
      <c r="DW21" s="1"/>
      <c r="DX21" s="1"/>
      <c r="DY21" s="1"/>
      <c r="DZ21" s="1"/>
      <c r="EA21" s="29" cm="1">
        <f t="array" aca="1" ref="EA21" ca="1">IF(ISBLANK(INDIRECT("'" &amp; $I$2 &amp; "'!" &amp; ADDRESS(ROW(),COLUMN()))), "", INDIRECT("'" &amp; $I$2 &amp; "'!" &amp; ADDRESS(ROW(),COLUMN())))</f>
        <v>19008203117.803196</v>
      </c>
      <c r="EB21" s="29" cm="1">
        <f t="array" aca="1" ref="EB21" ca="1">IF(ISBLANK(INDIRECT("'" &amp; $I$2 &amp; "'!" &amp; ADDRESS(ROW(),COLUMN()))), "", INDIRECT("'" &amp; $I$2 &amp; "'!" &amp; ADDRESS(ROW(),COLUMN())))</f>
        <v>19278713382.968365</v>
      </c>
      <c r="EC21" s="29" cm="1">
        <f t="array" aca="1" ref="EC21" ca="1">IF(ISBLANK(INDIRECT("'" &amp; $I$2 &amp; "'!" &amp; ADDRESS(ROW(),COLUMN()))), "", INDIRECT("'" &amp; $I$2 &amp; "'!" &amp; ADDRESS(ROW(),COLUMN())))</f>
        <v>19198264879.602013</v>
      </c>
      <c r="ED21" s="29" cm="1">
        <f t="array" aca="1" ref="ED21" ca="1">IF(ISBLANK(INDIRECT("'" &amp; $I$2 &amp; "'!" &amp; ADDRESS(ROW(),COLUMN()))), "", INDIRECT("'" &amp; $I$2 &amp; "'!" &amp; ADDRESS(ROW(),COLUMN())))</f>
        <v>19205480588.619614</v>
      </c>
      <c r="EE21" s="29" cm="1">
        <f t="array" aca="1" ref="EE21" ca="1">IF(ISBLANK(INDIRECT("'" &amp; $I$2 &amp; "'!" &amp; ADDRESS(ROW(),COLUMN()))), "", INDIRECT("'" &amp; $I$2 &amp; "'!" &amp; ADDRESS(ROW(),COLUMN())))</f>
        <v>19203852915.846012</v>
      </c>
      <c r="EF21" s="29" cm="1">
        <f t="array" aca="1" ref="EF21" ca="1">IF(ISBLANK(INDIRECT("'" &amp; $I$2 &amp; "'!" &amp; ADDRESS(ROW(),COLUMN()))), "", INDIRECT("'" &amp; $I$2 &amp; "'!" &amp; ADDRESS(ROW(),COLUMN())))</f>
        <v>19201379057.523621</v>
      </c>
      <c r="EG21" s="29" cm="1">
        <f t="array" aca="1" ref="EG21" ca="1">IF(ISBLANK(INDIRECT("'" &amp; $I$2 &amp; "'!" &amp; ADDRESS(ROW(),COLUMN()))), "", INDIRECT("'" &amp; $I$2 &amp; "'!" &amp; ADDRESS(ROW(),COLUMN())))</f>
        <v>19183807830.244793</v>
      </c>
      <c r="EH21" s="122"/>
      <c r="EI21" s="65" t="s">
        <v>113</v>
      </c>
      <c r="EJ21" s="65" t="s">
        <v>113</v>
      </c>
      <c r="EK21" s="65" t="s">
        <v>113</v>
      </c>
      <c r="EL21" s="65" t="s">
        <v>113</v>
      </c>
      <c r="EM21" s="30">
        <f t="shared" ca="1" si="8"/>
        <v>48.344729370466524</v>
      </c>
      <c r="EN21" s="29" cm="1">
        <f t="array" aca="1" ref="EN21" ca="1">IF(ISBLANK(INDIRECT("'" &amp; $I$2 &amp; "'!" &amp; ADDRESS(ROW(),COLUMN()))), "", INDIRECT("'" &amp; $I$2 &amp; "'!" &amp; ADDRESS(ROW(),COLUMN())))</f>
        <v>82248813228.176407</v>
      </c>
      <c r="EO21" s="29" cm="1">
        <f t="array" aca="1" ref="EO21" ca="1">IF(ISBLANK(INDIRECT("'" &amp; $I$2 &amp; "'!" &amp; ADDRESS(ROW(),COLUMN()))), "", INDIRECT("'" &amp; $I$2 &amp; "'!" &amp; ADDRESS(ROW(),COLUMN())))</f>
        <v>83071303527.384094</v>
      </c>
      <c r="EP21" s="30">
        <f t="shared" ca="1" si="9"/>
        <v>1.000002634598407</v>
      </c>
      <c r="EQ21" s="65" t="s">
        <v>113</v>
      </c>
      <c r="ER21" s="65" t="s">
        <v>113</v>
      </c>
      <c r="ES21" s="65" t="s">
        <v>113</v>
      </c>
      <c r="ET21" s="65" t="s">
        <v>113</v>
      </c>
      <c r="EU21" s="30">
        <f t="shared" ca="1" si="22"/>
        <v>26.808602746850614</v>
      </c>
      <c r="EV21" s="31">
        <f t="shared" ca="1" si="23"/>
        <v>1.4231200645566118</v>
      </c>
      <c r="EW21" s="31">
        <f t="shared" ca="1" si="24"/>
        <v>0.99989073078511326</v>
      </c>
      <c r="EX21" s="31"/>
      <c r="EY21" s="70">
        <f t="shared" ca="1" si="10"/>
        <v>1.8135882699703121E-2</v>
      </c>
      <c r="EZ21" s="69">
        <f t="shared" ca="1" si="25"/>
        <v>0</v>
      </c>
      <c r="FA21" s="179" cm="1">
        <f t="array" aca="1" ref="FA21" ca="1">IF(ISBLANK(INDIRECT("'" &amp; $I$2 &amp; "'!" &amp; ADDRESS(ROW(),COLUMN()))), "", INDIRECT("'" &amp; $I$2 &amp; "'!" &amp; ADDRESS(ROW(),COLUMN())))</f>
        <v>1</v>
      </c>
      <c r="FB21" s="65" t="s">
        <v>113</v>
      </c>
      <c r="FC21" s="65" t="s">
        <v>113</v>
      </c>
      <c r="FD21" s="65" t="s">
        <v>113</v>
      </c>
      <c r="FE21" s="65" t="s">
        <v>113</v>
      </c>
      <c r="FF21" s="65" t="s">
        <v>113</v>
      </c>
      <c r="FG21" s="65" t="s">
        <v>113</v>
      </c>
      <c r="FH21" s="65" t="s">
        <v>113</v>
      </c>
      <c r="FI21" s="65" t="s">
        <v>113</v>
      </c>
      <c r="FJ21" s="1"/>
      <c r="FK21" s="1"/>
      <c r="FL21" s="1"/>
      <c r="FM21" s="1"/>
      <c r="FN21" s="1"/>
      <c r="FO21" s="1"/>
      <c r="FP21" s="1"/>
      <c r="FQ21" s="1"/>
    </row>
    <row r="22" spans="1:173" ht="13.2" customHeight="1" x14ac:dyDescent="0.3">
      <c r="A22" s="1"/>
      <c r="B22" s="34" t="s">
        <v>114</v>
      </c>
      <c r="C22" s="35" cm="1">
        <f t="array" aca="1" ref="C22" ca="1">IF(ISBLANK(INDIRECT("'" &amp; $I$2 &amp; "'!" &amp; ADDRESS(ROW(),COLUMN()))), "", INDIRECT("'" &amp; $I$2 &amp; "'!" &amp; ADDRESS(ROW(),COLUMN())))</f>
        <v>35100628394.222267</v>
      </c>
      <c r="D22" s="35" cm="1">
        <f t="array" aca="1" ref="D22" ca="1">IF(ISBLANK(INDIRECT("'" &amp; $I$2 &amp; "'!" &amp; ADDRESS(ROW(),COLUMN()))), "", INDIRECT("'" &amp; $I$2 &amp; "'!" &amp; ADDRESS(ROW(),COLUMN())))</f>
        <v>35762845076.955566</v>
      </c>
      <c r="E22" s="35" cm="1">
        <f t="array" aca="1" ref="E22" ca="1">IF(ISBLANK(INDIRECT("'" &amp; $I$2 &amp; "'!" &amp; ADDRESS(ROW(),COLUMN()))), "", INDIRECT("'" &amp; $I$2 &amp; "'!" &amp; ADDRESS(ROW(),COLUMN())))</f>
        <v>35451607383.582024</v>
      </c>
      <c r="F22" s="35" cm="1">
        <f t="array" aca="1" ref="F22" ca="1">IF(ISBLANK(INDIRECT("'" &amp; $I$2 &amp; "'!" &amp; ADDRESS(ROW(),COLUMN()))), "", INDIRECT("'" &amp; $I$2 &amp; "'!" &amp; ADDRESS(ROW(),COLUMN())))</f>
        <v>35500465099.880432</v>
      </c>
      <c r="G22" s="35" cm="1">
        <f t="array" aca="1" ref="G22" ca="1">IF(ISBLANK(INDIRECT("'" &amp; $I$2 &amp; "'!" &amp; ADDRESS(ROW(),COLUMN()))), "", INDIRECT("'" &amp; $I$2 &amp; "'!" &amp; ADDRESS(ROW(),COLUMN())))</f>
        <v>35482468631.01606</v>
      </c>
      <c r="H22" s="35" cm="1">
        <f t="array" aca="1" ref="H22" ca="1">IF(ISBLANK(INDIRECT("'" &amp; $I$2 &amp; "'!" &amp; ADDRESS(ROW(),COLUMN()))), "", INDIRECT("'" &amp; $I$2 &amp; "'!" &amp; ADDRESS(ROW(),COLUMN())))</f>
        <v>35469231538.545677</v>
      </c>
      <c r="I22" s="29" cm="1">
        <f t="array" aca="1" ref="I22" ca="1">IF(ISBLANK(INDIRECT("'" &amp; $I$2 &amp; "'!" &amp; ADDRESS(ROW(),COLUMN()))), 0, INDIRECT("'" &amp; $I$2 &amp; "'!" &amp; ADDRESS(ROW(),COLUMN())))</f>
        <v>0</v>
      </c>
      <c r="J22" s="366" cm="1">
        <f t="array" aca="1" ref="J22" ca="1">IF(ISBLANK(INDIRECT("'" &amp; $I$2 &amp; "'!" &amp; ADDRESS(ROW(),COLUMN()))), 0, INDIRECT("'" &amp; $I$2 &amp; "'!" &amp; ADDRESS(ROW(),COLUMN())))</f>
        <v>0</v>
      </c>
      <c r="K22" s="35" cm="1">
        <f t="array" aca="1" ref="K22" ca="1">IF(ISBLANK(INDIRECT("'" &amp; $I$2 &amp; "'!" &amp; ADDRESS(ROW(),COLUMN()))), "", INDIRECT("'" &amp; $I$2 &amp; "'!" &amp; ADDRESS(ROW(),COLUMN())))</f>
        <v>35516722182.15715</v>
      </c>
      <c r="L22" s="35" cm="1">
        <f t="array" aca="1" ref="L22" ca="1">IF(ISBLANK(INDIRECT("'" &amp; $I$2 &amp; "'!" &amp; ADDRESS(ROW(),COLUMN()))), "", INDIRECT("'" &amp; $I$2 &amp; "'!" &amp; ADDRESS(ROW(),COLUMN())))</f>
        <v>35259487094.699966</v>
      </c>
      <c r="M22" s="35" cm="1">
        <f t="array" aca="1" ref="M22" ca="1">IF(ISBLANK(INDIRECT("'" &amp; $I$2 &amp; "'!" &amp; ADDRESS(ROW(),COLUMN()))), "", INDIRECT("'" &amp; $I$2 &amp; "'!" &amp; ADDRESS(ROW(),COLUMN())))</f>
        <v>35169067344.567436</v>
      </c>
      <c r="N22" s="35" cm="1">
        <f t="array" aca="1" ref="N22" ca="1">IF(ISBLANK(INDIRECT("'" &amp; $I$2 &amp; "'!" &amp; ADDRESS(ROW(),COLUMN()))), "", INDIRECT("'" &amp; $I$2 &amp; "'!" &amp; ADDRESS(ROW(),COLUMN())))</f>
        <v>35120056282.609016</v>
      </c>
      <c r="O22" s="71" t="s">
        <v>113</v>
      </c>
      <c r="P22" s="35" cm="1">
        <f t="array" aca="1" ref="P22" ca="1">IF(ISBLANK(INDIRECT("'" &amp; $I$2 &amp; "'!" &amp; ADDRESS(ROW(),COLUMN()))), "", INDIRECT("'" &amp; $I$2 &amp; "'!" &amp; ADDRESS(ROW(),COLUMN())))</f>
        <v>262056710314.28619</v>
      </c>
      <c r="Q22" s="35" cm="1">
        <f t="array" aca="1" ref="Q22" ca="1">IF(ISBLANK(INDIRECT("'" &amp; $I$2 &amp; "'!" &amp; ADDRESS(ROW(),COLUMN()))), "", INDIRECT("'" &amp; $I$2 &amp; "'!" &amp; ADDRESS(ROW(),COLUMN())))</f>
        <v>264677274357.56903</v>
      </c>
      <c r="R22" s="36">
        <f ca="1">(Q22/P22-1)*100</f>
        <v>0.99999883236723264</v>
      </c>
      <c r="S22" s="35" cm="1">
        <f t="array" aca="1" ref="S22" ca="1">IF(ISBLANK(INDIRECT("'" &amp; $I$2 &amp; "'!" &amp; ADDRESS(ROW(),COLUMN()))), "", INDIRECT("'" &amp; $I$2 &amp; "'!" &amp; ADDRESS(ROW(),COLUMN())))</f>
        <v>263761175304.54523</v>
      </c>
      <c r="T22" s="35" cm="1">
        <f t="array" aca="1" ref="T22" ca="1">IF(ISBLANK(INDIRECT("'" &amp; $I$2 &amp; "'!" &amp; ADDRESS(ROW(),COLUMN()))), "", INDIRECT("'" &amp; $I$2 &amp; "'!" &amp; ADDRESS(ROW(),COLUMN())))</f>
        <v>262690084955.987</v>
      </c>
      <c r="U22" s="35" cm="1">
        <f t="array" aca="1" ref="U22" ca="1">IF(ISBLANK(INDIRECT("'" &amp; $I$2 &amp; "'!" &amp; ADDRESS(ROW(),COLUMN()))), "", INDIRECT("'" &amp; $I$2 &amp; "'!" &amp; ADDRESS(ROW(),COLUMN())))</f>
        <v>262268940890.28113</v>
      </c>
      <c r="V22" s="35" cm="1">
        <f t="array" aca="1" ref="V22" ca="1">IF(ISBLANK(INDIRECT("'" &amp; $I$2 &amp; "'!" &amp; ADDRESS(ROW(),COLUMN()))), "", INDIRECT("'" &amp; $I$2 &amp; "'!" &amp; ADDRESS(ROW(),COLUMN())))</f>
        <v>262127201242.25125</v>
      </c>
      <c r="W22" s="154">
        <f t="shared" ca="1" si="12"/>
        <v>1.8866256424887944</v>
      </c>
      <c r="X22" s="154">
        <f t="shared" ca="1" si="12"/>
        <v>0.99992340659227785</v>
      </c>
      <c r="Y22" s="154">
        <f t="shared" ca="1" si="12"/>
        <v>1.1391168500760069</v>
      </c>
      <c r="Z22" s="154">
        <f t="shared" ca="1" si="12"/>
        <v>1.0878457170480131</v>
      </c>
      <c r="AA22" s="154">
        <f t="shared" ca="1" si="12"/>
        <v>1.050133834007644</v>
      </c>
      <c r="AB22" s="154">
        <f ca="1">IF(I22&lt;&gt;0,((I22-$C22)/ABS($C22)) / ($Q22/$P22-1),AA22)</f>
        <v>1.050133834007644</v>
      </c>
      <c r="AC22" s="154">
        <f ca="1">IF(J22&lt;&gt;0,((J22-$C22)/ABS($C22)) / ($Q22/$P22-1),AB22)</f>
        <v>1.050133834007644</v>
      </c>
      <c r="AD22" s="38">
        <f ca="1">(K22/$C22-1) / (S22/$P22-1)</f>
        <v>1.8225671577828801</v>
      </c>
      <c r="AE22" s="38">
        <f ca="1">(L22/$C22-1) / (T22/$P22-1)</f>
        <v>1.8725383772899549</v>
      </c>
      <c r="AF22" s="38">
        <f ca="1">(M22/$C22-1) / (U22/$P22-1)</f>
        <v>2.4075525797409782</v>
      </c>
      <c r="AG22" s="38">
        <f ca="1">(N22/$C22-1) / (V22/$P22-1)</f>
        <v>2.0576559734182283</v>
      </c>
      <c r="AH22" s="156">
        <f t="shared" ca="1" si="2"/>
        <v>1</v>
      </c>
      <c r="AI22" s="155">
        <f t="shared" ca="1" si="13"/>
        <v>0</v>
      </c>
      <c r="AJ22" s="155">
        <f t="shared" ca="1" si="3"/>
        <v>0.74750879241278745</v>
      </c>
      <c r="AK22" s="155">
        <f ca="1">IF(W22&gt;1,MAX(MIN(Y22-Z22,W22-AH22-AJ22),0),0)</f>
        <v>5.1271133027993798E-2</v>
      </c>
      <c r="AL22" s="155">
        <f t="shared" ca="1" si="14"/>
        <v>3.7711883040369099E-2</v>
      </c>
      <c r="AM22" s="155">
        <f ca="1">IF(I22&lt;&gt;0,IF(W22&gt;1,MAX(MIN(AA22-AB22,W22-AH22-AJ22-AK22-AL22),0),0),0)</f>
        <v>0</v>
      </c>
      <c r="AN22" s="157">
        <f ca="1">IF(J22&lt;&gt;0,IF(W22&gt;1,MAX(MIN(AB22-AC22,W22-AH22-AJ22-AK22-AL22-AM22),0),0),0)</f>
        <v>0</v>
      </c>
      <c r="AO22" s="155">
        <f t="shared" ca="1" si="16"/>
        <v>5.013383400764404E-2</v>
      </c>
      <c r="AP22" s="155">
        <f t="shared" ca="1" si="6"/>
        <v>5.013383400764404E-2</v>
      </c>
      <c r="AQ22" s="136" t="s">
        <v>113</v>
      </c>
      <c r="AR22" s="137">
        <f ca="1">AI22/($W22-1)*100</f>
        <v>0</v>
      </c>
      <c r="AS22" s="137">
        <f t="shared" ca="1" si="7"/>
        <v>84.309403720210454</v>
      </c>
      <c r="AT22" s="137">
        <f t="shared" ca="1" si="7"/>
        <v>5.7827261666010061</v>
      </c>
      <c r="AU22" s="137">
        <f t="shared" ca="1" si="7"/>
        <v>4.2534166883004083</v>
      </c>
      <c r="AV22" s="137">
        <f t="shared" ca="1" si="7"/>
        <v>0</v>
      </c>
      <c r="AW22" s="138">
        <f t="shared" ca="1" si="7"/>
        <v>0</v>
      </c>
      <c r="AX22" s="137">
        <f t="shared" ca="1" si="7"/>
        <v>5.654453424888132</v>
      </c>
      <c r="AY22" s="137">
        <f t="shared" ca="1" si="7"/>
        <v>5.654453424888132</v>
      </c>
      <c r="AZ22" s="39" cm="1">
        <f t="array" aca="1" ref="AZ22" ca="1">IF(ISBLANK(INDIRECT("'" &amp; $I$2 &amp; "'!" &amp; ADDRESS(ROW(),COLUMN()))), "", INDIRECT("'" &amp; $I$2 &amp; "'!" &amp; ADDRESS(ROW(),COLUMN())))</f>
        <v>1.97</v>
      </c>
      <c r="BA22" s="39" cm="1">
        <f t="array" aca="1" ref="BA22" ca="1">IF(ISBLANK(INDIRECT("'" &amp; $I$2 &amp; "'!" &amp; ADDRESS(ROW(),COLUMN()))), "", INDIRECT("'" &amp; $I$2 &amp; "'!" &amp; ADDRESS(ROW(),COLUMN())))</f>
        <v>2</v>
      </c>
      <c r="BB22" s="39" cm="1">
        <f t="array" aca="1" ref="BB22" ca="1">IF(ISBLANK(INDIRECT("'" &amp; $I$2 &amp; "'!" &amp; ADDRESS(ROW(),COLUMN()))), "", INDIRECT("'" &amp; $I$2 &amp; "'!" &amp; ADDRESS(ROW(),COLUMN())))</f>
        <v>1.85</v>
      </c>
      <c r="BC22" s="39" cm="1">
        <f t="array" aca="1" ref="BC22" ca="1">IF(ISBLANK(INDIRECT("'" &amp; $I$2 &amp; "'!" &amp; ADDRESS(ROW(),COLUMN()))), "", INDIRECT("'" &amp; $I$2 &amp; "'!" &amp; ADDRESS(ROW(),COLUMN())))</f>
        <v>1.7</v>
      </c>
      <c r="BD22" s="40">
        <f ca="1">W22-AZ22</f>
        <v>-8.3374357511205588E-2</v>
      </c>
      <c r="BE22" s="40">
        <f ca="1">AD22-BA22</f>
        <v>-0.17743284221711986</v>
      </c>
      <c r="BF22" s="40">
        <f ca="1">AF22-BB22</f>
        <v>0.55755257974097816</v>
      </c>
      <c r="BG22" s="40">
        <f ca="1">AG22-BC22</f>
        <v>0.3576559734182283</v>
      </c>
      <c r="BH22" s="35" cm="1">
        <f t="array" aca="1" ref="BH22" ca="1">IF(ISBLANK(INDIRECT("'" &amp; $I$2 &amp; "'!" &amp; ADDRESS(ROW(),COLUMN()))), "", INDIRECT("'" &amp; $I$2 &amp; "'!" &amp; ADDRESS(ROW(),COLUMN())))</f>
        <v>170446558859.34732</v>
      </c>
      <c r="BI22" s="35" cm="1">
        <f t="array" aca="1" ref="BI22" ca="1">IF(ISBLANK(INDIRECT("'" &amp; $I$2 &amp; "'!" &amp; ADDRESS(ROW(),COLUMN()))), "", INDIRECT("'" &amp; $I$2 &amp; "'!" &amp; ADDRESS(ROW(),COLUMN())))</f>
        <v>63337627171.577896</v>
      </c>
      <c r="BJ22" s="35" cm="1">
        <f t="array" aca="1" ref="BJ22" ca="1">IF(ISBLANK(INDIRECT("'" &amp; $I$2 &amp; "'!" &amp; ADDRESS(ROW(),COLUMN()))), "", INDIRECT("'" &amp; $I$2 &amp; "'!" &amp; ADDRESS(ROW(),COLUMN())))</f>
        <v>21222923931.435623</v>
      </c>
      <c r="BK22" s="35" cm="1">
        <f t="array" aca="1" ref="BK22" ca="1">IF(ISBLANK(INDIRECT("'" &amp; $I$2 &amp; "'!" &amp; ADDRESS(ROW(),COLUMN()))), "", INDIRECT("'" &amp; $I$2 &amp; "'!" &amp; ADDRESS(ROW(),COLUMN())))</f>
        <v>7049609422.7484083</v>
      </c>
      <c r="BL22" s="77">
        <f t="shared" ca="1" si="17"/>
        <v>0.65041857831115224</v>
      </c>
      <c r="BM22" s="77">
        <f t="shared" ca="1" si="18"/>
        <v>0.24169434510282167</v>
      </c>
      <c r="BN22" s="77">
        <f t="shared" ca="1" si="19"/>
        <v>8.0985994105524789E-2</v>
      </c>
      <c r="BO22" s="77">
        <f t="shared" ca="1" si="19"/>
        <v>2.6901082480501302E-2</v>
      </c>
      <c r="BP22" s="40">
        <f ca="1">(AD22*BL22+AF22*BN22+AG22*BO22)/(BL22+BN22+BO22)</f>
        <v>1.8933826254078019</v>
      </c>
      <c r="BQ22" s="40">
        <f ca="1">W22-BP22</f>
        <v>-6.7569829190075037E-3</v>
      </c>
      <c r="BR22" s="40">
        <f ca="1">BP22-AZ22</f>
        <v>-7.6617374592198084E-2</v>
      </c>
      <c r="BS22" s="71" t="s">
        <v>113</v>
      </c>
      <c r="BT22" s="35" t="str" cm="1">
        <f t="array" aca="1" ref="BT22" ca="1">IF(ISBLANK(INDIRECT("'" &amp; $I$2 &amp; "'!" &amp; ADDRESS(ROW(),COLUMN()))), "", INDIRECT("'" &amp; $I$2 &amp; "'!" &amp; ADDRESS(ROW(),COLUMN())))</f>
        <v/>
      </c>
      <c r="BU22" s="35" t="str" cm="1">
        <f t="array" aca="1" ref="BU22" ca="1">IF(ISBLANK(INDIRECT("'" &amp; $I$2 &amp; "'!" &amp; ADDRESS(ROW(),COLUMN()))), "", INDIRECT("'" &amp; $I$2 &amp; "'!" &amp; ADDRESS(ROW(),COLUMN())))</f>
        <v/>
      </c>
      <c r="BV22" s="35" t="str" cm="1">
        <f t="array" aca="1" ref="BV22" ca="1">IF(ISBLANK(INDIRECT("'" &amp; $I$2 &amp; "'!" &amp; ADDRESS(ROW(),COLUMN()))), "", INDIRECT("'" &amp; $I$2 &amp; "'!" &amp; ADDRESS(ROW(),COLUMN())))</f>
        <v/>
      </c>
      <c r="BW22" s="35" t="str" cm="1">
        <f t="array" aca="1" ref="BW22" ca="1">IF(ISBLANK(INDIRECT("'" &amp; $I$2 &amp; "'!" &amp; ADDRESS(ROW(),COLUMN()))), "", INDIRECT("'" &amp; $I$2 &amp; "'!" &amp; ADDRESS(ROW(),COLUMN())))</f>
        <v/>
      </c>
      <c r="BX22" s="78" t="e">
        <f ca="1">(BT22-BU22)/BT22</f>
        <v>#VALUE!</v>
      </c>
      <c r="BY22" s="78" t="e">
        <f ca="1">(BV22-BW22)/BV22</f>
        <v>#VALUE!</v>
      </c>
      <c r="BZ22" s="79" t="e">
        <f ca="1">(BY22-BX22)*100</f>
        <v>#VALUE!</v>
      </c>
      <c r="CA22" s="73" t="e">
        <f ca="1">BV22-BT22</f>
        <v>#VALUE!</v>
      </c>
      <c r="CB22" s="80" t="e">
        <f ca="1">BW22-BU22</f>
        <v>#VALUE!</v>
      </c>
      <c r="CC22" s="72"/>
      <c r="CD22" s="72"/>
      <c r="CE22" s="72"/>
      <c r="CF22" s="72"/>
      <c r="CG22" s="81"/>
      <c r="CH22" s="81"/>
      <c r="CI22" s="82"/>
      <c r="CJ22" s="83"/>
      <c r="CK22" s="343" cm="1">
        <f t="array" aca="1" ref="CK22" ca="1">IF(ISBLANK(INDIRECT("'" &amp; $I$2 &amp; "'!" &amp; ADDRESS(ROW(),COLUMN()))), "", INDIRECT("'" &amp; $I$2 &amp; "'!" &amp; ADDRESS(ROW(),COLUMN())))</f>
        <v>0.35867389483633</v>
      </c>
      <c r="CL22" s="343" cm="1">
        <f t="array" aca="1" ref="CL22" ca="1">IF(ISBLANK(INDIRECT("'" &amp; $I$2 &amp; "'!" &amp; ADDRESS(ROW(),COLUMN()))), "", INDIRECT("'" &amp; $I$2 &amp; "'!" &amp; ADDRESS(ROW(),COLUMN())))</f>
        <v>0.318588025446777</v>
      </c>
      <c r="CM22" s="343" cm="1">
        <f t="array" aca="1" ref="CM22" ca="1">IF(ISBLANK(INDIRECT("'" &amp; $I$2 &amp; "'!" &amp; ADDRESS(ROW(),COLUMN()))), "", INDIRECT("'" &amp; $I$2 &amp; "'!" &amp; ADDRESS(ROW(),COLUMN())))</f>
        <v>0.35867388634938902</v>
      </c>
      <c r="CN22" s="343" cm="1">
        <f t="array" aca="1" ref="CN22" ca="1">IF(ISBLANK(INDIRECT("'" &amp; $I$2 &amp; "'!" &amp; ADDRESS(ROW(),COLUMN()))), "", INDIRECT("'" &amp; $I$2 &amp; "'!" &amp; ADDRESS(ROW(),COLUMN())))</f>
        <v>0.31860970181401199</v>
      </c>
      <c r="CO22" s="78">
        <f ca="1">(CK22-CL22)/CK22</f>
        <v>0.11176132405132237</v>
      </c>
      <c r="CP22" s="78">
        <f ca="1">(CM22-CN22)/CM22</f>
        <v>0.11170086828219762</v>
      </c>
      <c r="CQ22" s="79">
        <f ca="1">(CP22-CO22)*100</f>
        <v>-6.0455769124750924E-3</v>
      </c>
      <c r="CR22" s="80">
        <f ca="1">CN22-CL22</f>
        <v>2.1676367234990668E-5</v>
      </c>
      <c r="CS22" s="170">
        <f ca="1">(SUM(P20:P21))/(SUM(P12:P13))</f>
        <v>8.2100179855871716</v>
      </c>
      <c r="CT22" s="170">
        <f ca="1">(SUM(P20:P21)-SUM(C20:C21))/(SUM(P12:P13)-SUM(C12:C13))</f>
        <v>6.4902684961023613</v>
      </c>
      <c r="CU22" s="170">
        <f ca="1">(SUM(Q20:Q21))/(SUM(Q12:Q13))</f>
        <v>8.2100175097988135</v>
      </c>
      <c r="CV22" s="170">
        <f ca="1">(SUM(Q20:Q21)-SUM(D20:D21))/(SUM(Q12:Q13)-SUM(D12:D13))</f>
        <v>6.4879274220061545</v>
      </c>
      <c r="CW22" s="162">
        <f ca="1">(CS22-CT22)/CS22</f>
        <v>0.2094696372777575</v>
      </c>
      <c r="CX22" s="162">
        <f ca="1">(CU22-CV22)/CU22</f>
        <v>0.20975473995485533</v>
      </c>
      <c r="CY22" s="163">
        <f ca="1">(CX22-CW22)*100</f>
        <v>2.8510267709783155E-2</v>
      </c>
      <c r="CZ22" s="165">
        <f ca="1">CV22-CT22</f>
        <v>-2.3410740962068743E-3</v>
      </c>
      <c r="DA22" s="343" cm="1">
        <f t="array" aca="1" ref="DA22" ca="1">IF(ISBLANK(INDIRECT("'" &amp; $I$2 &amp; "'!" &amp; ADDRESS(ROW(),COLUMN()))), "", INDIRECT("'" &amp; $I$2 &amp; "'!" &amp; ADDRESS(ROW(),COLUMN())))</f>
        <v>0.27049579852216199</v>
      </c>
      <c r="DB22" s="343" cm="1">
        <f t="array" aca="1" ref="DB22" ca="1">IF(ISBLANK(INDIRECT("'" &amp; $I$2 &amp; "'!" &amp; ADDRESS(ROW(),COLUMN()))), "", INDIRECT("'" &amp; $I$2 &amp; "'!" &amp; ADDRESS(ROW(),COLUMN())))</f>
        <v>0.26756475419210402</v>
      </c>
      <c r="DC22" s="73">
        <f ca="1">DB22-DA22</f>
        <v>-2.9310443300579747E-3</v>
      </c>
      <c r="DD22" s="84">
        <f t="shared" ca="1" si="21"/>
        <v>3.3936931431305273</v>
      </c>
      <c r="DE22" s="35" cm="1">
        <f t="array" aca="1" ref="DE22" ca="1">IF(ISBLANK(INDIRECT("'" &amp; $I$2 &amp; "'!" &amp; ADDRESS(ROW(),COLUMN()))), "", INDIRECT("'" &amp; $I$2 &amp; "'!" &amp; ADDRESS(ROW(),COLUMN())))</f>
        <v>0.96606306856869473</v>
      </c>
      <c r="DF22" s="1"/>
      <c r="DG22" s="1"/>
      <c r="DH22" s="1"/>
      <c r="DI22" s="1"/>
      <c r="DJ22" s="1"/>
      <c r="DK22" s="1"/>
      <c r="DL22" s="1"/>
      <c r="DM22" s="1"/>
      <c r="DN22" s="1"/>
      <c r="DO22" s="1"/>
      <c r="DP22" s="1"/>
      <c r="DQ22" s="1"/>
      <c r="DR22" s="1"/>
      <c r="DS22" s="1"/>
      <c r="DT22" s="1"/>
      <c r="DU22" s="1"/>
      <c r="DV22" s="1"/>
      <c r="DW22" s="1"/>
      <c r="DX22" s="1"/>
      <c r="DY22" s="1"/>
      <c r="DZ22" s="1"/>
      <c r="EA22" s="35" cm="1">
        <f t="array" aca="1" ref="EA22" ca="1">IF(ISBLANK(INDIRECT("'" &amp; $I$2 &amp; "'!" &amp; ADDRESS(ROW(),COLUMN()))), "", INDIRECT("'" &amp; $I$2 &amp; "'!" &amp; ADDRESS(ROW(),COLUMN())))</f>
        <v>39318046383.38752</v>
      </c>
      <c r="EB22" s="35" cm="1">
        <f t="array" aca="1" ref="EB22" ca="1">IF(ISBLANK(INDIRECT("'" &amp; $I$2 &amp; "'!" &amp; ADDRESS(ROW(),COLUMN()))), "", INDIRECT("'" &amp; $I$2 &amp; "'!" &amp; ADDRESS(ROW(),COLUMN())))</f>
        <v>40100437268.881111</v>
      </c>
      <c r="EC22" s="35" cm="1">
        <f t="array" aca="1" ref="EC22" ca="1">IF(ISBLANK(INDIRECT("'" &amp; $I$2 &amp; "'!" &amp; ADDRESS(ROW(),COLUMN()))), "", INDIRECT("'" &amp; $I$2 &amp; "'!" &amp; ADDRESS(ROW(),COLUMN())))</f>
        <v>39710973672.917976</v>
      </c>
      <c r="ED22" s="35" cm="1">
        <f t="array" aca="1" ref="ED22" ca="1">IF(ISBLANK(INDIRECT("'" &amp; $I$2 &amp; "'!" &amp; ADDRESS(ROW(),COLUMN()))), "", INDIRECT("'" &amp; $I$2 &amp; "'!" &amp; ADDRESS(ROW(),COLUMN())))</f>
        <v>39792865006.367928</v>
      </c>
      <c r="EE22" s="35" cm="1">
        <f t="array" aca="1" ref="EE22" ca="1">IF(ISBLANK(INDIRECT("'" &amp; $I$2 &amp; "'!" &amp; ADDRESS(ROW(),COLUMN()))), "", INDIRECT("'" &amp; $I$2 &amp; "'!" &amp; ADDRESS(ROW(),COLUMN())))</f>
        <v>39768687832.389587</v>
      </c>
      <c r="EF22" s="35" cm="1">
        <f t="array" aca="1" ref="EF22" ca="1">IF(ISBLANK(INDIRECT("'" &amp; $I$2 &amp; "'!" &amp; ADDRESS(ROW(),COLUMN()))), "", INDIRECT("'" &amp; $I$2 &amp; "'!" &amp; ADDRESS(ROW(),COLUMN())))</f>
        <v>39743210002.565865</v>
      </c>
      <c r="EG22" s="35" cm="1">
        <f t="array" aca="1" ref="EG22" ca="1">IF(ISBLANK(INDIRECT("'" &amp; $I$2 &amp; "'!" &amp; ADDRESS(ROW(),COLUMN()))), "", INDIRECT("'" &amp; $I$2 &amp; "'!" &amp; ADDRESS(ROW(),COLUMN())))</f>
        <v>39819540273.939529</v>
      </c>
      <c r="EH22" s="123"/>
      <c r="EI22" s="35" cm="1">
        <f t="array" aca="1" ref="EI22" ca="1">IF(ISBLANK(INDIRECT("'" &amp; $I$2 &amp; "'!" &amp; ADDRESS(ROW(),COLUMN()))), "", INDIRECT("'" &amp; $I$2 &amp; "'!" &amp; ADDRESS(ROW(),COLUMN())))</f>
        <v>39819540273.939529</v>
      </c>
      <c r="EJ22" s="35" cm="1">
        <f t="array" aca="1" ref="EJ22" ca="1">IF(ISBLANK(INDIRECT("'" &amp; $I$2 &amp; "'!" &amp; ADDRESS(ROW(),COLUMN()))), "", INDIRECT("'" &amp; $I$2 &amp; "'!" &amp; ADDRESS(ROW(),COLUMN())))</f>
        <v>39495375156.289108</v>
      </c>
      <c r="EK22" s="35" cm="1">
        <f t="array" aca="1" ref="EK22" ca="1">IF(ISBLANK(INDIRECT("'" &amp; $I$2 &amp; "'!" &amp; ADDRESS(ROW(),COLUMN()))), "", INDIRECT("'" &amp; $I$2 &amp; "'!" &amp; ADDRESS(ROW(),COLUMN())))</f>
        <v>39399905458.682266</v>
      </c>
      <c r="EL22" s="35" cm="1">
        <f t="array" aca="1" ref="EL22" ca="1">IF(ISBLANK(INDIRECT("'" &amp; $I$2 &amp; "'!" &amp; ADDRESS(ROW(),COLUMN()))), "", INDIRECT("'" &amp; $I$2 &amp; "'!" &amp; ADDRESS(ROW(),COLUMN())))</f>
        <v>39340775963.835556</v>
      </c>
      <c r="EM22" s="71" t="s">
        <v>113</v>
      </c>
      <c r="EN22" s="35" cm="1">
        <f t="array" aca="1" ref="EN22" ca="1">IF(ISBLANK(INDIRECT("'" &amp; $I$2 &amp; "'!" &amp; ADDRESS(ROW(),COLUMN()))), "", INDIRECT("'" &amp; $I$2 &amp; "'!" &amp; ADDRESS(ROW(),COLUMN())))</f>
        <v>306800074606.04688</v>
      </c>
      <c r="EO22" s="35" cm="1">
        <f t="array" aca="1" ref="EO22" ca="1">IF(ISBLANK(INDIRECT("'" &amp; $I$2 &amp; "'!" &amp; ADDRESS(ROW(),COLUMN()))), "", INDIRECT("'" &amp; $I$2 &amp; "'!" &amp; ADDRESS(ROW(),COLUMN())))</f>
        <v>309868075317.27014</v>
      </c>
      <c r="EP22" s="36">
        <f ca="1">(EO22/EN22-1)*100</f>
        <v>0.99999998864497286</v>
      </c>
      <c r="EQ22" s="35" cm="1">
        <f t="array" aca="1" ref="EQ22" ca="1">IF(ISBLANK(INDIRECT("'" &amp; $I$2 &amp; "'!" &amp; ADDRESS(ROW(),COLUMN()))), "", INDIRECT("'" &amp; $I$2 &amp; "'!" &amp; ADDRESS(ROW(),COLUMN())))</f>
        <v>308820763169.06152</v>
      </c>
      <c r="ER22" s="35" cm="1">
        <f t="array" aca="1" ref="ER22" ca="1">IF(ISBLANK(INDIRECT("'" &amp; $I$2 &amp; "'!" &amp; ADDRESS(ROW(),COLUMN()))), "", INDIRECT("'" &amp; $I$2 &amp; "'!" &amp; ADDRESS(ROW(),COLUMN())))</f>
        <v>307514226951.74304</v>
      </c>
      <c r="ES22" s="35" cm="1">
        <f t="array" aca="1" ref="ES22" ca="1">IF(ISBLANK(INDIRECT("'" &amp; $I$2 &amp; "'!" &amp; ADDRESS(ROW(),COLUMN()))), "", INDIRECT("'" &amp; $I$2 &amp; "'!" &amp; ADDRESS(ROW(),COLUMN())))</f>
        <v>307054423816.57245</v>
      </c>
      <c r="ET22" s="35" cm="1">
        <f t="array" aca="1" ref="ET22" ca="1">IF(ISBLANK(INDIRECT("'" &amp; $I$2 &amp; "'!" &amp; ADDRESS(ROW(),COLUMN()))), "", INDIRECT("'" &amp; $I$2 &amp; "'!" &amp; ADDRESS(ROW(),COLUMN())))</f>
        <v>306878885254.31146</v>
      </c>
      <c r="EU22" s="71" t="s">
        <v>113</v>
      </c>
      <c r="EV22" s="37">
        <f t="shared" ca="1" si="23"/>
        <v>1.9899027707242172</v>
      </c>
      <c r="EW22" s="37">
        <f t="shared" ca="1" si="24"/>
        <v>0.99935609760655475</v>
      </c>
      <c r="EX22" s="74">
        <f ca="1">EW22-X22</f>
        <v>-5.6730898572310284E-4</v>
      </c>
      <c r="EY22" s="54">
        <f t="shared" ca="1" si="10"/>
        <v>0.10327712823542279</v>
      </c>
      <c r="EZ22" s="84">
        <f t="shared" ca="1" si="25"/>
        <v>1.6546433355077439</v>
      </c>
      <c r="FA22" s="180" cm="1">
        <f t="array" aca="1" ref="FA22" ca="1">IF(ISBLANK(INDIRECT("'" &amp; $I$2 &amp; "'!" &amp; ADDRESS(ROW(),COLUMN()))), "", INDIRECT("'" &amp; $I$2 &amp; "'!" &amp; ADDRESS(ROW(),COLUMN())))</f>
        <v>0.98345356664492256</v>
      </c>
      <c r="FB22" s="38">
        <f ca="1">(EI22/$EA22-1) / (EQ22/$EN22-1)</f>
        <v>1.9365548106970563</v>
      </c>
      <c r="FC22" s="38">
        <f ca="1">(EJ22/$EA22-1) / (ER22/$EN22-1)</f>
        <v>1.9375453305900963</v>
      </c>
      <c r="FD22" s="38">
        <f ca="1">(EK22/$EA22-1) / (ES22/$EN22-1)</f>
        <v>2.5113079452123666</v>
      </c>
      <c r="FE22" s="38">
        <f ca="1">(EL22/$EA22-1) / (ET22/$EN22-1)</f>
        <v>2.2504535311663481</v>
      </c>
      <c r="FF22" s="75">
        <f ca="1">FB22-AD22</f>
        <v>0.11398765291417612</v>
      </c>
      <c r="FG22" s="75">
        <f ca="1">FC22-AE22</f>
        <v>6.500695330014139E-2</v>
      </c>
      <c r="FH22" s="75">
        <f ca="1">FD22-AF22</f>
        <v>0.10375536547138831</v>
      </c>
      <c r="FI22" s="75">
        <f ca="1">FE22-AG22</f>
        <v>0.1927975577481198</v>
      </c>
      <c r="FJ22" s="1"/>
      <c r="FK22" s="1"/>
      <c r="FL22" s="1"/>
      <c r="FM22" s="1"/>
      <c r="FN22" s="1"/>
      <c r="FO22" s="1"/>
      <c r="FP22" s="1"/>
      <c r="FQ22" s="1"/>
    </row>
    <row r="23" spans="1:173" ht="10.5" customHeight="1" x14ac:dyDescent="0.3">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56"/>
      <c r="CD23" s="56"/>
      <c r="CE23" s="56"/>
      <c r="CF23" s="56"/>
      <c r="CG23" s="56"/>
      <c r="CH23" s="56"/>
      <c r="CI23" s="56"/>
      <c r="CJ23" s="56"/>
      <c r="CK23" s="344"/>
      <c r="CL23" s="344"/>
      <c r="CM23" s="344"/>
      <c r="CN23" s="344"/>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c r="ET23" s="1"/>
      <c r="EU23" s="1"/>
      <c r="EV23" s="1"/>
      <c r="EW23" s="1"/>
      <c r="EX23" s="1"/>
      <c r="EY23" s="1"/>
      <c r="EZ23" s="1"/>
      <c r="FA23" s="1"/>
      <c r="FB23" s="1"/>
      <c r="FC23" s="1"/>
      <c r="FD23" s="1"/>
      <c r="FE23" s="1"/>
      <c r="FF23" s="1"/>
      <c r="FG23" s="1"/>
      <c r="FH23" s="1"/>
      <c r="FI23" s="1"/>
      <c r="FJ23" s="1"/>
      <c r="FK23" s="1"/>
      <c r="FL23" s="1"/>
      <c r="FM23" s="1"/>
      <c r="FN23" s="1"/>
      <c r="FO23" s="1"/>
      <c r="FP23" s="1"/>
      <c r="FQ23" s="1"/>
    </row>
    <row r="24" spans="1:173" ht="10.5" customHeight="1" x14ac:dyDescent="0.3">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76"/>
      <c r="BY24" s="1"/>
      <c r="BZ24" s="1"/>
      <c r="CA24" s="1"/>
      <c r="CB24" s="1"/>
      <c r="CC24" s="56"/>
      <c r="CD24" s="56"/>
      <c r="CE24" s="56"/>
      <c r="CF24" s="56"/>
      <c r="CG24" s="56"/>
      <c r="CH24" s="56"/>
      <c r="CI24" s="56"/>
      <c r="CJ24" s="56"/>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c r="EJ24" s="1"/>
      <c r="EK24" s="1"/>
      <c r="EL24" s="1"/>
      <c r="EM24" s="1"/>
      <c r="EN24" s="1"/>
      <c r="EO24" s="1"/>
      <c r="EP24" s="1"/>
      <c r="EQ24" s="1"/>
      <c r="ER24" s="1"/>
      <c r="ES24" s="1"/>
      <c r="ET24" s="1"/>
      <c r="EU24" s="1"/>
      <c r="EV24" s="1"/>
      <c r="EW24" s="1"/>
      <c r="EX24" s="1"/>
      <c r="EY24" s="1"/>
      <c r="EZ24" s="1"/>
      <c r="FA24" s="1"/>
      <c r="FB24" s="1"/>
      <c r="FC24" s="1"/>
      <c r="FD24" s="1"/>
      <c r="FE24" s="1"/>
      <c r="FF24" s="1"/>
      <c r="FG24" s="1"/>
      <c r="FH24" s="1"/>
      <c r="FI24" s="1"/>
      <c r="FJ24" s="1"/>
      <c r="FK24" s="1"/>
      <c r="FL24" s="1"/>
      <c r="FM24" s="1"/>
      <c r="FN24" s="1"/>
      <c r="FO24" s="1"/>
      <c r="FP24" s="1"/>
      <c r="FQ24" s="1"/>
    </row>
    <row r="25" spans="1:173" ht="11.4" customHeight="1" x14ac:dyDescent="0.3">
      <c r="A25" s="1"/>
      <c r="B25" s="1" t="s">
        <v>3</v>
      </c>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56"/>
      <c r="CD25" s="56"/>
      <c r="CE25" s="56"/>
      <c r="CF25" s="56"/>
      <c r="CG25" s="56"/>
      <c r="CH25" s="56"/>
      <c r="CI25" s="56"/>
      <c r="CJ25" s="56"/>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Q25" s="1"/>
    </row>
    <row r="26" spans="1:173" x14ac:dyDescent="0.3">
      <c r="A26" s="1"/>
      <c r="B26" s="1" t="s">
        <v>204</v>
      </c>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42"/>
      <c r="AI26" s="42"/>
      <c r="AJ26" s="1"/>
      <c r="AK26" s="1"/>
      <c r="AL26" s="1"/>
      <c r="AM26" s="1"/>
      <c r="AN26" s="1"/>
      <c r="AO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56"/>
      <c r="CD26" s="56"/>
      <c r="CE26" s="56"/>
      <c r="CF26" s="56"/>
      <c r="CG26" s="56"/>
      <c r="CH26" s="56"/>
      <c r="CI26" s="56"/>
      <c r="CJ26" s="56"/>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c r="ER26" s="1"/>
      <c r="ES26" s="1"/>
      <c r="ET26" s="1"/>
      <c r="EU26" s="1"/>
      <c r="EV26" s="1"/>
      <c r="EW26" s="1"/>
      <c r="EX26" s="1"/>
      <c r="EY26" s="1"/>
      <c r="EZ26" s="1"/>
      <c r="FA26" s="1"/>
      <c r="FB26" s="1"/>
      <c r="FC26" s="1"/>
      <c r="FD26" s="1"/>
      <c r="FE26" s="1"/>
      <c r="FF26" s="1"/>
      <c r="FG26" s="1"/>
      <c r="FH26" s="1"/>
      <c r="FI26" s="1"/>
      <c r="FJ26" s="1"/>
      <c r="FK26" s="1"/>
      <c r="FL26" s="1"/>
      <c r="FM26" s="1"/>
      <c r="FN26" s="1"/>
      <c r="FO26" s="1"/>
      <c r="FP26" s="1"/>
      <c r="FQ26" s="1"/>
    </row>
    <row r="27" spans="1:173" ht="12.6" customHeight="1" x14ac:dyDescent="0.3">
      <c r="A27" s="1"/>
      <c r="B27" s="1" t="s">
        <v>208</v>
      </c>
      <c r="C27" s="44"/>
      <c r="D27" s="44"/>
      <c r="E27" s="44"/>
      <c r="F27" s="44"/>
      <c r="G27" s="44"/>
      <c r="H27" s="44"/>
      <c r="I27" s="44"/>
      <c r="J27" s="44"/>
      <c r="K27" s="44"/>
      <c r="L27" s="44"/>
      <c r="M27" s="44"/>
      <c r="N27" s="44"/>
      <c r="O27" s="44"/>
      <c r="P27" s="45"/>
      <c r="Q27" s="45"/>
      <c r="R27" s="45"/>
      <c r="S27" s="44"/>
      <c r="T27" s="44"/>
      <c r="U27" s="44"/>
      <c r="V27" s="44"/>
      <c r="W27" s="46"/>
      <c r="X27" s="46"/>
      <c r="Y27" s="46"/>
      <c r="Z27" s="46"/>
      <c r="AA27" s="46"/>
      <c r="AB27" s="44"/>
      <c r="AC27" s="44"/>
      <c r="AD27" s="44"/>
      <c r="AE27" s="44"/>
      <c r="AF27" s="44"/>
      <c r="AG27" s="44"/>
      <c r="AH27" s="44"/>
      <c r="AI27" s="44"/>
      <c r="AJ27" s="44"/>
      <c r="AK27" s="44"/>
      <c r="AL27" s="44"/>
      <c r="AM27" s="44"/>
      <c r="AN27" s="44"/>
      <c r="AO27" s="44"/>
      <c r="AP27" s="44"/>
      <c r="AQ27" s="44"/>
      <c r="AR27" s="44"/>
      <c r="AS27" s="44"/>
      <c r="AT27" s="43"/>
      <c r="AU27" s="43"/>
      <c r="AV27" s="43"/>
      <c r="AW27" s="43"/>
      <c r="AX27" s="43"/>
      <c r="AY27" s="43"/>
      <c r="AZ27" s="43"/>
      <c r="BA27" s="43"/>
      <c r="BB27" s="43"/>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56"/>
      <c r="CD27" s="56"/>
      <c r="CE27" s="56"/>
      <c r="CF27" s="56"/>
      <c r="CG27" s="56"/>
      <c r="CH27" s="56"/>
      <c r="CI27" s="56"/>
      <c r="CJ27" s="56"/>
      <c r="CK27" s="1"/>
      <c r="CL27" s="1"/>
      <c r="CM27" s="1"/>
      <c r="CN27" s="1"/>
      <c r="CO27" s="1"/>
      <c r="CP27" s="1"/>
      <c r="CQ27" s="1"/>
      <c r="CR27" s="1"/>
      <c r="CS27" s="1"/>
      <c r="CT27" s="1"/>
      <c r="CU27" s="1"/>
      <c r="CV27" s="1"/>
      <c r="CW27" s="1"/>
      <c r="CX27" s="1"/>
      <c r="CY27" s="1"/>
      <c r="CZ27" s="1"/>
      <c r="DA27" s="1"/>
      <c r="DB27" s="1"/>
      <c r="DC27" s="1"/>
      <c r="DD27" s="1"/>
      <c r="DE27" s="1"/>
      <c r="DF27" s="1"/>
      <c r="DG27" s="1"/>
      <c r="DH27" s="1"/>
      <c r="DI27" s="1"/>
      <c r="DJ27" s="1"/>
      <c r="DK27" s="1"/>
      <c r="DL27" s="1"/>
      <c r="DM27" s="1"/>
      <c r="DN27" s="1"/>
      <c r="DO27" s="1"/>
      <c r="DP27" s="1"/>
      <c r="DQ27" s="1"/>
      <c r="DR27" s="1"/>
      <c r="DS27" s="1"/>
      <c r="DT27" s="1"/>
      <c r="DU27" s="1"/>
      <c r="DV27" s="1"/>
      <c r="DW27" s="1"/>
      <c r="DX27" s="1"/>
      <c r="DY27" s="1"/>
      <c r="DZ27" s="1"/>
      <c r="EA27" s="1"/>
      <c r="EB27" s="1"/>
      <c r="EC27" s="44"/>
      <c r="ED27" s="44"/>
      <c r="EE27" s="44"/>
      <c r="EF27" s="44"/>
      <c r="EG27" s="44"/>
      <c r="EH27" s="44"/>
      <c r="EI27" s="1"/>
      <c r="EJ27" s="1"/>
      <c r="EK27" s="1"/>
      <c r="EL27" s="1"/>
      <c r="EM27" s="1"/>
      <c r="EN27" s="1"/>
      <c r="EO27" s="1"/>
      <c r="EP27" s="1"/>
      <c r="EQ27" s="1"/>
      <c r="ER27" s="1"/>
      <c r="ES27" s="1"/>
      <c r="ET27" s="1"/>
      <c r="EU27" s="1"/>
      <c r="EV27" s="1"/>
      <c r="EW27" s="1"/>
      <c r="EX27" s="1"/>
      <c r="EY27" s="1"/>
      <c r="EZ27" s="1"/>
      <c r="FA27" s="1"/>
      <c r="FB27" s="1"/>
      <c r="FC27" s="1"/>
      <c r="FD27" s="1"/>
      <c r="FE27" s="1"/>
      <c r="FF27" s="1"/>
      <c r="FG27" s="1"/>
      <c r="FH27" s="1"/>
      <c r="FI27" s="1"/>
      <c r="FJ27" s="1"/>
      <c r="FK27" s="1"/>
      <c r="FL27" s="1"/>
      <c r="FM27" s="1"/>
      <c r="FN27" s="1"/>
      <c r="FO27" s="1"/>
      <c r="FP27" s="1"/>
      <c r="FQ27" s="1"/>
    </row>
    <row r="28" spans="1:173" s="51" customFormat="1" ht="12.6" customHeight="1" x14ac:dyDescent="0.3">
      <c r="A28" s="47"/>
      <c r="B28" s="1" t="s">
        <v>210</v>
      </c>
      <c r="C28" s="48"/>
      <c r="D28" s="48"/>
      <c r="E28" s="48"/>
      <c r="F28" s="48"/>
      <c r="G28" s="48"/>
      <c r="H28" s="48"/>
      <c r="I28" s="48"/>
      <c r="J28" s="48"/>
      <c r="K28" s="48"/>
      <c r="L28" s="48"/>
      <c r="M28" s="48"/>
      <c r="N28" s="48"/>
      <c r="O28" s="48"/>
      <c r="P28" s="48"/>
      <c r="Q28" s="48"/>
      <c r="R28" s="48"/>
      <c r="S28" s="48"/>
      <c r="T28" s="48"/>
      <c r="U28" s="48"/>
      <c r="V28" s="48"/>
      <c r="W28" s="48"/>
      <c r="X28" s="48"/>
      <c r="Y28" s="48"/>
      <c r="Z28" s="48"/>
      <c r="AA28" s="48"/>
      <c r="AB28" s="48"/>
      <c r="AC28" s="48"/>
      <c r="AD28" s="48"/>
      <c r="AE28" s="48"/>
      <c r="AF28" s="48"/>
      <c r="AG28" s="48"/>
      <c r="AH28" s="49"/>
      <c r="AI28" s="49"/>
      <c r="AJ28" s="48"/>
      <c r="AK28" s="48"/>
      <c r="AL28" s="48"/>
      <c r="AM28" s="48"/>
      <c r="AN28" s="48"/>
      <c r="AO28" s="48"/>
      <c r="AP28" s="48"/>
      <c r="AQ28" s="48"/>
      <c r="AR28" s="48"/>
      <c r="AS28" s="48"/>
      <c r="AT28" s="48"/>
      <c r="AU28" s="48"/>
      <c r="AV28" s="48"/>
      <c r="AW28" s="48"/>
      <c r="AX28" s="48"/>
      <c r="AY28" s="48"/>
      <c r="AZ28" s="48"/>
      <c r="BA28" s="48"/>
      <c r="BB28" s="48"/>
      <c r="BC28" s="50"/>
      <c r="BD28" s="50"/>
      <c r="BE28" s="50"/>
      <c r="BF28" s="50"/>
      <c r="BG28" s="50"/>
      <c r="BH28" s="50"/>
      <c r="BI28" s="50"/>
      <c r="BJ28" s="50"/>
      <c r="BK28" s="50"/>
      <c r="BL28" s="50"/>
      <c r="BM28" s="50"/>
      <c r="BN28" s="50"/>
      <c r="BO28" s="50"/>
      <c r="BP28" s="47"/>
      <c r="BQ28" s="47"/>
      <c r="BR28" s="47"/>
      <c r="BS28" s="47"/>
      <c r="BT28" s="47"/>
      <c r="BU28" s="47"/>
      <c r="BV28" s="47"/>
      <c r="BW28" s="47"/>
      <c r="BX28" s="47"/>
      <c r="BY28" s="47"/>
      <c r="BZ28" s="47"/>
      <c r="CA28" s="47"/>
      <c r="CB28" s="47"/>
      <c r="CC28" s="56"/>
      <c r="CD28" s="56"/>
      <c r="CE28" s="56"/>
      <c r="CF28" s="56"/>
      <c r="CG28" s="56"/>
      <c r="CH28" s="56"/>
      <c r="CI28" s="56"/>
      <c r="CJ28" s="56"/>
      <c r="CK28" s="47"/>
      <c r="CL28" s="47"/>
      <c r="CM28" s="47"/>
      <c r="CN28" s="47"/>
      <c r="CO28" s="47"/>
      <c r="CP28" s="47"/>
      <c r="CQ28" s="47"/>
      <c r="CR28" s="47"/>
      <c r="CS28" s="47"/>
      <c r="CT28" s="47"/>
      <c r="CU28" s="47"/>
      <c r="CV28" s="47"/>
      <c r="CW28" s="47"/>
      <c r="CX28" s="47"/>
      <c r="CY28" s="47"/>
      <c r="CZ28" s="47"/>
      <c r="DA28" s="47"/>
      <c r="DB28" s="47"/>
      <c r="DC28" s="47"/>
      <c r="DD28" s="47"/>
      <c r="DE28" s="47"/>
      <c r="DF28" s="47"/>
      <c r="DG28" s="47"/>
      <c r="DH28" s="47"/>
      <c r="DI28" s="47"/>
      <c r="DJ28" s="47"/>
      <c r="DK28" s="47"/>
      <c r="DL28" s="47"/>
      <c r="DM28" s="47"/>
      <c r="DN28" s="47"/>
      <c r="DO28" s="47"/>
      <c r="DP28" s="47"/>
      <c r="DQ28" s="47"/>
      <c r="DR28" s="47"/>
      <c r="DS28" s="47"/>
      <c r="DT28" s="47"/>
      <c r="DU28" s="47"/>
      <c r="DV28" s="47"/>
      <c r="DW28" s="47"/>
      <c r="DX28" s="47"/>
      <c r="DY28" s="47"/>
      <c r="DZ28" s="47"/>
      <c r="EA28" s="47"/>
      <c r="EB28" s="47"/>
      <c r="EC28" s="48"/>
      <c r="ED28" s="48"/>
      <c r="EE28" s="48"/>
      <c r="EF28" s="48"/>
      <c r="EG28" s="48"/>
      <c r="EH28" s="48"/>
      <c r="EI28" s="47"/>
      <c r="EJ28" s="47"/>
      <c r="EK28" s="47"/>
      <c r="EL28" s="47"/>
      <c r="EM28" s="47"/>
      <c r="EN28" s="47"/>
      <c r="EO28" s="47"/>
      <c r="EP28" s="47"/>
      <c r="EQ28" s="47"/>
      <c r="ER28" s="47"/>
      <c r="ES28" s="47"/>
      <c r="ET28" s="47"/>
      <c r="EU28" s="47"/>
      <c r="EV28" s="47"/>
      <c r="EW28" s="47"/>
      <c r="EX28" s="47"/>
      <c r="EY28" s="47"/>
      <c r="EZ28" s="47"/>
      <c r="FA28" s="47"/>
      <c r="FB28" s="47"/>
      <c r="FC28" s="47"/>
      <c r="FD28" s="47"/>
      <c r="FE28" s="47"/>
      <c r="FF28" s="47"/>
      <c r="FG28" s="47"/>
      <c r="FH28" s="47"/>
      <c r="FI28" s="47"/>
      <c r="FJ28" s="47"/>
      <c r="FK28" s="47"/>
      <c r="FL28" s="47"/>
      <c r="FM28" s="47"/>
      <c r="FN28" s="47"/>
      <c r="FO28" s="47"/>
      <c r="FP28" s="47"/>
      <c r="FQ28" s="47"/>
    </row>
    <row r="29" spans="1:173" ht="12.6" customHeight="1" x14ac:dyDescent="0.3">
      <c r="A29" s="1"/>
      <c r="B29" s="1" t="s">
        <v>214</v>
      </c>
      <c r="C29" s="52"/>
      <c r="D29" s="52"/>
      <c r="E29" s="52"/>
      <c r="F29" s="52"/>
      <c r="G29" s="52"/>
      <c r="H29" s="52"/>
      <c r="I29" s="52"/>
      <c r="J29" s="52"/>
      <c r="K29" s="52"/>
      <c r="L29" s="52"/>
      <c r="M29" s="52"/>
      <c r="N29" s="52"/>
      <c r="O29" s="52"/>
      <c r="P29" s="43"/>
      <c r="Q29" s="43"/>
      <c r="R29" s="43"/>
      <c r="S29" s="52"/>
      <c r="T29" s="52"/>
      <c r="U29" s="52"/>
      <c r="V29" s="52"/>
      <c r="W29" s="43"/>
      <c r="X29" s="43"/>
      <c r="Y29" s="43"/>
      <c r="Z29" s="43"/>
      <c r="AA29" s="43"/>
      <c r="AB29" s="43"/>
      <c r="AC29" s="43"/>
      <c r="AD29" s="43"/>
      <c r="AE29" s="43"/>
      <c r="AF29" s="43"/>
      <c r="AG29" s="43"/>
      <c r="AH29" s="43"/>
      <c r="AI29" s="43"/>
      <c r="AJ29" s="43"/>
      <c r="AK29" s="43"/>
      <c r="AL29" s="43"/>
      <c r="AM29" s="43"/>
      <c r="AN29" s="43"/>
      <c r="AO29" s="43"/>
      <c r="AP29" s="43"/>
      <c r="AQ29" s="43"/>
      <c r="AR29" s="43"/>
      <c r="AS29" s="43"/>
      <c r="AT29" s="43"/>
      <c r="AU29" s="43"/>
      <c r="AV29" s="43"/>
      <c r="AW29" s="43"/>
      <c r="AX29" s="43"/>
      <c r="AY29" s="43"/>
      <c r="AZ29" s="43"/>
      <c r="BA29" s="43"/>
      <c r="BB29" s="43"/>
      <c r="BC29" s="43"/>
      <c r="BD29" s="43"/>
      <c r="BE29" s="1"/>
      <c r="BF29" s="1"/>
      <c r="BG29" s="1"/>
      <c r="BH29" s="1"/>
      <c r="BI29" s="1"/>
      <c r="BJ29" s="1"/>
      <c r="BK29" s="1"/>
      <c r="BL29" s="1"/>
      <c r="BM29" s="1"/>
      <c r="BN29" s="1"/>
      <c r="BO29" s="1"/>
      <c r="BP29" s="1"/>
      <c r="BQ29" s="1"/>
      <c r="BR29" s="1"/>
      <c r="BS29" s="1"/>
      <c r="BT29" s="1"/>
      <c r="BU29" s="1"/>
      <c r="BV29" s="1"/>
      <c r="BW29" s="1"/>
      <c r="BX29" s="1"/>
      <c r="BY29" s="1"/>
      <c r="BZ29" s="1"/>
      <c r="CA29" s="1"/>
      <c r="CB29" s="1"/>
      <c r="CC29" s="56"/>
      <c r="CD29" s="56"/>
      <c r="CE29" s="56"/>
      <c r="CF29" s="56"/>
      <c r="CG29" s="56"/>
      <c r="CH29" s="56"/>
      <c r="CI29" s="56"/>
      <c r="CJ29" s="56"/>
      <c r="CK29" s="1"/>
      <c r="CL29" s="1"/>
      <c r="CM29" s="1"/>
      <c r="CN29" s="1"/>
      <c r="CO29" s="1"/>
      <c r="CP29" s="1"/>
      <c r="CQ29" s="1"/>
      <c r="CR29" s="1"/>
      <c r="CS29" s="1"/>
      <c r="CT29" s="1"/>
      <c r="CU29" s="1"/>
      <c r="CV29" s="1"/>
      <c r="CW29" s="1"/>
      <c r="CX29" s="1"/>
      <c r="CY29" s="1"/>
      <c r="CZ29" s="1"/>
      <c r="DA29" s="1"/>
      <c r="DB29" s="1"/>
      <c r="DC29" s="1"/>
      <c r="DD29" s="1"/>
      <c r="DE29" s="1"/>
      <c r="DF29" s="1"/>
      <c r="DG29" s="1"/>
      <c r="DH29" s="1"/>
      <c r="DI29" s="1"/>
      <c r="DJ29" s="1"/>
      <c r="DK29" s="1"/>
      <c r="DL29" s="1"/>
      <c r="DM29" s="1"/>
      <c r="DN29" s="1"/>
      <c r="DO29" s="1"/>
      <c r="DP29" s="1"/>
      <c r="DQ29" s="1"/>
      <c r="DR29" s="1"/>
      <c r="DS29" s="1"/>
      <c r="DT29" s="1"/>
      <c r="DU29" s="1"/>
      <c r="DV29" s="1"/>
      <c r="DW29" s="1"/>
      <c r="DX29" s="1"/>
      <c r="DY29" s="1"/>
      <c r="DZ29" s="1"/>
      <c r="EA29" s="1"/>
      <c r="EB29" s="1"/>
      <c r="EC29" s="52"/>
      <c r="ED29" s="52"/>
      <c r="EE29" s="52"/>
      <c r="EF29" s="52"/>
      <c r="EG29" s="52"/>
      <c r="EH29" s="52"/>
      <c r="EI29" s="1"/>
      <c r="EJ29" s="1"/>
      <c r="EK29" s="1"/>
      <c r="EL29" s="1"/>
      <c r="EM29" s="1"/>
      <c r="EN29" s="1"/>
      <c r="EO29" s="1"/>
      <c r="EP29" s="1"/>
      <c r="EQ29" s="1"/>
      <c r="ER29" s="1"/>
      <c r="ES29" s="1"/>
      <c r="ET29" s="1"/>
      <c r="EU29" s="1"/>
      <c r="EV29" s="1"/>
      <c r="EW29" s="1"/>
      <c r="EX29" s="1"/>
      <c r="EY29" s="1"/>
      <c r="EZ29" s="1"/>
      <c r="FA29" s="1"/>
      <c r="FB29" s="1"/>
      <c r="FC29" s="1"/>
      <c r="FD29" s="1"/>
      <c r="FE29" s="1"/>
      <c r="FF29" s="1"/>
      <c r="FG29" s="1"/>
      <c r="FH29" s="1"/>
      <c r="FI29" s="1"/>
      <c r="FJ29" s="1"/>
      <c r="FK29" s="1"/>
      <c r="FL29" s="1"/>
      <c r="FM29" s="1"/>
      <c r="FN29" s="1"/>
      <c r="FO29" s="1"/>
      <c r="FP29" s="1"/>
      <c r="FQ29" s="1"/>
    </row>
    <row r="30" spans="1:173" ht="12.6" customHeight="1" x14ac:dyDescent="0.3">
      <c r="A30" s="1"/>
      <c r="B30" s="1" t="s">
        <v>217</v>
      </c>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56"/>
      <c r="CD30" s="56"/>
      <c r="CE30" s="56"/>
      <c r="CF30" s="56"/>
      <c r="CG30" s="56"/>
      <c r="CH30" s="56"/>
      <c r="CI30" s="56"/>
      <c r="CJ30" s="56"/>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c r="EG30" s="1"/>
      <c r="EH30" s="1"/>
      <c r="EI30" s="1"/>
      <c r="EJ30" s="1"/>
      <c r="EK30" s="1"/>
      <c r="EL30" s="1"/>
      <c r="EM30" s="1"/>
      <c r="EN30" s="1"/>
      <c r="EO30" s="1"/>
      <c r="EP30" s="1"/>
      <c r="EQ30" s="1"/>
      <c r="ER30" s="1"/>
      <c r="ES30" s="1"/>
      <c r="ET30" s="1"/>
      <c r="EU30" s="1"/>
      <c r="EV30" s="1"/>
      <c r="EW30" s="1"/>
      <c r="EX30" s="1"/>
      <c r="EY30" s="1"/>
      <c r="EZ30" s="1"/>
      <c r="FA30" s="1"/>
      <c r="FB30" s="1"/>
      <c r="FC30" s="1"/>
      <c r="FD30" s="1"/>
      <c r="FE30" s="1"/>
      <c r="FF30" s="1"/>
      <c r="FG30" s="1"/>
      <c r="FH30" s="1"/>
      <c r="FI30" s="1"/>
      <c r="FJ30" s="1"/>
      <c r="FK30" s="1"/>
      <c r="FL30" s="1"/>
      <c r="FM30" s="1"/>
      <c r="FN30" s="1"/>
      <c r="FO30" s="1"/>
      <c r="FP30" s="1"/>
      <c r="FQ30" s="1"/>
    </row>
    <row r="31" spans="1:173" ht="12.6" customHeight="1" x14ac:dyDescent="0.3">
      <c r="A31" s="1"/>
      <c r="B31" s="1" t="s">
        <v>218</v>
      </c>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56"/>
      <c r="CD31" s="56"/>
      <c r="CE31" s="56"/>
      <c r="CF31" s="56"/>
      <c r="CG31" s="56"/>
      <c r="CH31" s="56"/>
      <c r="CI31" s="56"/>
      <c r="CJ31" s="56"/>
      <c r="CK31" s="1"/>
      <c r="CL31" s="1"/>
      <c r="CM31" s="1"/>
      <c r="CN31" s="1"/>
      <c r="CO31" s="1"/>
      <c r="CP31" s="1"/>
      <c r="CQ31" s="1"/>
      <c r="CR31" s="1"/>
      <c r="CS31" s="1"/>
      <c r="CT31" s="1"/>
      <c r="CU31" s="1"/>
      <c r="CV31" s="1"/>
      <c r="CW31" s="1"/>
      <c r="CX31" s="1"/>
      <c r="CY31" s="1"/>
      <c r="CZ31" s="1"/>
      <c r="DA31" s="1"/>
      <c r="DB31" s="1"/>
      <c r="DC31" s="1"/>
      <c r="DD31" s="1"/>
      <c r="DE31" s="1"/>
      <c r="DF31" s="1"/>
      <c r="DG31" s="1"/>
      <c r="DH31" s="1"/>
      <c r="DI31" s="1"/>
      <c r="DJ31" s="1"/>
      <c r="DK31" s="1"/>
      <c r="DL31" s="1"/>
      <c r="DM31" s="1"/>
      <c r="DN31" s="1"/>
      <c r="DO31" s="1"/>
      <c r="DP31" s="1"/>
      <c r="DQ31" s="1"/>
      <c r="DR31" s="1"/>
      <c r="DS31" s="1"/>
      <c r="DT31" s="1"/>
      <c r="DU31" s="1"/>
      <c r="DV31" s="1"/>
      <c r="DW31" s="1"/>
      <c r="DX31" s="1"/>
      <c r="DY31" s="1"/>
      <c r="DZ31" s="1"/>
      <c r="EA31" s="1"/>
      <c r="EB31" s="1"/>
      <c r="EC31" s="1"/>
      <c r="ED31" s="1"/>
      <c r="EE31" s="1"/>
      <c r="EF31" s="1"/>
      <c r="EG31" s="1"/>
      <c r="EH31" s="1"/>
      <c r="EI31" s="1"/>
      <c r="EJ31" s="1"/>
      <c r="EK31" s="1"/>
      <c r="EL31" s="1"/>
      <c r="EM31" s="1"/>
      <c r="EN31" s="1"/>
      <c r="EO31" s="1"/>
      <c r="EP31" s="1"/>
      <c r="EQ31" s="1"/>
      <c r="ER31" s="1"/>
      <c r="ES31" s="1"/>
      <c r="ET31" s="1"/>
      <c r="EU31" s="1"/>
      <c r="EV31" s="1"/>
      <c r="EW31" s="1"/>
      <c r="EX31" s="1"/>
      <c r="EY31" s="1"/>
      <c r="EZ31" s="1"/>
      <c r="FA31" s="1"/>
      <c r="FB31" s="1"/>
      <c r="FC31" s="1"/>
      <c r="FD31" s="1"/>
      <c r="FE31" s="1"/>
      <c r="FF31" s="1"/>
      <c r="FG31" s="1"/>
      <c r="FH31" s="1"/>
      <c r="FI31" s="1"/>
      <c r="FJ31" s="1"/>
      <c r="FK31" s="1"/>
      <c r="FL31" s="1"/>
      <c r="FM31" s="1"/>
      <c r="FN31" s="1"/>
      <c r="FO31" s="1"/>
      <c r="FP31" s="1"/>
      <c r="FQ31" s="1"/>
    </row>
    <row r="32" spans="1:173" ht="12.6" customHeight="1" x14ac:dyDescent="0.3">
      <c r="A32" s="1"/>
      <c r="B32" s="1" t="s">
        <v>222</v>
      </c>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56"/>
      <c r="CD32" s="56"/>
      <c r="CE32" s="56"/>
      <c r="CF32" s="56"/>
      <c r="CG32" s="56"/>
      <c r="CH32" s="56"/>
      <c r="CI32" s="56"/>
      <c r="CJ32" s="56"/>
      <c r="CK32" s="1"/>
      <c r="CL32" s="1"/>
      <c r="CM32" s="1"/>
      <c r="CN32" s="1"/>
      <c r="CO32" s="1"/>
      <c r="CP32" s="1"/>
      <c r="CQ32" s="1"/>
      <c r="CR32" s="1"/>
      <c r="CS32" s="1"/>
      <c r="CT32" s="1"/>
      <c r="CU32" s="1"/>
      <c r="CV32" s="1"/>
      <c r="CW32" s="1"/>
      <c r="CX32" s="1"/>
      <c r="CY32" s="1"/>
      <c r="CZ32" s="1"/>
      <c r="DA32" s="1"/>
      <c r="DB32" s="1"/>
      <c r="DC32" s="1"/>
      <c r="DD32" s="1"/>
      <c r="DE32" s="1"/>
      <c r="DF32" s="1"/>
      <c r="DG32" s="1"/>
      <c r="DH32" s="1"/>
      <c r="DI32" s="1"/>
      <c r="DJ32" s="1"/>
      <c r="DK32" s="1"/>
      <c r="DL32" s="1"/>
      <c r="DM32" s="1"/>
      <c r="DN32" s="1"/>
      <c r="DO32" s="1"/>
      <c r="DP32" s="1"/>
      <c r="DQ32" s="1"/>
      <c r="DR32" s="1"/>
      <c r="DS32" s="1"/>
      <c r="DT32" s="1"/>
      <c r="DU32" s="1"/>
      <c r="DV32" s="1"/>
      <c r="DW32" s="1"/>
      <c r="DX32" s="1"/>
      <c r="DY32" s="1"/>
      <c r="DZ32" s="1"/>
      <c r="EA32" s="1"/>
      <c r="EB32" s="1"/>
      <c r="EC32" s="1"/>
      <c r="ED32" s="1"/>
      <c r="EE32" s="1"/>
      <c r="EF32" s="1"/>
      <c r="EG32" s="1"/>
      <c r="EH32" s="1"/>
      <c r="EI32" s="1"/>
      <c r="EJ32" s="1"/>
      <c r="EK32" s="1"/>
      <c r="EL32" s="1"/>
      <c r="EM32" s="1"/>
      <c r="EN32" s="1"/>
      <c r="EO32" s="1"/>
      <c r="EP32" s="1"/>
      <c r="EQ32" s="1"/>
      <c r="ER32" s="1"/>
      <c r="ES32" s="1"/>
      <c r="ET32" s="1"/>
      <c r="EU32" s="1"/>
      <c r="EV32" s="1"/>
      <c r="EW32" s="1"/>
      <c r="EX32" s="1"/>
      <c r="EY32" s="1"/>
      <c r="EZ32" s="1"/>
      <c r="FA32" s="1"/>
      <c r="FB32" s="1"/>
      <c r="FC32" s="1"/>
      <c r="FD32" s="1"/>
      <c r="FE32" s="1"/>
      <c r="FF32" s="1"/>
      <c r="FG32" s="1"/>
      <c r="FH32" s="1"/>
      <c r="FI32" s="1"/>
      <c r="FJ32" s="1"/>
      <c r="FK32" s="1"/>
      <c r="FL32" s="1"/>
      <c r="FM32" s="1"/>
      <c r="FN32" s="1"/>
      <c r="FO32" s="1"/>
      <c r="FP32" s="1"/>
      <c r="FQ32" s="1"/>
    </row>
    <row r="33" spans="1:173" ht="12.6" customHeight="1" x14ac:dyDescent="0.3">
      <c r="A33" s="1"/>
      <c r="B33" s="1" t="s">
        <v>223</v>
      </c>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R33" s="1"/>
      <c r="BS33" s="1"/>
      <c r="BT33" s="1"/>
      <c r="BU33" s="1"/>
      <c r="BV33" s="1"/>
      <c r="BW33" s="1"/>
      <c r="BX33" s="1"/>
      <c r="BY33" s="1"/>
      <c r="BZ33" s="1"/>
      <c r="CA33" s="1"/>
      <c r="CB33" s="1"/>
      <c r="CC33" s="56"/>
      <c r="CD33" s="56"/>
      <c r="CE33" s="56"/>
      <c r="CF33" s="56"/>
      <c r="CG33" s="56"/>
      <c r="CH33" s="56"/>
      <c r="CI33" s="56"/>
      <c r="CJ33" s="56"/>
      <c r="CK33" s="1"/>
      <c r="CL33" s="1"/>
      <c r="CM33" s="1"/>
      <c r="CN33" s="1"/>
      <c r="CO33" s="1"/>
      <c r="CP33" s="1"/>
      <c r="CQ33" s="1"/>
      <c r="CR33" s="1"/>
      <c r="CS33" s="1"/>
      <c r="CT33" s="1"/>
      <c r="CU33" s="1"/>
      <c r="CV33" s="1"/>
      <c r="CW33" s="1"/>
      <c r="CX33" s="1"/>
      <c r="CY33" s="1"/>
      <c r="CZ33" s="1"/>
      <c r="DA33" s="1"/>
      <c r="DB33" s="1"/>
      <c r="DC33" s="1"/>
      <c r="DD33" s="1"/>
      <c r="DE33" s="1"/>
      <c r="DF33" s="1"/>
      <c r="DG33" s="1"/>
      <c r="DH33" s="1"/>
      <c r="DI33" s="1"/>
      <c r="DJ33" s="1"/>
      <c r="DK33" s="1"/>
      <c r="DL33" s="1"/>
      <c r="DM33" s="1"/>
      <c r="DN33" s="1"/>
      <c r="DO33" s="1"/>
      <c r="DP33" s="1"/>
      <c r="DQ33" s="1"/>
      <c r="DR33" s="1"/>
      <c r="DS33" s="1"/>
      <c r="DT33" s="1"/>
      <c r="DU33" s="1"/>
      <c r="DV33" s="1"/>
      <c r="DW33" s="1"/>
      <c r="DX33" s="1"/>
      <c r="DY33" s="1"/>
      <c r="DZ33" s="1"/>
      <c r="EA33" s="1"/>
      <c r="EB33" s="1"/>
      <c r="EC33" s="1"/>
      <c r="ED33" s="1"/>
      <c r="EE33" s="1"/>
      <c r="EF33" s="1"/>
      <c r="EG33" s="1"/>
      <c r="EH33" s="1"/>
      <c r="EI33" s="1"/>
      <c r="EJ33" s="1"/>
      <c r="EK33" s="1"/>
      <c r="EL33" s="1"/>
      <c r="EM33" s="1"/>
      <c r="EN33" s="1"/>
      <c r="EO33" s="1"/>
      <c r="EP33" s="1"/>
      <c r="EQ33" s="1"/>
      <c r="ER33" s="1"/>
      <c r="ES33" s="1"/>
      <c r="ET33" s="1"/>
      <c r="EU33" s="1"/>
      <c r="EV33" s="1"/>
      <c r="EW33" s="1"/>
      <c r="EX33" s="1"/>
      <c r="EY33" s="1"/>
      <c r="EZ33" s="1"/>
      <c r="FA33" s="1"/>
      <c r="FB33" s="1"/>
      <c r="FC33" s="1"/>
      <c r="FD33" s="1"/>
      <c r="FE33" s="1"/>
      <c r="FF33" s="1"/>
      <c r="FG33" s="1"/>
      <c r="FH33" s="1"/>
      <c r="FI33" s="1"/>
      <c r="FJ33" s="1"/>
      <c r="FK33" s="1"/>
      <c r="FL33" s="1"/>
      <c r="FM33" s="1"/>
      <c r="FN33" s="1"/>
      <c r="FO33" s="1"/>
      <c r="FP33" s="1"/>
      <c r="FQ33" s="1"/>
    </row>
    <row r="34" spans="1:173" ht="12.6" customHeight="1" x14ac:dyDescent="0.3">
      <c r="A34" s="1"/>
      <c r="B34" s="1" t="s">
        <v>225</v>
      </c>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c r="CW34" s="1"/>
      <c r="CX34" s="1"/>
      <c r="CY34" s="1"/>
      <c r="CZ34" s="1"/>
      <c r="DA34" s="1"/>
      <c r="DB34" s="1"/>
      <c r="DC34" s="1"/>
      <c r="DD34" s="1"/>
      <c r="DE34" s="1"/>
      <c r="DF34" s="1"/>
      <c r="DG34" s="1"/>
      <c r="DH34" s="1"/>
      <c r="DI34" s="1"/>
      <c r="DJ34" s="1"/>
      <c r="DK34" s="1"/>
      <c r="DL34" s="1"/>
      <c r="DM34" s="1"/>
      <c r="DN34" s="1"/>
      <c r="DO34" s="1"/>
      <c r="DP34" s="1"/>
      <c r="DQ34" s="1"/>
      <c r="DR34" s="1"/>
      <c r="DS34" s="1"/>
      <c r="DT34" s="1"/>
      <c r="DU34" s="1"/>
      <c r="DV34" s="1"/>
      <c r="DW34" s="1"/>
      <c r="DX34" s="1"/>
      <c r="DY34" s="1"/>
      <c r="DZ34" s="1"/>
      <c r="EA34" s="1"/>
      <c r="EB34" s="1"/>
      <c r="EC34" s="1"/>
      <c r="ED34" s="1"/>
      <c r="EE34" s="1"/>
      <c r="EF34" s="1"/>
      <c r="EG34" s="1"/>
      <c r="EH34" s="1"/>
      <c r="EI34" s="1"/>
      <c r="EJ34" s="1"/>
      <c r="EK34" s="1"/>
      <c r="EL34" s="1"/>
      <c r="EM34" s="1"/>
      <c r="EN34" s="1"/>
      <c r="EO34" s="1"/>
      <c r="EP34" s="1"/>
      <c r="EQ34" s="1"/>
      <c r="ER34" s="1"/>
      <c r="ES34" s="1"/>
      <c r="ET34" s="1"/>
      <c r="EU34" s="1"/>
      <c r="EV34" s="1"/>
      <c r="EW34" s="1"/>
      <c r="EX34" s="1"/>
      <c r="EY34" s="1"/>
      <c r="EZ34" s="1"/>
      <c r="FA34" s="1"/>
      <c r="FB34" s="1"/>
      <c r="FC34" s="1"/>
      <c r="FD34" s="1"/>
      <c r="FE34" s="1"/>
      <c r="FF34" s="1"/>
      <c r="FG34" s="1"/>
      <c r="FH34" s="1"/>
      <c r="FI34" s="1"/>
      <c r="FJ34" s="1"/>
      <c r="FK34" s="1"/>
      <c r="FL34" s="1"/>
      <c r="FM34" s="1"/>
      <c r="FN34" s="1"/>
      <c r="FO34" s="1"/>
      <c r="FP34" s="1"/>
      <c r="FQ34" s="1"/>
    </row>
    <row r="35" spans="1:173" ht="12.6" customHeight="1" x14ac:dyDescent="0.3">
      <c r="A35" s="1"/>
      <c r="B35" s="1" t="s">
        <v>227</v>
      </c>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c r="DR35" s="1"/>
      <c r="DS35" s="1"/>
      <c r="DT35" s="1"/>
      <c r="DU35" s="1"/>
      <c r="DV35" s="1"/>
      <c r="DW35" s="1"/>
      <c r="DX35" s="1"/>
      <c r="DY35" s="1"/>
      <c r="DZ35" s="1"/>
      <c r="EA35" s="1"/>
      <c r="EB35" s="1"/>
      <c r="EC35" s="1"/>
      <c r="ED35" s="1"/>
      <c r="EE35" s="1"/>
      <c r="EF35" s="1"/>
      <c r="EG35" s="1"/>
      <c r="EH35" s="1"/>
      <c r="EI35" s="1"/>
      <c r="EJ35" s="1"/>
      <c r="EK35" s="1"/>
      <c r="EL35" s="1"/>
      <c r="EM35" s="1"/>
      <c r="EN35" s="1"/>
      <c r="EO35" s="1"/>
      <c r="EP35" s="1"/>
      <c r="EQ35" s="1"/>
      <c r="ER35" s="1"/>
      <c r="ES35" s="1"/>
      <c r="ET35" s="1"/>
      <c r="EU35" s="1"/>
      <c r="EV35" s="1"/>
      <c r="EW35" s="1"/>
      <c r="EX35" s="1"/>
      <c r="EY35" s="1"/>
      <c r="EZ35" s="1"/>
      <c r="FA35" s="1"/>
      <c r="FB35" s="1"/>
      <c r="FC35" s="1"/>
      <c r="FD35" s="1"/>
      <c r="FE35" s="1"/>
      <c r="FF35" s="1"/>
      <c r="FG35" s="1"/>
      <c r="FH35" s="1"/>
      <c r="FI35" s="1"/>
      <c r="FJ35" s="1"/>
      <c r="FK35" s="1"/>
      <c r="FL35" s="1"/>
      <c r="FM35" s="1"/>
      <c r="FN35" s="1"/>
      <c r="FO35" s="1"/>
      <c r="FP35" s="1"/>
      <c r="FQ35" s="1"/>
    </row>
    <row r="36" spans="1:173" ht="12.6" customHeight="1" x14ac:dyDescent="0.3">
      <c r="A36" s="1"/>
      <c r="B36" s="1" t="s">
        <v>233</v>
      </c>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c r="CW36" s="1"/>
      <c r="CX36" s="1"/>
      <c r="CY36" s="1"/>
      <c r="CZ36" s="1"/>
      <c r="DA36" s="1"/>
      <c r="DB36" s="1"/>
      <c r="DC36" s="1"/>
      <c r="DD36" s="1"/>
      <c r="DE36" s="1"/>
      <c r="DF36" s="1"/>
      <c r="DG36" s="1"/>
      <c r="DH36" s="1"/>
      <c r="DI36" s="1"/>
      <c r="DJ36" s="1"/>
      <c r="DK36" s="1"/>
      <c r="DL36" s="1"/>
      <c r="DM36" s="1"/>
      <c r="DN36" s="1"/>
      <c r="DO36" s="1"/>
      <c r="DP36" s="1"/>
      <c r="DQ36" s="1"/>
      <c r="DR36" s="1"/>
      <c r="DS36" s="1"/>
      <c r="DT36" s="1"/>
      <c r="DU36" s="1"/>
      <c r="DV36" s="1"/>
      <c r="DW36" s="1"/>
      <c r="DX36" s="1"/>
      <c r="DY36" s="1"/>
      <c r="DZ36" s="1"/>
      <c r="EA36" s="1"/>
      <c r="EB36" s="1"/>
      <c r="EC36" s="1"/>
      <c r="ED36" s="1"/>
      <c r="EE36" s="1"/>
      <c r="EF36" s="1"/>
      <c r="EG36" s="1"/>
      <c r="EH36" s="1"/>
      <c r="EI36" s="1"/>
      <c r="EJ36" s="1"/>
      <c r="EK36" s="1"/>
      <c r="EL36" s="1"/>
      <c r="EM36" s="1"/>
      <c r="EN36" s="1"/>
      <c r="EO36" s="1"/>
      <c r="EP36" s="1"/>
      <c r="EQ36" s="1"/>
      <c r="ER36" s="1"/>
      <c r="ES36" s="1"/>
      <c r="ET36" s="1"/>
      <c r="EU36" s="1"/>
      <c r="EV36" s="1"/>
      <c r="EW36" s="1"/>
      <c r="EX36" s="1"/>
      <c r="EY36" s="1"/>
      <c r="EZ36" s="1"/>
      <c r="FA36" s="1"/>
      <c r="FB36" s="1"/>
      <c r="FC36" s="1"/>
      <c r="FD36" s="1"/>
      <c r="FE36" s="1"/>
      <c r="FF36" s="1"/>
      <c r="FG36" s="1"/>
      <c r="FH36" s="1"/>
      <c r="FI36" s="1"/>
      <c r="FJ36" s="1"/>
      <c r="FK36" s="1"/>
      <c r="FL36" s="1"/>
      <c r="FM36" s="1"/>
      <c r="FN36" s="1"/>
      <c r="FO36" s="1"/>
      <c r="FP36" s="1"/>
      <c r="FQ36" s="1"/>
    </row>
    <row r="37" spans="1:173" ht="12.6" customHeight="1" x14ac:dyDescent="0.3">
      <c r="A37" s="1"/>
      <c r="B37" s="1" t="s">
        <v>234</v>
      </c>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c r="CW37" s="1"/>
      <c r="CX37" s="1"/>
      <c r="CY37" s="1"/>
      <c r="CZ37" s="1"/>
      <c r="DA37" s="1"/>
      <c r="DB37" s="1"/>
      <c r="DC37" s="1"/>
      <c r="DD37" s="1"/>
      <c r="DE37" s="1"/>
      <c r="DF37" s="1"/>
      <c r="DG37" s="1"/>
      <c r="DH37" s="1"/>
      <c r="DI37" s="1"/>
      <c r="DJ37" s="1"/>
      <c r="DK37" s="1"/>
      <c r="DL37" s="1"/>
      <c r="DM37" s="1"/>
      <c r="DN37" s="1"/>
      <c r="DO37" s="1"/>
      <c r="DP37" s="1"/>
      <c r="DQ37" s="1"/>
      <c r="DR37" s="1"/>
      <c r="DS37" s="1"/>
      <c r="DT37" s="1"/>
      <c r="DU37" s="1"/>
      <c r="DV37" s="1"/>
      <c r="DW37" s="1"/>
      <c r="DX37" s="1"/>
      <c r="DY37" s="1"/>
      <c r="DZ37" s="1"/>
      <c r="EA37" s="1"/>
      <c r="EB37" s="1"/>
      <c r="EC37" s="1"/>
      <c r="ED37" s="1"/>
      <c r="EE37" s="1"/>
      <c r="EF37" s="1"/>
      <c r="EG37" s="1"/>
      <c r="EH37" s="1"/>
      <c r="EI37" s="1"/>
      <c r="EJ37" s="1"/>
      <c r="EK37" s="1"/>
      <c r="EL37" s="1"/>
      <c r="EM37" s="1"/>
      <c r="EN37" s="1"/>
      <c r="EO37" s="1"/>
      <c r="EP37" s="1"/>
      <c r="EQ37" s="1"/>
      <c r="ER37" s="1"/>
      <c r="ES37" s="1"/>
      <c r="ET37" s="1"/>
      <c r="EU37" s="1"/>
      <c r="EV37" s="1"/>
      <c r="EW37" s="1"/>
      <c r="EX37" s="1"/>
      <c r="EY37" s="1"/>
      <c r="EZ37" s="1"/>
      <c r="FA37" s="1"/>
      <c r="FB37" s="1"/>
      <c r="FC37" s="1"/>
      <c r="FD37" s="1"/>
      <c r="FE37" s="1"/>
      <c r="FF37" s="1"/>
      <c r="FG37" s="1"/>
      <c r="FH37" s="1"/>
      <c r="FI37" s="1"/>
      <c r="FJ37" s="1"/>
      <c r="FK37" s="1"/>
      <c r="FL37" s="1"/>
      <c r="FM37" s="1"/>
      <c r="FN37" s="1"/>
      <c r="FO37" s="1"/>
      <c r="FP37" s="1"/>
      <c r="FQ37" s="1"/>
    </row>
    <row r="38" spans="1:173" ht="12.6" customHeight="1" x14ac:dyDescent="0.3">
      <c r="A38" s="1"/>
      <c r="B38" s="1" t="s">
        <v>238</v>
      </c>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c r="CW38" s="1"/>
      <c r="CX38" s="1"/>
      <c r="CY38" s="1"/>
      <c r="CZ38" s="1"/>
      <c r="DA38" s="1"/>
      <c r="DB38" s="1"/>
      <c r="DC38" s="1"/>
      <c r="DD38" s="1"/>
      <c r="DE38" s="1"/>
      <c r="DF38" s="1"/>
      <c r="DG38" s="1"/>
      <c r="DH38" s="1"/>
      <c r="DI38" s="1"/>
      <c r="DJ38" s="1"/>
      <c r="DK38" s="1"/>
      <c r="DL38" s="1"/>
      <c r="DM38" s="1"/>
      <c r="DN38" s="1"/>
      <c r="DO38" s="1"/>
      <c r="DP38" s="1"/>
      <c r="DQ38" s="1"/>
      <c r="DR38" s="1"/>
      <c r="DS38" s="1"/>
      <c r="DT38" s="1"/>
      <c r="DU38" s="1"/>
      <c r="DV38" s="1"/>
      <c r="DW38" s="1"/>
      <c r="DX38" s="1"/>
      <c r="DY38" s="1"/>
      <c r="DZ38" s="1"/>
      <c r="EA38" s="1"/>
      <c r="EB38" s="1"/>
      <c r="EC38" s="1"/>
      <c r="ED38" s="1"/>
      <c r="EE38" s="1"/>
      <c r="EF38" s="1"/>
      <c r="EG38" s="1"/>
      <c r="EH38" s="1"/>
      <c r="EI38" s="1"/>
      <c r="EJ38" s="1"/>
      <c r="EK38" s="1"/>
      <c r="EL38" s="1"/>
      <c r="EM38" s="1"/>
      <c r="EN38" s="1"/>
      <c r="EO38" s="1"/>
      <c r="EP38" s="1"/>
      <c r="EQ38" s="1"/>
      <c r="ER38" s="1"/>
      <c r="ES38" s="1"/>
      <c r="ET38" s="1"/>
      <c r="EU38" s="1"/>
      <c r="EV38" s="1"/>
      <c r="EW38" s="1"/>
      <c r="EX38" s="1"/>
      <c r="EY38" s="1"/>
      <c r="EZ38" s="1"/>
      <c r="FA38" s="1"/>
      <c r="FB38" s="1"/>
      <c r="FC38" s="1"/>
      <c r="FD38" s="1"/>
      <c r="FE38" s="1"/>
      <c r="FF38" s="1"/>
      <c r="FG38" s="1"/>
      <c r="FH38" s="1"/>
      <c r="FI38" s="1"/>
      <c r="FJ38" s="1"/>
      <c r="FK38" s="1"/>
      <c r="FL38" s="1"/>
      <c r="FM38" s="1"/>
      <c r="FN38" s="1"/>
      <c r="FO38" s="1"/>
      <c r="FP38" s="1"/>
      <c r="FQ38" s="1"/>
    </row>
    <row r="39" spans="1:173" ht="12.6" customHeight="1" x14ac:dyDescent="0.3">
      <c r="A39" s="1"/>
      <c r="B39" s="1" t="s">
        <v>240</v>
      </c>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c r="CW39" s="1"/>
      <c r="CX39" s="1"/>
      <c r="CY39" s="1"/>
      <c r="CZ39" s="1"/>
      <c r="DA39" s="1"/>
      <c r="DB39" s="1"/>
      <c r="DC39" s="1"/>
      <c r="DD39" s="1"/>
      <c r="DE39" s="1"/>
      <c r="DF39" s="1"/>
      <c r="DG39" s="1"/>
      <c r="DH39" s="1"/>
      <c r="DI39" s="1"/>
      <c r="DJ39" s="1"/>
      <c r="DK39" s="1"/>
      <c r="DL39" s="1"/>
      <c r="DM39" s="1"/>
      <c r="DN39" s="1"/>
      <c r="DO39" s="1"/>
      <c r="DP39" s="1"/>
      <c r="DQ39" s="1"/>
      <c r="DR39" s="1"/>
      <c r="DS39" s="1"/>
      <c r="DT39" s="1"/>
      <c r="DU39" s="1"/>
      <c r="DV39" s="1"/>
      <c r="DW39" s="1"/>
      <c r="DX39" s="1"/>
      <c r="DY39" s="1"/>
      <c r="DZ39" s="1"/>
      <c r="EA39" s="1"/>
      <c r="EB39" s="1"/>
      <c r="EC39" s="1"/>
      <c r="ED39" s="1"/>
      <c r="EE39" s="1"/>
      <c r="EF39" s="1"/>
      <c r="EG39" s="1"/>
      <c r="EH39" s="1"/>
      <c r="EI39" s="1"/>
      <c r="EJ39" s="1"/>
      <c r="EK39" s="1"/>
      <c r="EL39" s="1"/>
      <c r="EM39" s="1"/>
      <c r="EN39" s="1"/>
      <c r="EO39" s="1"/>
      <c r="EP39" s="1"/>
      <c r="EQ39" s="1"/>
      <c r="ER39" s="1"/>
      <c r="ES39" s="1"/>
      <c r="ET39" s="1"/>
      <c r="EU39" s="1"/>
      <c r="EV39" s="1"/>
      <c r="EW39" s="1"/>
      <c r="EX39" s="1"/>
      <c r="EY39" s="1"/>
      <c r="EZ39" s="1"/>
      <c r="FA39" s="1"/>
      <c r="FB39" s="1"/>
      <c r="FC39" s="1"/>
      <c r="FD39" s="1"/>
      <c r="FE39" s="1"/>
      <c r="FF39" s="1"/>
      <c r="FG39" s="1"/>
      <c r="FH39" s="1"/>
      <c r="FI39" s="1"/>
      <c r="FJ39" s="1"/>
      <c r="FK39" s="1"/>
      <c r="FL39" s="1"/>
      <c r="FM39" s="1"/>
      <c r="FN39" s="1"/>
      <c r="FO39" s="1"/>
      <c r="FP39" s="1"/>
      <c r="FQ39" s="1"/>
    </row>
    <row r="40" spans="1:173" ht="12.6" customHeight="1" x14ac:dyDescent="0.3">
      <c r="A40" s="1"/>
      <c r="B40" s="1" t="s">
        <v>242</v>
      </c>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c r="CX40" s="1"/>
      <c r="CY40" s="1"/>
      <c r="CZ40" s="1"/>
      <c r="DA40" s="1"/>
      <c r="DB40" s="1"/>
      <c r="DC40" s="1"/>
      <c r="DD40" s="1"/>
      <c r="DE40" s="1"/>
      <c r="DF40" s="1"/>
      <c r="DG40" s="1"/>
      <c r="DH40" s="1"/>
      <c r="DI40" s="1"/>
      <c r="DJ40" s="1"/>
      <c r="DK40" s="1"/>
      <c r="DL40" s="1"/>
      <c r="DM40" s="1"/>
      <c r="DN40" s="1"/>
      <c r="DO40" s="1"/>
      <c r="DP40" s="1"/>
      <c r="DQ40" s="1"/>
      <c r="DR40" s="1"/>
      <c r="DS40" s="1"/>
      <c r="DT40" s="1"/>
      <c r="DU40" s="1"/>
      <c r="DV40" s="1"/>
      <c r="DW40" s="1"/>
      <c r="DX40" s="1"/>
      <c r="DY40" s="1"/>
      <c r="DZ40" s="1"/>
      <c r="EA40" s="1"/>
      <c r="EB40" s="1"/>
      <c r="EC40" s="1"/>
      <c r="ED40" s="1"/>
      <c r="EE40" s="1"/>
      <c r="EF40" s="1"/>
      <c r="EG40" s="1"/>
      <c r="EH40" s="1"/>
      <c r="EI40" s="1"/>
      <c r="EJ40" s="1"/>
      <c r="EK40" s="1"/>
      <c r="EL40" s="1"/>
      <c r="EM40" s="1"/>
      <c r="EN40" s="1"/>
      <c r="EO40" s="1"/>
      <c r="EP40" s="1"/>
      <c r="EQ40" s="1"/>
      <c r="ER40" s="1"/>
      <c r="ES40" s="1"/>
      <c r="ET40" s="1"/>
      <c r="EU40" s="1"/>
      <c r="EV40" s="1"/>
      <c r="EW40" s="1"/>
      <c r="EX40" s="1"/>
      <c r="EY40" s="1"/>
      <c r="EZ40" s="1"/>
      <c r="FA40" s="1"/>
      <c r="FB40" s="1"/>
      <c r="FC40" s="1"/>
      <c r="FD40" s="1"/>
      <c r="FE40" s="1"/>
      <c r="FF40" s="1"/>
      <c r="FG40" s="1"/>
      <c r="FH40" s="1"/>
      <c r="FI40" s="1"/>
      <c r="FJ40" s="1"/>
      <c r="FK40" s="1"/>
      <c r="FL40" s="1"/>
      <c r="FM40" s="1"/>
      <c r="FN40" s="1"/>
      <c r="FO40" s="1"/>
      <c r="FP40" s="1"/>
      <c r="FQ40" s="1"/>
    </row>
    <row r="41" spans="1:173" ht="12.6" customHeight="1" x14ac:dyDescent="0.3">
      <c r="A41" s="1"/>
      <c r="B41" s="1" t="s">
        <v>245</v>
      </c>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c r="CW41" s="1"/>
      <c r="CX41" s="1"/>
      <c r="CY41" s="1"/>
      <c r="CZ41" s="1"/>
      <c r="DA41" s="1"/>
      <c r="DB41" s="1"/>
      <c r="DC41" s="1"/>
      <c r="DD41" s="1"/>
      <c r="DE41" s="1"/>
      <c r="DF41" s="1"/>
      <c r="DG41" s="1"/>
      <c r="DH41" s="1"/>
      <c r="DI41" s="1"/>
      <c r="DJ41" s="1"/>
      <c r="DK41" s="1"/>
      <c r="DL41" s="1"/>
      <c r="DM41" s="1"/>
      <c r="DN41" s="1"/>
      <c r="DO41" s="1"/>
      <c r="DP41" s="1"/>
      <c r="DQ41" s="1"/>
      <c r="DR41" s="1"/>
      <c r="DS41" s="1"/>
      <c r="DT41" s="1"/>
      <c r="DU41" s="1"/>
      <c r="DV41" s="1"/>
      <c r="DW41" s="1"/>
      <c r="DX41" s="1"/>
      <c r="DY41" s="1"/>
      <c r="DZ41" s="1"/>
      <c r="EA41" s="1"/>
      <c r="EB41" s="1"/>
      <c r="EC41" s="1"/>
      <c r="ED41" s="1"/>
      <c r="EE41" s="1"/>
      <c r="EF41" s="1"/>
      <c r="EG41" s="1"/>
      <c r="EH41" s="1"/>
      <c r="EI41" s="1"/>
      <c r="EJ41" s="1"/>
      <c r="EK41" s="1"/>
      <c r="EL41" s="1"/>
      <c r="EM41" s="1"/>
      <c r="EN41" s="1"/>
      <c r="EO41" s="1"/>
      <c r="EP41" s="1"/>
      <c r="EQ41" s="1"/>
      <c r="ER41" s="1"/>
      <c r="ES41" s="1"/>
      <c r="ET41" s="1"/>
      <c r="EU41" s="1"/>
      <c r="EV41" s="1"/>
      <c r="EW41" s="1"/>
      <c r="EX41" s="1"/>
      <c r="EY41" s="1"/>
      <c r="EZ41" s="1"/>
      <c r="FA41" s="1"/>
      <c r="FB41" s="1"/>
      <c r="FC41" s="1"/>
      <c r="FD41" s="1"/>
      <c r="FE41" s="1"/>
      <c r="FF41" s="1"/>
      <c r="FG41" s="1"/>
      <c r="FH41" s="1"/>
      <c r="FI41" s="1"/>
      <c r="FJ41" s="1"/>
      <c r="FK41" s="1"/>
      <c r="FL41" s="1"/>
      <c r="FM41" s="1"/>
      <c r="FN41" s="1"/>
      <c r="FO41" s="1"/>
      <c r="FP41" s="1"/>
      <c r="FQ41" s="1"/>
    </row>
    <row r="42" spans="1:173" ht="12.6" customHeight="1" x14ac:dyDescent="0.3">
      <c r="A42" s="1"/>
      <c r="B42" s="1" t="s">
        <v>247</v>
      </c>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c r="CW42" s="1"/>
      <c r="CX42" s="1"/>
      <c r="CY42" s="1"/>
      <c r="CZ42" s="1"/>
      <c r="DA42" s="1"/>
      <c r="DB42" s="1"/>
      <c r="DC42" s="1"/>
      <c r="DD42" s="1"/>
      <c r="DE42" s="1"/>
      <c r="DF42" s="1"/>
      <c r="DG42" s="1"/>
      <c r="DH42" s="1"/>
      <c r="DI42" s="1"/>
      <c r="DJ42" s="1"/>
      <c r="DK42" s="1"/>
      <c r="DL42" s="1"/>
      <c r="DM42" s="1"/>
      <c r="DN42" s="1"/>
      <c r="DO42" s="1"/>
      <c r="DP42" s="1"/>
      <c r="DQ42" s="1"/>
      <c r="DR42" s="1"/>
      <c r="DS42" s="1"/>
      <c r="DT42" s="1"/>
      <c r="DU42" s="1"/>
      <c r="DV42" s="1"/>
      <c r="DW42" s="1"/>
      <c r="DX42" s="1"/>
      <c r="DY42" s="1"/>
      <c r="DZ42" s="1"/>
      <c r="EA42" s="1"/>
      <c r="EB42" s="1"/>
      <c r="EC42" s="1"/>
      <c r="ED42" s="1"/>
      <c r="EE42" s="1"/>
      <c r="EF42" s="1"/>
      <c r="EG42" s="1"/>
      <c r="EH42" s="1"/>
      <c r="EI42" s="1"/>
      <c r="EJ42" s="1"/>
      <c r="EK42" s="1"/>
      <c r="EL42" s="1"/>
      <c r="EM42" s="1"/>
      <c r="EN42" s="1"/>
      <c r="EO42" s="1"/>
      <c r="EP42" s="1"/>
      <c r="EQ42" s="1"/>
      <c r="ER42" s="1"/>
      <c r="ES42" s="1"/>
      <c r="ET42" s="1"/>
      <c r="EU42" s="1"/>
      <c r="EV42" s="1"/>
      <c r="EW42" s="1"/>
      <c r="EX42" s="1"/>
      <c r="EY42" s="1"/>
      <c r="EZ42" s="1"/>
      <c r="FA42" s="1"/>
      <c r="FB42" s="1"/>
      <c r="FC42" s="1"/>
      <c r="FD42" s="1"/>
      <c r="FE42" s="1"/>
      <c r="FF42" s="1"/>
      <c r="FG42" s="1"/>
      <c r="FH42" s="1"/>
      <c r="FI42" s="1"/>
      <c r="FJ42" s="1"/>
      <c r="FK42" s="1"/>
      <c r="FL42" s="1"/>
      <c r="FM42" s="1"/>
      <c r="FN42" s="1"/>
      <c r="FO42" s="1"/>
      <c r="FP42" s="1"/>
      <c r="FQ42" s="1"/>
    </row>
    <row r="43" spans="1:173" ht="12.6" customHeight="1" x14ac:dyDescent="0.3">
      <c r="A43" s="1"/>
      <c r="B43" s="1" t="s">
        <v>309</v>
      </c>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c r="CW43" s="1"/>
      <c r="CX43" s="1"/>
      <c r="CY43" s="1"/>
      <c r="CZ43" s="1"/>
      <c r="DA43" s="1"/>
      <c r="DB43" s="1"/>
      <c r="DC43" s="1"/>
      <c r="DD43" s="1"/>
      <c r="DE43" s="1"/>
      <c r="DF43" s="1"/>
      <c r="DG43" s="1"/>
      <c r="DH43" s="1"/>
      <c r="DI43" s="1"/>
      <c r="DJ43" s="1"/>
      <c r="DK43" s="1"/>
      <c r="DL43" s="1"/>
      <c r="DM43" s="1"/>
      <c r="DN43" s="1"/>
      <c r="DO43" s="1"/>
      <c r="DP43" s="1"/>
      <c r="DQ43" s="1"/>
      <c r="DR43" s="1"/>
      <c r="DS43" s="1"/>
      <c r="DT43" s="1"/>
      <c r="DU43" s="1"/>
      <c r="DV43" s="1"/>
      <c r="DW43" s="1"/>
      <c r="DX43" s="1"/>
      <c r="DY43" s="1"/>
      <c r="DZ43" s="1"/>
      <c r="EA43" s="1"/>
      <c r="EB43" s="1"/>
      <c r="EC43" s="1"/>
      <c r="ED43" s="1"/>
      <c r="EE43" s="1"/>
      <c r="EF43" s="1"/>
      <c r="EG43" s="1"/>
      <c r="EH43" s="1"/>
      <c r="EI43" s="1"/>
      <c r="EJ43" s="1"/>
      <c r="EK43" s="1"/>
      <c r="EL43" s="1"/>
      <c r="EM43" s="1"/>
      <c r="EN43" s="1"/>
      <c r="EO43" s="1"/>
      <c r="EP43" s="1"/>
      <c r="EQ43" s="1"/>
      <c r="ER43" s="1"/>
      <c r="ES43" s="1"/>
      <c r="ET43" s="1"/>
      <c r="EU43" s="1"/>
      <c r="EV43" s="1"/>
      <c r="EW43" s="1"/>
      <c r="EX43" s="1"/>
      <c r="EY43" s="1"/>
      <c r="EZ43" s="1"/>
      <c r="FA43" s="1"/>
      <c r="FB43" s="1"/>
      <c r="FC43" s="1"/>
      <c r="FD43" s="1"/>
      <c r="FE43" s="1"/>
      <c r="FF43" s="1"/>
      <c r="FG43" s="1"/>
      <c r="FH43" s="1"/>
      <c r="FI43" s="1"/>
      <c r="FJ43" s="1"/>
      <c r="FK43" s="1"/>
      <c r="FL43" s="1"/>
      <c r="FM43" s="1"/>
      <c r="FN43" s="1"/>
      <c r="FO43" s="1"/>
      <c r="FP43" s="1"/>
      <c r="FQ43" s="1"/>
    </row>
    <row r="44" spans="1:173" ht="12.6" customHeight="1" x14ac:dyDescent="0.3">
      <c r="A44" s="1"/>
      <c r="B44" s="1" t="s">
        <v>249</v>
      </c>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c r="CW44" s="1"/>
      <c r="CX44" s="1"/>
      <c r="CY44" s="1"/>
      <c r="CZ44" s="1"/>
      <c r="DA44" s="1"/>
      <c r="DB44" s="1"/>
      <c r="DC44" s="1"/>
      <c r="DD44" s="1"/>
      <c r="DE44" s="1"/>
      <c r="DF44" s="1"/>
      <c r="DG44" s="1"/>
      <c r="DH44" s="1"/>
      <c r="DI44" s="1"/>
      <c r="DJ44" s="1"/>
      <c r="DK44" s="1"/>
      <c r="DL44" s="1"/>
      <c r="DM44" s="1"/>
      <c r="DN44" s="1"/>
      <c r="DO44" s="1"/>
      <c r="DP44" s="1"/>
      <c r="DQ44" s="1"/>
      <c r="DR44" s="1"/>
      <c r="DS44" s="1"/>
      <c r="DT44" s="1"/>
      <c r="DU44" s="1"/>
      <c r="DV44" s="1"/>
      <c r="DW44" s="1"/>
      <c r="DX44" s="1"/>
      <c r="DY44" s="1"/>
      <c r="DZ44" s="1"/>
      <c r="EA44" s="1"/>
      <c r="EB44" s="1"/>
      <c r="EC44" s="1"/>
      <c r="ED44" s="1"/>
      <c r="EE44" s="1"/>
      <c r="EF44" s="1"/>
      <c r="EG44" s="1"/>
      <c r="EH44" s="1"/>
      <c r="EI44" s="1"/>
      <c r="EJ44" s="1"/>
      <c r="EK44" s="1"/>
      <c r="EL44" s="1"/>
      <c r="EM44" s="1"/>
      <c r="EN44" s="1"/>
      <c r="EO44" s="1"/>
      <c r="EP44" s="1"/>
      <c r="EQ44" s="1"/>
      <c r="ER44" s="1"/>
      <c r="ES44" s="1"/>
      <c r="ET44" s="1"/>
      <c r="EU44" s="1"/>
      <c r="EV44" s="1"/>
      <c r="EW44" s="1"/>
      <c r="EX44" s="1"/>
      <c r="EY44" s="1"/>
      <c r="EZ44" s="1"/>
      <c r="FA44" s="1"/>
      <c r="FB44" s="1"/>
      <c r="FC44" s="1"/>
      <c r="FD44" s="1"/>
      <c r="FE44" s="1"/>
      <c r="FF44" s="1"/>
      <c r="FG44" s="1"/>
      <c r="FH44" s="1"/>
      <c r="FI44" s="1"/>
      <c r="FJ44" s="1"/>
      <c r="FK44" s="1"/>
      <c r="FL44" s="1"/>
      <c r="FM44" s="1"/>
      <c r="FN44" s="1"/>
      <c r="FO44" s="1"/>
      <c r="FP44" s="1"/>
      <c r="FQ44" s="1"/>
    </row>
    <row r="45" spans="1:173" ht="12.6" customHeight="1" x14ac:dyDescent="0.3">
      <c r="A45" s="1"/>
      <c r="B45" s="1" t="s">
        <v>311</v>
      </c>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c r="CW45" s="1"/>
      <c r="CX45" s="1"/>
      <c r="CY45" s="1"/>
      <c r="CZ45" s="1"/>
      <c r="DA45" s="1"/>
      <c r="DB45" s="1"/>
      <c r="DC45" s="1"/>
      <c r="DD45" s="1"/>
      <c r="DE45" s="1"/>
      <c r="DF45" s="1"/>
      <c r="DG45" s="1"/>
      <c r="DH45" s="1"/>
      <c r="DI45" s="1"/>
      <c r="DJ45" s="1"/>
      <c r="DK45" s="1"/>
      <c r="DL45" s="1"/>
      <c r="DM45" s="1"/>
      <c r="DN45" s="1"/>
      <c r="DO45" s="1"/>
      <c r="DP45" s="1"/>
      <c r="DQ45" s="1"/>
      <c r="DR45" s="1"/>
      <c r="DS45" s="1"/>
      <c r="DT45" s="1"/>
      <c r="DU45" s="1"/>
      <c r="DV45" s="1"/>
      <c r="DW45" s="1"/>
      <c r="DX45" s="1"/>
      <c r="DY45" s="1"/>
      <c r="DZ45" s="1"/>
      <c r="EA45" s="1"/>
      <c r="EB45" s="1"/>
      <c r="EC45" s="1"/>
      <c r="ED45" s="1"/>
      <c r="EE45" s="1"/>
      <c r="EF45" s="1"/>
      <c r="EG45" s="1"/>
      <c r="EH45" s="1"/>
      <c r="EI45" s="1"/>
      <c r="EJ45" s="1"/>
      <c r="EK45" s="1"/>
      <c r="EL45" s="1"/>
      <c r="EM45" s="1"/>
      <c r="EN45" s="1"/>
      <c r="EO45" s="1"/>
      <c r="EP45" s="1"/>
      <c r="EQ45" s="1"/>
      <c r="ER45" s="1"/>
      <c r="ES45" s="1"/>
      <c r="ET45" s="1"/>
      <c r="EU45" s="1"/>
      <c r="EV45" s="1"/>
      <c r="EW45" s="1"/>
      <c r="EX45" s="1"/>
      <c r="EY45" s="1"/>
      <c r="EZ45" s="1"/>
      <c r="FA45" s="1"/>
      <c r="FB45" s="1"/>
      <c r="FC45" s="1"/>
      <c r="FD45" s="1"/>
      <c r="FE45" s="1"/>
      <c r="FF45" s="1"/>
      <c r="FG45" s="1"/>
      <c r="FH45" s="1"/>
      <c r="FI45" s="1"/>
      <c r="FJ45" s="1"/>
      <c r="FK45" s="1"/>
      <c r="FL45" s="1"/>
      <c r="FM45" s="1"/>
      <c r="FN45" s="1"/>
      <c r="FO45" s="1"/>
      <c r="FP45" s="1"/>
      <c r="FQ45" s="1"/>
    </row>
    <row r="46" spans="1:173" ht="12.6" customHeight="1" x14ac:dyDescent="0.3">
      <c r="A46" s="1"/>
      <c r="B46" s="1" t="s">
        <v>252</v>
      </c>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c r="CV46" s="1"/>
      <c r="CW46" s="1"/>
      <c r="CX46" s="1"/>
      <c r="CY46" s="1"/>
      <c r="CZ46" s="1"/>
      <c r="DA46" s="1"/>
      <c r="DB46" s="1"/>
      <c r="DC46" s="1"/>
      <c r="DD46" s="1"/>
      <c r="DE46" s="1"/>
      <c r="DF46" s="1"/>
      <c r="DG46" s="1"/>
      <c r="DH46" s="1"/>
      <c r="DI46" s="1"/>
      <c r="DJ46" s="1"/>
      <c r="DK46" s="1"/>
      <c r="DL46" s="1"/>
      <c r="DM46" s="1"/>
      <c r="DN46" s="1"/>
      <c r="DO46" s="1"/>
      <c r="DP46" s="1"/>
      <c r="DQ46" s="1"/>
      <c r="DR46" s="1"/>
      <c r="DS46" s="1"/>
      <c r="DT46" s="1"/>
      <c r="DU46" s="1"/>
      <c r="DV46" s="1"/>
      <c r="DW46" s="1"/>
      <c r="DX46" s="1"/>
      <c r="DY46" s="1"/>
      <c r="DZ46" s="1"/>
      <c r="EA46" s="1"/>
      <c r="EB46" s="1"/>
      <c r="EC46" s="1"/>
      <c r="ED46" s="1"/>
      <c r="EE46" s="1"/>
      <c r="EF46" s="1"/>
      <c r="EG46" s="1"/>
      <c r="EH46" s="1"/>
      <c r="EI46" s="1"/>
      <c r="EJ46" s="1"/>
      <c r="EK46" s="1"/>
      <c r="EL46" s="1"/>
      <c r="EM46" s="1"/>
      <c r="EN46" s="1"/>
      <c r="EO46" s="1"/>
      <c r="EP46" s="1"/>
      <c r="EQ46" s="1"/>
      <c r="ER46" s="1"/>
      <c r="ES46" s="1"/>
      <c r="ET46" s="1"/>
      <c r="EU46" s="1"/>
      <c r="EV46" s="1"/>
      <c r="EW46" s="1"/>
      <c r="EX46" s="1"/>
      <c r="EY46" s="1"/>
      <c r="EZ46" s="1"/>
      <c r="FA46" s="1"/>
      <c r="FB46" s="1"/>
      <c r="FC46" s="1"/>
      <c r="FD46" s="1"/>
      <c r="FE46" s="1"/>
      <c r="FF46" s="1"/>
      <c r="FG46" s="1"/>
      <c r="FH46" s="1"/>
      <c r="FI46" s="1"/>
      <c r="FJ46" s="1"/>
      <c r="FK46" s="1"/>
      <c r="FL46" s="1"/>
      <c r="FM46" s="1"/>
      <c r="FN46" s="1"/>
      <c r="FO46" s="1"/>
      <c r="FP46" s="1"/>
      <c r="FQ46" s="1"/>
    </row>
    <row r="47" spans="1:173" ht="15" customHeight="1" x14ac:dyDescent="0.3">
      <c r="A47" s="1"/>
      <c r="B47" s="1" t="s">
        <v>254</v>
      </c>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c r="CW47" s="1"/>
      <c r="CX47" s="1"/>
      <c r="CY47" s="1"/>
      <c r="CZ47" s="1"/>
      <c r="DA47" s="1"/>
      <c r="DB47" s="1"/>
      <c r="DC47" s="1"/>
      <c r="DD47" s="1"/>
      <c r="DE47" s="1"/>
      <c r="DF47" s="1"/>
      <c r="DG47" s="1"/>
      <c r="DH47" s="1"/>
      <c r="DI47" s="1"/>
      <c r="DJ47" s="1"/>
      <c r="DK47" s="1"/>
      <c r="DL47" s="1"/>
      <c r="DM47" s="1"/>
      <c r="DN47" s="1"/>
      <c r="DO47" s="1"/>
      <c r="DP47" s="1"/>
      <c r="DQ47" s="1"/>
      <c r="DR47" s="1"/>
      <c r="DS47" s="1"/>
      <c r="DT47" s="1"/>
      <c r="DU47" s="1"/>
      <c r="DV47" s="1"/>
      <c r="DW47" s="1"/>
      <c r="DX47" s="1"/>
      <c r="DY47" s="1"/>
      <c r="DZ47" s="1"/>
      <c r="EA47" s="1"/>
      <c r="EB47" s="1"/>
      <c r="EC47" s="1"/>
      <c r="ED47" s="1"/>
      <c r="EE47" s="1"/>
      <c r="EF47" s="1"/>
      <c r="EG47" s="1"/>
      <c r="EH47" s="1"/>
      <c r="EI47" s="1"/>
      <c r="EJ47" s="1"/>
      <c r="EK47" s="1"/>
      <c r="EL47" s="1"/>
      <c r="EM47" s="1"/>
      <c r="EN47" s="1"/>
      <c r="EO47" s="1"/>
      <c r="EP47" s="1"/>
      <c r="EQ47" s="1"/>
      <c r="ER47" s="1"/>
      <c r="ES47" s="1"/>
      <c r="ET47" s="1"/>
      <c r="EU47" s="1"/>
      <c r="EV47" s="1"/>
      <c r="EW47" s="1"/>
      <c r="EX47" s="1"/>
      <c r="EY47" s="1"/>
      <c r="EZ47" s="1"/>
      <c r="FA47" s="1"/>
      <c r="FB47" s="1"/>
      <c r="FC47" s="1"/>
      <c r="FD47" s="1"/>
      <c r="FE47" s="1"/>
      <c r="FF47" s="1"/>
      <c r="FG47" s="1"/>
      <c r="FH47" s="1"/>
      <c r="FI47" s="1"/>
      <c r="FJ47" s="1"/>
      <c r="FK47" s="1"/>
      <c r="FL47" s="1"/>
      <c r="FM47" s="1"/>
      <c r="FN47" s="1"/>
      <c r="FO47" s="1"/>
      <c r="FP47" s="1"/>
      <c r="FQ47" s="1"/>
    </row>
    <row r="48" spans="1:173" ht="12.75" customHeight="1" x14ac:dyDescent="0.3">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D48" s="1"/>
      <c r="AE48" s="1"/>
      <c r="AF48" s="1"/>
      <c r="AG48" s="1"/>
      <c r="AH48" s="1"/>
      <c r="AI48" s="44"/>
      <c r="AJ48" s="44"/>
      <c r="AK48" s="44"/>
      <c r="AL48" s="44"/>
      <c r="AM48" s="1"/>
      <c r="AN48" s="540" t="s">
        <v>595</v>
      </c>
      <c r="AO48" s="540"/>
      <c r="AP48" s="540"/>
      <c r="AQ48" s="540"/>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1"/>
      <c r="CX48" s="1"/>
      <c r="CY48" s="1"/>
      <c r="CZ48" s="1"/>
      <c r="DA48" s="1"/>
      <c r="DB48" s="1"/>
      <c r="DC48" s="1"/>
      <c r="DD48" s="1"/>
      <c r="DE48" s="1"/>
      <c r="DF48" s="1"/>
      <c r="DG48" s="1"/>
      <c r="DH48" s="1"/>
      <c r="DI48" s="1"/>
      <c r="DJ48" s="1"/>
      <c r="DK48" s="1"/>
      <c r="DL48" s="1"/>
      <c r="DM48" s="1"/>
      <c r="DN48" s="1"/>
      <c r="DO48" s="1"/>
      <c r="DP48" s="1"/>
      <c r="DQ48" s="1"/>
      <c r="DR48" s="1"/>
      <c r="DS48" s="1"/>
      <c r="DT48" s="1"/>
      <c r="DU48" s="1"/>
      <c r="DV48" s="1"/>
      <c r="DW48" s="1"/>
      <c r="DX48" s="1"/>
      <c r="DY48" s="1"/>
      <c r="DZ48" s="1"/>
      <c r="EA48" s="1"/>
      <c r="EB48" s="1"/>
      <c r="EC48" s="1"/>
      <c r="ED48" s="1"/>
      <c r="EE48" s="1"/>
      <c r="EF48" s="1"/>
      <c r="EG48" s="1"/>
      <c r="EH48" s="1"/>
      <c r="EI48" s="1"/>
      <c r="EJ48" s="1"/>
      <c r="EK48" s="1"/>
      <c r="EL48" s="1"/>
      <c r="EM48" s="1"/>
      <c r="EN48" s="1"/>
      <c r="EO48" s="1"/>
      <c r="EP48" s="1"/>
      <c r="EQ48" s="1"/>
      <c r="ER48" s="1"/>
      <c r="ES48" s="1"/>
      <c r="ET48" s="1"/>
      <c r="EU48" s="1"/>
      <c r="EV48" s="1"/>
      <c r="EW48" s="1"/>
      <c r="EX48" s="1"/>
      <c r="EY48" s="1"/>
      <c r="EZ48" s="1"/>
      <c r="FA48" s="1"/>
      <c r="FB48" s="1"/>
      <c r="FC48" s="1"/>
      <c r="FD48" s="1"/>
      <c r="FE48" s="1"/>
      <c r="FF48" s="1"/>
      <c r="FG48" s="1"/>
      <c r="FH48" s="1"/>
      <c r="FI48" s="1"/>
      <c r="FJ48" s="1"/>
      <c r="FK48" s="1"/>
      <c r="FL48" s="1"/>
      <c r="FM48" s="1"/>
      <c r="FN48" s="1"/>
      <c r="FO48" s="1"/>
      <c r="FP48" s="1"/>
      <c r="FQ48" s="1"/>
    </row>
    <row r="49" spans="1:173" ht="12.6" customHeight="1" x14ac:dyDescent="0.3">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44"/>
      <c r="AJ49" s="44"/>
      <c r="AK49" s="44"/>
      <c r="AL49" s="44"/>
      <c r="AM49" s="1"/>
      <c r="AN49" s="540"/>
      <c r="AO49" s="540"/>
      <c r="AP49" s="540"/>
      <c r="AQ49" s="540"/>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c r="CW49" s="1"/>
      <c r="CX49" s="1"/>
      <c r="CY49" s="1"/>
      <c r="CZ49" s="1"/>
      <c r="DA49" s="1"/>
      <c r="DB49" s="1"/>
      <c r="DC49" s="1"/>
      <c r="DD49" s="1"/>
      <c r="DE49" s="1"/>
      <c r="DF49" s="1"/>
      <c r="DG49" s="1"/>
      <c r="DH49" s="1"/>
      <c r="DI49" s="1"/>
      <c r="DJ49" s="1"/>
      <c r="DK49" s="1"/>
      <c r="DL49" s="1"/>
      <c r="DM49" s="1"/>
      <c r="DN49" s="1"/>
      <c r="DO49" s="1"/>
      <c r="DP49" s="1"/>
      <c r="DQ49" s="1"/>
      <c r="DR49" s="1"/>
      <c r="DS49" s="1"/>
      <c r="DT49" s="1"/>
      <c r="DU49" s="1"/>
      <c r="DV49" s="1"/>
      <c r="DW49" s="1"/>
      <c r="DX49" s="1"/>
      <c r="DY49" s="1"/>
      <c r="DZ49" s="1"/>
      <c r="EA49" s="1"/>
      <c r="EB49" s="1"/>
      <c r="EC49" s="1"/>
      <c r="ED49" s="1"/>
      <c r="EE49" s="1"/>
      <c r="EF49" s="1"/>
      <c r="EG49" s="1"/>
      <c r="EH49" s="1"/>
      <c r="EI49" s="1"/>
      <c r="EJ49" s="1"/>
      <c r="EK49" s="1"/>
      <c r="EL49" s="1"/>
      <c r="EM49" s="1"/>
      <c r="EN49" s="1"/>
      <c r="EO49" s="1"/>
      <c r="EP49" s="1"/>
      <c r="EQ49" s="1"/>
      <c r="ER49" s="1"/>
      <c r="ES49" s="1"/>
      <c r="ET49" s="1"/>
      <c r="EU49" s="1"/>
      <c r="EV49" s="1"/>
      <c r="EW49" s="1"/>
      <c r="EX49" s="1"/>
      <c r="EY49" s="1"/>
      <c r="EZ49" s="1"/>
      <c r="FA49" s="1"/>
      <c r="FB49" s="1"/>
      <c r="FC49" s="1"/>
      <c r="FD49" s="1"/>
      <c r="FE49" s="1"/>
      <c r="FF49" s="1"/>
      <c r="FG49" s="1"/>
      <c r="FH49" s="1"/>
      <c r="FI49" s="1"/>
      <c r="FJ49" s="1"/>
      <c r="FK49" s="1"/>
      <c r="FL49" s="1"/>
      <c r="FM49" s="1"/>
      <c r="FN49" s="1"/>
      <c r="FO49" s="1"/>
      <c r="FP49" s="1"/>
      <c r="FQ49" s="1"/>
    </row>
    <row r="50" spans="1:173" ht="12.6" customHeight="1" x14ac:dyDescent="0.3">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44"/>
      <c r="AJ50" s="44"/>
      <c r="AK50" s="44"/>
      <c r="AL50" s="44"/>
      <c r="AM50" s="1"/>
      <c r="AN50" s="540"/>
      <c r="AO50" s="540"/>
      <c r="AP50" s="540"/>
      <c r="AQ50" s="540"/>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c r="CW50" s="1"/>
      <c r="CX50" s="1"/>
      <c r="CY50" s="1"/>
      <c r="CZ50" s="1"/>
      <c r="DA50" s="1"/>
      <c r="DB50" s="1"/>
      <c r="DC50" s="1"/>
      <c r="DD50" s="1"/>
      <c r="DE50" s="1"/>
      <c r="DF50" s="1"/>
      <c r="DG50" s="1"/>
      <c r="DH50" s="1"/>
      <c r="DI50" s="1"/>
      <c r="DJ50" s="1"/>
      <c r="DK50" s="1"/>
      <c r="DL50" s="1"/>
      <c r="DM50" s="1"/>
      <c r="DN50" s="1"/>
      <c r="DO50" s="1"/>
      <c r="DP50" s="1"/>
      <c r="DQ50" s="1"/>
      <c r="DR50" s="1"/>
      <c r="DS50" s="1"/>
      <c r="DT50" s="1"/>
      <c r="DU50" s="1"/>
      <c r="DV50" s="1"/>
      <c r="DW50" s="1"/>
      <c r="DX50" s="1"/>
      <c r="DY50" s="1"/>
      <c r="DZ50" s="1"/>
      <c r="EA50" s="1"/>
      <c r="EB50" s="1"/>
      <c r="EC50" s="1"/>
      <c r="ED50" s="1"/>
      <c r="EE50" s="1"/>
      <c r="EF50" s="1"/>
      <c r="EG50" s="1"/>
      <c r="EH50" s="1"/>
      <c r="EI50" s="1"/>
      <c r="EJ50" s="1"/>
      <c r="EK50" s="1"/>
      <c r="EL50" s="1"/>
      <c r="EM50" s="1"/>
      <c r="EN50" s="1"/>
      <c r="EO50" s="1"/>
      <c r="EP50" s="1"/>
      <c r="EQ50" s="1"/>
      <c r="ER50" s="1"/>
      <c r="ES50" s="1"/>
      <c r="ET50" s="1"/>
      <c r="EU50" s="1"/>
      <c r="EV50" s="1"/>
      <c r="EW50" s="1"/>
      <c r="EX50" s="1"/>
      <c r="EY50" s="1"/>
      <c r="EZ50" s="1"/>
      <c r="FA50" s="1"/>
      <c r="FB50" s="1"/>
      <c r="FC50" s="1"/>
      <c r="FD50" s="1"/>
      <c r="FE50" s="1"/>
      <c r="FF50" s="1"/>
      <c r="FG50" s="1"/>
      <c r="FH50" s="1"/>
      <c r="FI50" s="1"/>
      <c r="FJ50" s="1"/>
      <c r="FK50" s="1"/>
      <c r="FL50" s="1"/>
      <c r="FM50" s="1"/>
      <c r="FN50" s="1"/>
      <c r="FO50" s="1"/>
      <c r="FP50" s="1"/>
      <c r="FQ50" s="1"/>
    </row>
    <row r="51" spans="1:173" ht="12.6" customHeight="1" x14ac:dyDescent="0.3">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44"/>
      <c r="AJ51" s="44"/>
      <c r="AK51" s="44"/>
      <c r="AL51" s="44"/>
      <c r="AM51" s="1"/>
      <c r="AN51" s="540"/>
      <c r="AO51" s="540"/>
      <c r="AP51" s="540"/>
      <c r="AQ51" s="540"/>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c r="CW51" s="1"/>
      <c r="CX51" s="1"/>
      <c r="CY51" s="1"/>
      <c r="CZ51" s="1"/>
      <c r="DA51" s="1"/>
      <c r="DB51" s="1"/>
      <c r="DC51" s="1"/>
      <c r="DD51" s="1"/>
      <c r="DE51" s="1"/>
      <c r="DF51" s="1"/>
      <c r="DG51" s="1"/>
      <c r="DH51" s="1"/>
      <c r="DI51" s="1"/>
      <c r="DJ51" s="1"/>
      <c r="DK51" s="1"/>
      <c r="DL51" s="1"/>
      <c r="DM51" s="1"/>
      <c r="DN51" s="1"/>
      <c r="DO51" s="1"/>
      <c r="DP51" s="1"/>
      <c r="DQ51" s="1"/>
      <c r="DR51" s="1"/>
      <c r="DS51" s="1"/>
      <c r="DT51" s="1"/>
      <c r="DU51" s="1"/>
      <c r="DV51" s="1"/>
      <c r="DW51" s="1"/>
      <c r="DX51" s="1"/>
      <c r="DY51" s="1"/>
      <c r="DZ51" s="1"/>
      <c r="EA51" s="1"/>
      <c r="EB51" s="1"/>
      <c r="EC51" s="1"/>
      <c r="ED51" s="1"/>
      <c r="EE51" s="1"/>
      <c r="EF51" s="1"/>
      <c r="EG51" s="1"/>
      <c r="EH51" s="1"/>
      <c r="EI51" s="1"/>
      <c r="EJ51" s="1"/>
      <c r="EK51" s="1"/>
      <c r="EL51" s="1"/>
      <c r="EM51" s="1"/>
      <c r="EN51" s="1"/>
      <c r="EO51" s="1"/>
      <c r="EP51" s="1"/>
      <c r="EQ51" s="1"/>
      <c r="ER51" s="1"/>
      <c r="ES51" s="1"/>
      <c r="ET51" s="1"/>
      <c r="EU51" s="1"/>
      <c r="EV51" s="1"/>
      <c r="EW51" s="1"/>
      <c r="EX51" s="1"/>
      <c r="EY51" s="1"/>
      <c r="EZ51" s="1"/>
      <c r="FA51" s="1"/>
      <c r="FB51" s="1"/>
      <c r="FC51" s="1"/>
      <c r="FD51" s="1"/>
      <c r="FE51" s="1"/>
      <c r="FF51" s="1"/>
      <c r="FG51" s="1"/>
      <c r="FH51" s="1"/>
      <c r="FI51" s="1"/>
      <c r="FJ51" s="1"/>
      <c r="FK51" s="1"/>
      <c r="FL51" s="1"/>
      <c r="FM51" s="1"/>
      <c r="FN51" s="1"/>
      <c r="FO51" s="1"/>
      <c r="FP51" s="1"/>
      <c r="FQ51" s="1"/>
    </row>
    <row r="52" spans="1:173" ht="12.6" customHeight="1" x14ac:dyDescent="0.3">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44"/>
      <c r="AJ52" s="44"/>
      <c r="AK52" s="44"/>
      <c r="AL52" s="44"/>
      <c r="AM52" s="1"/>
      <c r="AN52" s="540"/>
      <c r="AO52" s="540"/>
      <c r="AP52" s="540"/>
      <c r="AQ52" s="540"/>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c r="CW52" s="1"/>
      <c r="CX52" s="1"/>
      <c r="CY52" s="1"/>
      <c r="CZ52" s="1"/>
      <c r="DA52" s="1"/>
      <c r="DB52" s="1"/>
      <c r="DC52" s="1"/>
      <c r="DD52" s="1"/>
      <c r="DE52" s="1"/>
      <c r="DF52" s="1"/>
      <c r="DG52" s="1"/>
      <c r="DH52" s="1"/>
      <c r="DI52" s="1"/>
      <c r="DJ52" s="1"/>
      <c r="DK52" s="1"/>
      <c r="DL52" s="1"/>
      <c r="DM52" s="1"/>
      <c r="DN52" s="1"/>
      <c r="DO52" s="1"/>
      <c r="DP52" s="1"/>
      <c r="DQ52" s="1"/>
      <c r="DR52" s="1"/>
      <c r="DS52" s="1"/>
      <c r="DT52" s="1"/>
      <c r="DU52" s="1"/>
      <c r="DV52" s="1"/>
      <c r="DW52" s="1"/>
      <c r="DX52" s="1"/>
      <c r="DY52" s="1"/>
      <c r="DZ52" s="1"/>
      <c r="EA52" s="1"/>
      <c r="EB52" s="1"/>
      <c r="EC52" s="1"/>
      <c r="ED52" s="1"/>
      <c r="EE52" s="1"/>
      <c r="EF52" s="1"/>
      <c r="EG52" s="1"/>
      <c r="EH52" s="1"/>
      <c r="EI52" s="1"/>
      <c r="EJ52" s="1"/>
      <c r="EK52" s="1"/>
      <c r="EL52" s="1"/>
      <c r="EM52" s="1"/>
      <c r="EN52" s="1"/>
      <c r="EO52" s="1"/>
      <c r="EP52" s="1"/>
      <c r="EQ52" s="1"/>
      <c r="ER52" s="1"/>
      <c r="ES52" s="1"/>
      <c r="ET52" s="1"/>
      <c r="EU52" s="1"/>
      <c r="EV52" s="1"/>
      <c r="EW52" s="1"/>
      <c r="EX52" s="1"/>
      <c r="EY52" s="1"/>
      <c r="EZ52" s="1"/>
      <c r="FA52" s="1"/>
      <c r="FB52" s="1"/>
      <c r="FC52" s="1"/>
      <c r="FD52" s="1"/>
      <c r="FE52" s="1"/>
      <c r="FF52" s="1"/>
      <c r="FG52" s="1"/>
      <c r="FH52" s="1"/>
      <c r="FI52" s="1"/>
      <c r="FJ52" s="1"/>
      <c r="FK52" s="1"/>
      <c r="FL52" s="1"/>
      <c r="FM52" s="1"/>
      <c r="FN52" s="1"/>
      <c r="FO52" s="1"/>
      <c r="FP52" s="1"/>
      <c r="FQ52" s="1"/>
    </row>
    <row r="53" spans="1:173" ht="12.6" customHeight="1" x14ac:dyDescent="0.3">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c r="CW53" s="1"/>
      <c r="CX53" s="1"/>
      <c r="CY53" s="1"/>
      <c r="CZ53" s="1"/>
      <c r="DA53" s="1"/>
      <c r="DB53" s="1"/>
      <c r="DC53" s="1"/>
      <c r="DD53" s="1"/>
      <c r="DE53" s="1"/>
      <c r="DF53" s="1"/>
      <c r="DG53" s="1"/>
      <c r="DH53" s="1"/>
      <c r="DI53" s="1"/>
      <c r="DJ53" s="1"/>
      <c r="DK53" s="1"/>
      <c r="DL53" s="1"/>
      <c r="DM53" s="1"/>
      <c r="DN53" s="1"/>
      <c r="DO53" s="1"/>
      <c r="DP53" s="1"/>
      <c r="DQ53" s="1"/>
      <c r="DR53" s="1"/>
      <c r="DS53" s="1"/>
      <c r="DT53" s="1"/>
      <c r="DU53" s="1"/>
      <c r="DV53" s="1"/>
      <c r="DW53" s="1"/>
      <c r="DX53" s="1"/>
      <c r="DY53" s="1"/>
      <c r="DZ53" s="1"/>
      <c r="EA53" s="1"/>
      <c r="EB53" s="1"/>
      <c r="EC53" s="1"/>
      <c r="ED53" s="1"/>
      <c r="EE53" s="1"/>
      <c r="EF53" s="1"/>
      <c r="EG53" s="1"/>
      <c r="EH53" s="1"/>
      <c r="EI53" s="1"/>
      <c r="EJ53" s="1"/>
      <c r="EK53" s="1"/>
      <c r="EL53" s="1"/>
      <c r="EM53" s="1"/>
      <c r="EN53" s="1"/>
      <c r="EO53" s="1"/>
      <c r="EP53" s="1"/>
      <c r="EQ53" s="1"/>
      <c r="ER53" s="1"/>
      <c r="ES53" s="1"/>
      <c r="ET53" s="1"/>
      <c r="EU53" s="1"/>
      <c r="EV53" s="1"/>
      <c r="EW53" s="1"/>
      <c r="EX53" s="1"/>
      <c r="EY53" s="1"/>
      <c r="EZ53" s="1"/>
      <c r="FA53" s="1"/>
      <c r="FB53" s="1"/>
      <c r="FC53" s="1"/>
      <c r="FD53" s="1"/>
      <c r="FE53" s="1"/>
      <c r="FF53" s="1"/>
      <c r="FG53" s="1"/>
      <c r="FH53" s="1"/>
      <c r="FI53" s="1"/>
      <c r="FJ53" s="1"/>
      <c r="FK53" s="1"/>
      <c r="FL53" s="1"/>
      <c r="FM53" s="1"/>
      <c r="FN53" s="1"/>
      <c r="FO53" s="1"/>
      <c r="FP53" s="1"/>
      <c r="FQ53" s="1"/>
    </row>
    <row r="54" spans="1:173" x14ac:dyDescent="0.3">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c r="CW54" s="1"/>
      <c r="CX54" s="1"/>
      <c r="CY54" s="1"/>
      <c r="CZ54" s="1"/>
      <c r="DA54" s="1"/>
      <c r="DB54" s="1"/>
      <c r="DC54" s="1"/>
      <c r="DD54" s="1"/>
      <c r="DE54" s="1"/>
      <c r="DF54" s="1"/>
      <c r="DG54" s="1"/>
      <c r="DH54" s="1"/>
      <c r="DI54" s="1"/>
      <c r="DJ54" s="1"/>
      <c r="DK54" s="1"/>
      <c r="DL54" s="1"/>
      <c r="DM54" s="1"/>
      <c r="DN54" s="1"/>
      <c r="DO54" s="1"/>
      <c r="DP54" s="1"/>
      <c r="DQ54" s="1"/>
      <c r="DR54" s="1"/>
      <c r="DS54" s="1"/>
      <c r="DT54" s="1"/>
      <c r="DU54" s="1"/>
      <c r="DV54" s="1"/>
      <c r="DW54" s="1"/>
      <c r="DX54" s="1"/>
      <c r="DY54" s="1"/>
      <c r="DZ54" s="1"/>
      <c r="EA54" s="1"/>
      <c r="EB54" s="1"/>
      <c r="EC54" s="1"/>
      <c r="ED54" s="1"/>
      <c r="EE54" s="1"/>
      <c r="EF54" s="1"/>
      <c r="EG54" s="1"/>
      <c r="EH54" s="1"/>
      <c r="EI54" s="1"/>
      <c r="EJ54" s="1"/>
      <c r="EK54" s="1"/>
      <c r="EL54" s="1"/>
      <c r="EM54" s="1"/>
      <c r="EN54" s="1"/>
      <c r="EO54" s="1"/>
      <c r="EP54" s="1"/>
      <c r="EQ54" s="1"/>
      <c r="ER54" s="1"/>
      <c r="ES54" s="1"/>
      <c r="ET54" s="1"/>
      <c r="EU54" s="1"/>
      <c r="EV54" s="1"/>
      <c r="EW54" s="1"/>
      <c r="EX54" s="1"/>
      <c r="EY54" s="1"/>
      <c r="EZ54" s="1"/>
      <c r="FA54" s="1"/>
      <c r="FB54" s="1"/>
      <c r="FC54" s="1"/>
      <c r="FD54" s="1"/>
      <c r="FE54" s="1"/>
      <c r="FF54" s="1"/>
      <c r="FG54" s="1"/>
      <c r="FH54" s="1"/>
      <c r="FI54" s="1"/>
      <c r="FJ54" s="1"/>
      <c r="FK54" s="1"/>
      <c r="FL54" s="1"/>
      <c r="FM54" s="1"/>
      <c r="FN54" s="1"/>
      <c r="FO54" s="1"/>
      <c r="FP54" s="1"/>
      <c r="FQ54" s="1"/>
    </row>
    <row r="55" spans="1:173" x14ac:dyDescent="0.3">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c r="CW55" s="1"/>
      <c r="CX55" s="1"/>
      <c r="CY55" s="1"/>
      <c r="CZ55" s="1"/>
      <c r="DA55" s="1"/>
      <c r="DB55" s="1"/>
      <c r="DC55" s="1"/>
      <c r="DD55" s="1"/>
      <c r="DE55" s="1"/>
      <c r="DF55" s="1"/>
      <c r="DG55" s="1"/>
      <c r="DH55" s="1"/>
      <c r="DI55" s="1"/>
      <c r="DJ55" s="1"/>
      <c r="DK55" s="1"/>
      <c r="DL55" s="1"/>
      <c r="DM55" s="1"/>
      <c r="DN55" s="1"/>
      <c r="DO55" s="1"/>
      <c r="DP55" s="1"/>
      <c r="DQ55" s="1"/>
      <c r="DR55" s="1"/>
      <c r="DS55" s="1"/>
      <c r="DT55" s="1"/>
      <c r="DU55" s="1"/>
      <c r="DV55" s="1"/>
      <c r="DW55" s="1"/>
      <c r="DX55" s="1"/>
      <c r="DY55" s="1"/>
      <c r="DZ55" s="1"/>
      <c r="EA55" s="1"/>
      <c r="EB55" s="1"/>
      <c r="EC55" s="1"/>
      <c r="ED55" s="1"/>
      <c r="EE55" s="1"/>
      <c r="EF55" s="1"/>
      <c r="EG55" s="1"/>
      <c r="EH55" s="1"/>
      <c r="EI55" s="1"/>
      <c r="EJ55" s="1"/>
      <c r="EK55" s="1"/>
      <c r="EL55" s="1"/>
      <c r="EM55" s="1"/>
      <c r="EN55" s="1"/>
      <c r="EO55" s="1"/>
      <c r="EP55" s="1"/>
      <c r="EQ55" s="1"/>
      <c r="ER55" s="1"/>
      <c r="ES55" s="1"/>
      <c r="ET55" s="1"/>
      <c r="EU55" s="1"/>
      <c r="EV55" s="1"/>
      <c r="EW55" s="1"/>
      <c r="EX55" s="1"/>
      <c r="EY55" s="1"/>
      <c r="EZ55" s="1"/>
      <c r="FA55" s="1"/>
      <c r="FB55" s="1"/>
      <c r="FC55" s="1"/>
      <c r="FD55" s="1"/>
      <c r="FE55" s="1"/>
      <c r="FF55" s="1"/>
      <c r="FG55" s="1"/>
      <c r="FH55" s="1"/>
      <c r="FI55" s="1"/>
      <c r="FJ55" s="1"/>
      <c r="FK55" s="1"/>
      <c r="FL55" s="1"/>
      <c r="FM55" s="1"/>
      <c r="FN55" s="1"/>
      <c r="FO55" s="1"/>
      <c r="FP55" s="1"/>
      <c r="FQ55" s="1"/>
    </row>
    <row r="56" spans="1:173"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row>
    <row r="57" spans="1:173"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row>
    <row r="58" spans="1:173"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row>
    <row r="59" spans="1:173"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row>
    <row r="60" spans="1:173"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row>
    <row r="61" spans="1:173"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row>
    <row r="62" spans="1:173"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row>
  </sheetData>
  <mergeCells count="1">
    <mergeCell ref="AN48:AQ52"/>
  </mergeCells>
  <dataValidations count="1">
    <dataValidation type="list" allowBlank="1" showInputMessage="1" showErrorMessage="1" sqref="C8" xr:uid="{E2CF1CCE-7A71-46C0-989B-9001BA8122C1}">
      <formula1>$B$25:$B$47</formula1>
    </dataValidation>
  </dataValidations>
  <pageMargins left="0.7" right="0.7" top="0.75" bottom="0.75" header="0.3" footer="0.3"/>
  <pageSetup paperSize="9" orientation="portrait" r:id="rId1"/>
  <headerFooter>
    <oddHeader>&amp;R&amp;"Arial"&amp;10&amp;K000000 ECB-RESTRICTED&amp;1#_x000D_</oddHeader>
  </headerFooter>
  <drawing r:id="rId2"/>
  <legacyDrawing r:id="rId3"/>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576C76-BBDF-460D-B12E-A2A4A0E9666D}">
  <sheetPr>
    <tabColor rgb="FF92D050"/>
  </sheetPr>
  <dimension ref="A1:CX121"/>
  <sheetViews>
    <sheetView zoomScale="70" zoomScaleNormal="70" workbookViewId="0">
      <selection activeCell="C7" sqref="C7"/>
    </sheetView>
  </sheetViews>
  <sheetFormatPr baseColWidth="10" defaultColWidth="8.6640625" defaultRowHeight="14.4" x14ac:dyDescent="0.3"/>
  <cols>
    <col min="1" max="1" width="4.33203125" customWidth="1"/>
    <col min="3" max="3" width="17.33203125" customWidth="1"/>
    <col min="4" max="4" width="15.6640625" customWidth="1"/>
    <col min="5" max="5" width="16.33203125" customWidth="1"/>
    <col min="6" max="6" width="15.6640625" customWidth="1"/>
    <col min="7" max="7" width="16" customWidth="1"/>
    <col min="8" max="8" width="19" customWidth="1"/>
    <col min="9" max="12" width="17" customWidth="1"/>
    <col min="13" max="13" width="17.33203125" customWidth="1"/>
    <col min="14" max="18" width="16.33203125" customWidth="1"/>
    <col min="19" max="19" width="17" customWidth="1"/>
    <col min="20" max="33" width="16.33203125" customWidth="1"/>
    <col min="34" max="34" width="14.6640625" customWidth="1"/>
    <col min="35" max="39" width="12.6640625" customWidth="1"/>
    <col min="40" max="40" width="12.6640625" hidden="1" customWidth="1"/>
    <col min="41" max="43" width="11.33203125" hidden="1" customWidth="1"/>
    <col min="44" max="47" width="11.6640625" hidden="1" customWidth="1"/>
    <col min="48" max="48" width="11.6640625" customWidth="1"/>
    <col min="49" max="49" width="13.33203125" customWidth="1"/>
    <col min="50" max="51" width="11.6640625" customWidth="1"/>
    <col min="52" max="57" width="12.6640625" customWidth="1"/>
    <col min="58" max="59" width="11.33203125" customWidth="1"/>
    <col min="60" max="67" width="11.6640625" customWidth="1"/>
    <col min="68" max="72" width="13.44140625" customWidth="1"/>
    <col min="73" max="73" width="17.33203125" customWidth="1"/>
    <col min="74" max="74" width="12.33203125" customWidth="1"/>
    <col min="75" max="86" width="9.6640625" customWidth="1"/>
    <col min="87" max="95" width="0.5546875" customWidth="1"/>
  </cols>
  <sheetData>
    <row r="1" spans="1:102" ht="15" thickBot="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row>
    <row r="2" spans="1:102" ht="18" customHeight="1" thickBot="1" x14ac:dyDescent="0.35">
      <c r="A2" s="1"/>
      <c r="B2" s="2" t="s">
        <v>654</v>
      </c>
      <c r="C2" s="3"/>
      <c r="D2" s="3"/>
      <c r="E2" s="3"/>
      <c r="F2" s="3"/>
      <c r="G2" s="3"/>
      <c r="H2" s="3"/>
      <c r="I2" s="3"/>
      <c r="J2" s="3"/>
      <c r="K2" s="3"/>
      <c r="L2" s="3"/>
      <c r="M2" s="4"/>
      <c r="N2" s="364" t="str">
        <f>C7&amp;C8</f>
        <v>2DE</v>
      </c>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row>
    <row r="3" spans="1:102" ht="18" customHeight="1" x14ac:dyDescent="0.3">
      <c r="A3" s="1"/>
      <c r="B3" s="5" t="s">
        <v>115</v>
      </c>
      <c r="C3" s="6"/>
      <c r="D3" s="6"/>
      <c r="E3" s="6"/>
      <c r="F3" s="6"/>
      <c r="G3" s="6"/>
      <c r="H3" s="6"/>
      <c r="I3" s="6"/>
      <c r="J3" s="6"/>
      <c r="K3" s="6"/>
      <c r="L3" s="6"/>
      <c r="M3" s="7"/>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row>
    <row r="4" spans="1:102" ht="18" customHeight="1" x14ac:dyDescent="0.3">
      <c r="A4" s="1"/>
      <c r="B4" s="99" t="s">
        <v>1</v>
      </c>
      <c r="C4" s="296"/>
      <c r="D4" s="296"/>
      <c r="E4" s="296"/>
      <c r="F4" s="296"/>
      <c r="G4" s="296"/>
      <c r="H4" s="296"/>
      <c r="I4" s="296"/>
      <c r="J4" s="296"/>
      <c r="K4" s="296"/>
      <c r="L4" s="296"/>
      <c r="M4" s="100"/>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row>
    <row r="5" spans="1:102" ht="14.25" customHeight="1" x14ac:dyDescent="0.3">
      <c r="A5" s="1"/>
      <c r="B5" s="293" t="s">
        <v>116</v>
      </c>
      <c r="C5" s="294"/>
      <c r="D5" s="294"/>
      <c r="E5" s="294"/>
      <c r="F5" s="294"/>
      <c r="G5" s="294"/>
      <c r="H5" s="294"/>
      <c r="I5" s="294"/>
      <c r="J5" s="294"/>
      <c r="K5" s="294"/>
      <c r="L5" s="294"/>
      <c r="M5" s="295"/>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row>
    <row r="6" spans="1:102" ht="12.6" customHeight="1" x14ac:dyDescent="0.3">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row>
    <row r="7" spans="1:102" ht="12.6" customHeight="1" x14ac:dyDescent="0.3">
      <c r="A7" s="1"/>
      <c r="B7" s="1"/>
      <c r="C7" s="363" t="s">
        <v>288</v>
      </c>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row>
    <row r="8" spans="1:102" ht="17.7" customHeight="1" x14ac:dyDescent="0.3">
      <c r="A8" s="1"/>
      <c r="B8" s="11" t="s">
        <v>2</v>
      </c>
      <c r="C8" s="12" t="s">
        <v>210</v>
      </c>
      <c r="D8" s="12" t="str" cm="1">
        <f t="array" aca="1" ref="D8" ca="1">IF(ISBLANK(INDIRECT("'" &amp; $N$2 &amp; "'!" &amp; ADDRESS(ROW(),COLUMN()))), "", INDIRECT("'" &amp; $N$2 &amp; "'!" &amp; ADDRESS(ROW(),COLUMN())))</f>
        <v>Germany</v>
      </c>
      <c r="E8" s="124" t="str" cm="1">
        <f t="array" aca="1" ref="E8" ca="1">IF(ISBLANK(INDIRECT("'" &amp; $N$2 &amp; "'!" &amp; ADDRESS(ROW(),COLUMN()))), "", INDIRECT("'" &amp; $N$2 &amp; "'!" &amp; ADDRESS(ROW(),COLUMN())))</f>
        <v>Updated: 04/02/2025</v>
      </c>
      <c r="F8" s="125"/>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row>
    <row r="9" spans="1:102" ht="10.35" customHeight="1" x14ac:dyDescent="0.3">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56"/>
      <c r="AS9" s="56"/>
      <c r="AT9" s="56"/>
      <c r="AU9" s="56"/>
      <c r="AV9" s="56"/>
      <c r="AW9" s="56"/>
      <c r="AX9" s="56"/>
      <c r="AY9" s="56"/>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c r="CW9" s="1"/>
      <c r="CX9" s="1"/>
    </row>
    <row r="10" spans="1:102" x14ac:dyDescent="0.3">
      <c r="A10" s="1"/>
      <c r="B10" s="1"/>
      <c r="C10" s="13" t="s">
        <v>6</v>
      </c>
      <c r="D10" s="14"/>
      <c r="E10" s="14"/>
      <c r="F10" s="14"/>
      <c r="G10" s="14"/>
      <c r="H10" s="14"/>
      <c r="I10" s="14"/>
      <c r="J10" s="14"/>
      <c r="K10" s="14"/>
      <c r="L10" s="14"/>
      <c r="M10" s="14"/>
      <c r="N10" s="14"/>
      <c r="O10" s="14"/>
      <c r="P10" s="15" t="s">
        <v>596</v>
      </c>
      <c r="Q10" s="16"/>
      <c r="R10" s="16"/>
      <c r="S10" s="16"/>
      <c r="T10" s="16"/>
      <c r="U10" s="16"/>
      <c r="V10" s="16"/>
      <c r="W10" s="16"/>
      <c r="X10" s="13" t="s">
        <v>649</v>
      </c>
      <c r="Y10" s="17"/>
      <c r="Z10" s="17"/>
      <c r="AA10" s="17"/>
      <c r="AB10" s="17"/>
      <c r="AC10" s="17"/>
      <c r="AD10" s="17"/>
      <c r="AE10" s="19" t="s">
        <v>11</v>
      </c>
      <c r="AF10" s="16"/>
      <c r="AG10" s="16"/>
      <c r="AH10" s="16"/>
      <c r="AI10" s="16"/>
      <c r="AJ10" s="16"/>
      <c r="AK10" s="16"/>
      <c r="AL10" s="16"/>
      <c r="AM10" s="16"/>
      <c r="AN10" s="58" t="s">
        <v>12</v>
      </c>
      <c r="AO10" s="59"/>
      <c r="AP10" s="59"/>
      <c r="AQ10" s="59"/>
      <c r="AR10" s="59"/>
      <c r="AS10" s="59"/>
      <c r="AT10" s="59"/>
      <c r="AU10" s="59"/>
      <c r="AV10" s="19" t="s">
        <v>617</v>
      </c>
      <c r="AW10" s="16"/>
      <c r="AX10" s="16"/>
      <c r="AY10" s="16"/>
      <c r="AZ10" s="16"/>
      <c r="BA10" s="16"/>
      <c r="BB10" s="16"/>
      <c r="BC10" s="16"/>
      <c r="BD10" s="19" t="s">
        <v>618</v>
      </c>
      <c r="BE10" s="127"/>
      <c r="BF10" s="59"/>
      <c r="BG10" s="59"/>
      <c r="BH10" s="59"/>
      <c r="BI10" s="59"/>
      <c r="BJ10" s="59"/>
      <c r="BK10" s="59"/>
      <c r="BL10" s="15" t="s">
        <v>15</v>
      </c>
      <c r="BM10" s="60"/>
      <c r="BN10" s="60"/>
      <c r="BO10" s="8" t="s">
        <v>118</v>
      </c>
      <c r="BP10" s="9"/>
      <c r="BQ10" s="9"/>
      <c r="BR10" s="9"/>
      <c r="BS10" s="10"/>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c r="CW10" s="1"/>
      <c r="CX10" s="1"/>
    </row>
    <row r="11" spans="1:102" ht="78.75" customHeight="1" x14ac:dyDescent="0.3">
      <c r="A11" s="1"/>
      <c r="B11" s="25" t="s">
        <v>20</v>
      </c>
      <c r="C11" s="26" t="s">
        <v>119</v>
      </c>
      <c r="D11" s="27" t="s">
        <v>120</v>
      </c>
      <c r="E11" s="26" t="s">
        <v>121</v>
      </c>
      <c r="F11" s="27" t="s">
        <v>122</v>
      </c>
      <c r="G11" s="27" t="s">
        <v>123</v>
      </c>
      <c r="H11" s="27" t="s">
        <v>124</v>
      </c>
      <c r="I11" s="27" t="s">
        <v>125</v>
      </c>
      <c r="J11" s="27" t="s">
        <v>550</v>
      </c>
      <c r="K11" s="27" t="s">
        <v>551</v>
      </c>
      <c r="L11" s="27" t="s">
        <v>128</v>
      </c>
      <c r="M11" s="27" t="s">
        <v>129</v>
      </c>
      <c r="N11" s="27" t="s">
        <v>557</v>
      </c>
      <c r="O11" s="27" t="s">
        <v>558</v>
      </c>
      <c r="P11" s="26" t="s">
        <v>119</v>
      </c>
      <c r="Q11" s="27" t="s">
        <v>120</v>
      </c>
      <c r="R11" s="27" t="s">
        <v>121</v>
      </c>
      <c r="S11" s="27" t="s">
        <v>122</v>
      </c>
      <c r="T11" s="27" t="s">
        <v>123</v>
      </c>
      <c r="U11" s="27" t="s">
        <v>130</v>
      </c>
      <c r="V11" s="27" t="s">
        <v>131</v>
      </c>
      <c r="W11" s="27" t="s">
        <v>132</v>
      </c>
      <c r="X11" s="27" t="s">
        <v>650</v>
      </c>
      <c r="Y11" s="27" t="s">
        <v>651</v>
      </c>
      <c r="Z11" s="27" t="s">
        <v>652</v>
      </c>
      <c r="AA11" s="27" t="s">
        <v>124</v>
      </c>
      <c r="AB11" s="27" t="s">
        <v>125</v>
      </c>
      <c r="AC11" s="27" t="s">
        <v>550</v>
      </c>
      <c r="AD11" s="27" t="s">
        <v>551</v>
      </c>
      <c r="AE11" s="27" t="s">
        <v>133</v>
      </c>
      <c r="AF11" s="27" t="s">
        <v>134</v>
      </c>
      <c r="AG11" s="27" t="s">
        <v>135</v>
      </c>
      <c r="AH11" s="27" t="s">
        <v>136</v>
      </c>
      <c r="AI11" s="27" t="s">
        <v>63</v>
      </c>
      <c r="AJ11" s="27" t="s">
        <v>64</v>
      </c>
      <c r="AK11" s="27" t="s">
        <v>65</v>
      </c>
      <c r="AL11" s="27" t="s">
        <v>66</v>
      </c>
      <c r="AM11" s="27" t="s">
        <v>67</v>
      </c>
      <c r="AN11" s="63" t="s">
        <v>137</v>
      </c>
      <c r="AO11" s="63" t="s">
        <v>138</v>
      </c>
      <c r="AP11" s="63" t="s">
        <v>139</v>
      </c>
      <c r="AQ11" s="63" t="s">
        <v>140</v>
      </c>
      <c r="AR11" s="63" t="s">
        <v>72</v>
      </c>
      <c r="AS11" s="63" t="s">
        <v>73</v>
      </c>
      <c r="AT11" s="63" t="s">
        <v>74</v>
      </c>
      <c r="AU11" s="63" t="s">
        <v>75</v>
      </c>
      <c r="AV11" s="27" t="s">
        <v>619</v>
      </c>
      <c r="AW11" s="27" t="s">
        <v>620</v>
      </c>
      <c r="AX11" s="27" t="s">
        <v>621</v>
      </c>
      <c r="AY11" s="27" t="s">
        <v>622</v>
      </c>
      <c r="AZ11" s="27" t="s">
        <v>141</v>
      </c>
      <c r="BA11" s="27" t="s">
        <v>142</v>
      </c>
      <c r="BB11" s="27" t="s">
        <v>82</v>
      </c>
      <c r="BC11" s="27" t="s">
        <v>623</v>
      </c>
      <c r="BD11" s="128" t="s">
        <v>624</v>
      </c>
      <c r="BE11" s="128" t="s">
        <v>625</v>
      </c>
      <c r="BF11" s="128" t="s">
        <v>626</v>
      </c>
      <c r="BG11" s="128" t="s">
        <v>627</v>
      </c>
      <c r="BH11" s="128" t="s">
        <v>143</v>
      </c>
      <c r="BI11" s="128" t="s">
        <v>144</v>
      </c>
      <c r="BJ11" s="128" t="s">
        <v>90</v>
      </c>
      <c r="BK11" s="128" t="s">
        <v>91</v>
      </c>
      <c r="BL11" s="64" t="s">
        <v>145</v>
      </c>
      <c r="BM11" s="64" t="s">
        <v>146</v>
      </c>
      <c r="BN11" s="64" t="s">
        <v>94</v>
      </c>
      <c r="BO11" s="64" t="s">
        <v>147</v>
      </c>
      <c r="BP11" s="64" t="s">
        <v>148</v>
      </c>
      <c r="BQ11" s="64" t="s">
        <v>111</v>
      </c>
      <c r="BR11" s="64" t="s">
        <v>112</v>
      </c>
      <c r="BS11" s="64" t="s">
        <v>149</v>
      </c>
      <c r="BT11" s="1"/>
      <c r="BU11" s="27" t="s">
        <v>150</v>
      </c>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c r="CW11" s="1"/>
      <c r="CX11" s="1"/>
    </row>
    <row r="12" spans="1:102" x14ac:dyDescent="0.3">
      <c r="A12" s="1"/>
      <c r="B12" s="28">
        <v>1</v>
      </c>
      <c r="C12" s="129" cm="1">
        <f t="array" aca="1" ref="C12" ca="1">IF(ISBLANK(INDIRECT("'" &amp; $N$2 &amp; "'!" &amp; ADDRESS(ROW(),COLUMN()))), "", INDIRECT("'" &amp; $N$2 &amp; "'!" &amp; ADDRESS(ROW(),COLUMN())))</f>
        <v>121711868.98799995</v>
      </c>
      <c r="D12" s="129" cm="1">
        <f t="array" aca="1" ref="D12" ca="1">IF(ISBLANK(INDIRECT("'" &amp; $N$2 &amp; "'!" &amp; ADDRESS(ROW(),COLUMN()))), "", INDIRECT("'" &amp; $N$2 &amp; "'!" &amp; ADDRESS(ROW(),COLUMN())))</f>
        <v>106853021.79120004</v>
      </c>
      <c r="E12" s="129" cm="1">
        <f t="array" aca="1" ref="E12" ca="1">IF(ISBLANK(INDIRECT("'" &amp; $N$2 &amp; "'!" &amp; ADDRESS(ROW(),COLUMN()))), "", INDIRECT("'" &amp; $N$2 &amp; "'!" &amp; ADDRESS(ROW(),COLUMN())))</f>
        <v>104335634.65320003</v>
      </c>
      <c r="F12" s="129" cm="1">
        <f t="array" aca="1" ref="F12" ca="1">IF(ISBLANK(INDIRECT("'" &amp; $N$2 &amp; "'!" &amp; ADDRESS(ROW(),COLUMN()))), "", INDIRECT("'" &amp; $N$2 &amp; "'!" &amp; ADDRESS(ROW(),COLUMN())))</f>
        <v>123585802.62480001</v>
      </c>
      <c r="G12" s="129" cm="1">
        <f t="array" aca="1" ref="G12" ca="1">IF(ISBLANK(INDIRECT("'" &amp; $N$2 &amp; "'!" &amp; ADDRESS(ROW(),COLUMN()))), "", INDIRECT("'" &amp; $N$2 &amp; "'!" &amp; ADDRESS(ROW(),COLUMN())))</f>
        <v>109707483.41478196</v>
      </c>
      <c r="H12" s="129" cm="1">
        <f t="array" aca="1" ref="H12" ca="1">IF(ISBLANK(INDIRECT("'" &amp; $N$2 &amp; "'!" &amp; ADDRESS(ROW(),COLUMN()))), "", INDIRECT("'" &amp; $N$2 &amp; "'!" &amp; ADDRESS(ROW(),COLUMN())))</f>
        <v>195369438.43158185</v>
      </c>
      <c r="I12" s="129" cm="1">
        <f t="array" aca="1" ref="I12" ca="1">IF(ISBLANK(INDIRECT("'" &amp; $N$2 &amp; "'!" &amp; ADDRESS(ROW(),COLUMN()))), "", INDIRECT("'" &amp; $N$2 &amp; "'!" &amp; ADDRESS(ROW(),COLUMN())))</f>
        <v>133908974.06718203</v>
      </c>
      <c r="J12" s="129" cm="1">
        <f t="array" aca="1" ref="J12" ca="1">IF(ISBLANK(INDIRECT("'" &amp; $N$2 &amp; "'!" &amp; ADDRESS(ROW(),COLUMN()))), "", INDIRECT("'" &amp; $N$2 &amp; "'!" &amp; ADDRESS(ROW(),COLUMN())))</f>
        <v>133811282.09478208</v>
      </c>
      <c r="K12" s="129" cm="1">
        <f t="array" aca="1" ref="K12" ca="1">IF(ISBLANK(INDIRECT("'" &amp; $N$2 &amp; "'!" &amp; ADDRESS(ROW(),COLUMN()))), "", INDIRECT("'" &amp; $N$2 &amp; "'!" &amp; ADDRESS(ROW(),COLUMN())))</f>
        <v>118565601.96438205</v>
      </c>
      <c r="L12" s="139"/>
      <c r="M12" s="139"/>
      <c r="N12" s="139"/>
      <c r="O12" s="139"/>
      <c r="P12" s="129" cm="1">
        <f t="array" aca="1" ref="P12" ca="1">IF(ISBLANK(INDIRECT("'" &amp; $N$2 &amp; "'!" &amp; ADDRESS(ROW(),COLUMN()))), "", INDIRECT("'" &amp; $N$2 &amp; "'!" &amp; ADDRESS(ROW(),COLUMN())))</f>
        <v>16960840068.538807</v>
      </c>
      <c r="Q12" s="129" cm="1">
        <f t="array" aca="1" ref="Q12" ca="1">IF(ISBLANK(INDIRECT("'" &amp; $N$2 &amp; "'!" &amp; ADDRESS(ROW(),COLUMN()))), "", INDIRECT("'" &amp; $N$2 &amp; "'!" &amp; ADDRESS(ROW(),COLUMN())))</f>
        <v>17208219395.870392</v>
      </c>
      <c r="R12" s="129" cm="1">
        <f t="array" aca="1" ref="R12" ca="1">IF(ISBLANK(INDIRECT("'" &amp; $N$2 &amp; "'!" &amp; ADDRESS(ROW(),COLUMN()))), "", INDIRECT("'" &amp; $N$2 &amp; "'!" &amp; ADDRESS(ROW(),COLUMN())))</f>
        <v>17596160370.759617</v>
      </c>
      <c r="S12" s="129" cm="1">
        <f t="array" aca="1" ref="S12" ca="1">IF(ISBLANK(INDIRECT("'" &amp; $N$2 &amp; "'!" &amp; ADDRESS(ROW(),COLUMN()))), "", INDIRECT("'" &amp; $N$2 &amp; "'!" &amp; ADDRESS(ROW(),COLUMN())))</f>
        <v>18385905753.562817</v>
      </c>
      <c r="T12" s="129" cm="1">
        <f t="array" aca="1" ref="T12" ca="1">IF(ISBLANK(INDIRECT("'" &amp; $N$2 &amp; "'!" &amp; ADDRESS(ROW(),COLUMN()))), "", INDIRECT("'" &amp; $N$2 &amp; "'!" &amp; ADDRESS(ROW(),COLUMN())))</f>
        <v>18987986415.722881</v>
      </c>
      <c r="U12" s="209">
        <f t="shared" ref="U12:U22" ca="1" si="0">T12/P12-1</f>
        <v>0.11951921832835932</v>
      </c>
      <c r="V12" s="139"/>
      <c r="W12" s="209">
        <f t="shared" ref="W12:W22" ca="1" si="1">V12/T12-1</f>
        <v>-1</v>
      </c>
      <c r="X12" s="132">
        <f t="shared" ref="X12:X22" ca="1" si="2">(G12/C12-1)/(T12/P12-1)</f>
        <v>-0.82521907975827535</v>
      </c>
      <c r="Y12" s="132">
        <f t="shared" ref="Y12:Y22" ca="1" si="3">(L12/G12-1)/(V12/T12-1)</f>
        <v>1</v>
      </c>
      <c r="Z12" s="132">
        <f t="shared" ref="Z12:Z22" ca="1" si="4">(L12/C12-1)/(V12/P12-1)</f>
        <v>1</v>
      </c>
      <c r="AA12" s="132">
        <f t="shared" ref="AA12:AD22" ca="1" si="5">(H12/$C12-1)/($T12/$P12-1)</f>
        <v>5.063452127785145</v>
      </c>
      <c r="AB12" s="132">
        <f t="shared" ca="1" si="5"/>
        <v>0.83846722248021355</v>
      </c>
      <c r="AC12" s="132">
        <f t="shared" ca="1" si="5"/>
        <v>0.83175157018198087</v>
      </c>
      <c r="AD12" s="132">
        <f t="shared" ca="1" si="5"/>
        <v>-0.21628425395601245</v>
      </c>
      <c r="AE12" s="139" t="s">
        <v>113</v>
      </c>
      <c r="AF12" s="139" t="s">
        <v>113</v>
      </c>
      <c r="AG12" s="139" t="s">
        <v>113</v>
      </c>
      <c r="AH12" s="139" t="s">
        <v>113</v>
      </c>
      <c r="AI12" s="139" t="s">
        <v>113</v>
      </c>
      <c r="AJ12" s="139" t="s">
        <v>113</v>
      </c>
      <c r="AK12" s="139" t="s">
        <v>113</v>
      </c>
      <c r="AL12" s="139"/>
      <c r="AM12" s="139"/>
      <c r="AN12" s="142" t="s">
        <v>113</v>
      </c>
      <c r="AO12" s="142" t="s">
        <v>113</v>
      </c>
      <c r="AP12" s="142" t="s">
        <v>113</v>
      </c>
      <c r="AQ12" s="142" t="s">
        <v>113</v>
      </c>
      <c r="AR12" s="142" t="s">
        <v>113</v>
      </c>
      <c r="AS12" s="142" t="s">
        <v>113</v>
      </c>
      <c r="AT12" s="142" t="s">
        <v>113</v>
      </c>
      <c r="AU12" s="142"/>
      <c r="AV12" s="139" t="s">
        <v>113</v>
      </c>
      <c r="AW12" s="139" t="s">
        <v>113</v>
      </c>
      <c r="AX12" s="139" t="s">
        <v>113</v>
      </c>
      <c r="AY12" s="139" t="s">
        <v>113</v>
      </c>
      <c r="AZ12" s="139" t="s">
        <v>113</v>
      </c>
      <c r="BA12" s="139" t="s">
        <v>113</v>
      </c>
      <c r="BB12" s="139" t="s">
        <v>113</v>
      </c>
      <c r="BC12" s="139"/>
      <c r="BD12" s="143" t="s">
        <v>113</v>
      </c>
      <c r="BE12" s="143" t="s">
        <v>113</v>
      </c>
      <c r="BF12" s="143" t="s">
        <v>113</v>
      </c>
      <c r="BG12" s="143" t="s">
        <v>113</v>
      </c>
      <c r="BH12" s="143" t="s">
        <v>113</v>
      </c>
      <c r="BI12" s="143" t="s">
        <v>113</v>
      </c>
      <c r="BJ12" s="143" t="s">
        <v>113</v>
      </c>
      <c r="BK12" s="143"/>
      <c r="BL12" s="139" t="s">
        <v>113</v>
      </c>
      <c r="BM12" s="139" t="s">
        <v>113</v>
      </c>
      <c r="BN12" s="139" t="s">
        <v>113</v>
      </c>
      <c r="BO12" s="144" t="e">
        <f ca="1">(1-BP12)*100</f>
        <v>#VALUE!</v>
      </c>
      <c r="BP12" s="145" t="str" cm="1">
        <f t="array" aca="1" ref="BP12" ca="1">IF(ISBLANK(INDIRECT("'" &amp; $N$2 &amp; "'!" &amp; ADDRESS(ROW(),COLUMN()))), "", INDIRECT("'" &amp; $N$2 &amp; "'!" &amp; ADDRESS(ROW(),COLUMN())))</f>
        <v/>
      </c>
      <c r="BQ12" s="144" t="e">
        <f t="shared" ref="BQ12:BQ22" ca="1" si="6">(1-BR12)*100</f>
        <v>#VALUE!</v>
      </c>
      <c r="BR12" s="145" t="str" cm="1">
        <f t="array" aca="1" ref="BR12" ca="1">IF(ISBLANK(INDIRECT("'" &amp; $N$2 &amp; "'!" &amp; ADDRESS(ROW(),COLUMN()))), "", INDIRECT("'" &amp; $N$2 &amp; "'!" &amp; ADDRESS(ROW(),COLUMN())))</f>
        <v/>
      </c>
      <c r="BS12" s="144" t="e">
        <f ca="1">BQ12-BO12</f>
        <v>#VALUE!</v>
      </c>
      <c r="BT12" s="1"/>
      <c r="BU12" s="408" t="str" cm="1">
        <f t="array" aca="1" ref="BU12" ca="1">IF(ISBLANK(INDIRECT("'" &amp; $N$2 &amp; "'!" &amp; ADDRESS(ROW(),COLUMN()))), "", INDIRECT("'" &amp; $N$2 &amp; "'!" &amp; ADDRESS(ROW(),COLUMN())))</f>
        <v/>
      </c>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c r="CW12" s="1"/>
      <c r="CX12" s="1"/>
    </row>
    <row r="13" spans="1:102" x14ac:dyDescent="0.3">
      <c r="A13" s="1"/>
      <c r="B13" s="28">
        <v>2</v>
      </c>
      <c r="C13" s="129" cm="1">
        <f t="array" aca="1" ref="C13" ca="1">IF(ISBLANK(INDIRECT("'" &amp; $N$2 &amp; "'!" &amp; ADDRESS(ROW(),COLUMN()))), "", INDIRECT("'" &amp; $N$2 &amp; "'!" &amp; ADDRESS(ROW(),COLUMN())))</f>
        <v>1885103050.9344013</v>
      </c>
      <c r="D13" s="129" cm="1">
        <f t="array" aca="1" ref="D13" ca="1">IF(ISBLANK(INDIRECT("'" &amp; $N$2 &amp; "'!" &amp; ADDRESS(ROW(),COLUMN()))), "", INDIRECT("'" &amp; $N$2 &amp; "'!" &amp; ADDRESS(ROW(),COLUMN())))</f>
        <v>1769657193.3719988</v>
      </c>
      <c r="E13" s="129" cm="1">
        <f t="array" aca="1" ref="E13" ca="1">IF(ISBLANK(INDIRECT("'" &amp; $N$2 &amp; "'!" &amp; ADDRESS(ROW(),COLUMN()))), "", INDIRECT("'" &amp; $N$2 &amp; "'!" &amp; ADDRESS(ROW(),COLUMN())))</f>
        <v>1730603084.8428016</v>
      </c>
      <c r="F13" s="129" cm="1">
        <f t="array" aca="1" ref="F13" ca="1">IF(ISBLANK(INDIRECT("'" &amp; $N$2 &amp; "'!" &amp; ADDRESS(ROW(),COLUMN()))), "", INDIRECT("'" &amp; $N$2 &amp; "'!" &amp; ADDRESS(ROW(),COLUMN())))</f>
        <v>1915638201.6599994</v>
      </c>
      <c r="G13" s="129" cm="1">
        <f t="array" aca="1" ref="G13" ca="1">IF(ISBLANK(INDIRECT("'" &amp; $N$2 &amp; "'!" &amp; ADDRESS(ROW(),COLUMN()))), "", INDIRECT("'" &amp; $N$2 &amp; "'!" &amp; ADDRESS(ROW(),COLUMN())))</f>
        <v>1754072991.8558848</v>
      </c>
      <c r="H13" s="129" cm="1">
        <f t="array" aca="1" ref="H13" ca="1">IF(ISBLANK(INDIRECT("'" &amp; $N$2 &amp; "'!" &amp; ADDRESS(ROW(),COLUMN()))), "", INDIRECT("'" &amp; $N$2 &amp; "'!" &amp; ADDRESS(ROW(),COLUMN())))</f>
        <v>2986181690.1554856</v>
      </c>
      <c r="I13" s="129" cm="1">
        <f t="array" aca="1" ref="I13" ca="1">IF(ISBLANK(INDIRECT("'" &amp; $N$2 &amp; "'!" &amp; ADDRESS(ROW(),COLUMN()))), "", INDIRECT("'" &amp; $N$2 &amp; "'!" &amp; ADDRESS(ROW(),COLUMN())))</f>
        <v>2116277042.4086874</v>
      </c>
      <c r="J13" s="129" cm="1">
        <f t="array" aca="1" ref="J13" ca="1">IF(ISBLANK(INDIRECT("'" &amp; $N$2 &amp; "'!" &amp; ADDRESS(ROW(),COLUMN()))), "", INDIRECT("'" &amp; $N$2 &amp; "'!" &amp; ADDRESS(ROW(),COLUMN())))</f>
        <v>2114720393.9114835</v>
      </c>
      <c r="K13" s="129" cm="1">
        <f t="array" aca="1" ref="K13" ca="1">IF(ISBLANK(INDIRECT("'" &amp; $N$2 &amp; "'!" &amp; ADDRESS(ROW(),COLUMN()))), "", INDIRECT("'" &amp; $N$2 &amp; "'!" &amp; ADDRESS(ROW(),COLUMN())))</f>
        <v>1857514985.0798864</v>
      </c>
      <c r="L13" s="139"/>
      <c r="M13" s="139"/>
      <c r="N13" s="139"/>
      <c r="O13" s="139"/>
      <c r="P13" s="129" cm="1">
        <f t="array" aca="1" ref="P13" ca="1">IF(ISBLANK(INDIRECT("'" &amp; $N$2 &amp; "'!" &amp; ADDRESS(ROW(),COLUMN()))), "", INDIRECT("'" &amp; $N$2 &amp; "'!" &amp; ADDRESS(ROW(),COLUMN())))</f>
        <v>74223656365.209564</v>
      </c>
      <c r="Q13" s="129" cm="1">
        <f t="array" aca="1" ref="Q13" ca="1">IF(ISBLANK(INDIRECT("'" &amp; $N$2 &amp; "'!" &amp; ADDRESS(ROW(),COLUMN()))), "", INDIRECT("'" &amp; $N$2 &amp; "'!" &amp; ADDRESS(ROW(),COLUMN())))</f>
        <v>75683970688.880493</v>
      </c>
      <c r="R13" s="129" cm="1">
        <f t="array" aca="1" ref="R13" ca="1">IF(ISBLANK(INDIRECT("'" &amp; $N$2 &amp; "'!" &amp; ADDRESS(ROW(),COLUMN()))), "", INDIRECT("'" &amp; $N$2 &amp; "'!" &amp; ADDRESS(ROW(),COLUMN())))</f>
        <v>77057084314.966721</v>
      </c>
      <c r="S13" s="129" cm="1">
        <f t="array" aca="1" ref="S13" ca="1">IF(ISBLANK(INDIRECT("'" &amp; $N$2 &amp; "'!" &amp; ADDRESS(ROW(),COLUMN()))), "", INDIRECT("'" &amp; $N$2 &amp; "'!" &amp; ADDRESS(ROW(),COLUMN())))</f>
        <v>80724723319.111145</v>
      </c>
      <c r="T13" s="129" cm="1">
        <f t="array" aca="1" ref="T13" ca="1">IF(ISBLANK(INDIRECT("'" &amp; $N$2 &amp; "'!" &amp; ADDRESS(ROW(),COLUMN()))), "", INDIRECT("'" &amp; $N$2 &amp; "'!" &amp; ADDRESS(ROW(),COLUMN())))</f>
        <v>83264218147.70372</v>
      </c>
      <c r="U13" s="209">
        <f t="shared" ca="1" si="0"/>
        <v>0.12180162262569016</v>
      </c>
      <c r="V13" s="139"/>
      <c r="W13" s="209">
        <f t="shared" ca="1" si="1"/>
        <v>-1</v>
      </c>
      <c r="X13" s="132">
        <f t="shared" ca="1" si="2"/>
        <v>-0.57066700956283822</v>
      </c>
      <c r="Y13" s="132">
        <f t="shared" ca="1" si="3"/>
        <v>1</v>
      </c>
      <c r="Z13" s="132">
        <f t="shared" ca="1" si="4"/>
        <v>1</v>
      </c>
      <c r="AA13" s="132">
        <f t="shared" ca="1" si="5"/>
        <v>4.7954588340778592</v>
      </c>
      <c r="AB13" s="132">
        <f t="shared" ca="1" si="5"/>
        <v>1.0068176060600267</v>
      </c>
      <c r="AC13" s="132">
        <f t="shared" ca="1" si="5"/>
        <v>1.000038032356962</v>
      </c>
      <c r="AD13" s="132">
        <f t="shared" ca="1" si="5"/>
        <v>-0.12015257530628627</v>
      </c>
      <c r="AE13" s="139" t="s">
        <v>113</v>
      </c>
      <c r="AF13" s="139" t="s">
        <v>113</v>
      </c>
      <c r="AG13" s="139" t="s">
        <v>113</v>
      </c>
      <c r="AH13" s="139" t="s">
        <v>113</v>
      </c>
      <c r="AI13" s="139" t="s">
        <v>113</v>
      </c>
      <c r="AJ13" s="139" t="s">
        <v>113</v>
      </c>
      <c r="AK13" s="139" t="s">
        <v>113</v>
      </c>
      <c r="AL13" s="139"/>
      <c r="AM13" s="139"/>
      <c r="AN13" s="142" t="s">
        <v>113</v>
      </c>
      <c r="AO13" s="142" t="s">
        <v>113</v>
      </c>
      <c r="AP13" s="142" t="s">
        <v>113</v>
      </c>
      <c r="AQ13" s="142" t="s">
        <v>113</v>
      </c>
      <c r="AR13" s="142" t="s">
        <v>113</v>
      </c>
      <c r="AS13" s="142" t="s">
        <v>113</v>
      </c>
      <c r="AT13" s="142" t="s">
        <v>113</v>
      </c>
      <c r="AU13" s="142"/>
      <c r="AV13" s="139" t="s">
        <v>113</v>
      </c>
      <c r="AW13" s="139" t="s">
        <v>113</v>
      </c>
      <c r="AX13" s="139" t="s">
        <v>113</v>
      </c>
      <c r="AY13" s="139" t="s">
        <v>113</v>
      </c>
      <c r="AZ13" s="139" t="s">
        <v>113</v>
      </c>
      <c r="BA13" s="139" t="s">
        <v>113</v>
      </c>
      <c r="BB13" s="139" t="s">
        <v>113</v>
      </c>
      <c r="BC13" s="139"/>
      <c r="BD13" s="143" t="s">
        <v>113</v>
      </c>
      <c r="BE13" s="143" t="s">
        <v>113</v>
      </c>
      <c r="BF13" s="143" t="s">
        <v>113</v>
      </c>
      <c r="BG13" s="143" t="s">
        <v>113</v>
      </c>
      <c r="BH13" s="143" t="s">
        <v>113</v>
      </c>
      <c r="BI13" s="143" t="s">
        <v>113</v>
      </c>
      <c r="BJ13" s="143" t="s">
        <v>113</v>
      </c>
      <c r="BK13" s="143"/>
      <c r="BL13" s="139" t="s">
        <v>113</v>
      </c>
      <c r="BM13" s="139" t="s">
        <v>113</v>
      </c>
      <c r="BN13" s="139" t="s">
        <v>113</v>
      </c>
      <c r="BO13" s="144" t="e">
        <f t="shared" ref="BO13:BO22" ca="1" si="7">(1-BP13)*100</f>
        <v>#VALUE!</v>
      </c>
      <c r="BP13" s="145" t="str" cm="1">
        <f t="array" aca="1" ref="BP13" ca="1">IF(ISBLANK(INDIRECT("'" &amp; $N$2 &amp; "'!" &amp; ADDRESS(ROW(),COLUMN()))), "", INDIRECT("'" &amp; $N$2 &amp; "'!" &amp; ADDRESS(ROW(),COLUMN())))</f>
        <v/>
      </c>
      <c r="BQ13" s="144" t="e">
        <f t="shared" ca="1" si="6"/>
        <v>#VALUE!</v>
      </c>
      <c r="BR13" s="145" t="str" cm="1">
        <f t="array" aca="1" ref="BR13" ca="1">IF(ISBLANK(INDIRECT("'" &amp; $N$2 &amp; "'!" &amp; ADDRESS(ROW(),COLUMN()))), "", INDIRECT("'" &amp; $N$2 &amp; "'!" &amp; ADDRESS(ROW(),COLUMN())))</f>
        <v/>
      </c>
      <c r="BS13" s="144" t="e">
        <f t="shared" ref="BS13:BS21" ca="1" si="8">BQ13-BO13</f>
        <v>#VALUE!</v>
      </c>
      <c r="BT13" s="1"/>
      <c r="BU13" s="408" t="str" cm="1">
        <f t="array" aca="1" ref="BU13" ca="1">IF(ISBLANK(INDIRECT("'" &amp; $N$2 &amp; "'!" &amp; ADDRESS(ROW(),COLUMN()))), "", INDIRECT("'" &amp; $N$2 &amp; "'!" &amp; ADDRESS(ROW(),COLUMN())))</f>
        <v/>
      </c>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c r="CW13" s="1"/>
      <c r="CX13" s="1"/>
    </row>
    <row r="14" spans="1:102" x14ac:dyDescent="0.3">
      <c r="A14" s="1"/>
      <c r="B14" s="28">
        <v>3</v>
      </c>
      <c r="C14" s="129" cm="1">
        <f t="array" aca="1" ref="C14" ca="1">IF(ISBLANK(INDIRECT("'" &amp; $N$2 &amp; "'!" &amp; ADDRESS(ROW(),COLUMN()))), "", INDIRECT("'" &amp; $N$2 &amp; "'!" &amp; ADDRESS(ROW(),COLUMN())))</f>
        <v>5329331788.6919994</v>
      </c>
      <c r="D14" s="129" cm="1">
        <f t="array" aca="1" ref="D14" ca="1">IF(ISBLANK(INDIRECT("'" &amp; $N$2 &amp; "'!" &amp; ADDRESS(ROW(),COLUMN()))), "", INDIRECT("'" &amp; $N$2 &amp; "'!" &amp; ADDRESS(ROW(),COLUMN())))</f>
        <v>5174606957.8019962</v>
      </c>
      <c r="E14" s="129" cm="1">
        <f t="array" aca="1" ref="E14" ca="1">IF(ISBLANK(INDIRECT("'" &amp; $N$2 &amp; "'!" &amp; ADDRESS(ROW(),COLUMN()))), "", INDIRECT("'" &amp; $N$2 &amp; "'!" &amp; ADDRESS(ROW(),COLUMN())))</f>
        <v>5032861324.2216034</v>
      </c>
      <c r="F14" s="129" cm="1">
        <f t="array" aca="1" ref="F14" ca="1">IF(ISBLANK(INDIRECT("'" &amp; $N$2 &amp; "'!" &amp; ADDRESS(ROW(),COLUMN()))), "", INDIRECT("'" &amp; $N$2 &amp; "'!" &amp; ADDRESS(ROW(),COLUMN())))</f>
        <v>5622791721.6492033</v>
      </c>
      <c r="G14" s="129" cm="1">
        <f t="array" aca="1" ref="G14" ca="1">IF(ISBLANK(INDIRECT("'" &amp; $N$2 &amp; "'!" &amp; ADDRESS(ROW(),COLUMN()))), "", INDIRECT("'" &amp; $N$2 &amp; "'!" &amp; ADDRESS(ROW(),COLUMN())))</f>
        <v>5309071379.2020359</v>
      </c>
      <c r="H14" s="129" cm="1">
        <f t="array" aca="1" ref="H14" ca="1">IF(ISBLANK(INDIRECT("'" &amp; $N$2 &amp; "'!" &amp; ADDRESS(ROW(),COLUMN()))), "", INDIRECT("'" &amp; $N$2 &amp; "'!" &amp; ADDRESS(ROW(),COLUMN())))</f>
        <v>7575438296.0004425</v>
      </c>
      <c r="I14" s="129" cm="1">
        <f t="array" aca="1" ref="I14" ca="1">IF(ISBLANK(INDIRECT("'" &amp; $N$2 &amp; "'!" &amp; ADDRESS(ROW(),COLUMN()))), "", INDIRECT("'" &amp; $N$2 &amp; "'!" &amp; ADDRESS(ROW(),COLUMN())))</f>
        <v>5942792770.0752335</v>
      </c>
      <c r="J14" s="129" cm="1">
        <f t="array" aca="1" ref="J14" ca="1">IF(ISBLANK(INDIRECT("'" &amp; $N$2 &amp; "'!" &amp; ADDRESS(ROW(),COLUMN()))), "", INDIRECT("'" &amp; $N$2 &amp; "'!" &amp; ADDRESS(ROW(),COLUMN())))</f>
        <v>5939725589.6112299</v>
      </c>
      <c r="K14" s="129" cm="1">
        <f t="array" aca="1" ref="K14" ca="1">IF(ISBLANK(INDIRECT("'" &amp; $N$2 &amp; "'!" &amp; ADDRESS(ROW(),COLUMN()))), "", INDIRECT("'" &amp; $N$2 &amp; "'!" &amp; ADDRESS(ROW(),COLUMN())))</f>
        <v>5403962714.8536358</v>
      </c>
      <c r="L14" s="139"/>
      <c r="M14" s="139"/>
      <c r="N14" s="139"/>
      <c r="O14" s="139"/>
      <c r="P14" s="129" cm="1">
        <f t="array" aca="1" ref="P14" ca="1">IF(ISBLANK(INDIRECT("'" &amp; $N$2 &amp; "'!" &amp; ADDRESS(ROW(),COLUMN()))), "", INDIRECT("'" &amp; $N$2 &amp; "'!" &amp; ADDRESS(ROW(),COLUMN())))</f>
        <v>109876478277.75864</v>
      </c>
      <c r="Q14" s="129" cm="1">
        <f t="array" aca="1" ref="Q14" ca="1">IF(ISBLANK(INDIRECT("'" &amp; $N$2 &amp; "'!" &amp; ADDRESS(ROW(),COLUMN()))), "", INDIRECT("'" &amp; $N$2 &amp; "'!" &amp; ADDRESS(ROW(),COLUMN())))</f>
        <v>112077585265.19754</v>
      </c>
      <c r="R14" s="129" cm="1">
        <f t="array" aca="1" ref="R14" ca="1">IF(ISBLANK(INDIRECT("'" &amp; $N$2 &amp; "'!" &amp; ADDRESS(ROW(),COLUMN()))), "", INDIRECT("'" &amp; $N$2 &amp; "'!" &amp; ADDRESS(ROW(),COLUMN())))</f>
        <v>113974636160.46835</v>
      </c>
      <c r="S14" s="129" cm="1">
        <f t="array" aca="1" ref="S14" ca="1">IF(ISBLANK(INDIRECT("'" &amp; $N$2 &amp; "'!" &amp; ADDRESS(ROW(),COLUMN()))), "", INDIRECT("'" &amp; $N$2 &amp; "'!" &amp; ADDRESS(ROW(),COLUMN())))</f>
        <v>119579342262.23276</v>
      </c>
      <c r="T14" s="129" cm="1">
        <f t="array" aca="1" ref="T14" ca="1">IF(ISBLANK(INDIRECT("'" &amp; $N$2 &amp; "'!" &amp; ADDRESS(ROW(),COLUMN()))), "", INDIRECT("'" &amp; $N$2 &amp; "'!" &amp; ADDRESS(ROW(),COLUMN())))</f>
        <v>123283162008.99481</v>
      </c>
      <c r="U14" s="209">
        <f t="shared" ca="1" si="0"/>
        <v>0.12201595774980323</v>
      </c>
      <c r="V14" s="139"/>
      <c r="W14" s="209">
        <f t="shared" ca="1" si="1"/>
        <v>-1</v>
      </c>
      <c r="X14" s="132">
        <f t="shared" ca="1" si="2"/>
        <v>-3.1157229020499881E-2</v>
      </c>
      <c r="Y14" s="132">
        <f t="shared" ca="1" si="3"/>
        <v>1</v>
      </c>
      <c r="Z14" s="132">
        <f t="shared" ca="1" si="4"/>
        <v>1</v>
      </c>
      <c r="AA14" s="132">
        <f t="shared" ca="1" si="5"/>
        <v>3.4541480954425712</v>
      </c>
      <c r="AB14" s="132">
        <f t="shared" ca="1" si="5"/>
        <v>0.94340365142009786</v>
      </c>
      <c r="AC14" s="132">
        <f t="shared" ca="1" si="5"/>
        <v>0.93868682453604546</v>
      </c>
      <c r="AD14" s="132">
        <f t="shared" ca="1" si="5"/>
        <v>0.11477027942510303</v>
      </c>
      <c r="AE14" s="139" t="s">
        <v>113</v>
      </c>
      <c r="AF14" s="139" t="s">
        <v>113</v>
      </c>
      <c r="AG14" s="139" t="s">
        <v>113</v>
      </c>
      <c r="AH14" s="139" t="s">
        <v>113</v>
      </c>
      <c r="AI14" s="139" t="s">
        <v>113</v>
      </c>
      <c r="AJ14" s="139" t="s">
        <v>113</v>
      </c>
      <c r="AK14" s="139" t="s">
        <v>113</v>
      </c>
      <c r="AL14" s="139"/>
      <c r="AM14" s="139"/>
      <c r="AN14" s="142" t="s">
        <v>113</v>
      </c>
      <c r="AO14" s="142" t="s">
        <v>113</v>
      </c>
      <c r="AP14" s="142" t="s">
        <v>113</v>
      </c>
      <c r="AQ14" s="142" t="s">
        <v>113</v>
      </c>
      <c r="AR14" s="142" t="s">
        <v>113</v>
      </c>
      <c r="AS14" s="142" t="s">
        <v>113</v>
      </c>
      <c r="AT14" s="142" t="s">
        <v>113</v>
      </c>
      <c r="AU14" s="142"/>
      <c r="AV14" s="139" t="s">
        <v>113</v>
      </c>
      <c r="AW14" s="139" t="s">
        <v>113</v>
      </c>
      <c r="AX14" s="139" t="s">
        <v>113</v>
      </c>
      <c r="AY14" s="139" t="s">
        <v>113</v>
      </c>
      <c r="AZ14" s="139" t="s">
        <v>113</v>
      </c>
      <c r="BA14" s="139" t="s">
        <v>113</v>
      </c>
      <c r="BB14" s="139" t="s">
        <v>113</v>
      </c>
      <c r="BC14" s="139"/>
      <c r="BD14" s="143" t="s">
        <v>113</v>
      </c>
      <c r="BE14" s="143" t="s">
        <v>113</v>
      </c>
      <c r="BF14" s="143" t="s">
        <v>113</v>
      </c>
      <c r="BG14" s="143" t="s">
        <v>113</v>
      </c>
      <c r="BH14" s="143" t="s">
        <v>113</v>
      </c>
      <c r="BI14" s="143" t="s">
        <v>113</v>
      </c>
      <c r="BJ14" s="143" t="s">
        <v>113</v>
      </c>
      <c r="BK14" s="143"/>
      <c r="BL14" s="139" t="s">
        <v>113</v>
      </c>
      <c r="BM14" s="139" t="s">
        <v>113</v>
      </c>
      <c r="BN14" s="139" t="s">
        <v>113</v>
      </c>
      <c r="BO14" s="144" t="e">
        <f t="shared" ca="1" si="7"/>
        <v>#VALUE!</v>
      </c>
      <c r="BP14" s="145" t="str" cm="1">
        <f t="array" aca="1" ref="BP14" ca="1">IF(ISBLANK(INDIRECT("'" &amp; $N$2 &amp; "'!" &amp; ADDRESS(ROW(),COLUMN()))), "", INDIRECT("'" &amp; $N$2 &amp; "'!" &amp; ADDRESS(ROW(),COLUMN())))</f>
        <v/>
      </c>
      <c r="BQ14" s="144" t="e">
        <f t="shared" ca="1" si="6"/>
        <v>#VALUE!</v>
      </c>
      <c r="BR14" s="145" t="str" cm="1">
        <f t="array" aca="1" ref="BR14" ca="1">IF(ISBLANK(INDIRECT("'" &amp; $N$2 &amp; "'!" &amp; ADDRESS(ROW(),COLUMN()))), "", INDIRECT("'" &amp; $N$2 &amp; "'!" &amp; ADDRESS(ROW(),COLUMN())))</f>
        <v/>
      </c>
      <c r="BS14" s="144" t="e">
        <f t="shared" ca="1" si="8"/>
        <v>#VALUE!</v>
      </c>
      <c r="BT14" s="1"/>
      <c r="BU14" s="408" t="str" cm="1">
        <f t="array" aca="1" ref="BU14" ca="1">IF(ISBLANK(INDIRECT("'" &amp; $N$2 &amp; "'!" &amp; ADDRESS(ROW(),COLUMN()))), "", INDIRECT("'" &amp; $N$2 &amp; "'!" &amp; ADDRESS(ROW(),COLUMN())))</f>
        <v/>
      </c>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c r="CW14" s="1"/>
      <c r="CX14" s="1"/>
    </row>
    <row r="15" spans="1:102" x14ac:dyDescent="0.3">
      <c r="A15" s="1"/>
      <c r="B15" s="28">
        <v>4</v>
      </c>
      <c r="C15" s="129" cm="1">
        <f t="array" aca="1" ref="C15" ca="1">IF(ISBLANK(INDIRECT("'" &amp; $N$2 &amp; "'!" &amp; ADDRESS(ROW(),COLUMN()))), "", INDIRECT("'" &amp; $N$2 &amp; "'!" &amp; ADDRESS(ROW(),COLUMN())))</f>
        <v>10404543288.167992</v>
      </c>
      <c r="D15" s="129" cm="1">
        <f t="array" aca="1" ref="D15" ca="1">IF(ISBLANK(INDIRECT("'" &amp; $N$2 &amp; "'!" &amp; ADDRESS(ROW(),COLUMN()))), "", INDIRECT("'" &amp; $N$2 &amp; "'!" &amp; ADDRESS(ROW(),COLUMN())))</f>
        <v>10295639583.526802</v>
      </c>
      <c r="E15" s="129" cm="1">
        <f t="array" aca="1" ref="E15" ca="1">IF(ISBLANK(INDIRECT("'" &amp; $N$2 &amp; "'!" &amp; ADDRESS(ROW(),COLUMN()))), "", INDIRECT("'" &amp; $N$2 &amp; "'!" &amp; ADDRESS(ROW(),COLUMN())))</f>
        <v>10042041970.48563</v>
      </c>
      <c r="F15" s="129" cm="1">
        <f t="array" aca="1" ref="F15" ca="1">IF(ISBLANK(INDIRECT("'" &amp; $N$2 &amp; "'!" &amp; ADDRESS(ROW(),COLUMN()))), "", INDIRECT("'" &amp; $N$2 &amp; "'!" &amp; ADDRESS(ROW(),COLUMN())))</f>
        <v>11063260354.934385</v>
      </c>
      <c r="G15" s="129" cm="1">
        <f t="array" aca="1" ref="G15" ca="1">IF(ISBLANK(INDIRECT("'" &amp; $N$2 &amp; "'!" &amp; ADDRESS(ROW(),COLUMN()))), "", INDIRECT("'" &amp; $N$2 &amp; "'!" &amp; ADDRESS(ROW(),COLUMN())))</f>
        <v>10732329557.733381</v>
      </c>
      <c r="H15" s="129" cm="1">
        <f t="array" aca="1" ref="H15" ca="1">IF(ISBLANK(INDIRECT("'" &amp; $N$2 &amp; "'!" &amp; ADDRESS(ROW(),COLUMN()))), "", INDIRECT("'" &amp; $N$2 &amp; "'!" &amp; ADDRESS(ROW(),COLUMN())))</f>
        <v>13892631571.410969</v>
      </c>
      <c r="I15" s="129" cm="1">
        <f t="array" aca="1" ref="I15" ca="1">IF(ISBLANK(INDIRECT("'" &amp; $N$2 &amp; "'!" &amp; ADDRESS(ROW(),COLUMN()))), "", INDIRECT("'" &amp; $N$2 &amp; "'!" &amp; ADDRESS(ROW(),COLUMN())))</f>
        <v>11626362008.379372</v>
      </c>
      <c r="J15" s="129" cm="1">
        <f t="array" aca="1" ref="J15" ca="1">IF(ISBLANK(INDIRECT("'" &amp; $N$2 &amp; "'!" &amp; ADDRESS(ROW(),COLUMN()))), "", INDIRECT("'" &amp; $N$2 &amp; "'!" &amp; ADDRESS(ROW(),COLUMN())))</f>
        <v>11622026136.700617</v>
      </c>
      <c r="K15" s="129" cm="1">
        <f t="array" aca="1" ref="K15" ca="1">IF(ISBLANK(INDIRECT("'" &amp; $N$2 &amp; "'!" &amp; ADDRESS(ROW(),COLUMN()))), "", INDIRECT("'" &amp; $N$2 &amp; "'!" &amp; ADDRESS(ROW(),COLUMN())))</f>
        <v>10861971809.6686</v>
      </c>
      <c r="L15" s="139"/>
      <c r="M15" s="139"/>
      <c r="N15" s="139"/>
      <c r="O15" s="139"/>
      <c r="P15" s="129" cm="1">
        <f t="array" aca="1" ref="P15" ca="1">IF(ISBLANK(INDIRECT("'" &amp; $N$2 &amp; "'!" &amp; ADDRESS(ROW(),COLUMN()))), "", INDIRECT("'" &amp; $N$2 &amp; "'!" &amp; ADDRESS(ROW(),COLUMN())))</f>
        <v>137486935402.22742</v>
      </c>
      <c r="Q15" s="129" cm="1">
        <f t="array" aca="1" ref="Q15" ca="1">IF(ISBLANK(INDIRECT("'" &amp; $N$2 &amp; "'!" &amp; ADDRESS(ROW(),COLUMN()))), "", INDIRECT("'" &amp; $N$2 &amp; "'!" &amp; ADDRESS(ROW(),COLUMN())))</f>
        <v>139861004226.38904</v>
      </c>
      <c r="R15" s="129" cm="1">
        <f t="array" aca="1" ref="R15" ca="1">IF(ISBLANK(INDIRECT("'" &amp; $N$2 &amp; "'!" &amp; ADDRESS(ROW(),COLUMN()))), "", INDIRECT("'" &amp; $N$2 &amp; "'!" &amp; ADDRESS(ROW(),COLUMN())))</f>
        <v>142625274786.27603</v>
      </c>
      <c r="S15" s="129" cm="1">
        <f t="array" aca="1" ref="S15" ca="1">IF(ISBLANK(INDIRECT("'" &amp; $N$2 &amp; "'!" &amp; ADDRESS(ROW(),COLUMN()))), "", INDIRECT("'" &amp; $N$2 &amp; "'!" &amp; ADDRESS(ROW(),COLUMN())))</f>
        <v>149579364875.41479</v>
      </c>
      <c r="T15" s="129" cm="1">
        <f t="array" aca="1" ref="T15" ca="1">IF(ISBLANK(INDIRECT("'" &amp; $N$2 &amp; "'!" &amp; ADDRESS(ROW(),COLUMN()))), "", INDIRECT("'" &amp; $N$2 &amp; "'!" &amp; ADDRESS(ROW(),COLUMN())))</f>
        <v>154516169723.15192</v>
      </c>
      <c r="U15" s="209">
        <f t="shared" ca="1" si="0"/>
        <v>0.12386074553996207</v>
      </c>
      <c r="V15" s="139"/>
      <c r="W15" s="209">
        <f t="shared" ca="1" si="1"/>
        <v>-1</v>
      </c>
      <c r="X15" s="132">
        <f t="shared" ca="1" si="2"/>
        <v>0.25435134969447698</v>
      </c>
      <c r="Y15" s="132">
        <f t="shared" ca="1" si="3"/>
        <v>1</v>
      </c>
      <c r="Z15" s="132">
        <f t="shared" ca="1" si="4"/>
        <v>1</v>
      </c>
      <c r="AA15" s="132">
        <f t="shared" ca="1" si="5"/>
        <v>2.7066416292319921</v>
      </c>
      <c r="AB15" s="132">
        <f t="shared" ca="1" si="5"/>
        <v>0.94809108685300902</v>
      </c>
      <c r="AC15" s="132">
        <f t="shared" ca="1" si="5"/>
        <v>0.94472659323021113</v>
      </c>
      <c r="AD15" s="132">
        <f t="shared" ca="1" si="5"/>
        <v>0.3549494674889645</v>
      </c>
      <c r="AE15" s="139" t="s">
        <v>113</v>
      </c>
      <c r="AF15" s="139" t="s">
        <v>113</v>
      </c>
      <c r="AG15" s="139" t="s">
        <v>113</v>
      </c>
      <c r="AH15" s="139" t="s">
        <v>113</v>
      </c>
      <c r="AI15" s="139" t="s">
        <v>113</v>
      </c>
      <c r="AJ15" s="139" t="s">
        <v>113</v>
      </c>
      <c r="AK15" s="139" t="s">
        <v>113</v>
      </c>
      <c r="AL15" s="139"/>
      <c r="AM15" s="139"/>
      <c r="AN15" s="142" t="s">
        <v>113</v>
      </c>
      <c r="AO15" s="142" t="s">
        <v>113</v>
      </c>
      <c r="AP15" s="142" t="s">
        <v>113</v>
      </c>
      <c r="AQ15" s="142" t="s">
        <v>113</v>
      </c>
      <c r="AR15" s="142" t="s">
        <v>113</v>
      </c>
      <c r="AS15" s="142" t="s">
        <v>113</v>
      </c>
      <c r="AT15" s="142" t="s">
        <v>113</v>
      </c>
      <c r="AU15" s="142"/>
      <c r="AV15" s="139" t="s">
        <v>113</v>
      </c>
      <c r="AW15" s="139" t="s">
        <v>113</v>
      </c>
      <c r="AX15" s="139" t="s">
        <v>113</v>
      </c>
      <c r="AY15" s="139" t="s">
        <v>113</v>
      </c>
      <c r="AZ15" s="139" t="s">
        <v>113</v>
      </c>
      <c r="BA15" s="139" t="s">
        <v>113</v>
      </c>
      <c r="BB15" s="139" t="s">
        <v>113</v>
      </c>
      <c r="BC15" s="139"/>
      <c r="BD15" s="143" t="s">
        <v>113</v>
      </c>
      <c r="BE15" s="143" t="s">
        <v>113</v>
      </c>
      <c r="BF15" s="143" t="s">
        <v>113</v>
      </c>
      <c r="BG15" s="143" t="s">
        <v>113</v>
      </c>
      <c r="BH15" s="143" t="s">
        <v>113</v>
      </c>
      <c r="BI15" s="143" t="s">
        <v>113</v>
      </c>
      <c r="BJ15" s="143" t="s">
        <v>113</v>
      </c>
      <c r="BK15" s="143"/>
      <c r="BL15" s="139" t="s">
        <v>113</v>
      </c>
      <c r="BM15" s="139" t="s">
        <v>113</v>
      </c>
      <c r="BN15" s="139" t="s">
        <v>113</v>
      </c>
      <c r="BO15" s="144" t="e">
        <f t="shared" ca="1" si="7"/>
        <v>#VALUE!</v>
      </c>
      <c r="BP15" s="145" t="str" cm="1">
        <f t="array" aca="1" ref="BP15" ca="1">IF(ISBLANK(INDIRECT("'" &amp; $N$2 &amp; "'!" &amp; ADDRESS(ROW(),COLUMN()))), "", INDIRECT("'" &amp; $N$2 &amp; "'!" &amp; ADDRESS(ROW(),COLUMN())))</f>
        <v/>
      </c>
      <c r="BQ15" s="144" t="e">
        <f t="shared" ca="1" si="6"/>
        <v>#VALUE!</v>
      </c>
      <c r="BR15" s="145" t="str" cm="1">
        <f t="array" aca="1" ref="BR15" ca="1">IF(ISBLANK(INDIRECT("'" &amp; $N$2 &amp; "'!" &amp; ADDRESS(ROW(),COLUMN()))), "", INDIRECT("'" &amp; $N$2 &amp; "'!" &amp; ADDRESS(ROW(),COLUMN())))</f>
        <v/>
      </c>
      <c r="BS15" s="144" t="e">
        <f t="shared" ca="1" si="8"/>
        <v>#VALUE!</v>
      </c>
      <c r="BT15" s="1"/>
      <c r="BU15" s="408" t="str" cm="1">
        <f t="array" aca="1" ref="BU15" ca="1">IF(ISBLANK(INDIRECT("'" &amp; $N$2 &amp; "'!" &amp; ADDRESS(ROW(),COLUMN()))), "", INDIRECT("'" &amp; $N$2 &amp; "'!" &amp; ADDRESS(ROW(),COLUMN())))</f>
        <v/>
      </c>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c r="CW15" s="1"/>
      <c r="CX15" s="1"/>
    </row>
    <row r="16" spans="1:102" x14ac:dyDescent="0.3">
      <c r="A16" s="1"/>
      <c r="B16" s="28">
        <v>5</v>
      </c>
      <c r="C16" s="129" cm="1">
        <f t="array" aca="1" ref="C16" ca="1">IF(ISBLANK(INDIRECT("'" &amp; $N$2 &amp; "'!" &amp; ADDRESS(ROW(),COLUMN()))), "", INDIRECT("'" &amp; $N$2 &amp; "'!" &amp; ADDRESS(ROW(),COLUMN())))</f>
        <v>16968079401.860413</v>
      </c>
      <c r="D16" s="129" cm="1">
        <f t="array" aca="1" ref="D16" ca="1">IF(ISBLANK(INDIRECT("'" &amp; $N$2 &amp; "'!" &amp; ADDRESS(ROW(),COLUMN()))), "", INDIRECT("'" &amp; $N$2 &amp; "'!" &amp; ADDRESS(ROW(),COLUMN())))</f>
        <v>16795994377.62121</v>
      </c>
      <c r="E16" s="129" cm="1">
        <f t="array" aca="1" ref="E16" ca="1">IF(ISBLANK(INDIRECT("'" &amp; $N$2 &amp; "'!" &amp; ADDRESS(ROW(),COLUMN()))), "", INDIRECT("'" &amp; $N$2 &amp; "'!" &amp; ADDRESS(ROW(),COLUMN())))</f>
        <v>16342977454.374004</v>
      </c>
      <c r="F16" s="129" cm="1">
        <f t="array" aca="1" ref="F16" ca="1">IF(ISBLANK(INDIRECT("'" &amp; $N$2 &amp; "'!" &amp; ADDRESS(ROW(),COLUMN()))), "", INDIRECT("'" &amp; $N$2 &amp; "'!" &amp; ADDRESS(ROW(),COLUMN())))</f>
        <v>17851173797.473198</v>
      </c>
      <c r="G16" s="129" cm="1">
        <f t="array" aca="1" ref="G16" ca="1">IF(ISBLANK(INDIRECT("'" &amp; $N$2 &amp; "'!" &amp; ADDRESS(ROW(),COLUMN()))), "", INDIRECT("'" &amp; $N$2 &amp; "'!" &amp; ADDRESS(ROW(),COLUMN())))</f>
        <v>17488046749.968079</v>
      </c>
      <c r="H16" s="129" cm="1">
        <f t="array" aca="1" ref="H16" ca="1">IF(ISBLANK(INDIRECT("'" &amp; $N$2 &amp; "'!" &amp; ADDRESS(ROW(),COLUMN()))), "", INDIRECT("'" &amp; $N$2 &amp; "'!" &amp; ADDRESS(ROW(),COLUMN())))</f>
        <v>21876599662.833698</v>
      </c>
      <c r="I16" s="129" cm="1">
        <f t="array" aca="1" ref="I16" ca="1">IF(ISBLANK(INDIRECT("'" &amp; $N$2 &amp; "'!" &amp; ADDRESS(ROW(),COLUMN()))), "", INDIRECT("'" &amp; $N$2 &amp; "'!" &amp; ADDRESS(ROW(),COLUMN())))</f>
        <v>19022669614.659733</v>
      </c>
      <c r="J16" s="129" cm="1">
        <f t="array" aca="1" ref="J16" ca="1">IF(ISBLANK(INDIRECT("'" &amp; $N$2 &amp; "'!" &amp; ADDRESS(ROW(),COLUMN()))), "", INDIRECT("'" &amp; $N$2 &amp; "'!" &amp; ADDRESS(ROW(),COLUMN())))</f>
        <v>19017070632.637268</v>
      </c>
      <c r="K16" s="129" cm="1">
        <f t="array" aca="1" ref="K16" ca="1">IF(ISBLANK(INDIRECT("'" &amp; $N$2 &amp; "'!" &amp; ADDRESS(ROW(),COLUMN()))), "", INDIRECT("'" &amp; $N$2 &amp; "'!" &amp; ADDRESS(ROW(),COLUMN())))</f>
        <v>18027344466.909706</v>
      </c>
      <c r="L16" s="139"/>
      <c r="M16" s="139"/>
      <c r="N16" s="139"/>
      <c r="O16" s="139"/>
      <c r="P16" s="129" cm="1">
        <f t="array" aca="1" ref="P16" ca="1">IF(ISBLANK(INDIRECT("'" &amp; $N$2 &amp; "'!" &amp; ADDRESS(ROW(),COLUMN()))), "", INDIRECT("'" &amp; $N$2 &amp; "'!" &amp; ADDRESS(ROW(),COLUMN())))</f>
        <v>163618581983.23578</v>
      </c>
      <c r="Q16" s="129" cm="1">
        <f t="array" aca="1" ref="Q16" ca="1">IF(ISBLANK(INDIRECT("'" &amp; $N$2 &amp; "'!" &amp; ADDRESS(ROW(),COLUMN()))), "", INDIRECT("'" &amp; $N$2 &amp; "'!" &amp; ADDRESS(ROW(),COLUMN())))</f>
        <v>165801906751.45856</v>
      </c>
      <c r="R16" s="129" cm="1">
        <f t="array" aca="1" ref="R16" ca="1">IF(ISBLANK(INDIRECT("'" &amp; $N$2 &amp; "'!" &amp; ADDRESS(ROW(),COLUMN()))), "", INDIRECT("'" &amp; $N$2 &amp; "'!" &amp; ADDRESS(ROW(),COLUMN())))</f>
        <v>169699650434.29541</v>
      </c>
      <c r="S16" s="129" cm="1">
        <f t="array" aca="1" ref="S16" ca="1">IF(ISBLANK(INDIRECT("'" &amp; $N$2 &amp; "'!" &amp; ADDRESS(ROW(),COLUMN()))), "", INDIRECT("'" &amp; $N$2 &amp; "'!" &amp; ADDRESS(ROW(),COLUMN())))</f>
        <v>177846241552.57214</v>
      </c>
      <c r="T16" s="129" cm="1">
        <f t="array" aca="1" ref="T16" ca="1">IF(ISBLANK(INDIRECT("'" &amp; $N$2 &amp; "'!" &amp; ADDRESS(ROW(),COLUMN()))), "", INDIRECT("'" &amp; $N$2 &amp; "'!" &amp; ADDRESS(ROW(),COLUMN())))</f>
        <v>184210879461.77817</v>
      </c>
      <c r="U16" s="209">
        <f t="shared" ca="1" si="0"/>
        <v>0.12585549409450492</v>
      </c>
      <c r="V16" s="139"/>
      <c r="W16" s="209">
        <f t="shared" ca="1" si="1"/>
        <v>-1</v>
      </c>
      <c r="X16" s="132">
        <f t="shared" ca="1" si="2"/>
        <v>0.24348443614320711</v>
      </c>
      <c r="Y16" s="132">
        <f t="shared" ca="1" si="3"/>
        <v>1</v>
      </c>
      <c r="Z16" s="132">
        <f t="shared" ca="1" si="4"/>
        <v>1</v>
      </c>
      <c r="AA16" s="132">
        <f t="shared" ca="1" si="5"/>
        <v>2.2985064204322327</v>
      </c>
      <c r="AB16" s="132">
        <f t="shared" ca="1" si="5"/>
        <v>0.96210029589244594</v>
      </c>
      <c r="AC16" s="132">
        <f t="shared" ca="1" si="5"/>
        <v>0.95947846783790081</v>
      </c>
      <c r="AD16" s="132">
        <f t="shared" ca="1" si="5"/>
        <v>0.49602067904525649</v>
      </c>
      <c r="AE16" s="139" t="s">
        <v>113</v>
      </c>
      <c r="AF16" s="139" t="s">
        <v>113</v>
      </c>
      <c r="AG16" s="139" t="s">
        <v>113</v>
      </c>
      <c r="AH16" s="139" t="s">
        <v>113</v>
      </c>
      <c r="AI16" s="139" t="s">
        <v>113</v>
      </c>
      <c r="AJ16" s="139" t="s">
        <v>113</v>
      </c>
      <c r="AK16" s="139" t="s">
        <v>113</v>
      </c>
      <c r="AL16" s="139"/>
      <c r="AM16" s="139"/>
      <c r="AN16" s="142" t="s">
        <v>113</v>
      </c>
      <c r="AO16" s="142" t="s">
        <v>113</v>
      </c>
      <c r="AP16" s="142" t="s">
        <v>113</v>
      </c>
      <c r="AQ16" s="142" t="s">
        <v>113</v>
      </c>
      <c r="AR16" s="142" t="s">
        <v>113</v>
      </c>
      <c r="AS16" s="142" t="s">
        <v>113</v>
      </c>
      <c r="AT16" s="142" t="s">
        <v>113</v>
      </c>
      <c r="AU16" s="142"/>
      <c r="AV16" s="139" t="s">
        <v>113</v>
      </c>
      <c r="AW16" s="139" t="s">
        <v>113</v>
      </c>
      <c r="AX16" s="139" t="s">
        <v>113</v>
      </c>
      <c r="AY16" s="139" t="s">
        <v>113</v>
      </c>
      <c r="AZ16" s="139" t="s">
        <v>113</v>
      </c>
      <c r="BA16" s="139" t="s">
        <v>113</v>
      </c>
      <c r="BB16" s="139" t="s">
        <v>113</v>
      </c>
      <c r="BC16" s="139"/>
      <c r="BD16" s="143" t="s">
        <v>113</v>
      </c>
      <c r="BE16" s="143" t="s">
        <v>113</v>
      </c>
      <c r="BF16" s="143" t="s">
        <v>113</v>
      </c>
      <c r="BG16" s="143" t="s">
        <v>113</v>
      </c>
      <c r="BH16" s="143" t="s">
        <v>113</v>
      </c>
      <c r="BI16" s="143" t="s">
        <v>113</v>
      </c>
      <c r="BJ16" s="143" t="s">
        <v>113</v>
      </c>
      <c r="BK16" s="143"/>
      <c r="BL16" s="139" t="s">
        <v>113</v>
      </c>
      <c r="BM16" s="139" t="s">
        <v>113</v>
      </c>
      <c r="BN16" s="139" t="s">
        <v>113</v>
      </c>
      <c r="BO16" s="144" t="e">
        <f t="shared" ca="1" si="7"/>
        <v>#VALUE!</v>
      </c>
      <c r="BP16" s="145" t="str" cm="1">
        <f t="array" aca="1" ref="BP16" ca="1">IF(ISBLANK(INDIRECT("'" &amp; $N$2 &amp; "'!" &amp; ADDRESS(ROW(),COLUMN()))), "", INDIRECT("'" &amp; $N$2 &amp; "'!" &amp; ADDRESS(ROW(),COLUMN())))</f>
        <v/>
      </c>
      <c r="BQ16" s="144" t="e">
        <f t="shared" ca="1" si="6"/>
        <v>#VALUE!</v>
      </c>
      <c r="BR16" s="145" t="str" cm="1">
        <f t="array" aca="1" ref="BR16" ca="1">IF(ISBLANK(INDIRECT("'" &amp; $N$2 &amp; "'!" &amp; ADDRESS(ROW(),COLUMN()))), "", INDIRECT("'" &amp; $N$2 &amp; "'!" &amp; ADDRESS(ROW(),COLUMN())))</f>
        <v/>
      </c>
      <c r="BS16" s="144" t="e">
        <f t="shared" ca="1" si="8"/>
        <v>#VALUE!</v>
      </c>
      <c r="BT16" s="1"/>
      <c r="BU16" s="408" t="str" cm="1">
        <f t="array" aca="1" ref="BU16" ca="1">IF(ISBLANK(INDIRECT("'" &amp; $N$2 &amp; "'!" &amp; ADDRESS(ROW(),COLUMN()))), "", INDIRECT("'" &amp; $N$2 &amp; "'!" &amp; ADDRESS(ROW(),COLUMN())))</f>
        <v/>
      </c>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row>
    <row r="17" spans="1:102" x14ac:dyDescent="0.3">
      <c r="A17" s="1"/>
      <c r="B17" s="28">
        <v>6</v>
      </c>
      <c r="C17" s="129" cm="1">
        <f t="array" aca="1" ref="C17" ca="1">IF(ISBLANK(INDIRECT("'" &amp; $N$2 &amp; "'!" &amp; ADDRESS(ROW(),COLUMN()))), "", INDIRECT("'" &amp; $N$2 &amp; "'!" &amp; ADDRESS(ROW(),COLUMN())))</f>
        <v>24963521731.123158</v>
      </c>
      <c r="D17" s="129" cm="1">
        <f t="array" aca="1" ref="D17" ca="1">IF(ISBLANK(INDIRECT("'" &amp; $N$2 &amp; "'!" &amp; ADDRESS(ROW(),COLUMN()))), "", INDIRECT("'" &amp; $N$2 &amp; "'!" &amp; ADDRESS(ROW(),COLUMN())))</f>
        <v>24728772937.088394</v>
      </c>
      <c r="E17" s="129" cm="1">
        <f t="array" aca="1" ref="E17" ca="1">IF(ISBLANK(INDIRECT("'" &amp; $N$2 &amp; "'!" &amp; ADDRESS(ROW(),COLUMN()))), "", INDIRECT("'" &amp; $N$2 &amp; "'!" &amp; ADDRESS(ROW(),COLUMN())))</f>
        <v>24123640970.607582</v>
      </c>
      <c r="F17" s="129" cm="1">
        <f t="array" aca="1" ref="F17" ca="1">IF(ISBLANK(INDIRECT("'" &amp; $N$2 &amp; "'!" &amp; ADDRESS(ROW(),COLUMN()))), "", INDIRECT("'" &amp; $N$2 &amp; "'!" &amp; ADDRESS(ROW(),COLUMN())))</f>
        <v>26144823964.178368</v>
      </c>
      <c r="G17" s="129" cm="1">
        <f t="array" aca="1" ref="G17" ca="1">IF(ISBLANK(INDIRECT("'" &amp; $N$2 &amp; "'!" &amp; ADDRESS(ROW(),COLUMN()))), "", INDIRECT("'" &amp; $N$2 &amp; "'!" &amp; ADDRESS(ROW(),COLUMN())))</f>
        <v>25866039798.042988</v>
      </c>
      <c r="H17" s="129" cm="1">
        <f t="array" aca="1" ref="H17" ca="1">IF(ISBLANK(INDIRECT("'" &amp; $N$2 &amp; "'!" &amp; ADDRESS(ROW(),COLUMN()))), "", INDIRECT("'" &amp; $N$2 &amp; "'!" &amp; ADDRESS(ROW(),COLUMN())))</f>
        <v>31411592877.39706</v>
      </c>
      <c r="I17" s="129" cm="1">
        <f t="array" aca="1" ref="I17" ca="1">IF(ISBLANK(INDIRECT("'" &amp; $N$2 &amp; "'!" &amp; ADDRESS(ROW(),COLUMN()))), "", INDIRECT("'" &amp; $N$2 &amp; "'!" &amp; ADDRESS(ROW(),COLUMN())))</f>
        <v>28027556808.778706</v>
      </c>
      <c r="J17" s="129" cm="1">
        <f t="array" aca="1" ref="J17" ca="1">IF(ISBLANK(INDIRECT("'" &amp; $N$2 &amp; "'!" &amp; ADDRESS(ROW(),COLUMN()))), "", INDIRECT("'" &amp; $N$2 &amp; "'!" &amp; ADDRESS(ROW(),COLUMN())))</f>
        <v>28020867541.971371</v>
      </c>
      <c r="K17" s="129" cm="1">
        <f t="array" aca="1" ref="K17" ca="1">IF(ISBLANK(INDIRECT("'" &amp; $N$2 &amp; "'!" &amp; ADDRESS(ROW(),COLUMN()))), "", INDIRECT("'" &amp; $N$2 &amp; "'!" &amp; ADDRESS(ROW(),COLUMN())))</f>
        <v>26856835950.475025</v>
      </c>
      <c r="L17" s="139"/>
      <c r="M17" s="139"/>
      <c r="N17" s="139"/>
      <c r="O17" s="139"/>
      <c r="P17" s="129" cm="1">
        <f t="array" aca="1" ref="P17" ca="1">IF(ISBLANK(INDIRECT("'" &amp; $N$2 &amp; "'!" &amp; ADDRESS(ROW(),COLUMN()))), "", INDIRECT("'" &amp; $N$2 &amp; "'!" &amp; ADDRESS(ROW(),COLUMN())))</f>
        <v>191947372703.28217</v>
      </c>
      <c r="Q17" s="129" cm="1">
        <f t="array" aca="1" ref="Q17" ca="1">IF(ISBLANK(INDIRECT("'" &amp; $N$2 &amp; "'!" &amp; ADDRESS(ROW(),COLUMN()))), "", INDIRECT("'" &amp; $N$2 &amp; "'!" &amp; ADDRESS(ROW(),COLUMN())))</f>
        <v>193989437065.64319</v>
      </c>
      <c r="R17" s="129" cm="1">
        <f t="array" aca="1" ref="R17" ca="1">IF(ISBLANK(INDIRECT("'" &amp; $N$2 &amp; "'!" &amp; ADDRESS(ROW(),COLUMN()))), "", INDIRECT("'" &amp; $N$2 &amp; "'!" &amp; ADDRESS(ROW(),COLUMN())))</f>
        <v>199024617348.61758</v>
      </c>
      <c r="S17" s="129" cm="1">
        <f t="array" aca="1" ref="S17" ca="1">IF(ISBLANK(INDIRECT("'" &amp; $N$2 &amp; "'!" &amp; ADDRESS(ROW(),COLUMN()))), "", INDIRECT("'" &amp; $N$2 &amp; "'!" &amp; ADDRESS(ROW(),COLUMN())))</f>
        <v>208529033196.86041</v>
      </c>
      <c r="T17" s="129" cm="1">
        <f t="array" aca="1" ref="T17" ca="1">IF(ISBLANK(INDIRECT("'" &amp; $N$2 &amp; "'!" &amp; ADDRESS(ROW(),COLUMN()))), "", INDIRECT("'" &amp; $N$2 &amp; "'!" &amp; ADDRESS(ROW(),COLUMN())))</f>
        <v>216340053068.26447</v>
      </c>
      <c r="U17" s="209">
        <f t="shared" ca="1" si="0"/>
        <v>0.12708004293806718</v>
      </c>
      <c r="V17" s="139"/>
      <c r="W17" s="209">
        <f t="shared" ca="1" si="1"/>
        <v>-1</v>
      </c>
      <c r="X17" s="132">
        <f t="shared" ca="1" si="2"/>
        <v>0.28449372921727412</v>
      </c>
      <c r="Y17" s="132">
        <f t="shared" ca="1" si="3"/>
        <v>1</v>
      </c>
      <c r="Z17" s="132">
        <f t="shared" ca="1" si="4"/>
        <v>1</v>
      </c>
      <c r="AA17" s="132">
        <f t="shared" ca="1" si="5"/>
        <v>2.0325751626473716</v>
      </c>
      <c r="AB17" s="132">
        <f t="shared" ca="1" si="5"/>
        <v>0.96585187338105483</v>
      </c>
      <c r="AC17" s="132">
        <f t="shared" ca="1" si="5"/>
        <v>0.96374326799186572</v>
      </c>
      <c r="AD17" s="132">
        <f t="shared" ca="1" si="5"/>
        <v>0.59681467062681104</v>
      </c>
      <c r="AE17" s="139" t="s">
        <v>113</v>
      </c>
      <c r="AF17" s="139" t="s">
        <v>113</v>
      </c>
      <c r="AG17" s="139" t="s">
        <v>113</v>
      </c>
      <c r="AH17" s="139" t="s">
        <v>113</v>
      </c>
      <c r="AI17" s="139" t="s">
        <v>113</v>
      </c>
      <c r="AJ17" s="139" t="s">
        <v>113</v>
      </c>
      <c r="AK17" s="139" t="s">
        <v>113</v>
      </c>
      <c r="AL17" s="139"/>
      <c r="AM17" s="139"/>
      <c r="AN17" s="142" t="s">
        <v>113</v>
      </c>
      <c r="AO17" s="142" t="s">
        <v>113</v>
      </c>
      <c r="AP17" s="142" t="s">
        <v>113</v>
      </c>
      <c r="AQ17" s="142" t="s">
        <v>113</v>
      </c>
      <c r="AR17" s="142" t="s">
        <v>113</v>
      </c>
      <c r="AS17" s="142" t="s">
        <v>113</v>
      </c>
      <c r="AT17" s="142" t="s">
        <v>113</v>
      </c>
      <c r="AU17" s="142"/>
      <c r="AV17" s="139" t="s">
        <v>113</v>
      </c>
      <c r="AW17" s="139" t="s">
        <v>113</v>
      </c>
      <c r="AX17" s="139" t="s">
        <v>113</v>
      </c>
      <c r="AY17" s="139" t="s">
        <v>113</v>
      </c>
      <c r="AZ17" s="139" t="s">
        <v>113</v>
      </c>
      <c r="BA17" s="139" t="s">
        <v>113</v>
      </c>
      <c r="BB17" s="139" t="s">
        <v>113</v>
      </c>
      <c r="BC17" s="139"/>
      <c r="BD17" s="143" t="s">
        <v>113</v>
      </c>
      <c r="BE17" s="143" t="s">
        <v>113</v>
      </c>
      <c r="BF17" s="143" t="s">
        <v>113</v>
      </c>
      <c r="BG17" s="143" t="s">
        <v>113</v>
      </c>
      <c r="BH17" s="143" t="s">
        <v>113</v>
      </c>
      <c r="BI17" s="143" t="s">
        <v>113</v>
      </c>
      <c r="BJ17" s="143" t="s">
        <v>113</v>
      </c>
      <c r="BK17" s="143"/>
      <c r="BL17" s="139" t="s">
        <v>113</v>
      </c>
      <c r="BM17" s="139" t="s">
        <v>113</v>
      </c>
      <c r="BN17" s="139" t="s">
        <v>113</v>
      </c>
      <c r="BO17" s="144" t="e">
        <f t="shared" ca="1" si="7"/>
        <v>#VALUE!</v>
      </c>
      <c r="BP17" s="145" t="str" cm="1">
        <f t="array" aca="1" ref="BP17" ca="1">IF(ISBLANK(INDIRECT("'" &amp; $N$2 &amp; "'!" &amp; ADDRESS(ROW(),COLUMN()))), "", INDIRECT("'" &amp; $N$2 &amp; "'!" &amp; ADDRESS(ROW(),COLUMN())))</f>
        <v/>
      </c>
      <c r="BQ17" s="144" t="e">
        <f t="shared" ca="1" si="6"/>
        <v>#VALUE!</v>
      </c>
      <c r="BR17" s="145" t="str" cm="1">
        <f t="array" aca="1" ref="BR17" ca="1">IF(ISBLANK(INDIRECT("'" &amp; $N$2 &amp; "'!" &amp; ADDRESS(ROW(),COLUMN()))), "", INDIRECT("'" &amp; $N$2 &amp; "'!" &amp; ADDRESS(ROW(),COLUMN())))</f>
        <v/>
      </c>
      <c r="BS17" s="144" t="e">
        <f t="shared" ca="1" si="8"/>
        <v>#VALUE!</v>
      </c>
      <c r="BT17" s="1"/>
      <c r="BU17" s="408" t="str" cm="1">
        <f t="array" aca="1" ref="BU17" ca="1">IF(ISBLANK(INDIRECT("'" &amp; $N$2 &amp; "'!" &amp; ADDRESS(ROW(),COLUMN()))), "", INDIRECT("'" &amp; $N$2 &amp; "'!" &amp; ADDRESS(ROW(),COLUMN())))</f>
        <v/>
      </c>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c r="CW17" s="1"/>
      <c r="CX17" s="1"/>
    </row>
    <row r="18" spans="1:102" x14ac:dyDescent="0.3">
      <c r="A18" s="1"/>
      <c r="B18" s="28">
        <v>7</v>
      </c>
      <c r="C18" s="129" cm="1">
        <f t="array" aca="1" ref="C18" ca="1">IF(ISBLANK(INDIRECT("'" &amp; $N$2 &amp; "'!" &amp; ADDRESS(ROW(),COLUMN()))), "", INDIRECT("'" &amp; $N$2 &amp; "'!" &amp; ADDRESS(ROW(),COLUMN())))</f>
        <v>34533766222.237175</v>
      </c>
      <c r="D18" s="129" cm="1">
        <f t="array" aca="1" ref="D18" ca="1">IF(ISBLANK(INDIRECT("'" &amp; $N$2 &amp; "'!" &amp; ADDRESS(ROW(),COLUMN()))), "", INDIRECT("'" &amp; $N$2 &amp; "'!" &amp; ADDRESS(ROW(),COLUMN())))</f>
        <v>34257275855.843941</v>
      </c>
      <c r="E18" s="129" cm="1">
        <f t="array" aca="1" ref="E18" ca="1">IF(ISBLANK(INDIRECT("'" &amp; $N$2 &amp; "'!" &amp; ADDRESS(ROW(),COLUMN()))), "", INDIRECT("'" &amp; $N$2 &amp; "'!" &amp; ADDRESS(ROW(),COLUMN())))</f>
        <v>33543497449.078682</v>
      </c>
      <c r="F18" s="129" cm="1">
        <f t="array" aca="1" ref="F18" ca="1">IF(ISBLANK(INDIRECT("'" &amp; $N$2 &amp; "'!" &amp; ADDRESS(ROW(),COLUMN()))), "", INDIRECT("'" &amp; $N$2 &amp; "'!" &amp; ADDRESS(ROW(),COLUMN())))</f>
        <v>36133711396.993118</v>
      </c>
      <c r="G18" s="129" cm="1">
        <f t="array" aca="1" ref="G18" ca="1">IF(ISBLANK(INDIRECT("'" &amp; $N$2 &amp; "'!" &amp; ADDRESS(ROW(),COLUMN()))), "", INDIRECT("'" &amp; $N$2 &amp; "'!" &amp; ADDRESS(ROW(),COLUMN())))</f>
        <v>36035826628.970451</v>
      </c>
      <c r="H18" s="129" cm="1">
        <f t="array" aca="1" ref="H18" ca="1">IF(ISBLANK(INDIRECT("'" &amp; $N$2 &amp; "'!" &amp; ADDRESS(ROW(),COLUMN()))), "", INDIRECT("'" &amp; $N$2 &amp; "'!" &amp; ADDRESS(ROW(),COLUMN())))</f>
        <v>42885312572.757561</v>
      </c>
      <c r="I18" s="129" cm="1">
        <f t="array" aca="1" ref="I18" ca="1">IF(ISBLANK(INDIRECT("'" &amp; $N$2 &amp; "'!" &amp; ADDRESS(ROW(),COLUMN()))), "", INDIRECT("'" &amp; $N$2 &amp; "'!" &amp; ADDRESS(ROW(),COLUMN())))</f>
        <v>38863938326.404915</v>
      </c>
      <c r="J18" s="129" cm="1">
        <f t="array" aca="1" ref="J18" ca="1">IF(ISBLANK(INDIRECT("'" &amp; $N$2 &amp; "'!" &amp; ADDRESS(ROW(),COLUMN()))), "", INDIRECT("'" &amp; $N$2 &amp; "'!" &amp; ADDRESS(ROW(),COLUMN())))</f>
        <v>38855991615.052849</v>
      </c>
      <c r="K18" s="129" cm="1">
        <f t="array" aca="1" ref="K18" ca="1">IF(ISBLANK(INDIRECT("'" &amp; $N$2 &amp; "'!" &amp; ADDRESS(ROW(),COLUMN()))), "", INDIRECT("'" &amp; $N$2 &amp; "'!" &amp; ADDRESS(ROW(),COLUMN())))</f>
        <v>37484424342.508911</v>
      </c>
      <c r="L18" s="139"/>
      <c r="M18" s="139"/>
      <c r="N18" s="139"/>
      <c r="O18" s="139"/>
      <c r="P18" s="129" cm="1">
        <f t="array" aca="1" ref="P18" ca="1">IF(ISBLANK(INDIRECT("'" &amp; $N$2 &amp; "'!" &amp; ADDRESS(ROW(),COLUMN()))), "", INDIRECT("'" &amp; $N$2 &amp; "'!" &amp; ADDRESS(ROW(),COLUMN())))</f>
        <v>223779216955.53104</v>
      </c>
      <c r="Q18" s="129" cm="1">
        <f t="array" aca="1" ref="Q18" ca="1">IF(ISBLANK(INDIRECT("'" &amp; $N$2 &amp; "'!" &amp; ADDRESS(ROW(),COLUMN()))), "", INDIRECT("'" &amp; $N$2 &amp; "'!" &amp; ADDRESS(ROW(),COLUMN())))</f>
        <v>225793937642.56555</v>
      </c>
      <c r="R18" s="129" cm="1">
        <f t="array" aca="1" ref="R18" ca="1">IF(ISBLANK(INDIRECT("'" &amp; $N$2 &amp; "'!" &amp; ADDRESS(ROW(),COLUMN()))), "", INDIRECT("'" &amp; $N$2 &amp; "'!" &amp; ADDRESS(ROW(),COLUMN())))</f>
        <v>232059187043.33026</v>
      </c>
      <c r="S18" s="129" cm="1">
        <f t="array" aca="1" ref="S18" ca="1">IF(ISBLANK(INDIRECT("'" &amp; $N$2 &amp; "'!" &amp; ADDRESS(ROW(),COLUMN()))), "", INDIRECT("'" &amp; $N$2 &amp; "'!" &amp; ADDRESS(ROW(),COLUMN())))</f>
        <v>242905790149.09174</v>
      </c>
      <c r="T18" s="129" cm="1">
        <f t="array" aca="1" ref="T18" ca="1">IF(ISBLANK(INDIRECT("'" &amp; $N$2 &amp; "'!" &amp; ADDRESS(ROW(),COLUMN()))), "", INDIRECT("'" &amp; $N$2 &amp; "'!" &amp; ADDRESS(ROW(),COLUMN())))</f>
        <v>252251493118.13257</v>
      </c>
      <c r="U18" s="209">
        <f t="shared" ca="1" si="0"/>
        <v>0.12723378225181414</v>
      </c>
      <c r="V18" s="139"/>
      <c r="W18" s="209">
        <f t="shared" ca="1" si="1"/>
        <v>-1</v>
      </c>
      <c r="X18" s="132">
        <f t="shared" ca="1" si="2"/>
        <v>0.34185427582247768</v>
      </c>
      <c r="Y18" s="132">
        <f t="shared" ca="1" si="3"/>
        <v>1</v>
      </c>
      <c r="Z18" s="132">
        <f t="shared" ca="1" si="4"/>
        <v>1</v>
      </c>
      <c r="AA18" s="132">
        <f t="shared" ca="1" si="5"/>
        <v>1.900730368004413</v>
      </c>
      <c r="AB18" s="132">
        <f t="shared" ca="1" si="5"/>
        <v>0.98550487198868808</v>
      </c>
      <c r="AC18" s="132">
        <f t="shared" ca="1" si="5"/>
        <v>0.98369627811173654</v>
      </c>
      <c r="AD18" s="132">
        <f t="shared" ca="1" si="5"/>
        <v>0.67154096491960924</v>
      </c>
      <c r="AE18" s="139" t="s">
        <v>113</v>
      </c>
      <c r="AF18" s="139" t="s">
        <v>113</v>
      </c>
      <c r="AG18" s="139" t="s">
        <v>113</v>
      </c>
      <c r="AH18" s="139" t="s">
        <v>113</v>
      </c>
      <c r="AI18" s="139" t="s">
        <v>113</v>
      </c>
      <c r="AJ18" s="139" t="s">
        <v>113</v>
      </c>
      <c r="AK18" s="139" t="s">
        <v>113</v>
      </c>
      <c r="AL18" s="139"/>
      <c r="AM18" s="139"/>
      <c r="AN18" s="142" t="s">
        <v>113</v>
      </c>
      <c r="AO18" s="142" t="s">
        <v>113</v>
      </c>
      <c r="AP18" s="142" t="s">
        <v>113</v>
      </c>
      <c r="AQ18" s="142" t="s">
        <v>113</v>
      </c>
      <c r="AR18" s="142" t="s">
        <v>113</v>
      </c>
      <c r="AS18" s="142" t="s">
        <v>113</v>
      </c>
      <c r="AT18" s="142" t="s">
        <v>113</v>
      </c>
      <c r="AU18" s="142"/>
      <c r="AV18" s="139" t="s">
        <v>113</v>
      </c>
      <c r="AW18" s="139" t="s">
        <v>113</v>
      </c>
      <c r="AX18" s="139" t="s">
        <v>113</v>
      </c>
      <c r="AY18" s="139" t="s">
        <v>113</v>
      </c>
      <c r="AZ18" s="139" t="s">
        <v>113</v>
      </c>
      <c r="BA18" s="139" t="s">
        <v>113</v>
      </c>
      <c r="BB18" s="139" t="s">
        <v>113</v>
      </c>
      <c r="BC18" s="139"/>
      <c r="BD18" s="143" t="s">
        <v>113</v>
      </c>
      <c r="BE18" s="143" t="s">
        <v>113</v>
      </c>
      <c r="BF18" s="143" t="s">
        <v>113</v>
      </c>
      <c r="BG18" s="143" t="s">
        <v>113</v>
      </c>
      <c r="BH18" s="143" t="s">
        <v>113</v>
      </c>
      <c r="BI18" s="143" t="s">
        <v>113</v>
      </c>
      <c r="BJ18" s="143" t="s">
        <v>113</v>
      </c>
      <c r="BK18" s="143"/>
      <c r="BL18" s="139" t="s">
        <v>113</v>
      </c>
      <c r="BM18" s="139" t="s">
        <v>113</v>
      </c>
      <c r="BN18" s="139" t="s">
        <v>113</v>
      </c>
      <c r="BO18" s="144" t="e">
        <f t="shared" ca="1" si="7"/>
        <v>#VALUE!</v>
      </c>
      <c r="BP18" s="145" t="str" cm="1">
        <f t="array" aca="1" ref="BP18" ca="1">IF(ISBLANK(INDIRECT("'" &amp; $N$2 &amp; "'!" &amp; ADDRESS(ROW(),COLUMN()))), "", INDIRECT("'" &amp; $N$2 &amp; "'!" &amp; ADDRESS(ROW(),COLUMN())))</f>
        <v/>
      </c>
      <c r="BQ18" s="144" t="e">
        <f t="shared" ca="1" si="6"/>
        <v>#VALUE!</v>
      </c>
      <c r="BR18" s="145" t="str" cm="1">
        <f t="array" aca="1" ref="BR18" ca="1">IF(ISBLANK(INDIRECT("'" &amp; $N$2 &amp; "'!" &amp; ADDRESS(ROW(),COLUMN()))), "", INDIRECT("'" &amp; $N$2 &amp; "'!" &amp; ADDRESS(ROW(),COLUMN())))</f>
        <v/>
      </c>
      <c r="BS18" s="144" t="e">
        <f t="shared" ca="1" si="8"/>
        <v>#VALUE!</v>
      </c>
      <c r="BT18" s="1"/>
      <c r="BU18" s="408" t="str" cm="1">
        <f t="array" aca="1" ref="BU18" ca="1">IF(ISBLANK(INDIRECT("'" &amp; $N$2 &amp; "'!" &amp; ADDRESS(ROW(),COLUMN()))), "", INDIRECT("'" &amp; $N$2 &amp; "'!" &amp; ADDRESS(ROW(),COLUMN())))</f>
        <v/>
      </c>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c r="CW18" s="1"/>
      <c r="CX18" s="1"/>
    </row>
    <row r="19" spans="1:102" x14ac:dyDescent="0.3">
      <c r="A19" s="1"/>
      <c r="B19" s="28">
        <v>8</v>
      </c>
      <c r="C19" s="129" cm="1">
        <f t="array" aca="1" ref="C19" ca="1">IF(ISBLANK(INDIRECT("'" &amp; $N$2 &amp; "'!" &amp; ADDRESS(ROW(),COLUMN()))), "", INDIRECT("'" &amp; $N$2 &amp; "'!" &amp; ADDRESS(ROW(),COLUMN())))</f>
        <v>48941860604.733582</v>
      </c>
      <c r="D19" s="129" cm="1">
        <f t="array" aca="1" ref="D19" ca="1">IF(ISBLANK(INDIRECT("'" &amp; $N$2 &amp; "'!" &amp; ADDRESS(ROW(),COLUMN()))), "", INDIRECT("'" &amp; $N$2 &amp; "'!" &amp; ADDRESS(ROW(),COLUMN())))</f>
        <v>48549338835.830399</v>
      </c>
      <c r="E19" s="129" cm="1">
        <f t="array" aca="1" ref="E19" ca="1">IF(ISBLANK(INDIRECT("'" &amp; $N$2 &amp; "'!" &amp; ADDRESS(ROW(),COLUMN()))), "", INDIRECT("'" &amp; $N$2 &amp; "'!" &amp; ADDRESS(ROW(),COLUMN())))</f>
        <v>47702288496.761917</v>
      </c>
      <c r="F19" s="129" cm="1">
        <f t="array" aca="1" ref="F19" ca="1">IF(ISBLANK(INDIRECT("'" &amp; $N$2 &amp; "'!" &amp; ADDRESS(ROW(),COLUMN()))), "", INDIRECT("'" &amp; $N$2 &amp; "'!" &amp; ADDRESS(ROW(),COLUMN())))</f>
        <v>51164286756.587982</v>
      </c>
      <c r="G19" s="129" cm="1">
        <f t="array" aca="1" ref="G19" ca="1">IF(ISBLANK(INDIRECT("'" &amp; $N$2 &amp; "'!" &amp; ADDRESS(ROW(),COLUMN()))), "", INDIRECT("'" &amp; $N$2 &amp; "'!" &amp; ADDRESS(ROW(),COLUMN())))</f>
        <v>51305987088.871246</v>
      </c>
      <c r="H19" s="129" cm="1">
        <f t="array" aca="1" ref="H19" ca="1">IF(ISBLANK(INDIRECT("'" &amp; $N$2 &amp; "'!" &amp; ADDRESS(ROW(),COLUMN()))), "", INDIRECT("'" &amp; $N$2 &amp; "'!" &amp; ADDRESS(ROW(),COLUMN())))</f>
        <v>60292819003.35714</v>
      </c>
      <c r="I19" s="129" cm="1">
        <f t="array" aca="1" ref="I19" ca="1">IF(ISBLANK(INDIRECT("'" &amp; $N$2 &amp; "'!" &amp; ADDRESS(ROW(),COLUMN()))), "", INDIRECT("'" &amp; $N$2 &amp; "'!" &amp; ADDRESS(ROW(),COLUMN())))</f>
        <v>55139526862.983551</v>
      </c>
      <c r="J19" s="129" cm="1">
        <f t="array" aca="1" ref="J19" ca="1">IF(ISBLANK(INDIRECT("'" &amp; $N$2 &amp; "'!" &amp; ADDRESS(ROW(),COLUMN()))), "", INDIRECT("'" &amp; $N$2 &amp; "'!" &amp; ADDRESS(ROW(),COLUMN())))</f>
        <v>55129405328.65799</v>
      </c>
      <c r="K19" s="129" cm="1">
        <f t="array" aca="1" ref="K19" ca="1">IF(ISBLANK(INDIRECT("'" &amp; $N$2 &amp; "'!" &amp; ADDRESS(ROW(),COLUMN()))), "", INDIRECT("'" &amp; $N$2 &amp; "'!" &amp; ADDRESS(ROW(),COLUMN())))</f>
        <v>53416397801.462341</v>
      </c>
      <c r="L19" s="139"/>
      <c r="M19" s="139"/>
      <c r="N19" s="139"/>
      <c r="O19" s="139"/>
      <c r="P19" s="129" cm="1">
        <f t="array" aca="1" ref="P19" ca="1">IF(ISBLANK(INDIRECT("'" &amp; $N$2 &amp; "'!" &amp; ADDRESS(ROW(),COLUMN()))), "", INDIRECT("'" &amp; $N$2 &amp; "'!" &amp; ADDRESS(ROW(),COLUMN())))</f>
        <v>268918201123.01062</v>
      </c>
      <c r="Q19" s="129" cm="1">
        <f t="array" aca="1" ref="Q19" ca="1">IF(ISBLANK(INDIRECT("'" &amp; $N$2 &amp; "'!" &amp; ADDRESS(ROW(),COLUMN()))), "", INDIRECT("'" &amp; $N$2 &amp; "'!" &amp; ADDRESS(ROW(),COLUMN())))</f>
        <v>271043319098.64706</v>
      </c>
      <c r="R19" s="129" cm="1">
        <f t="array" aca="1" ref="R19" ca="1">IF(ISBLANK(INDIRECT("'" &amp; $N$2 &amp; "'!" &amp; ADDRESS(ROW(),COLUMN()))), "", INDIRECT("'" &amp; $N$2 &amp; "'!" &amp; ADDRESS(ROW(),COLUMN())))</f>
        <v>278936937247.26208</v>
      </c>
      <c r="S19" s="129" cm="1">
        <f t="array" aca="1" ref="S19" ca="1">IF(ISBLANK(INDIRECT("'" &amp; $N$2 &amp; "'!" &amp; ADDRESS(ROW(),COLUMN()))), "", INDIRECT("'" &amp; $N$2 &amp; "'!" &amp; ADDRESS(ROW(),COLUMN())))</f>
        <v>291815996081.828</v>
      </c>
      <c r="T19" s="129" cm="1">
        <f t="array" aca="1" ref="T19" ca="1">IF(ISBLANK(INDIRECT("'" &amp; $N$2 &amp; "'!" &amp; ADDRESS(ROW(),COLUMN()))), "", INDIRECT("'" &amp; $N$2 &amp; "'!" &amp; ADDRESS(ROW(),COLUMN())))</f>
        <v>303324104074.41895</v>
      </c>
      <c r="U19" s="209">
        <f t="shared" ca="1" si="0"/>
        <v>0.12794189016484658</v>
      </c>
      <c r="V19" s="139"/>
      <c r="W19" s="209">
        <f t="shared" ca="1" si="1"/>
        <v>-1</v>
      </c>
      <c r="X19" s="132">
        <f t="shared" ca="1" si="2"/>
        <v>0.3775526039694419</v>
      </c>
      <c r="Y19" s="132">
        <f t="shared" ca="1" si="3"/>
        <v>1</v>
      </c>
      <c r="Z19" s="132">
        <f t="shared" ca="1" si="4"/>
        <v>1</v>
      </c>
      <c r="AA19" s="132">
        <f t="shared" ca="1" si="5"/>
        <v>1.8127557597715982</v>
      </c>
      <c r="AB19" s="132">
        <f t="shared" ca="1" si="5"/>
        <v>0.9897715075889173</v>
      </c>
      <c r="AC19" s="132">
        <f t="shared" ca="1" si="5"/>
        <v>0.9881550916879831</v>
      </c>
      <c r="AD19" s="132">
        <f t="shared" ca="1" si="5"/>
        <v>0.71458662703458697</v>
      </c>
      <c r="AE19" s="139" t="s">
        <v>113</v>
      </c>
      <c r="AF19" s="139" t="s">
        <v>113</v>
      </c>
      <c r="AG19" s="139" t="s">
        <v>113</v>
      </c>
      <c r="AH19" s="139" t="s">
        <v>113</v>
      </c>
      <c r="AI19" s="139" t="s">
        <v>113</v>
      </c>
      <c r="AJ19" s="139" t="s">
        <v>113</v>
      </c>
      <c r="AK19" s="139" t="s">
        <v>113</v>
      </c>
      <c r="AL19" s="139"/>
      <c r="AM19" s="139"/>
      <c r="AN19" s="142" t="s">
        <v>113</v>
      </c>
      <c r="AO19" s="142" t="s">
        <v>113</v>
      </c>
      <c r="AP19" s="142" t="s">
        <v>113</v>
      </c>
      <c r="AQ19" s="142" t="s">
        <v>113</v>
      </c>
      <c r="AR19" s="142" t="s">
        <v>113</v>
      </c>
      <c r="AS19" s="142" t="s">
        <v>113</v>
      </c>
      <c r="AT19" s="142" t="s">
        <v>113</v>
      </c>
      <c r="AU19" s="142"/>
      <c r="AV19" s="139" t="s">
        <v>113</v>
      </c>
      <c r="AW19" s="139" t="s">
        <v>113</v>
      </c>
      <c r="AX19" s="139" t="s">
        <v>113</v>
      </c>
      <c r="AY19" s="139" t="s">
        <v>113</v>
      </c>
      <c r="AZ19" s="139" t="s">
        <v>113</v>
      </c>
      <c r="BA19" s="139" t="s">
        <v>113</v>
      </c>
      <c r="BB19" s="139" t="s">
        <v>113</v>
      </c>
      <c r="BC19" s="139"/>
      <c r="BD19" s="143" t="s">
        <v>113</v>
      </c>
      <c r="BE19" s="143" t="s">
        <v>113</v>
      </c>
      <c r="BF19" s="143" t="s">
        <v>113</v>
      </c>
      <c r="BG19" s="143" t="s">
        <v>113</v>
      </c>
      <c r="BH19" s="143" t="s">
        <v>113</v>
      </c>
      <c r="BI19" s="143" t="s">
        <v>113</v>
      </c>
      <c r="BJ19" s="143" t="s">
        <v>113</v>
      </c>
      <c r="BK19" s="143"/>
      <c r="BL19" s="139" t="s">
        <v>113</v>
      </c>
      <c r="BM19" s="139" t="s">
        <v>113</v>
      </c>
      <c r="BN19" s="139" t="s">
        <v>113</v>
      </c>
      <c r="BO19" s="144" t="e">
        <f t="shared" ca="1" si="7"/>
        <v>#VALUE!</v>
      </c>
      <c r="BP19" s="145" t="str" cm="1">
        <f t="array" aca="1" ref="BP19" ca="1">IF(ISBLANK(INDIRECT("'" &amp; $N$2 &amp; "'!" &amp; ADDRESS(ROW(),COLUMN()))), "", INDIRECT("'" &amp; $N$2 &amp; "'!" &amp; ADDRESS(ROW(),COLUMN())))</f>
        <v/>
      </c>
      <c r="BQ19" s="144" t="e">
        <f t="shared" ca="1" si="6"/>
        <v>#VALUE!</v>
      </c>
      <c r="BR19" s="145" t="str" cm="1">
        <f t="array" aca="1" ref="BR19" ca="1">IF(ISBLANK(INDIRECT("'" &amp; $N$2 &amp; "'!" &amp; ADDRESS(ROW(),COLUMN()))), "", INDIRECT("'" &amp; $N$2 &amp; "'!" &amp; ADDRESS(ROW(),COLUMN())))</f>
        <v/>
      </c>
      <c r="BS19" s="144" t="e">
        <f t="shared" ca="1" si="8"/>
        <v>#VALUE!</v>
      </c>
      <c r="BT19" s="1"/>
      <c r="BU19" s="408" t="str" cm="1">
        <f t="array" aca="1" ref="BU19" ca="1">IF(ISBLANK(INDIRECT("'" &amp; $N$2 &amp; "'!" &amp; ADDRESS(ROW(),COLUMN()))), "", INDIRECT("'" &amp; $N$2 &amp; "'!" &amp; ADDRESS(ROW(),COLUMN())))</f>
        <v/>
      </c>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row>
    <row r="20" spans="1:102" x14ac:dyDescent="0.3">
      <c r="A20" s="1"/>
      <c r="B20" s="28">
        <v>9</v>
      </c>
      <c r="C20" s="129" cm="1">
        <f t="array" aca="1" ref="C20" ca="1">IF(ISBLANK(INDIRECT("'" &amp; $N$2 &amp; "'!" &amp; ADDRESS(ROW(),COLUMN()))), "", INDIRECT("'" &amp; $N$2 &amp; "'!" &amp; ADDRESS(ROW(),COLUMN())))</f>
        <v>72198259739.850067</v>
      </c>
      <c r="D20" s="129" cm="1">
        <f t="array" aca="1" ref="D20" ca="1">IF(ISBLANK(INDIRECT("'" &amp; $N$2 &amp; "'!" &amp; ADDRESS(ROW(),COLUMN()))), "", INDIRECT("'" &amp; $N$2 &amp; "'!" &amp; ADDRESS(ROW(),COLUMN())))</f>
        <v>71655582398.676102</v>
      </c>
      <c r="E20" s="129" cm="1">
        <f t="array" aca="1" ref="E20" ca="1">IF(ISBLANK(INDIRECT("'" &amp; $N$2 &amp; "'!" &amp; ADDRESS(ROW(),COLUMN()))), "", INDIRECT("'" &amp; $N$2 &amp; "'!" &amp; ADDRESS(ROW(),COLUMN())))</f>
        <v>70717860528.70549</v>
      </c>
      <c r="F20" s="129" cm="1">
        <f t="array" aca="1" ref="F20" ca="1">IF(ISBLANK(INDIRECT("'" &amp; $N$2 &amp; "'!" &amp; ADDRESS(ROW(),COLUMN()))), "", INDIRECT("'" &amp; $N$2 &amp; "'!" &amp; ADDRESS(ROW(),COLUMN())))</f>
        <v>75774471864.981689</v>
      </c>
      <c r="G20" s="129" cm="1">
        <f t="array" aca="1" ref="G20" ca="1">IF(ISBLANK(INDIRECT("'" &amp; $N$2 &amp; "'!" &amp; ADDRESS(ROW(),COLUMN()))), "", INDIRECT("'" &amp; $N$2 &amp; "'!" &amp; ADDRESS(ROW(),COLUMN())))</f>
        <v>76293016026.744919</v>
      </c>
      <c r="H20" s="129" cm="1">
        <f t="array" aca="1" ref="H20" ca="1">IF(ISBLANK(INDIRECT("'" &amp; $N$2 &amp; "'!" &amp; ADDRESS(ROW(),COLUMN()))), "", INDIRECT("'" &amp; $N$2 &amp; "'!" &amp; ADDRESS(ROW(),COLUMN())))</f>
        <v>88014262634.734619</v>
      </c>
      <c r="I20" s="129" cm="1">
        <f t="array" aca="1" ref="I20" ca="1">IF(ISBLANK(INDIRECT("'" &amp; $N$2 &amp; "'!" &amp; ADDRESS(ROW(),COLUMN()))), "", INDIRECT("'" &amp; $N$2 &amp; "'!" &amp; ADDRESS(ROW(),COLUMN())))</f>
        <v>81329594101.134766</v>
      </c>
      <c r="J20" s="129" cm="1">
        <f t="array" aca="1" ref="J20" ca="1">IF(ISBLANK(INDIRECT("'" &amp; $N$2 &amp; "'!" &amp; ADDRESS(ROW(),COLUMN()))), "", INDIRECT("'" &amp; $N$2 &amp; "'!" &amp; ADDRESS(ROW(),COLUMN())))</f>
        <v>81316212278.583298</v>
      </c>
      <c r="K20" s="129" cm="1">
        <f t="array" aca="1" ref="K20" ca="1">IF(ISBLANK(INDIRECT("'" &amp; $N$2 &amp; "'!" &amp; ADDRESS(ROW(),COLUMN()))), "", INDIRECT("'" &amp; $N$2 &amp; "'!" &amp; ADDRESS(ROW(),COLUMN())))</f>
        <v>79043384559.220551</v>
      </c>
      <c r="L20" s="139"/>
      <c r="M20" s="139"/>
      <c r="N20" s="139"/>
      <c r="O20" s="139"/>
      <c r="P20" s="129" cm="1">
        <f t="array" aca="1" ref="P20" ca="1">IF(ISBLANK(INDIRECT("'" &amp; $N$2 &amp; "'!" &amp; ADDRESS(ROW(),COLUMN()))), "", INDIRECT("'" &amp; $N$2 &amp; "'!" &amp; ADDRESS(ROW(),COLUMN())))</f>
        <v>336638985734.38129</v>
      </c>
      <c r="Q20" s="129" cm="1">
        <f t="array" aca="1" ref="Q20" ca="1">IF(ISBLANK(INDIRECT("'" &amp; $N$2 &amp; "'!" &amp; ADDRESS(ROW(),COLUMN()))), "", INDIRECT("'" &amp; $N$2 &amp; "'!" &amp; ADDRESS(ROW(),COLUMN())))</f>
        <v>339102754576.29517</v>
      </c>
      <c r="R20" s="129" cm="1">
        <f t="array" aca="1" ref="R20" ca="1">IF(ISBLANK(INDIRECT("'" &amp; $N$2 &amp; "'!" &amp; ADDRESS(ROW(),COLUMN()))), "", INDIRECT("'" &amp; $N$2 &amp; "'!" &amp; ADDRESS(ROW(),COLUMN())))</f>
        <v>349265279125.25952</v>
      </c>
      <c r="S20" s="129" cm="1">
        <f t="array" aca="1" ref="S20" ca="1">IF(ISBLANK(INDIRECT("'" &amp; $N$2 &amp; "'!" &amp; ADDRESS(ROW(),COLUMN()))), "", INDIRECT("'" &amp; $N$2 &amp; "'!" &amp; ADDRESS(ROW(),COLUMN())))</f>
        <v>365041756236.21332</v>
      </c>
      <c r="T20" s="129" cm="1">
        <f t="array" aca="1" ref="T20" ca="1">IF(ISBLANK(INDIRECT("'" &amp; $N$2 &amp; "'!" &amp; ADDRESS(ROW(),COLUMN()))), "", INDIRECT("'" &amp; $N$2 &amp; "'!" &amp; ADDRESS(ROW(),COLUMN())))</f>
        <v>379536440546.19458</v>
      </c>
      <c r="U20" s="209">
        <f t="shared" ca="1" si="0"/>
        <v>0.12742865986906438</v>
      </c>
      <c r="V20" s="139"/>
      <c r="W20" s="209">
        <f t="shared" ca="1" si="1"/>
        <v>-1</v>
      </c>
      <c r="X20" s="132">
        <f t="shared" ca="1" si="2"/>
        <v>0.44507603772081145</v>
      </c>
      <c r="Y20" s="132">
        <f t="shared" ca="1" si="3"/>
        <v>1</v>
      </c>
      <c r="Z20" s="132">
        <f t="shared" ca="1" si="4"/>
        <v>1</v>
      </c>
      <c r="AA20" s="132">
        <f t="shared" ca="1" si="5"/>
        <v>1.719106927942267</v>
      </c>
      <c r="AB20" s="132">
        <f t="shared" ca="1" si="5"/>
        <v>0.99252259032647183</v>
      </c>
      <c r="AC20" s="132">
        <f t="shared" ca="1" si="5"/>
        <v>0.99106806455219032</v>
      </c>
      <c r="AD20" s="132">
        <f t="shared" ca="1" si="5"/>
        <v>0.74402499656947896</v>
      </c>
      <c r="AE20" s="139" t="s">
        <v>113</v>
      </c>
      <c r="AF20" s="139" t="s">
        <v>113</v>
      </c>
      <c r="AG20" s="139" t="s">
        <v>113</v>
      </c>
      <c r="AH20" s="139" t="s">
        <v>113</v>
      </c>
      <c r="AI20" s="139" t="s">
        <v>113</v>
      </c>
      <c r="AJ20" s="139" t="s">
        <v>113</v>
      </c>
      <c r="AK20" s="139" t="s">
        <v>113</v>
      </c>
      <c r="AL20" s="139"/>
      <c r="AM20" s="139"/>
      <c r="AN20" s="142" t="s">
        <v>113</v>
      </c>
      <c r="AO20" s="142" t="s">
        <v>113</v>
      </c>
      <c r="AP20" s="142" t="s">
        <v>113</v>
      </c>
      <c r="AQ20" s="142" t="s">
        <v>113</v>
      </c>
      <c r="AR20" s="142" t="s">
        <v>113</v>
      </c>
      <c r="AS20" s="142" t="s">
        <v>113</v>
      </c>
      <c r="AT20" s="142" t="s">
        <v>113</v>
      </c>
      <c r="AU20" s="142"/>
      <c r="AV20" s="139" t="s">
        <v>113</v>
      </c>
      <c r="AW20" s="139" t="s">
        <v>113</v>
      </c>
      <c r="AX20" s="139" t="s">
        <v>113</v>
      </c>
      <c r="AY20" s="139" t="s">
        <v>113</v>
      </c>
      <c r="AZ20" s="139" t="s">
        <v>113</v>
      </c>
      <c r="BA20" s="139" t="s">
        <v>113</v>
      </c>
      <c r="BB20" s="139" t="s">
        <v>113</v>
      </c>
      <c r="BC20" s="139"/>
      <c r="BD20" s="143" t="s">
        <v>113</v>
      </c>
      <c r="BE20" s="143" t="s">
        <v>113</v>
      </c>
      <c r="BF20" s="143" t="s">
        <v>113</v>
      </c>
      <c r="BG20" s="143" t="s">
        <v>113</v>
      </c>
      <c r="BH20" s="143" t="s">
        <v>113</v>
      </c>
      <c r="BI20" s="143" t="s">
        <v>113</v>
      </c>
      <c r="BJ20" s="143" t="s">
        <v>113</v>
      </c>
      <c r="BK20" s="143"/>
      <c r="BL20" s="139" t="s">
        <v>113</v>
      </c>
      <c r="BM20" s="139" t="s">
        <v>113</v>
      </c>
      <c r="BN20" s="139" t="s">
        <v>113</v>
      </c>
      <c r="BO20" s="144" t="e">
        <f t="shared" ca="1" si="7"/>
        <v>#VALUE!</v>
      </c>
      <c r="BP20" s="145" t="str" cm="1">
        <f t="array" aca="1" ref="BP20" ca="1">IF(ISBLANK(INDIRECT("'" &amp; $N$2 &amp; "'!" &amp; ADDRESS(ROW(),COLUMN()))), "", INDIRECT("'" &amp; $N$2 &amp; "'!" &amp; ADDRESS(ROW(),COLUMN())))</f>
        <v/>
      </c>
      <c r="BQ20" s="144" t="e">
        <f t="shared" ca="1" si="6"/>
        <v>#VALUE!</v>
      </c>
      <c r="BR20" s="145" t="str" cm="1">
        <f t="array" aca="1" ref="BR20" ca="1">IF(ISBLANK(INDIRECT("'" &amp; $N$2 &amp; "'!" &amp; ADDRESS(ROW(),COLUMN()))), "", INDIRECT("'" &amp; $N$2 &amp; "'!" &amp; ADDRESS(ROW(),COLUMN())))</f>
        <v/>
      </c>
      <c r="BS20" s="144" t="e">
        <f t="shared" ca="1" si="8"/>
        <v>#VALUE!</v>
      </c>
      <c r="BT20" s="1"/>
      <c r="BU20" s="408" t="str" cm="1">
        <f t="array" aca="1" ref="BU20" ca="1">IF(ISBLANK(INDIRECT("'" &amp; $N$2 &amp; "'!" &amp; ADDRESS(ROW(),COLUMN()))), "", INDIRECT("'" &amp; $N$2 &amp; "'!" &amp; ADDRESS(ROW(),COLUMN())))</f>
        <v/>
      </c>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c r="CW20" s="1"/>
      <c r="CX20" s="1"/>
    </row>
    <row r="21" spans="1:102" x14ac:dyDescent="0.3">
      <c r="A21" s="1"/>
      <c r="B21" s="33">
        <v>10</v>
      </c>
      <c r="C21" s="129" cm="1">
        <f t="array" aca="1" ref="C21" ca="1">IF(ISBLANK(INDIRECT("'" &amp; $N$2 &amp; "'!" &amp; ADDRESS(ROW(),COLUMN()))), "", INDIRECT("'" &amp; $N$2 &amp; "'!" &amp; ADDRESS(ROW(),COLUMN())))</f>
        <v>186667383584.22919</v>
      </c>
      <c r="D21" s="129" cm="1">
        <f t="array" aca="1" ref="D21" ca="1">IF(ISBLANK(INDIRECT("'" &amp; $N$2 &amp; "'!" &amp; ADDRESS(ROW(),COLUMN()))), "", INDIRECT("'" &amp; $N$2 &amp; "'!" &amp; ADDRESS(ROW(),COLUMN())))</f>
        <v>187046104875.60144</v>
      </c>
      <c r="E21" s="129" cm="1">
        <f t="array" aca="1" ref="E21" ca="1">IF(ISBLANK(INDIRECT("'" &amp; $N$2 &amp; "'!" &amp; ADDRESS(ROW(),COLUMN()))), "", INDIRECT("'" &amp; $N$2 &amp; "'!" &amp; ADDRESS(ROW(),COLUMN())))</f>
        <v>191127007008.58862</v>
      </c>
      <c r="F21" s="129" cm="1">
        <f t="array" aca="1" ref="F21" ca="1">IF(ISBLANK(INDIRECT("'" &amp; $N$2 &amp; "'!" &amp; ADDRESS(ROW(),COLUMN()))), "", INDIRECT("'" &amp; $N$2 &amp; "'!" &amp; ADDRESS(ROW(),COLUMN())))</f>
        <v>200649242838.78741</v>
      </c>
      <c r="G21" s="129" cm="1">
        <f t="array" aca="1" ref="G21" ca="1">IF(ISBLANK(INDIRECT("'" &amp; $N$2 &amp; "'!" &amp; ADDRESS(ROW(),COLUMN()))), "", INDIRECT("'" &amp; $N$2 &amp; "'!" &amp; ADDRESS(ROW(),COLUMN())))</f>
        <v>204613354182.3988</v>
      </c>
      <c r="H21" s="129" cm="1">
        <f t="array" aca="1" ref="H21" ca="1">IF(ISBLANK(INDIRECT("'" &amp; $N$2 &amp; "'!" &amp; ADDRESS(ROW(),COLUMN()))), "", INDIRECT("'" &amp; $N$2 &amp; "'!" &amp; ADDRESS(ROW(),COLUMN())))</f>
        <v>217196011644.87195</v>
      </c>
      <c r="I21" s="129" cm="1">
        <f t="array" aca="1" ref="I21" ca="1">IF(ISBLANK(INDIRECT("'" &amp; $N$2 &amp; "'!" &amp; ADDRESS(ROW(),COLUMN()))), "", INDIRECT("'" &amp; $N$2 &amp; "'!" &amp; ADDRESS(ROW(),COLUMN())))</f>
        <v>208701166224.9071</v>
      </c>
      <c r="J21" s="129" cm="1">
        <f t="array" aca="1" ref="J21" ca="1">IF(ISBLANK(INDIRECT("'" &amp; $N$2 &amp; "'!" &amp; ADDRESS(ROW(),COLUMN()))), "", INDIRECT("'" &amp; $N$2 &amp; "'!" &amp; ADDRESS(ROW(),COLUMN())))</f>
        <v>208683366535.49506</v>
      </c>
      <c r="K21" s="129" cm="1">
        <f t="array" aca="1" ref="K21" ca="1">IF(ISBLANK(INDIRECT("'" &amp; $N$2 &amp; "'!" &amp; ADDRESS(ROW(),COLUMN()))), "", INDIRECT("'" &amp; $N$2 &amp; "'!" &amp; ADDRESS(ROW(),COLUMN())))</f>
        <v>205614363215.39795</v>
      </c>
      <c r="L21" s="139"/>
      <c r="M21" s="139"/>
      <c r="N21" s="139"/>
      <c r="O21" s="139"/>
      <c r="P21" s="129" cm="1">
        <f t="array" aca="1" ref="P21" ca="1">IF(ISBLANK(INDIRECT("'" &amp; $N$2 &amp; "'!" &amp; ADDRESS(ROW(),COLUMN()))), "", INDIRECT("'" &amp; $N$2 &amp; "'!" &amp; ADDRESS(ROW(),COLUMN())))</f>
        <v>608277610767.69556</v>
      </c>
      <c r="Q21" s="129" cm="1">
        <f t="array" aca="1" ref="Q21" ca="1">IF(ISBLANK(INDIRECT("'" &amp; $N$2 &amp; "'!" &amp; ADDRESS(ROW(),COLUMN()))), "", INDIRECT("'" &amp; $N$2 &amp; "'!" &amp; ADDRESS(ROW(),COLUMN())))</f>
        <v>613708355985.69812</v>
      </c>
      <c r="R21" s="129" cm="1">
        <f t="array" aca="1" ref="R21" ca="1">IF(ISBLANK(INDIRECT("'" &amp; $N$2 &amp; "'!" &amp; ADDRESS(ROW(),COLUMN()))), "", INDIRECT("'" &amp; $N$2 &amp; "'!" &amp; ADDRESS(ROW(),COLUMN())))</f>
        <v>633451005469.49023</v>
      </c>
      <c r="S21" s="129" cm="1">
        <f t="array" aca="1" ref="S21" ca="1">IF(ISBLANK(INDIRECT("'" &amp; $N$2 &amp; "'!" &amp; ADDRESS(ROW(),COLUMN()))), "", INDIRECT("'" &amp; $N$2 &amp; "'!" &amp; ADDRESS(ROW(),COLUMN())))</f>
        <v>657722260941.521</v>
      </c>
      <c r="T21" s="129" cm="1">
        <f t="array" aca="1" ref="T21" ca="1">IF(ISBLANK(INDIRECT("'" &amp; $N$2 &amp; "'!" &amp; ADDRESS(ROW(),COLUMN()))), "", INDIRECT("'" &amp; $N$2 &amp; "'!" &amp; ADDRESS(ROW(),COLUMN())))</f>
        <v>683680932469.58704</v>
      </c>
      <c r="U21" s="209">
        <f t="shared" ca="1" si="0"/>
        <v>0.12396202057597749</v>
      </c>
      <c r="V21" s="139"/>
      <c r="W21" s="209">
        <f t="shared" ca="1" si="1"/>
        <v>-1</v>
      </c>
      <c r="X21" s="132">
        <f t="shared" ca="1" si="2"/>
        <v>0.77555011223920178</v>
      </c>
      <c r="Y21" s="132">
        <f t="shared" ca="1" si="3"/>
        <v>1</v>
      </c>
      <c r="Z21" s="132">
        <f t="shared" ca="1" si="4"/>
        <v>1</v>
      </c>
      <c r="AA21" s="132">
        <f t="shared" ca="1" si="5"/>
        <v>1.3193201665757317</v>
      </c>
      <c r="AB21" s="132">
        <f t="shared" ca="1" si="5"/>
        <v>0.95220832479101591</v>
      </c>
      <c r="AC21" s="132">
        <f t="shared" ca="1" si="5"/>
        <v>0.95143909634244506</v>
      </c>
      <c r="AD21" s="132">
        <f t="shared" ca="1" si="5"/>
        <v>0.81880955388645948</v>
      </c>
      <c r="AE21" s="139" t="s">
        <v>113</v>
      </c>
      <c r="AF21" s="139" t="s">
        <v>113</v>
      </c>
      <c r="AG21" s="139" t="s">
        <v>113</v>
      </c>
      <c r="AH21" s="139" t="s">
        <v>113</v>
      </c>
      <c r="AI21" s="139" t="s">
        <v>113</v>
      </c>
      <c r="AJ21" s="139" t="s">
        <v>113</v>
      </c>
      <c r="AK21" s="139" t="s">
        <v>113</v>
      </c>
      <c r="AL21" s="139"/>
      <c r="AM21" s="139"/>
      <c r="AN21" s="142" t="s">
        <v>113</v>
      </c>
      <c r="AO21" s="142" t="s">
        <v>113</v>
      </c>
      <c r="AP21" s="142" t="s">
        <v>113</v>
      </c>
      <c r="AQ21" s="142" t="s">
        <v>113</v>
      </c>
      <c r="AR21" s="142" t="s">
        <v>113</v>
      </c>
      <c r="AS21" s="142" t="s">
        <v>113</v>
      </c>
      <c r="AT21" s="142" t="s">
        <v>113</v>
      </c>
      <c r="AU21" s="142"/>
      <c r="AV21" s="139" t="s">
        <v>113</v>
      </c>
      <c r="AW21" s="139" t="s">
        <v>113</v>
      </c>
      <c r="AX21" s="139" t="s">
        <v>113</v>
      </c>
      <c r="AY21" s="139" t="s">
        <v>113</v>
      </c>
      <c r="AZ21" s="139" t="s">
        <v>113</v>
      </c>
      <c r="BA21" s="139" t="s">
        <v>113</v>
      </c>
      <c r="BB21" s="139" t="s">
        <v>113</v>
      </c>
      <c r="BC21" s="139"/>
      <c r="BD21" s="143" t="s">
        <v>113</v>
      </c>
      <c r="BE21" s="143" t="s">
        <v>113</v>
      </c>
      <c r="BF21" s="143" t="s">
        <v>113</v>
      </c>
      <c r="BG21" s="143" t="s">
        <v>113</v>
      </c>
      <c r="BH21" s="143" t="s">
        <v>113</v>
      </c>
      <c r="BI21" s="143" t="s">
        <v>113</v>
      </c>
      <c r="BJ21" s="143" t="s">
        <v>113</v>
      </c>
      <c r="BK21" s="143"/>
      <c r="BL21" s="139" t="s">
        <v>113</v>
      </c>
      <c r="BM21" s="139" t="s">
        <v>113</v>
      </c>
      <c r="BN21" s="139" t="s">
        <v>113</v>
      </c>
      <c r="BO21" s="144" t="e">
        <f t="shared" ca="1" si="7"/>
        <v>#VALUE!</v>
      </c>
      <c r="BP21" s="145" t="str" cm="1">
        <f t="array" aca="1" ref="BP21" ca="1">IF(ISBLANK(INDIRECT("'" &amp; $N$2 &amp; "'!" &amp; ADDRESS(ROW(),COLUMN()))), "", INDIRECT("'" &amp; $N$2 &amp; "'!" &amp; ADDRESS(ROW(),COLUMN())))</f>
        <v/>
      </c>
      <c r="BQ21" s="144" t="e">
        <f t="shared" ca="1" si="6"/>
        <v>#VALUE!</v>
      </c>
      <c r="BR21" s="145" t="str" cm="1">
        <f t="array" aca="1" ref="BR21" ca="1">IF(ISBLANK(INDIRECT("'" &amp; $N$2 &amp; "'!" &amp; ADDRESS(ROW(),COLUMN()))), "", INDIRECT("'" &amp; $N$2 &amp; "'!" &amp; ADDRESS(ROW(),COLUMN())))</f>
        <v/>
      </c>
      <c r="BS21" s="144" t="e">
        <f t="shared" ca="1" si="8"/>
        <v>#VALUE!</v>
      </c>
      <c r="BT21" s="1"/>
      <c r="BU21" s="408" t="str" cm="1">
        <f t="array" aca="1" ref="BU21" ca="1">IF(ISBLANK(INDIRECT("'" &amp; $N$2 &amp; "'!" &amp; ADDRESS(ROW(),COLUMN()))), "", INDIRECT("'" &amp; $N$2 &amp; "'!" &amp; ADDRESS(ROW(),COLUMN())))</f>
        <v/>
      </c>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c r="CW21" s="1"/>
      <c r="CX21" s="1"/>
    </row>
    <row r="22" spans="1:102" ht="13.2" customHeight="1" x14ac:dyDescent="0.3">
      <c r="A22" s="1"/>
      <c r="B22" s="34" t="s">
        <v>114</v>
      </c>
      <c r="C22" s="150" cm="1">
        <f t="array" aca="1" ref="C22" ca="1">IF(ISBLANK(INDIRECT("'" &amp; $N$2 &amp; "'!" &amp; ADDRESS(ROW(),COLUMN()))), "", INDIRECT("'" &amp; $N$2 &amp; "'!" &amp; ADDRESS(ROW(),COLUMN())))</f>
        <v>402013561280.8183</v>
      </c>
      <c r="D22" s="150" cm="1">
        <f t="array" aca="1" ref="D22" ca="1">IF(ISBLANK(INDIRECT("'" &amp; $N$2 &amp; "'!" &amp; ADDRESS(ROW(),COLUMN()))), "", INDIRECT("'" &amp; $N$2 &amp; "'!" &amp; ADDRESS(ROW(),COLUMN())))</f>
        <v>400379826037.15259</v>
      </c>
      <c r="E22" s="150" cm="1">
        <f t="array" aca="1" ref="E22" ca="1">IF(ISBLANK(INDIRECT("'" &amp; $N$2 &amp; "'!" &amp; ADDRESS(ROW(),COLUMN()))), "", INDIRECT("'" &amp; $N$2 &amp; "'!" &amp; ADDRESS(ROW(),COLUMN())))</f>
        <v>400467113922.31909</v>
      </c>
      <c r="F22" s="150" cm="1">
        <f t="array" aca="1" ref="F22" ca="1">IF(ISBLANK(INDIRECT("'" &amp; $N$2 &amp; "'!" &amp; ADDRESS(ROW(),COLUMN()))), "", INDIRECT("'" &amp; $N$2 &amp; "'!" &amp; ADDRESS(ROW(),COLUMN())))</f>
        <v>426442986699.86633</v>
      </c>
      <c r="G22" s="150" cm="1">
        <f t="array" aca="1" ref="G22" ca="1">IF(ISBLANK(INDIRECT("'" &amp; $N$2 &amp; "'!" &amp; ADDRESS(ROW(),COLUMN()))), "", INDIRECT("'" &amp; $N$2 &amp; "'!" &amp; ADDRESS(ROW(),COLUMN())))</f>
        <v>429507451887.20007</v>
      </c>
      <c r="H22" s="150" cm="1">
        <f t="array" aca="1" ref="H22" ca="1">IF(ISBLANK(INDIRECT("'" &amp; $N$2 &amp; "'!" &amp; ADDRESS(ROW(),COLUMN()))), "", INDIRECT("'" &amp; $N$2 &amp; "'!" &amp; ADDRESS(ROW(),COLUMN())))</f>
        <v>486326219391.95142</v>
      </c>
      <c r="I22" s="150" cm="1">
        <f t="array" aca="1" ref="I22" ca="1">IF(ISBLANK(INDIRECT("'" &amp; $N$2 &amp; "'!" &amp; ADDRESS(ROW(),COLUMN()))), "", INDIRECT("'" &amp; $N$2 &amp; "'!" &amp; ADDRESS(ROW(),COLUMN())))</f>
        <v>450903792733.79919</v>
      </c>
      <c r="J22" s="150" cm="1">
        <f t="array" aca="1" ref="J22" ca="1">IF(ISBLANK(INDIRECT("'" &amp; $N$2 &amp; "'!" &amp; ADDRESS(ROW(),COLUMN()))), "", INDIRECT("'" &amp; $N$2 &amp; "'!" &amp; ADDRESS(ROW(),COLUMN())))</f>
        <v>450833197334.71252</v>
      </c>
      <c r="K22" s="150" cm="1">
        <f t="array" aca="1" ref="K22" ca="1">IF(ISBLANK(INDIRECT("'" &amp; $N$2 &amp; "'!" &amp; ADDRESS(ROW(),COLUMN()))), "", INDIRECT("'" &amp; $N$2 &amp; "'!" &amp; ADDRESS(ROW(),COLUMN())))</f>
        <v>438684765447.54144</v>
      </c>
      <c r="L22" s="139"/>
      <c r="M22" s="139"/>
      <c r="N22" s="139"/>
      <c r="O22" s="139"/>
      <c r="P22" s="150" cm="1">
        <f t="array" aca="1" ref="P22" ca="1">IF(ISBLANK(INDIRECT("'" &amp; $N$2 &amp; "'!" &amp; ADDRESS(ROW(),COLUMN()))), "", INDIRECT("'" &amp; $N$2 &amp; "'!" &amp; ADDRESS(ROW(),COLUMN())))</f>
        <v>2131727879380.8706</v>
      </c>
      <c r="Q22" s="150" cm="1">
        <f t="array" aca="1" ref="Q22" ca="1">IF(ISBLANK(INDIRECT("'" &amp; $N$2 &amp; "'!" &amp; ADDRESS(ROW(),COLUMN()))), "", INDIRECT("'" &amp; $N$2 &amp; "'!" &amp; ADDRESS(ROW(),COLUMN())))</f>
        <v>2154270490696.6714</v>
      </c>
      <c r="R22" s="150" cm="1">
        <f t="array" aca="1" ref="R22" ca="1">IF(ISBLANK(INDIRECT("'" &amp; $N$2 &amp; "'!" &amp; ADDRESS(ROW(),COLUMN()))), "", INDIRECT("'" &amp; $N$2 &amp; "'!" &amp; ADDRESS(ROW(),COLUMN())))</f>
        <v>2213689832300.7202</v>
      </c>
      <c r="S22" s="150" cm="1">
        <f t="array" aca="1" ref="S22" ca="1">IF(ISBLANK(INDIRECT("'" &amp; $N$2 &amp; "'!" &amp; ADDRESS(ROW(),COLUMN()))), "", INDIRECT("'" &amp; $N$2 &amp; "'!" &amp; ADDRESS(ROW(),COLUMN())))</f>
        <v>2312130414368.418</v>
      </c>
      <c r="T22" s="150" cm="1">
        <f t="array" aca="1" ref="T22" ca="1">IF(ISBLANK(INDIRECT("'" &amp; $N$2 &amp; "'!" &amp; ADDRESS(ROW(),COLUMN()))), "", INDIRECT("'" &amp; $N$2 &amp; "'!" &amp; ADDRESS(ROW(),COLUMN())))</f>
        <v>2399395439033.9463</v>
      </c>
      <c r="U22" s="210">
        <f t="shared" ca="1" si="0"/>
        <v>0.12556366234268879</v>
      </c>
      <c r="V22" s="139"/>
      <c r="W22" s="210">
        <f t="shared" ca="1" si="1"/>
        <v>-1</v>
      </c>
      <c r="X22" s="154">
        <f t="shared" ca="1" si="2"/>
        <v>0.54466757584655612</v>
      </c>
      <c r="Y22" s="154">
        <f t="shared" ca="1" si="3"/>
        <v>1</v>
      </c>
      <c r="Z22" s="154">
        <f t="shared" ca="1" si="4"/>
        <v>1</v>
      </c>
      <c r="AA22" s="154">
        <f ca="1">(H22/$C22-1)/($T22/$P22-1)</f>
        <v>1.6702754718865074</v>
      </c>
      <c r="AB22" s="154">
        <f t="shared" ca="1" si="5"/>
        <v>0.96853967411549724</v>
      </c>
      <c r="AC22" s="154">
        <f t="shared" ca="1" si="5"/>
        <v>0.96714114433166509</v>
      </c>
      <c r="AD22" s="154">
        <f t="shared" ca="1" si="5"/>
        <v>0.72647469806354104</v>
      </c>
      <c r="AE22" s="161" t="str" cm="1">
        <f t="array" aca="1" ref="AE22" ca="1">IF(ISBLANK(INDIRECT("'" &amp; $N$2 &amp; "'!" &amp; ADDRESS(ROW(),COLUMN()))), "", INDIRECT("'" &amp; $N$2 &amp; "'!" &amp; ADDRESS(ROW(),COLUMN())))</f>
        <v/>
      </c>
      <c r="AF22" s="161" t="str" cm="1">
        <f t="array" aca="1" ref="AF22" ca="1">IF(ISBLANK(INDIRECT("'" &amp; $N$2 &amp; "'!" &amp; ADDRESS(ROW(),COLUMN()))), "", INDIRECT("'" &amp; $N$2 &amp; "'!" &amp; ADDRESS(ROW(),COLUMN())))</f>
        <v/>
      </c>
      <c r="AG22" s="161" t="str" cm="1">
        <f t="array" aca="1" ref="AG22" ca="1">IF(ISBLANK(INDIRECT("'" &amp; $N$2 &amp; "'!" &amp; ADDRESS(ROW(),COLUMN()))), "", INDIRECT("'" &amp; $N$2 &amp; "'!" &amp; ADDRESS(ROW(),COLUMN())))</f>
        <v/>
      </c>
      <c r="AH22" s="161" t="str" cm="1">
        <f t="array" aca="1" ref="AH22" ca="1">IF(ISBLANK(INDIRECT("'" &amp; $N$2 &amp; "'!" &amp; ADDRESS(ROW(),COLUMN()))), "", INDIRECT("'" &amp; $N$2 &amp; "'!" &amp; ADDRESS(ROW(),COLUMN())))</f>
        <v/>
      </c>
      <c r="AI22" s="162" t="e">
        <f t="shared" ref="AI22" ca="1" si="9">(AE22-AF22)/AE22</f>
        <v>#VALUE!</v>
      </c>
      <c r="AJ22" s="162" t="e">
        <f ca="1">(AG22-AH22)/AG22</f>
        <v>#VALUE!</v>
      </c>
      <c r="AK22" s="163" t="e">
        <f ca="1">(AJ22-AI22)*100</f>
        <v>#VALUE!</v>
      </c>
      <c r="AL22" s="164" t="e">
        <f ca="1">AG22-AE22</f>
        <v>#VALUE!</v>
      </c>
      <c r="AM22" s="165" t="e">
        <f ca="1">AH22-AF22</f>
        <v>#VALUE!</v>
      </c>
      <c r="AN22" s="166"/>
      <c r="AO22" s="166"/>
      <c r="AP22" s="166"/>
      <c r="AQ22" s="166"/>
      <c r="AR22" s="167"/>
      <c r="AS22" s="167"/>
      <c r="AT22" s="168"/>
      <c r="AU22" s="169"/>
      <c r="AV22" s="161" t="str" cm="1">
        <f t="array" aca="1" ref="AV22" ca="1">IF(ISBLANK(INDIRECT("'" &amp; $N$2 &amp; "'!" &amp; ADDRESS(ROW(),COLUMN()))), "", INDIRECT("'" &amp; $N$2 &amp; "'!" &amp; ADDRESS(ROW(),COLUMN())))</f>
        <v/>
      </c>
      <c r="AW22" s="161" t="str" cm="1">
        <f t="array" aca="1" ref="AW22" ca="1">IF(ISBLANK(INDIRECT("'" &amp; $N$2 &amp; "'!" &amp; ADDRESS(ROW(),COLUMN()))), "", INDIRECT("'" &amp; $N$2 &amp; "'!" &amp; ADDRESS(ROW(),COLUMN())))</f>
        <v/>
      </c>
      <c r="AX22" s="161" t="str" cm="1">
        <f t="array" aca="1" ref="AX22" ca="1">IF(ISBLANK(INDIRECT("'" &amp; $N$2 &amp; "'!" &amp; ADDRESS(ROW(),COLUMN()))), "", INDIRECT("'" &amp; $N$2 &amp; "'!" &amp; ADDRESS(ROW(),COLUMN())))</f>
        <v/>
      </c>
      <c r="AY22" s="161" t="str" cm="1">
        <f t="array" aca="1" ref="AY22" ca="1">IF(ISBLANK(INDIRECT("'" &amp; $N$2 &amp; "'!" &amp; ADDRESS(ROW(),COLUMN()))), "", INDIRECT("'" &amp; $N$2 &amp; "'!" &amp; ADDRESS(ROW(),COLUMN())))</f>
        <v/>
      </c>
      <c r="AZ22" s="162" t="e">
        <f t="shared" ref="AZ22" ca="1" si="10">(AV22-AW22)/AV22</f>
        <v>#VALUE!</v>
      </c>
      <c r="BA22" s="162" t="e">
        <f ca="1">(AX22-AY22)/AX22</f>
        <v>#VALUE!</v>
      </c>
      <c r="BB22" s="163" t="e">
        <f ca="1">(BA22-AZ22)*100</f>
        <v>#VALUE!</v>
      </c>
      <c r="BC22" s="165" t="e">
        <f ca="1">AY22-AW22</f>
        <v>#VALUE!</v>
      </c>
      <c r="BD22" s="170">
        <f ca="1">(SUM(P20:P21))/(SUM(P12:P13))</f>
        <v>10.362689201103633</v>
      </c>
      <c r="BE22" s="170">
        <f ca="1">(SUM(P20:P21)-SUM(C20:C21))/(SUM(P12:P13)-SUM(C12:C13))</f>
        <v>7.6930790477170383</v>
      </c>
      <c r="BF22" s="170">
        <f ca="1">(SUM(T20:T21))/(SUM(T12:T13))</f>
        <v>10.39798973093311</v>
      </c>
      <c r="BG22" s="170">
        <f ca="1">(SUM(T20:T21)-SUM(G20:G21))/(SUM(T12:T13)-SUM(G12:G13))</f>
        <v>7.7928407574129537</v>
      </c>
      <c r="BH22" s="162">
        <f ca="1">(BD22-BE22)/BD22</f>
        <v>0.25761750657370669</v>
      </c>
      <c r="BI22" s="162">
        <f ca="1">(BF22-BG22)/BF22</f>
        <v>0.25054352244358025</v>
      </c>
      <c r="BJ22" s="163">
        <f ca="1">(BI22-BH22)*100</f>
        <v>-0.70739841301264428</v>
      </c>
      <c r="BK22" s="165">
        <f ca="1">BG22-BE22</f>
        <v>9.9761709695915357E-2</v>
      </c>
      <c r="BL22" s="171" t="str" cm="1">
        <f t="array" aca="1" ref="BL22" ca="1">IF(ISBLANK(INDIRECT("'" &amp; $N$2 &amp; "'!" &amp; ADDRESS(ROW(),COLUMN()))), "", INDIRECT("'" &amp; $N$2 &amp; "'!" &amp; ADDRESS(ROW(),COLUMN())))</f>
        <v/>
      </c>
      <c r="BM22" s="171" t="str" cm="1">
        <f t="array" aca="1" ref="BM22" ca="1">IF(ISBLANK(INDIRECT("'" &amp; $N$2 &amp; "'!" &amp; ADDRESS(ROW(),COLUMN()))), "", INDIRECT("'" &amp; $N$2 &amp; "'!" &amp; ADDRESS(ROW(),COLUMN())))</f>
        <v/>
      </c>
      <c r="BN22" s="172" t="e">
        <f ca="1">BM22-BL22</f>
        <v>#VALUE!</v>
      </c>
      <c r="BO22" s="211" t="e">
        <f t="shared" ca="1" si="7"/>
        <v>#VALUE!</v>
      </c>
      <c r="BP22" s="176" t="str" cm="1">
        <f t="array" aca="1" ref="BP22" ca="1">IF(ISBLANK(INDIRECT("'" &amp; $N$2 &amp; "'!" &amp; ADDRESS(ROW(),COLUMN()))), "", INDIRECT("'" &amp; $N$2 &amp; "'!" &amp; ADDRESS(ROW(),COLUMN())))</f>
        <v/>
      </c>
      <c r="BQ22" s="211" t="e">
        <f t="shared" ca="1" si="6"/>
        <v>#VALUE!</v>
      </c>
      <c r="BR22" s="176" t="str" cm="1">
        <f t="array" aca="1" ref="BR22" ca="1">IF(ISBLANK(INDIRECT("'" &amp; $N$2 &amp; "'!" &amp; ADDRESS(ROW(),COLUMN()))), "", INDIRECT("'" &amp; $N$2 &amp; "'!" &amp; ADDRESS(ROW(),COLUMN())))</f>
        <v/>
      </c>
      <c r="BS22" s="211" t="e">
        <f ca="1">BQ22-BO22</f>
        <v>#VALUE!</v>
      </c>
      <c r="BT22" s="1"/>
      <c r="BU22" s="409" t="str" cm="1">
        <f t="array" aca="1" ref="BU22" ca="1">IF(ISBLANK(INDIRECT("'" &amp; $N$2 &amp; "'!" &amp; ADDRESS(ROW(),COLUMN()))), "", INDIRECT("'" &amp; $N$2 &amp; "'!" &amp; ADDRESS(ROW(),COLUMN())))</f>
        <v/>
      </c>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row>
    <row r="23" spans="1:102" ht="12.6" customHeight="1" x14ac:dyDescent="0.3">
      <c r="A23" s="1"/>
      <c r="B23" s="1"/>
      <c r="C23" s="1"/>
      <c r="D23" s="1"/>
      <c r="E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56"/>
      <c r="AY23" s="56"/>
      <c r="AZ23" s="56"/>
      <c r="BA23" s="56"/>
      <c r="BB23" s="56"/>
      <c r="BC23" s="56"/>
      <c r="BD23" s="56"/>
      <c r="BE23" s="56"/>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row>
    <row r="24" spans="1:102" ht="13.95" customHeight="1" x14ac:dyDescent="0.3">
      <c r="A24" s="1"/>
      <c r="B24" s="1"/>
      <c r="C24" s="1"/>
      <c r="D24" s="1"/>
      <c r="E24" s="1"/>
      <c r="F24" s="1"/>
      <c r="G24" s="11" t="s">
        <v>151</v>
      </c>
      <c r="H24" s="212">
        <f ca="1">U22</f>
        <v>0.12556366234268879</v>
      </c>
      <c r="I24" s="1"/>
      <c r="J24" s="1"/>
      <c r="K24" s="11" t="s">
        <v>151</v>
      </c>
      <c r="L24" s="212"/>
      <c r="M24" s="1"/>
      <c r="O24" s="1"/>
      <c r="P24" s="1"/>
      <c r="Q24" s="1"/>
      <c r="R24" s="1"/>
      <c r="S24" s="1"/>
      <c r="T24" s="1"/>
      <c r="U24" s="1"/>
      <c r="V24" s="1"/>
      <c r="W24" s="1"/>
      <c r="X24" s="1"/>
      <c r="Y24" s="55"/>
      <c r="Z24" s="55"/>
      <c r="AA24" s="55"/>
      <c r="AB24" s="55"/>
      <c r="AC24" s="55"/>
      <c r="AD24" s="55"/>
      <c r="AE24" s="55"/>
      <c r="AF24" s="55"/>
      <c r="AG24" s="55"/>
      <c r="AH24" s="1"/>
      <c r="AI24" s="1"/>
      <c r="AJ24" s="1"/>
      <c r="AK24" s="1"/>
      <c r="AL24" s="1"/>
      <c r="AM24" s="1"/>
      <c r="AN24" s="1"/>
      <c r="AO24" s="1"/>
      <c r="AP24" s="1"/>
      <c r="AQ24" s="1"/>
      <c r="AR24" s="1"/>
      <c r="AS24" s="1"/>
      <c r="AT24" s="1"/>
      <c r="AU24" s="1"/>
      <c r="AV24" s="1"/>
      <c r="AW24" s="1"/>
      <c r="AX24" s="56"/>
      <c r="AY24" s="56"/>
      <c r="AZ24" s="56"/>
      <c r="BA24" s="56"/>
      <c r="BB24" s="56"/>
      <c r="BC24" s="56"/>
      <c r="BD24" s="56"/>
      <c r="BE24" s="56"/>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row>
    <row r="25" spans="1:102" ht="13.95" customHeight="1" x14ac:dyDescent="0.3">
      <c r="A25" s="1"/>
      <c r="B25" s="1"/>
      <c r="C25" s="1"/>
      <c r="D25" s="1"/>
      <c r="E25" s="1"/>
      <c r="F25" s="1"/>
      <c r="G25" s="11" t="s">
        <v>552</v>
      </c>
      <c r="H25" s="213" cm="1">
        <f t="array" aca="1" ref="H25" ca="1">IF(ISBLANK(INDIRECT("'" &amp; $N$2 &amp; "'!" &amp; ADDRESS(ROW(),COLUMN()))), "", INDIRECT("'" &amp; $N$2 &amp; "'!" &amp; ADDRESS(ROW(),COLUMN())))</f>
        <v>0.14130000000000001</v>
      </c>
      <c r="I25" s="1"/>
      <c r="J25" s="1"/>
      <c r="K25" s="11" t="s">
        <v>552</v>
      </c>
      <c r="L25" s="139"/>
      <c r="M25" s="1"/>
      <c r="N25" s="1"/>
      <c r="O25" s="1"/>
      <c r="P25" s="1"/>
      <c r="Q25" s="1"/>
      <c r="R25" s="1"/>
      <c r="S25" s="1"/>
      <c r="T25" s="1"/>
      <c r="U25" s="1"/>
      <c r="V25" s="1"/>
      <c r="W25" s="1"/>
      <c r="X25" s="1"/>
      <c r="Y25" s="55"/>
      <c r="Z25" s="55"/>
      <c r="AA25" s="55"/>
      <c r="AB25" s="55"/>
      <c r="AC25" s="55"/>
      <c r="AD25" s="55"/>
      <c r="AE25" s="55"/>
      <c r="AF25" s="55"/>
      <c r="AG25" s="55"/>
      <c r="AH25" s="1"/>
      <c r="AI25" s="1"/>
      <c r="AJ25" s="1"/>
      <c r="AK25" s="1"/>
      <c r="AL25" s="1"/>
      <c r="AM25" s="1"/>
      <c r="AN25" s="1"/>
      <c r="AO25" s="1"/>
      <c r="AP25" s="1"/>
      <c r="AQ25" s="1"/>
      <c r="AR25" s="1"/>
      <c r="AS25" s="1"/>
      <c r="AT25" s="1"/>
      <c r="AU25" s="1"/>
      <c r="AV25" s="1"/>
      <c r="AW25" s="1"/>
      <c r="AX25" s="56"/>
      <c r="AY25" s="56"/>
      <c r="AZ25" s="56"/>
      <c r="BA25" s="56"/>
      <c r="BB25" s="56"/>
      <c r="BC25" s="56"/>
      <c r="BD25" s="56"/>
      <c r="BE25" s="56"/>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row>
    <row r="26" spans="1:102" ht="13.95" customHeight="1" x14ac:dyDescent="0.3">
      <c r="A26" s="1"/>
      <c r="B26" s="1"/>
      <c r="C26" s="1"/>
      <c r="D26" s="1"/>
      <c r="E26" s="1"/>
      <c r="F26" s="1"/>
      <c r="G26" s="11" t="s">
        <v>553</v>
      </c>
      <c r="H26" s="213" cm="1">
        <f t="array" aca="1" ref="H26" ca="1">IF(ISBLANK(INDIRECT("'" &amp; $N$2 &amp; "'!" &amp; ADDRESS(ROW(),COLUMN()))), "", INDIRECT("'" &amp; $N$2 &amp; "'!" &amp; ADDRESS(ROW(),COLUMN())))</f>
        <v>0.19339999999999999</v>
      </c>
      <c r="I26" s="1"/>
      <c r="J26" s="1"/>
      <c r="K26" s="11" t="s">
        <v>553</v>
      </c>
      <c r="L26" s="139"/>
      <c r="M26" s="1"/>
      <c r="N26" s="1"/>
      <c r="O26" s="1"/>
      <c r="P26" s="1"/>
      <c r="Q26" s="1"/>
      <c r="R26" s="1"/>
      <c r="S26" s="1"/>
      <c r="T26" s="1"/>
      <c r="U26" s="1"/>
      <c r="V26" s="1"/>
      <c r="W26" s="1"/>
      <c r="X26" s="1"/>
      <c r="Y26" s="55"/>
      <c r="Z26" s="55"/>
      <c r="AA26" s="55"/>
      <c r="AB26" s="55"/>
      <c r="AC26" s="55"/>
      <c r="AD26" s="55"/>
      <c r="AE26" s="55"/>
      <c r="AF26" s="55"/>
      <c r="AG26" s="55"/>
      <c r="AH26" s="1"/>
      <c r="AI26" s="1"/>
      <c r="AJ26" s="1"/>
      <c r="AK26" s="1"/>
      <c r="AL26" s="1"/>
      <c r="AM26" s="1"/>
      <c r="AN26" s="1"/>
      <c r="AO26" s="1"/>
      <c r="AP26" s="1"/>
      <c r="AQ26" s="1"/>
      <c r="AR26" s="56"/>
      <c r="AS26" s="56"/>
      <c r="AT26" s="56"/>
      <c r="AU26" s="56"/>
      <c r="AV26" s="56"/>
      <c r="AW26" s="56"/>
      <c r="AX26" s="56"/>
      <c r="AY26" s="56"/>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row>
    <row r="27" spans="1:102" ht="9" customHeight="1" x14ac:dyDescent="0.3">
      <c r="A27" s="1"/>
      <c r="B27" s="1"/>
      <c r="C27" s="1"/>
      <c r="D27" s="1"/>
      <c r="E27" s="1"/>
      <c r="F27" s="1"/>
      <c r="G27" s="1"/>
      <c r="H27" s="1"/>
      <c r="I27" s="1"/>
      <c r="J27" s="1"/>
      <c r="K27" s="1"/>
      <c r="L27" s="1"/>
      <c r="M27" s="1"/>
      <c r="N27" s="1"/>
      <c r="O27" s="1"/>
      <c r="P27" s="1"/>
      <c r="Q27" s="1"/>
      <c r="R27" s="1"/>
      <c r="S27" s="1"/>
      <c r="T27" s="55"/>
      <c r="U27" s="55"/>
      <c r="V27" s="55"/>
      <c r="W27" s="55"/>
      <c r="X27" s="55"/>
      <c r="Y27" s="55"/>
      <c r="Z27" s="55"/>
      <c r="AA27" s="55"/>
      <c r="AB27" s="55"/>
      <c r="AC27" s="55"/>
      <c r="AD27" s="55"/>
      <c r="AE27" s="55"/>
      <c r="AF27" s="55"/>
      <c r="AG27" s="55"/>
      <c r="AH27" s="1"/>
      <c r="AI27" s="1"/>
      <c r="AJ27" s="1"/>
      <c r="AK27" s="1"/>
      <c r="AL27" s="1"/>
      <c r="AM27" s="1"/>
      <c r="AN27" s="1"/>
      <c r="AO27" s="1"/>
      <c r="AP27" s="1"/>
      <c r="AQ27" s="1"/>
      <c r="AR27" s="56"/>
      <c r="AS27" s="56"/>
      <c r="AT27" s="56"/>
      <c r="AU27" s="56"/>
      <c r="AV27" s="56"/>
      <c r="AW27" s="56"/>
      <c r="AX27" s="56"/>
      <c r="AY27" s="56"/>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c r="CW27" s="1"/>
      <c r="CX27" s="1"/>
    </row>
    <row r="28" spans="1:102" ht="12" customHeight="1" thickBot="1" x14ac:dyDescent="0.35">
      <c r="A28" s="214"/>
      <c r="B28" s="214"/>
      <c r="C28" s="214"/>
      <c r="D28" s="214"/>
      <c r="E28" s="214"/>
      <c r="F28" s="214"/>
      <c r="G28" s="214"/>
      <c r="H28" s="214"/>
      <c r="I28" s="214"/>
      <c r="J28" s="214"/>
      <c r="K28" s="214"/>
      <c r="L28" s="214"/>
      <c r="M28" s="214"/>
      <c r="N28" s="214"/>
      <c r="O28" s="214"/>
      <c r="P28" s="214"/>
      <c r="Q28" s="214"/>
      <c r="R28" s="214"/>
      <c r="S28" s="214"/>
      <c r="T28" s="215"/>
      <c r="U28" s="215"/>
      <c r="V28" s="215"/>
      <c r="W28" s="215"/>
      <c r="X28" s="215"/>
      <c r="Y28" s="215"/>
      <c r="Z28" s="215"/>
      <c r="AA28" s="214"/>
      <c r="AB28" s="214"/>
      <c r="AC28" s="214"/>
      <c r="AD28" s="214"/>
      <c r="AE28" s="214"/>
      <c r="AF28" s="214"/>
      <c r="AG28" s="214"/>
      <c r="AH28" s="214"/>
      <c r="AI28" s="214"/>
      <c r="AJ28" s="1"/>
      <c r="AK28" s="1"/>
      <c r="AL28" s="1"/>
      <c r="AM28" s="1"/>
      <c r="AN28" s="1"/>
      <c r="AO28" s="1"/>
      <c r="AP28" s="1"/>
      <c r="AQ28" s="1"/>
      <c r="AR28" s="56"/>
      <c r="AS28" s="56"/>
      <c r="AT28" s="56"/>
      <c r="AU28" s="56"/>
      <c r="AV28" s="56"/>
      <c r="AW28" s="56"/>
      <c r="AX28" s="56"/>
      <c r="AY28" s="56"/>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row>
    <row r="29" spans="1:102" ht="12" customHeight="1" thickBot="1" x14ac:dyDescent="0.35">
      <c r="A29" s="214"/>
      <c r="B29" s="216" t="s">
        <v>154</v>
      </c>
      <c r="C29" s="217"/>
      <c r="D29" s="217"/>
      <c r="E29" s="217"/>
      <c r="F29" s="217"/>
      <c r="G29" s="217"/>
      <c r="H29" s="217"/>
      <c r="I29" s="217"/>
      <c r="J29" s="217"/>
      <c r="K29" s="217"/>
      <c r="L29" s="217"/>
      <c r="M29" s="217"/>
      <c r="N29" s="217"/>
      <c r="O29" s="217"/>
      <c r="P29" s="217"/>
      <c r="Q29" s="217"/>
      <c r="R29" s="217"/>
      <c r="S29" s="217"/>
      <c r="T29" s="218"/>
      <c r="U29" s="218"/>
      <c r="V29" s="219"/>
      <c r="W29" s="215"/>
      <c r="X29" s="215"/>
      <c r="Y29" s="215"/>
      <c r="Z29" s="215"/>
      <c r="AA29" s="214"/>
      <c r="AB29" s="214"/>
      <c r="AC29" s="214"/>
      <c r="AD29" s="214"/>
      <c r="AE29" s="214"/>
      <c r="AF29" s="214"/>
      <c r="AG29" s="214"/>
      <c r="AH29" s="214"/>
      <c r="AI29" s="214"/>
      <c r="AJ29" s="1"/>
      <c r="AK29" s="1"/>
      <c r="AL29" s="1"/>
      <c r="AM29" s="1"/>
      <c r="AN29" s="1"/>
      <c r="AO29" s="1"/>
      <c r="AP29" s="1"/>
      <c r="AQ29" s="1"/>
      <c r="AR29" s="56"/>
      <c r="AS29" s="56"/>
      <c r="AT29" s="56"/>
      <c r="AU29" s="56"/>
      <c r="AV29" s="56"/>
      <c r="AW29" s="56"/>
      <c r="AX29" s="56"/>
      <c r="AY29" s="56"/>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c r="CW29" s="1"/>
      <c r="CX29" s="1"/>
    </row>
    <row r="30" spans="1:102" ht="21.6" customHeight="1" thickBot="1" x14ac:dyDescent="0.35">
      <c r="A30" s="214"/>
      <c r="B30" s="220"/>
      <c r="C30" s="214"/>
      <c r="D30" s="214"/>
      <c r="E30" s="214"/>
      <c r="F30" s="214"/>
      <c r="G30" s="214"/>
      <c r="H30" s="214"/>
      <c r="I30" s="214"/>
      <c r="J30" s="214"/>
      <c r="K30" s="214"/>
      <c r="L30" s="214"/>
      <c r="M30" s="214"/>
      <c r="N30" s="214"/>
      <c r="O30" s="214"/>
      <c r="P30" s="214"/>
      <c r="Q30" s="214"/>
      <c r="R30" s="214"/>
      <c r="S30" s="214"/>
      <c r="T30" s="214"/>
      <c r="U30" s="214"/>
      <c r="V30" s="214"/>
      <c r="W30" s="214"/>
      <c r="X30" s="214"/>
      <c r="Y30" s="214"/>
      <c r="Z30" s="214"/>
      <c r="AA30" s="214"/>
      <c r="AB30" s="214"/>
      <c r="AC30" s="216" t="s">
        <v>158</v>
      </c>
      <c r="AD30" s="221"/>
      <c r="AE30" s="214"/>
      <c r="AF30" s="214"/>
      <c r="AG30" s="214"/>
      <c r="AH30" s="214"/>
      <c r="AI30" s="214"/>
      <c r="AJ30" s="1"/>
      <c r="AK30" s="1"/>
      <c r="AL30" s="1"/>
      <c r="AM30" s="76"/>
      <c r="AN30" s="1"/>
      <c r="AO30" s="1"/>
      <c r="AP30" s="1"/>
      <c r="AQ30" s="1"/>
      <c r="AR30" s="56"/>
      <c r="AS30" s="56"/>
      <c r="AT30" s="56"/>
      <c r="AU30" s="56"/>
      <c r="AV30" s="56"/>
      <c r="AW30" s="56"/>
      <c r="AX30" s="56"/>
      <c r="AY30" s="56"/>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row>
    <row r="31" spans="1:102" ht="21" customHeight="1" thickBot="1" x14ac:dyDescent="0.35">
      <c r="A31" s="214"/>
      <c r="B31" s="216" t="s">
        <v>159</v>
      </c>
      <c r="C31" s="221"/>
      <c r="D31" s="223"/>
      <c r="E31" s="222" t="s">
        <v>160</v>
      </c>
      <c r="F31" s="222" t="s">
        <v>160</v>
      </c>
      <c r="G31" s="223"/>
      <c r="H31" s="224" t="s">
        <v>161</v>
      </c>
      <c r="I31" s="222"/>
      <c r="J31" s="222"/>
      <c r="K31" s="222"/>
      <c r="L31" s="222"/>
      <c r="M31" s="223"/>
      <c r="N31" s="216" t="s">
        <v>162</v>
      </c>
      <c r="O31" s="221"/>
      <c r="P31" s="222" t="s">
        <v>163</v>
      </c>
      <c r="Q31" s="222"/>
      <c r="R31" s="222"/>
      <c r="S31" s="223"/>
      <c r="T31" s="224" t="s">
        <v>164</v>
      </c>
      <c r="U31" s="222"/>
      <c r="V31" s="222"/>
      <c r="W31" s="223"/>
      <c r="X31" s="225" t="s">
        <v>165</v>
      </c>
      <c r="Y31" s="222"/>
      <c r="Z31" s="222"/>
      <c r="AA31" s="223"/>
      <c r="AB31" s="214"/>
      <c r="AC31" s="347" t="s">
        <v>163</v>
      </c>
      <c r="AD31" s="348"/>
      <c r="AE31" s="223"/>
      <c r="AF31" s="224" t="s">
        <v>164</v>
      </c>
      <c r="AG31" s="222"/>
      <c r="AH31" s="223"/>
      <c r="AI31" s="214"/>
      <c r="AJ31" s="1"/>
      <c r="AK31" s="1"/>
      <c r="AL31" s="1"/>
      <c r="AM31" s="1"/>
      <c r="AN31" s="1"/>
      <c r="AO31" s="1"/>
      <c r="AP31" s="1"/>
      <c r="AQ31" s="1"/>
      <c r="AR31" s="56"/>
      <c r="AS31" s="56"/>
      <c r="AT31" s="56"/>
      <c r="AU31" s="56"/>
      <c r="AV31" s="56"/>
      <c r="AW31" s="56"/>
      <c r="AX31" s="56"/>
      <c r="AY31" s="56"/>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c r="CW31" s="1"/>
      <c r="CX31" s="1"/>
    </row>
    <row r="32" spans="1:102" ht="51" customHeight="1" x14ac:dyDescent="0.3">
      <c r="A32" s="214"/>
      <c r="B32" s="226"/>
      <c r="C32" s="227" t="s">
        <v>166</v>
      </c>
      <c r="D32" s="228" t="s">
        <v>167</v>
      </c>
      <c r="E32" s="228" t="s">
        <v>168</v>
      </c>
      <c r="F32" s="410" t="s">
        <v>169</v>
      </c>
      <c r="G32" s="228" t="s">
        <v>170</v>
      </c>
      <c r="H32" s="228" t="s">
        <v>171</v>
      </c>
      <c r="I32" s="229" t="s">
        <v>172</v>
      </c>
      <c r="J32" s="229" t="s">
        <v>173</v>
      </c>
      <c r="K32" s="230" t="s">
        <v>549</v>
      </c>
      <c r="L32" s="229" t="s">
        <v>548</v>
      </c>
      <c r="M32" s="411" t="s">
        <v>176</v>
      </c>
      <c r="N32" s="227"/>
      <c r="O32" s="227" t="s">
        <v>177</v>
      </c>
      <c r="P32" s="231" t="s">
        <v>178</v>
      </c>
      <c r="Q32" s="231" t="s">
        <v>546</v>
      </c>
      <c r="R32" s="231" t="s">
        <v>554</v>
      </c>
      <c r="S32" s="231" t="s">
        <v>181</v>
      </c>
      <c r="T32" s="231" t="s">
        <v>182</v>
      </c>
      <c r="U32" s="231" t="s">
        <v>555</v>
      </c>
      <c r="V32" s="231" t="s">
        <v>556</v>
      </c>
      <c r="W32" s="231" t="s">
        <v>185</v>
      </c>
      <c r="X32" s="231" t="s">
        <v>186</v>
      </c>
      <c r="Y32" s="231" t="s">
        <v>559</v>
      </c>
      <c r="Z32" s="231" t="s">
        <v>560</v>
      </c>
      <c r="AA32" s="231" t="s">
        <v>189</v>
      </c>
      <c r="AB32" s="214"/>
      <c r="AC32" s="231" t="s">
        <v>178</v>
      </c>
      <c r="AD32" s="231" t="s">
        <v>546</v>
      </c>
      <c r="AE32" s="231" t="s">
        <v>554</v>
      </c>
      <c r="AF32" s="231" t="s">
        <v>182</v>
      </c>
      <c r="AG32" s="231" t="s">
        <v>555</v>
      </c>
      <c r="AH32" s="231" t="s">
        <v>556</v>
      </c>
      <c r="AI32" s="214"/>
      <c r="AJ32" s="1"/>
      <c r="AK32" s="1"/>
      <c r="AL32" s="1"/>
      <c r="AM32" s="1"/>
      <c r="AN32" s="1"/>
      <c r="AO32" s="1"/>
      <c r="AP32" s="1"/>
      <c r="AQ32" s="1"/>
      <c r="AR32" s="56"/>
      <c r="AS32" s="56"/>
      <c r="AT32" s="56"/>
      <c r="AU32" s="56"/>
      <c r="AV32" s="56"/>
      <c r="AW32" s="56"/>
      <c r="AX32" s="56"/>
      <c r="AY32" s="56"/>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c r="CW32" s="1"/>
      <c r="CX32" s="1"/>
    </row>
    <row r="33" spans="1:102" ht="15.6" customHeight="1" x14ac:dyDescent="0.3">
      <c r="A33" s="214"/>
      <c r="B33" s="232">
        <v>2019</v>
      </c>
      <c r="C33" s="233">
        <f ca="1">C22</f>
        <v>402013561280.8183</v>
      </c>
      <c r="D33" s="146" cm="1">
        <f t="array" aca="1" ref="D33" ca="1">IF(ISBLANK(INDIRECT("'" &amp; $N$2 &amp; "'!" &amp; ADDRESS(ROW(),COLUMN()))), "", INDIRECT("'" &amp; $N$2 &amp; "'!" &amp; ADDRESS(ROW(),COLUMN())))</f>
        <v>3534880</v>
      </c>
      <c r="E33" s="259">
        <f ca="1">(F33/1000000/D33)*100</f>
        <v>9.5953752319739287</v>
      </c>
      <c r="F33" s="146" cm="1">
        <f t="array" aca="1" ref="F33" ca="1">IF(ISBLANK(INDIRECT("'" &amp; $N$2 &amp; "'!" &amp; ADDRESS(ROW(),COLUMN()))), "", INDIRECT("'" &amp; $N$2 &amp; "'!" &amp; ADDRESS(ROW(),COLUMN())))</f>
        <v>339185000000</v>
      </c>
      <c r="G33" s="234">
        <f ca="1">F33/C33</f>
        <v>0.84371531875530259</v>
      </c>
      <c r="H33" s="235">
        <f ca="1">C33*G33</f>
        <v>339185000000</v>
      </c>
      <c r="I33" s="235" t="s">
        <v>113</v>
      </c>
      <c r="J33" s="235" t="s">
        <v>113</v>
      </c>
      <c r="K33" s="235" t="s">
        <v>113</v>
      </c>
      <c r="L33" s="235" t="s">
        <v>113</v>
      </c>
      <c r="M33" s="214"/>
      <c r="N33" s="232">
        <v>2019</v>
      </c>
      <c r="O33" s="236">
        <f ca="1">G33</f>
        <v>0.84371531875530259</v>
      </c>
      <c r="P33" s="237"/>
      <c r="Q33" s="237"/>
      <c r="R33" s="237"/>
      <c r="S33" s="237"/>
      <c r="T33" s="237"/>
      <c r="U33" s="237"/>
      <c r="V33" s="238"/>
      <c r="W33" s="238"/>
      <c r="X33" s="238"/>
      <c r="Y33" s="238"/>
      <c r="Z33" s="238"/>
      <c r="AA33" s="238"/>
      <c r="AB33" s="214"/>
      <c r="AC33" s="237"/>
      <c r="AD33" s="237"/>
      <c r="AE33" s="237"/>
      <c r="AF33" s="237"/>
      <c r="AG33" s="237"/>
      <c r="AH33" s="238"/>
      <c r="AI33" s="214"/>
      <c r="AJ33" s="1"/>
      <c r="AK33" s="1"/>
      <c r="AL33" s="1"/>
      <c r="AM33" s="1"/>
      <c r="AN33" s="1"/>
      <c r="AO33" s="1"/>
      <c r="AP33" s="1"/>
      <c r="AQ33" s="1"/>
      <c r="AR33" s="56"/>
      <c r="AS33" s="56"/>
      <c r="AT33" s="56"/>
      <c r="AU33" s="56"/>
      <c r="AV33" s="56"/>
      <c r="AW33" s="56"/>
      <c r="AX33" s="56"/>
      <c r="AY33" s="56"/>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c r="CW33" s="1"/>
      <c r="CX33" s="1"/>
    </row>
    <row r="34" spans="1:102" s="51" customFormat="1" ht="15.6" customHeight="1" x14ac:dyDescent="0.3">
      <c r="A34" s="239"/>
      <c r="B34" s="240">
        <v>2020</v>
      </c>
      <c r="C34" s="241">
        <f ca="1">D22</f>
        <v>400379826037.15259</v>
      </c>
      <c r="D34" s="146" cm="1">
        <f t="array" aca="1" ref="D34" ca="1">IF(ISBLANK(INDIRECT("'" &amp; $N$2 &amp; "'!" &amp; ADDRESS(ROW(),COLUMN()))), "", INDIRECT("'" &amp; $N$2 &amp; "'!" &amp; ADDRESS(ROW(),COLUMN())))</f>
        <v>3449620</v>
      </c>
      <c r="E34" s="259">
        <f t="shared" ref="E34:E36" ca="1" si="11">(F34/1000000/D34)*100</f>
        <v>9.5069311982189344</v>
      </c>
      <c r="F34" s="146" cm="1">
        <f t="array" aca="1" ref="F34" ca="1">IF(ISBLANK(INDIRECT("'" &amp; $N$2 &amp; "'!" &amp; ADDRESS(ROW(),COLUMN()))), "", INDIRECT("'" &amp; $N$2 &amp; "'!" &amp; ADDRESS(ROW(),COLUMN())))</f>
        <v>327953000000</v>
      </c>
      <c r="G34" s="234">
        <f ca="1">F34/C34</f>
        <v>0.81910470676304292</v>
      </c>
      <c r="H34" s="242">
        <f ca="1">C34*G34</f>
        <v>327953000000</v>
      </c>
      <c r="I34" s="243"/>
      <c r="J34" s="243"/>
      <c r="K34" s="243"/>
      <c r="L34" s="243"/>
      <c r="M34" s="214"/>
      <c r="N34" s="240">
        <v>2020</v>
      </c>
      <c r="O34" s="244"/>
      <c r="P34" s="245"/>
      <c r="Q34" s="245"/>
      <c r="R34" s="245"/>
      <c r="S34" s="245"/>
      <c r="T34" s="245"/>
      <c r="U34" s="245"/>
      <c r="V34" s="245"/>
      <c r="W34" s="245"/>
      <c r="X34" s="245"/>
      <c r="Y34" s="245"/>
      <c r="Z34" s="245"/>
      <c r="AA34" s="245"/>
      <c r="AB34" s="239"/>
      <c r="AC34" s="245"/>
      <c r="AD34" s="245"/>
      <c r="AE34" s="245"/>
      <c r="AF34" s="245"/>
      <c r="AG34" s="245"/>
      <c r="AH34" s="245"/>
      <c r="AI34" s="239"/>
      <c r="AJ34" s="47"/>
      <c r="AK34" s="47"/>
      <c r="AL34" s="47"/>
      <c r="AM34" s="47"/>
      <c r="AN34" s="47"/>
      <c r="AO34" s="47"/>
      <c r="AP34" s="47"/>
      <c r="AQ34" s="47"/>
      <c r="AR34" s="56"/>
      <c r="AS34" s="56"/>
      <c r="AT34" s="56"/>
      <c r="AU34" s="56"/>
      <c r="AV34" s="56"/>
      <c r="AW34" s="56"/>
      <c r="AX34" s="56"/>
      <c r="AY34" s="56"/>
      <c r="AZ34" s="47"/>
      <c r="BA34" s="47"/>
      <c r="BB34" s="47"/>
      <c r="BC34" s="47"/>
      <c r="BD34" s="47"/>
      <c r="BE34" s="47"/>
      <c r="BF34" s="47"/>
      <c r="BG34" s="47"/>
      <c r="BH34" s="47"/>
      <c r="BI34" s="47"/>
      <c r="BJ34" s="47"/>
      <c r="BK34" s="47"/>
      <c r="BL34" s="47"/>
      <c r="BM34" s="47"/>
      <c r="BN34" s="47"/>
      <c r="BO34" s="47"/>
      <c r="BP34" s="47"/>
      <c r="BQ34" s="47"/>
      <c r="BR34" s="47"/>
      <c r="BS34" s="47"/>
      <c r="BT34" s="47"/>
      <c r="BU34" s="47"/>
      <c r="BV34" s="47"/>
      <c r="BW34" s="47"/>
      <c r="BX34" s="47"/>
      <c r="BY34" s="47"/>
      <c r="BZ34" s="47"/>
      <c r="CA34" s="47"/>
      <c r="CB34" s="47"/>
      <c r="CC34" s="47"/>
      <c r="CD34" s="47"/>
      <c r="CE34" s="47"/>
      <c r="CF34" s="47"/>
      <c r="CG34" s="47"/>
      <c r="CH34" s="47"/>
      <c r="CI34" s="47"/>
      <c r="CJ34" s="47"/>
      <c r="CK34" s="47"/>
      <c r="CL34" s="47"/>
      <c r="CM34" s="47"/>
      <c r="CN34" s="47"/>
      <c r="CO34" s="47"/>
      <c r="CP34" s="47"/>
      <c r="CQ34" s="47"/>
      <c r="CR34" s="47"/>
      <c r="CS34" s="47"/>
      <c r="CT34" s="47"/>
      <c r="CU34" s="47"/>
      <c r="CV34" s="47"/>
      <c r="CW34" s="47"/>
      <c r="CX34" s="47"/>
    </row>
    <row r="35" spans="1:102" ht="15.6" customHeight="1" x14ac:dyDescent="0.3">
      <c r="A35" s="214"/>
      <c r="B35" s="232">
        <v>2021</v>
      </c>
      <c r="C35" s="241">
        <f ca="1">E22</f>
        <v>400467113922.31909</v>
      </c>
      <c r="D35" s="146" cm="1">
        <f t="array" aca="1" ref="D35" ca="1">IF(ISBLANK(INDIRECT("'" &amp; $N$2 &amp; "'!" &amp; ADDRESS(ROW(),COLUMN()))), "", INDIRECT("'" &amp; $N$2 &amp; "'!" &amp; ADDRESS(ROW(),COLUMN())))</f>
        <v>3676460</v>
      </c>
      <c r="E35" s="259">
        <f t="shared" ca="1" si="11"/>
        <v>9.4743584861524397</v>
      </c>
      <c r="F35" s="146" cm="1">
        <f t="array" aca="1" ref="F35" ca="1">IF(ISBLANK(INDIRECT("'" &amp; $N$2 &amp; "'!" &amp; ADDRESS(ROW(),COLUMN()))), "", INDIRECT("'" &amp; $N$2 &amp; "'!" &amp; ADDRESS(ROW(),COLUMN())))</f>
        <v>348321000000</v>
      </c>
      <c r="G35" s="234">
        <f ca="1">F35/C35</f>
        <v>0.86978677621844835</v>
      </c>
      <c r="H35" s="242">
        <f ca="1">C35*G35</f>
        <v>348321000000</v>
      </c>
      <c r="I35" s="243"/>
      <c r="J35" s="243"/>
      <c r="K35" s="243"/>
      <c r="L35" s="243"/>
      <c r="M35" s="214"/>
      <c r="N35" s="232">
        <v>2021</v>
      </c>
      <c r="O35" s="244"/>
      <c r="P35" s="246"/>
      <c r="Q35" s="246"/>
      <c r="R35" s="246"/>
      <c r="S35" s="246"/>
      <c r="T35" s="246"/>
      <c r="U35" s="246"/>
      <c r="V35" s="247"/>
      <c r="W35" s="247"/>
      <c r="X35" s="247"/>
      <c r="Y35" s="247"/>
      <c r="Z35" s="247"/>
      <c r="AA35" s="247"/>
      <c r="AB35" s="214"/>
      <c r="AC35" s="246"/>
      <c r="AD35" s="246"/>
      <c r="AE35" s="246"/>
      <c r="AF35" s="246"/>
      <c r="AG35" s="246"/>
      <c r="AH35" s="247"/>
      <c r="AI35" s="214"/>
      <c r="AJ35" s="1"/>
      <c r="AK35" s="1"/>
      <c r="AL35" s="1"/>
      <c r="AM35" s="1"/>
      <c r="AN35" s="1"/>
      <c r="AO35" s="1"/>
      <c r="AP35" s="1"/>
      <c r="AQ35" s="1"/>
      <c r="AR35" s="56"/>
      <c r="AS35" s="56"/>
      <c r="AT35" s="56"/>
      <c r="AU35" s="56"/>
      <c r="AV35" s="56"/>
      <c r="AW35" s="56"/>
      <c r="AX35" s="56"/>
      <c r="AY35" s="56"/>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row>
    <row r="36" spans="1:102" ht="15.6" customHeight="1" x14ac:dyDescent="0.3">
      <c r="A36" s="214"/>
      <c r="B36" s="240">
        <v>2022</v>
      </c>
      <c r="C36" s="248">
        <f ca="1">F22</f>
        <v>426442986699.86633</v>
      </c>
      <c r="D36" s="146" cm="1">
        <f t="array" aca="1" ref="D36" ca="1">IF(ISBLANK(INDIRECT("'" &amp; $N$2 &amp; "'!" &amp; ADDRESS(ROW(),COLUMN()))), "", INDIRECT("'" &amp; $N$2 &amp; "'!" &amp; ADDRESS(ROW(),COLUMN())))</f>
        <v>3953850</v>
      </c>
      <c r="E36" s="259">
        <f t="shared" ca="1" si="11"/>
        <v>9.5293701076166268</v>
      </c>
      <c r="F36" s="146" cm="1">
        <f t="array" aca="1" ref="F36" ca="1">IF(ISBLANK(INDIRECT("'" &amp; $N$2 &amp; "'!" &amp; ADDRESS(ROW(),COLUMN()))), "", INDIRECT("'" &amp; $N$2 &amp; "'!" &amp; ADDRESS(ROW(),COLUMN())))</f>
        <v>376777000000</v>
      </c>
      <c r="G36" s="234">
        <f ca="1">F36/C36</f>
        <v>0.88353428653096455</v>
      </c>
      <c r="H36" s="242">
        <f ca="1">C36*G36</f>
        <v>376777000000</v>
      </c>
      <c r="I36" s="249"/>
      <c r="J36" s="249"/>
      <c r="K36" s="249"/>
      <c r="L36" s="249"/>
      <c r="M36" s="214"/>
      <c r="N36" s="240">
        <v>2022</v>
      </c>
      <c r="O36" s="250"/>
      <c r="P36" s="225"/>
      <c r="Q36" s="225"/>
      <c r="R36" s="225"/>
      <c r="S36" s="225"/>
      <c r="T36" s="225"/>
      <c r="U36" s="225"/>
      <c r="V36" s="225"/>
      <c r="W36" s="225"/>
      <c r="X36" s="225"/>
      <c r="Y36" s="225"/>
      <c r="Z36" s="225"/>
      <c r="AA36" s="225"/>
      <c r="AB36" s="214"/>
      <c r="AC36" s="225"/>
      <c r="AD36" s="225"/>
      <c r="AE36" s="225"/>
      <c r="AF36" s="225"/>
      <c r="AG36" s="225"/>
      <c r="AH36" s="225"/>
      <c r="AI36" s="214"/>
      <c r="AJ36" s="1"/>
      <c r="AK36" s="1"/>
      <c r="AL36" s="1"/>
      <c r="AM36" s="1"/>
      <c r="AN36" s="1"/>
      <c r="AO36" s="1"/>
      <c r="AP36" s="1"/>
      <c r="AQ36" s="1"/>
      <c r="AR36" s="56"/>
      <c r="AS36" s="56"/>
      <c r="AT36" s="56"/>
      <c r="AU36" s="56"/>
      <c r="AV36" s="56"/>
      <c r="AW36" s="56"/>
      <c r="AX36" s="56"/>
      <c r="AY36" s="56"/>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c r="CW36" s="1"/>
      <c r="CX36" s="1"/>
    </row>
    <row r="37" spans="1:102" ht="15.6" customHeight="1" x14ac:dyDescent="0.3">
      <c r="A37" s="214"/>
      <c r="B37" s="232">
        <v>2023</v>
      </c>
      <c r="C37" s="251">
        <f ca="1">G22</f>
        <v>429507451887.20007</v>
      </c>
      <c r="D37" s="146" cm="1">
        <f t="array" aca="1" ref="D37" ca="1">IF(ISBLANK(INDIRECT("'" &amp; $N$2 &amp; "'!" &amp; ADDRESS(ROW(),COLUMN()))), "", INDIRECT("'" &amp; $N$2 &amp; "'!" &amp; ADDRESS(ROW(),COLUMN())))</f>
        <v>4185550</v>
      </c>
      <c r="E37" s="259">
        <f ca="1">(F37/1000000/D37)*100</f>
        <v>8.9552866409432461</v>
      </c>
      <c r="F37" s="146" cm="1">
        <f t="array" aca="1" ref="F37" ca="1">IF(ISBLANK(INDIRECT("'" &amp; $N$2 &amp; "'!" &amp; ADDRESS(ROW(),COLUMN()))), "", INDIRECT("'" &amp; $N$2 &amp; "'!" &amp; ADDRESS(ROW(),COLUMN())))</f>
        <v>374828000000</v>
      </c>
      <c r="G37" s="234">
        <f ca="1">F37/C37</f>
        <v>0.87269265842316435</v>
      </c>
      <c r="H37" s="242">
        <f ca="1">C37*G37</f>
        <v>374828000000</v>
      </c>
      <c r="I37" s="235">
        <f ca="1">H22*$G37</f>
        <v>424413321262.04913</v>
      </c>
      <c r="J37" s="235">
        <f ca="1">I22*$G37</f>
        <v>393500429573.94672</v>
      </c>
      <c r="K37" s="235">
        <f ca="1">J22*$G37</f>
        <v>393438821487.44531</v>
      </c>
      <c r="L37" s="235">
        <f ca="1">K22*$G37</f>
        <v>382836974168.15723</v>
      </c>
      <c r="M37" s="412" t="e">
        <f ca="1">BU22*$G37</f>
        <v>#VALUE!</v>
      </c>
      <c r="N37" s="232">
        <v>2023</v>
      </c>
      <c r="O37" s="252">
        <f ca="1">G37</f>
        <v>0.87269265842316435</v>
      </c>
      <c r="P37" s="253">
        <f ca="1">($H37-J37)/1000000</f>
        <v>-18672.429573946716</v>
      </c>
      <c r="Q37" s="253">
        <f ca="1">($H37-K37)/1000000</f>
        <v>-18610.821487445312</v>
      </c>
      <c r="R37" s="253">
        <f ca="1">($H37-L37)/1000000</f>
        <v>-8008.9741681572268</v>
      </c>
      <c r="S37" s="253">
        <f ca="1">AVERAGE(P37:R37)</f>
        <v>-15097.408409849753</v>
      </c>
      <c r="T37" s="253">
        <f t="shared" ref="T37:V37" ca="1" si="12">($I37-J37)/1000000</f>
        <v>30912.891688102416</v>
      </c>
      <c r="U37" s="253">
        <f t="shared" ca="1" si="12"/>
        <v>30974.499774603821</v>
      </c>
      <c r="V37" s="253">
        <f t="shared" ca="1" si="12"/>
        <v>41576.347093891905</v>
      </c>
      <c r="W37" s="253">
        <f ca="1">AVERAGE(T37:V37)</f>
        <v>34487.912852199377</v>
      </c>
      <c r="X37" s="254">
        <f ca="1">(T37-P37)/T37</f>
        <v>1.604033739785439</v>
      </c>
      <c r="Y37" s="254">
        <f ca="1">(U37-Q37)/U37</f>
        <v>1.6008433267001276</v>
      </c>
      <c r="Z37" s="254">
        <f ca="1">(V37-R37)/V37</f>
        <v>1.1926329446420714</v>
      </c>
      <c r="AA37" s="254">
        <f ca="1">AVERAGE(X37:Z37)</f>
        <v>1.4658366703758794</v>
      </c>
      <c r="AB37" s="214"/>
      <c r="AC37" s="351">
        <f ca="1">P37/$D37</f>
        <v>-4.4611650975252279E-3</v>
      </c>
      <c r="AD37" s="351">
        <f ca="1">Q37/$D37</f>
        <v>-4.4464458643297322E-3</v>
      </c>
      <c r="AE37" s="351">
        <f ca="1">R37/$D37</f>
        <v>-1.9134819003851888E-3</v>
      </c>
      <c r="AF37" s="351">
        <f ca="1">T37/$D37</f>
        <v>7.3856223645882655E-3</v>
      </c>
      <c r="AG37" s="351">
        <f ca="1">U37/$D37</f>
        <v>7.4003415977837612E-3</v>
      </c>
      <c r="AH37" s="351">
        <f ca="1">V37/$D37</f>
        <v>9.9333055617283044E-3</v>
      </c>
      <c r="AI37" s="214"/>
      <c r="AJ37" s="1"/>
      <c r="AK37" s="1"/>
      <c r="AL37" s="1"/>
      <c r="AM37" s="1"/>
      <c r="AN37" s="1"/>
      <c r="AO37" s="1"/>
      <c r="AP37" s="1"/>
      <c r="AQ37" s="1"/>
      <c r="AR37" s="56"/>
      <c r="AS37" s="56"/>
      <c r="AT37" s="56"/>
      <c r="AU37" s="56"/>
      <c r="AV37" s="56"/>
      <c r="AW37" s="56"/>
      <c r="AX37" s="56"/>
      <c r="AY37" s="56"/>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c r="CW37" s="1"/>
      <c r="CX37" s="1"/>
    </row>
    <row r="38" spans="1:102" ht="15.6" customHeight="1" x14ac:dyDescent="0.3">
      <c r="A38" s="214"/>
      <c r="B38" s="240">
        <v>2024</v>
      </c>
      <c r="C38" s="255"/>
      <c r="D38" s="256"/>
      <c r="E38" s="256"/>
      <c r="F38" s="256"/>
      <c r="G38" s="257"/>
      <c r="H38" s="256"/>
      <c r="I38" s="249"/>
      <c r="J38" s="249"/>
      <c r="K38" s="249"/>
      <c r="L38" s="249"/>
      <c r="M38" s="214"/>
      <c r="N38" s="240">
        <v>2024</v>
      </c>
      <c r="O38" s="250"/>
      <c r="P38" s="225"/>
      <c r="Q38" s="225"/>
      <c r="R38" s="225"/>
      <c r="S38" s="225"/>
      <c r="T38" s="258"/>
      <c r="U38" s="258"/>
      <c r="V38" s="258"/>
      <c r="W38" s="258"/>
      <c r="X38" s="225"/>
      <c r="Y38" s="225"/>
      <c r="Z38" s="225"/>
      <c r="AA38" s="225"/>
      <c r="AB38" s="214"/>
      <c r="AC38" s="353"/>
      <c r="AD38" s="353"/>
      <c r="AE38" s="353"/>
      <c r="AF38" s="354"/>
      <c r="AG38" s="354"/>
      <c r="AH38" s="354"/>
      <c r="AI38" s="214"/>
      <c r="AJ38" s="1"/>
      <c r="AK38" s="1"/>
      <c r="AL38" s="1"/>
      <c r="AM38" s="1"/>
      <c r="AN38" s="1"/>
      <c r="AO38" s="1"/>
      <c r="AP38" s="1"/>
      <c r="AQ38" s="1"/>
      <c r="AR38" s="56"/>
      <c r="AS38" s="56"/>
      <c r="AT38" s="56"/>
      <c r="AU38" s="56"/>
      <c r="AV38" s="56"/>
      <c r="AW38" s="56"/>
      <c r="AX38" s="56"/>
      <c r="AY38" s="56"/>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c r="CW38" s="1"/>
      <c r="CX38" s="1"/>
    </row>
    <row r="39" spans="1:102" ht="15.6" customHeight="1" x14ac:dyDescent="0.3">
      <c r="A39" s="214"/>
      <c r="B39" s="232">
        <v>2025</v>
      </c>
      <c r="C39" s="255"/>
      <c r="D39" s="256"/>
      <c r="E39" s="256"/>
      <c r="F39" s="256"/>
      <c r="G39" s="257"/>
      <c r="H39" s="256"/>
      <c r="I39" s="249"/>
      <c r="J39" s="249"/>
      <c r="K39" s="249"/>
      <c r="L39" s="249"/>
      <c r="M39" s="214"/>
      <c r="N39" s="232">
        <v>2025</v>
      </c>
      <c r="O39" s="250"/>
      <c r="P39" s="225"/>
      <c r="Q39" s="225"/>
      <c r="R39" s="225"/>
      <c r="S39" s="225"/>
      <c r="T39" s="258"/>
      <c r="U39" s="258"/>
      <c r="V39" s="258"/>
      <c r="W39" s="258"/>
      <c r="X39" s="225"/>
      <c r="Y39" s="225"/>
      <c r="Z39" s="225"/>
      <c r="AA39" s="225"/>
      <c r="AB39" s="214"/>
      <c r="AC39" s="353"/>
      <c r="AD39" s="353"/>
      <c r="AE39" s="353"/>
      <c r="AF39" s="354"/>
      <c r="AG39" s="354"/>
      <c r="AH39" s="354"/>
      <c r="AI39" s="214"/>
      <c r="AJ39" s="1"/>
      <c r="AK39" s="1"/>
      <c r="AL39" s="1"/>
      <c r="AM39" s="1"/>
      <c r="AN39" s="1"/>
      <c r="AO39" s="1"/>
      <c r="AP39" s="1"/>
      <c r="AQ39" s="1"/>
      <c r="AR39" s="56"/>
      <c r="AS39" s="56"/>
      <c r="AT39" s="56"/>
      <c r="AU39" s="56"/>
      <c r="AV39" s="56"/>
      <c r="AW39" s="56"/>
      <c r="AX39" s="56"/>
      <c r="AY39" s="56"/>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c r="CW39" s="1"/>
      <c r="CX39" s="1"/>
    </row>
    <row r="40" spans="1:102" ht="15.6" customHeight="1" x14ac:dyDescent="0.3">
      <c r="A40" s="214"/>
      <c r="B40" s="240">
        <v>2026</v>
      </c>
      <c r="C40" s="251"/>
      <c r="D40" s="256"/>
      <c r="E40" s="256"/>
      <c r="F40" s="256"/>
      <c r="G40" s="259"/>
      <c r="H40" s="256"/>
      <c r="I40" s="235"/>
      <c r="J40" s="235"/>
      <c r="K40" s="235"/>
      <c r="L40" s="235"/>
      <c r="M40" s="214"/>
      <c r="N40" s="240">
        <v>2026</v>
      </c>
      <c r="O40" s="252"/>
      <c r="P40" s="225"/>
      <c r="Q40" s="225"/>
      <c r="R40" s="225"/>
      <c r="S40" s="225"/>
      <c r="T40" s="253"/>
      <c r="U40" s="253"/>
      <c r="V40" s="253"/>
      <c r="W40" s="253"/>
      <c r="X40" s="225"/>
      <c r="Y40" s="225"/>
      <c r="Z40" s="225"/>
      <c r="AA40" s="225"/>
      <c r="AB40" s="214"/>
      <c r="AC40" s="353"/>
      <c r="AD40" s="353"/>
      <c r="AE40" s="353"/>
      <c r="AF40" s="351"/>
      <c r="AG40" s="351"/>
      <c r="AH40" s="351"/>
      <c r="AI40" s="214"/>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c r="CX40" s="1"/>
    </row>
    <row r="41" spans="1:102" ht="12.6" customHeight="1" x14ac:dyDescent="0.3">
      <c r="A41" s="214"/>
      <c r="B41" s="214"/>
      <c r="C41" s="214"/>
      <c r="D41" s="214"/>
      <c r="E41" s="214"/>
      <c r="F41" s="214"/>
      <c r="G41" s="214"/>
      <c r="H41" s="214"/>
      <c r="I41" s="260"/>
      <c r="J41" s="214"/>
      <c r="K41" s="214"/>
      <c r="L41" s="214"/>
      <c r="M41" s="214"/>
      <c r="N41" s="214"/>
      <c r="O41" s="214"/>
      <c r="P41" s="214"/>
      <c r="Q41" s="214"/>
      <c r="R41" s="214"/>
      <c r="S41" s="214"/>
      <c r="T41" s="260"/>
      <c r="U41" s="214"/>
      <c r="V41" s="214"/>
      <c r="W41" s="214"/>
      <c r="X41" s="413" t="s">
        <v>190</v>
      </c>
      <c r="Y41" s="414"/>
      <c r="Z41" s="414"/>
      <c r="AA41" s="415"/>
      <c r="AB41" s="214"/>
      <c r="AC41" s="214"/>
      <c r="AD41" s="214"/>
      <c r="AE41" s="214"/>
      <c r="AF41" s="260"/>
      <c r="AG41" s="214"/>
      <c r="AH41" s="214"/>
      <c r="AI41" s="214"/>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c r="CW41" s="1"/>
      <c r="CX41" s="1"/>
    </row>
    <row r="42" spans="1:102" ht="12.6" customHeight="1" x14ac:dyDescent="0.3">
      <c r="A42" s="214"/>
      <c r="B42" s="214"/>
      <c r="C42" s="214"/>
      <c r="D42" s="214"/>
      <c r="E42" s="214"/>
      <c r="F42" s="214"/>
      <c r="G42" s="214"/>
      <c r="H42" s="214"/>
      <c r="I42" s="214"/>
      <c r="J42" s="214"/>
      <c r="K42" s="214"/>
      <c r="L42" s="214"/>
      <c r="M42" s="214"/>
      <c r="N42" s="214"/>
      <c r="O42" s="214"/>
      <c r="P42" s="214"/>
      <c r="Q42" s="214"/>
      <c r="R42" s="214"/>
      <c r="S42" s="214"/>
      <c r="T42" s="214"/>
      <c r="U42" s="214"/>
      <c r="V42" s="214"/>
      <c r="W42" s="416">
        <v>2023</v>
      </c>
      <c r="X42" s="417" t="e">
        <f ca="1">(($M37-$H37)/1000000)/T37</f>
        <v>#VALUE!</v>
      </c>
      <c r="Y42" s="417" t="e">
        <f t="shared" ref="Y42:Z42" ca="1" si="13">(($M37-$H37)/1000000)/U37</f>
        <v>#VALUE!</v>
      </c>
      <c r="Z42" s="417" t="e">
        <f t="shared" ca="1" si="13"/>
        <v>#VALUE!</v>
      </c>
      <c r="AA42" s="417" t="e">
        <f ca="1">AVERAGE(X42:Z42)</f>
        <v>#VALUE!</v>
      </c>
      <c r="AB42" s="214"/>
      <c r="AC42" s="214"/>
      <c r="AD42" s="214"/>
      <c r="AE42" s="214"/>
      <c r="AF42" s="214"/>
      <c r="AG42" s="214"/>
      <c r="AH42" s="214"/>
      <c r="AI42" s="214"/>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c r="CW42" s="1"/>
      <c r="CX42" s="1"/>
    </row>
    <row r="43" spans="1:102" ht="12.6" customHeight="1" thickBot="1" x14ac:dyDescent="0.35">
      <c r="A43" s="214"/>
      <c r="B43" s="214"/>
      <c r="C43" s="214"/>
      <c r="D43" s="214"/>
      <c r="E43" s="214"/>
      <c r="F43" s="214"/>
      <c r="G43" s="214"/>
      <c r="H43" s="214"/>
      <c r="I43" s="214"/>
      <c r="J43" s="214"/>
      <c r="K43" s="214"/>
      <c r="L43" s="214"/>
      <c r="M43" s="214"/>
      <c r="N43" s="214"/>
      <c r="O43" s="214"/>
      <c r="P43" s="214"/>
      <c r="Q43" s="214"/>
      <c r="R43" s="214"/>
      <c r="S43" s="214"/>
      <c r="T43" s="214"/>
      <c r="U43" s="214"/>
      <c r="V43" s="214"/>
      <c r="W43" s="214"/>
      <c r="X43" s="214"/>
      <c r="Y43" s="214"/>
      <c r="Z43" s="214"/>
      <c r="AA43" s="214"/>
      <c r="AB43" s="214"/>
      <c r="AC43" s="214"/>
      <c r="AD43" s="214"/>
      <c r="AE43" s="214"/>
      <c r="AF43" s="214"/>
      <c r="AG43" s="214"/>
      <c r="AH43" s="214"/>
      <c r="AI43" s="214"/>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c r="CW43" s="1"/>
      <c r="CX43" s="1"/>
    </row>
    <row r="44" spans="1:102" ht="18" customHeight="1" thickBot="1" x14ac:dyDescent="0.35">
      <c r="A44" s="214"/>
      <c r="B44" s="216" t="s">
        <v>191</v>
      </c>
      <c r="C44" s="221"/>
      <c r="D44" s="222" t="s">
        <v>160</v>
      </c>
      <c r="E44" s="223"/>
      <c r="F44" s="224" t="s">
        <v>161</v>
      </c>
      <c r="G44" s="222"/>
      <c r="H44" s="222"/>
      <c r="I44" s="222"/>
      <c r="J44" s="223"/>
      <c r="K44" s="214"/>
      <c r="L44" s="214"/>
      <c r="M44" s="214"/>
      <c r="N44" s="214"/>
      <c r="O44" s="214"/>
      <c r="P44" s="214"/>
      <c r="Q44" s="214"/>
      <c r="R44" s="214"/>
      <c r="S44" s="214"/>
      <c r="T44" s="214"/>
      <c r="U44" s="216" t="s">
        <v>192</v>
      </c>
      <c r="V44" s="221"/>
      <c r="W44" s="222" t="s">
        <v>160</v>
      </c>
      <c r="X44" s="223"/>
      <c r="Y44" s="224" t="s">
        <v>161</v>
      </c>
      <c r="Z44" s="222"/>
      <c r="AA44" s="222"/>
      <c r="AB44" s="222"/>
      <c r="AC44" s="223"/>
      <c r="AD44" s="214"/>
      <c r="AE44" s="214"/>
      <c r="AF44" s="214"/>
      <c r="AG44" s="214"/>
      <c r="AH44" s="214"/>
      <c r="AI44" s="214"/>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c r="CW44" s="1"/>
      <c r="CX44" s="1"/>
    </row>
    <row r="45" spans="1:102" ht="42" customHeight="1" x14ac:dyDescent="0.3">
      <c r="A45" s="214"/>
      <c r="B45" s="227"/>
      <c r="C45" s="231" t="s">
        <v>193</v>
      </c>
      <c r="D45" s="228" t="s">
        <v>194</v>
      </c>
      <c r="E45" s="228" t="s">
        <v>170</v>
      </c>
      <c r="F45" s="229" t="s">
        <v>195</v>
      </c>
      <c r="G45" s="229" t="s">
        <v>537</v>
      </c>
      <c r="H45" s="261" t="s">
        <v>540</v>
      </c>
      <c r="I45" s="261" t="s">
        <v>545</v>
      </c>
      <c r="J45" s="261" t="s">
        <v>547</v>
      </c>
      <c r="K45" s="411" t="s">
        <v>541</v>
      </c>
      <c r="L45" s="214"/>
      <c r="M45" s="214"/>
      <c r="N45" s="214"/>
      <c r="O45" s="214"/>
      <c r="P45" s="214"/>
      <c r="Q45" s="214"/>
      <c r="R45" s="214"/>
      <c r="S45" s="214"/>
      <c r="T45" s="214"/>
      <c r="U45" s="227"/>
      <c r="V45" s="231" t="s">
        <v>193</v>
      </c>
      <c r="W45" s="228" t="s">
        <v>194</v>
      </c>
      <c r="X45" s="228" t="s">
        <v>170</v>
      </c>
      <c r="Y45" s="229" t="s">
        <v>195</v>
      </c>
      <c r="Z45" s="229" t="s">
        <v>537</v>
      </c>
      <c r="AA45" s="261" t="s">
        <v>197</v>
      </c>
      <c r="AB45" s="261" t="s">
        <v>545</v>
      </c>
      <c r="AC45" s="261" t="s">
        <v>547</v>
      </c>
      <c r="AD45" s="214"/>
      <c r="AE45" s="214"/>
      <c r="AF45" s="214"/>
      <c r="AG45" s="214"/>
      <c r="AH45" s="214"/>
      <c r="AI45" s="214"/>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c r="CW45" s="1"/>
      <c r="CX45" s="1"/>
    </row>
    <row r="46" spans="1:102" ht="15" customHeight="1" x14ac:dyDescent="0.3">
      <c r="A46" s="214"/>
      <c r="B46" s="232">
        <v>2019</v>
      </c>
      <c r="C46" s="262">
        <f ca="1">C33/1000000</f>
        <v>402013.56128081831</v>
      </c>
      <c r="D46" s="263">
        <f ca="1">F33/1000000</f>
        <v>339185</v>
      </c>
      <c r="E46" s="264"/>
      <c r="F46" s="262">
        <f ca="1">H33/1000000</f>
        <v>339185</v>
      </c>
      <c r="G46" s="264"/>
      <c r="H46" s="264"/>
      <c r="I46" s="264"/>
      <c r="J46" s="264"/>
      <c r="K46" s="214"/>
      <c r="L46" s="214"/>
      <c r="M46" s="214"/>
      <c r="N46" s="214"/>
      <c r="O46" s="214"/>
      <c r="P46" s="214"/>
      <c r="Q46" s="214"/>
      <c r="R46" s="214"/>
      <c r="S46" s="214"/>
      <c r="T46" s="214"/>
      <c r="U46" s="232">
        <v>2019</v>
      </c>
      <c r="V46" s="355">
        <f ca="1">C33/1000000/D33</f>
        <v>0.11372764033880027</v>
      </c>
      <c r="W46" s="355">
        <f ca="1">F33/(D33*1000000)</f>
        <v>9.595375231973928E-2</v>
      </c>
      <c r="X46" s="264"/>
      <c r="Y46" s="355">
        <f ca="1">H33/($D33*1000000)</f>
        <v>9.595375231973928E-2</v>
      </c>
      <c r="Z46" s="355"/>
      <c r="AA46" s="355"/>
      <c r="AB46" s="355"/>
      <c r="AC46" s="355"/>
      <c r="AD46" s="214"/>
      <c r="AE46" s="214"/>
      <c r="AF46" s="214"/>
      <c r="AG46" s="214"/>
      <c r="AH46" s="214"/>
      <c r="AI46" s="214"/>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c r="CV46" s="1"/>
      <c r="CW46" s="1"/>
      <c r="CX46" s="1"/>
    </row>
    <row r="47" spans="1:102" ht="15" customHeight="1" x14ac:dyDescent="0.3">
      <c r="A47" s="214"/>
      <c r="B47" s="240">
        <v>2020</v>
      </c>
      <c r="C47" s="262">
        <f t="shared" ref="C47:C49" ca="1" si="14">C34/1000000</f>
        <v>400379.82603715261</v>
      </c>
      <c r="D47" s="263">
        <f ca="1">F34/1000000</f>
        <v>327953</v>
      </c>
      <c r="E47" s="264"/>
      <c r="F47" s="264"/>
      <c r="G47" s="264"/>
      <c r="H47" s="264"/>
      <c r="I47" s="264"/>
      <c r="J47" s="264"/>
      <c r="K47" s="214"/>
      <c r="L47" s="214"/>
      <c r="M47" s="214"/>
      <c r="N47" s="214"/>
      <c r="O47" s="214"/>
      <c r="P47" s="214"/>
      <c r="Q47" s="214"/>
      <c r="R47" s="214"/>
      <c r="S47" s="214"/>
      <c r="T47" s="214"/>
      <c r="U47" s="240">
        <v>2020</v>
      </c>
      <c r="V47" s="355">
        <f t="shared" ref="V47:V50" ca="1" si="15">C34/1000000/D34</f>
        <v>0.1160649074498503</v>
      </c>
      <c r="W47" s="355">
        <f t="shared" ref="W47:W50" ca="1" si="16">F34/(D34*1000000)</f>
        <v>9.5069311982189347E-2</v>
      </c>
      <c r="X47" s="264"/>
      <c r="Y47" s="355"/>
      <c r="Z47" s="355"/>
      <c r="AA47" s="355"/>
      <c r="AB47" s="355"/>
      <c r="AC47" s="355"/>
      <c r="AD47" s="214"/>
      <c r="AE47" s="214"/>
      <c r="AF47" s="214"/>
      <c r="AG47" s="214"/>
      <c r="AH47" s="214"/>
      <c r="AI47" s="214"/>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c r="CW47" s="1"/>
      <c r="CX47" s="1"/>
    </row>
    <row r="48" spans="1:102" ht="15" customHeight="1" x14ac:dyDescent="0.3">
      <c r="A48" s="214"/>
      <c r="B48" s="232">
        <v>2021</v>
      </c>
      <c r="C48" s="262">
        <f t="shared" ca="1" si="14"/>
        <v>400467.11392231908</v>
      </c>
      <c r="D48" s="263">
        <f ca="1">F35/1000000</f>
        <v>348321</v>
      </c>
      <c r="E48" s="264"/>
      <c r="F48" s="264"/>
      <c r="G48" s="264"/>
      <c r="H48" s="264"/>
      <c r="I48" s="264"/>
      <c r="J48" s="264"/>
      <c r="K48" s="214"/>
      <c r="L48" s="214"/>
      <c r="M48" s="214"/>
      <c r="N48" s="214"/>
      <c r="O48" s="214"/>
      <c r="P48" s="214"/>
      <c r="Q48" s="214"/>
      <c r="R48" s="214"/>
      <c r="S48" s="214"/>
      <c r="T48" s="214"/>
      <c r="U48" s="232">
        <v>2021</v>
      </c>
      <c r="V48" s="355">
        <f t="shared" ca="1" si="15"/>
        <v>0.10892736869769264</v>
      </c>
      <c r="W48" s="355">
        <f t="shared" ca="1" si="16"/>
        <v>9.4743584861524399E-2</v>
      </c>
      <c r="X48" s="264"/>
      <c r="Y48" s="355"/>
      <c r="Z48" s="355"/>
      <c r="AA48" s="355"/>
      <c r="AB48" s="355"/>
      <c r="AC48" s="355"/>
      <c r="AD48" s="214"/>
      <c r="AE48" s="214"/>
      <c r="AF48" s="214"/>
      <c r="AG48" s="214"/>
      <c r="AH48" s="214"/>
      <c r="AI48" s="214"/>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1"/>
      <c r="CX48" s="1"/>
    </row>
    <row r="49" spans="1:102" ht="15" customHeight="1" x14ac:dyDescent="0.3">
      <c r="A49" s="214"/>
      <c r="B49" s="240">
        <v>2022</v>
      </c>
      <c r="C49" s="262">
        <f t="shared" ca="1" si="14"/>
        <v>426442.98669986631</v>
      </c>
      <c r="D49" s="263">
        <f ca="1">F36/1000000</f>
        <v>376777</v>
      </c>
      <c r="E49" s="264"/>
      <c r="F49" s="264"/>
      <c r="G49" s="264"/>
      <c r="H49" s="264"/>
      <c r="I49" s="264"/>
      <c r="J49" s="264"/>
      <c r="K49" s="214"/>
      <c r="L49" s="214"/>
      <c r="M49" s="214"/>
      <c r="N49" s="214"/>
      <c r="O49" s="214"/>
      <c r="P49" s="214"/>
      <c r="Q49" s="214"/>
      <c r="R49" s="214"/>
      <c r="S49" s="214"/>
      <c r="T49" s="214"/>
      <c r="U49" s="240">
        <v>2022</v>
      </c>
      <c r="V49" s="355">
        <f t="shared" ca="1" si="15"/>
        <v>0.10785512518175103</v>
      </c>
      <c r="W49" s="355">
        <f t="shared" ca="1" si="16"/>
        <v>9.5293701076166262E-2</v>
      </c>
      <c r="X49" s="264"/>
      <c r="Y49" s="355"/>
      <c r="Z49" s="355"/>
      <c r="AA49" s="355"/>
      <c r="AB49" s="355"/>
      <c r="AC49" s="355"/>
      <c r="AD49" s="214"/>
      <c r="AE49" s="214"/>
      <c r="AF49" s="214"/>
      <c r="AG49" s="214"/>
      <c r="AH49" s="214"/>
      <c r="AI49" s="214"/>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c r="CW49" s="1"/>
      <c r="CX49" s="1"/>
    </row>
    <row r="50" spans="1:102" ht="15" customHeight="1" x14ac:dyDescent="0.3">
      <c r="A50" s="214"/>
      <c r="B50" s="232">
        <v>2023</v>
      </c>
      <c r="C50" s="262">
        <f ca="1">C37/1000000</f>
        <v>429507.45188720006</v>
      </c>
      <c r="D50" s="263">
        <f ca="1">F37/1000000</f>
        <v>374828</v>
      </c>
      <c r="E50" s="264"/>
      <c r="F50" s="262">
        <f t="shared" ref="F50:K50" ca="1" si="17">H37/1000000</f>
        <v>374828</v>
      </c>
      <c r="G50" s="262">
        <f t="shared" ca="1" si="17"/>
        <v>424413.32126204914</v>
      </c>
      <c r="H50" s="262">
        <f t="shared" ca="1" si="17"/>
        <v>393500.42957394669</v>
      </c>
      <c r="I50" s="262">
        <f t="shared" ca="1" si="17"/>
        <v>393438.82148744533</v>
      </c>
      <c r="J50" s="262">
        <f t="shared" ca="1" si="17"/>
        <v>382836.9741681572</v>
      </c>
      <c r="K50" s="418" t="e">
        <f t="shared" ca="1" si="17"/>
        <v>#VALUE!</v>
      </c>
      <c r="L50" s="214"/>
      <c r="M50" s="214"/>
      <c r="N50" s="214"/>
      <c r="O50" s="214"/>
      <c r="P50" s="214"/>
      <c r="Q50" s="214"/>
      <c r="R50" s="214"/>
      <c r="S50" s="214"/>
      <c r="T50" s="214"/>
      <c r="U50" s="232">
        <v>2023</v>
      </c>
      <c r="V50" s="355">
        <f t="shared" ca="1" si="15"/>
        <v>0.10261672943512802</v>
      </c>
      <c r="W50" s="355">
        <f t="shared" ca="1" si="16"/>
        <v>8.9552866409432455E-2</v>
      </c>
      <c r="X50" s="264"/>
      <c r="Y50" s="355">
        <f ca="1">H37/($D37*1000000)</f>
        <v>8.9552866409432455E-2</v>
      </c>
      <c r="Z50" s="355">
        <f t="shared" ref="Z50:AC50" ca="1" si="18">I37/($D37*1000000)</f>
        <v>0.10139965387154594</v>
      </c>
      <c r="AA50" s="355">
        <f t="shared" ca="1" si="18"/>
        <v>9.4014031506957682E-2</v>
      </c>
      <c r="AB50" s="355">
        <f t="shared" ca="1" si="18"/>
        <v>9.3999312273762181E-2</v>
      </c>
      <c r="AC50" s="355">
        <f t="shared" ca="1" si="18"/>
        <v>9.1466348309817647E-2</v>
      </c>
      <c r="AD50" s="214"/>
      <c r="AE50" s="214"/>
      <c r="AF50" s="214"/>
      <c r="AG50" s="214"/>
      <c r="AH50" s="214"/>
      <c r="AI50" s="214"/>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c r="CW50" s="1"/>
      <c r="CX50" s="1"/>
    </row>
    <row r="51" spans="1:102" ht="15" customHeight="1" x14ac:dyDescent="0.3">
      <c r="A51" s="214"/>
      <c r="B51" s="240">
        <v>2024</v>
      </c>
      <c r="C51" s="264"/>
      <c r="D51" s="264"/>
      <c r="E51" s="264"/>
      <c r="F51" s="264"/>
      <c r="G51" s="264"/>
      <c r="H51" s="264"/>
      <c r="I51" s="264"/>
      <c r="J51" s="264"/>
      <c r="K51" s="214"/>
      <c r="L51" s="214"/>
      <c r="M51" s="214"/>
      <c r="N51" s="214"/>
      <c r="O51" s="214"/>
      <c r="P51" s="214"/>
      <c r="Q51" s="214"/>
      <c r="R51" s="214"/>
      <c r="S51" s="214"/>
      <c r="T51" s="214"/>
      <c r="U51" s="240">
        <v>2024</v>
      </c>
      <c r="V51" s="264"/>
      <c r="W51" s="264"/>
      <c r="X51" s="264"/>
      <c r="Y51" s="355"/>
      <c r="Z51" s="355"/>
      <c r="AA51" s="355"/>
      <c r="AB51" s="355"/>
      <c r="AC51" s="355"/>
      <c r="AD51" s="214"/>
      <c r="AE51" s="214"/>
      <c r="AF51" s="214"/>
      <c r="AG51" s="214"/>
      <c r="AH51" s="214"/>
      <c r="AI51" s="214"/>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c r="CW51" s="1"/>
      <c r="CX51" s="1"/>
    </row>
    <row r="52" spans="1:102" ht="15" customHeight="1" x14ac:dyDescent="0.3">
      <c r="A52" s="214"/>
      <c r="B52" s="232">
        <v>2025</v>
      </c>
      <c r="C52" s="264"/>
      <c r="D52" s="264"/>
      <c r="E52" s="264"/>
      <c r="F52" s="264"/>
      <c r="G52" s="264"/>
      <c r="H52" s="264"/>
      <c r="I52" s="264"/>
      <c r="J52" s="264"/>
      <c r="K52" s="214"/>
      <c r="L52" s="214"/>
      <c r="M52" s="214"/>
      <c r="N52" s="214"/>
      <c r="O52" s="214"/>
      <c r="P52" s="214"/>
      <c r="Q52" s="214"/>
      <c r="R52" s="214"/>
      <c r="S52" s="214"/>
      <c r="T52" s="214"/>
      <c r="U52" s="232">
        <v>2025</v>
      </c>
      <c r="V52" s="264"/>
      <c r="W52" s="264"/>
      <c r="X52" s="264"/>
      <c r="Y52" s="355"/>
      <c r="Z52" s="355"/>
      <c r="AA52" s="355"/>
      <c r="AB52" s="355"/>
      <c r="AC52" s="355"/>
      <c r="AD52" s="214"/>
      <c r="AE52" s="214"/>
      <c r="AF52" s="214"/>
      <c r="AG52" s="214"/>
      <c r="AH52" s="214"/>
      <c r="AI52" s="214"/>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c r="CW52" s="1"/>
      <c r="CX52" s="1"/>
    </row>
    <row r="53" spans="1:102" ht="15" customHeight="1" x14ac:dyDescent="0.3">
      <c r="A53" s="214"/>
      <c r="B53" s="240">
        <v>2026</v>
      </c>
      <c r="C53" s="262"/>
      <c r="D53" s="264"/>
      <c r="E53" s="264"/>
      <c r="F53" s="264"/>
      <c r="G53" s="262"/>
      <c r="H53" s="262"/>
      <c r="I53" s="262"/>
      <c r="J53" s="262"/>
      <c r="K53" s="214"/>
      <c r="L53" s="214"/>
      <c r="M53" s="214"/>
      <c r="N53" s="214"/>
      <c r="O53" s="214"/>
      <c r="P53" s="214"/>
      <c r="Q53" s="214"/>
      <c r="R53" s="214"/>
      <c r="S53" s="214"/>
      <c r="T53" s="214"/>
      <c r="U53" s="240">
        <v>2026</v>
      </c>
      <c r="V53" s="262"/>
      <c r="W53" s="264"/>
      <c r="X53" s="264"/>
      <c r="Y53" s="355"/>
      <c r="Z53" s="355"/>
      <c r="AA53" s="355"/>
      <c r="AB53" s="355"/>
      <c r="AC53" s="355"/>
      <c r="AD53" s="214"/>
      <c r="AE53" s="214"/>
      <c r="AF53" s="214"/>
      <c r="AG53" s="214"/>
      <c r="AH53" s="214"/>
      <c r="AI53" s="214"/>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c r="CW53" s="1"/>
      <c r="CX53" s="1"/>
    </row>
    <row r="54" spans="1:102" ht="12.6" customHeight="1" x14ac:dyDescent="0.3">
      <c r="A54" s="214"/>
      <c r="B54" s="214"/>
      <c r="C54" s="214"/>
      <c r="D54" s="214"/>
      <c r="E54" s="214"/>
      <c r="F54" s="214"/>
      <c r="G54" s="214"/>
      <c r="H54" s="214"/>
      <c r="I54" s="214"/>
      <c r="J54" s="214"/>
      <c r="K54" s="214"/>
      <c r="L54" s="214"/>
      <c r="M54" s="214"/>
      <c r="N54" s="214"/>
      <c r="O54" s="214"/>
      <c r="P54" s="214"/>
      <c r="Q54" s="214"/>
      <c r="R54" s="214"/>
      <c r="S54" s="214"/>
      <c r="T54" s="214"/>
      <c r="U54" s="214"/>
      <c r="V54" s="214"/>
      <c r="W54" s="214"/>
      <c r="X54" s="214"/>
      <c r="Y54" s="214"/>
      <c r="Z54" s="214"/>
      <c r="AA54" s="214"/>
      <c r="AB54" s="214"/>
      <c r="AC54" s="214"/>
      <c r="AD54" s="214"/>
      <c r="AE54" s="214"/>
      <c r="AF54" s="214"/>
      <c r="AG54" s="214"/>
      <c r="AH54" s="214"/>
      <c r="AI54" s="214"/>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c r="CW54" s="1"/>
      <c r="CX54" s="1"/>
    </row>
    <row r="55" spans="1:102" ht="12.6" customHeight="1" x14ac:dyDescent="0.3">
      <c r="A55" s="214"/>
      <c r="B55" s="214"/>
      <c r="C55" s="214"/>
      <c r="D55" s="214"/>
      <c r="E55" s="214"/>
      <c r="F55" s="214"/>
      <c r="G55" s="214"/>
      <c r="H55" s="214"/>
      <c r="I55" s="214"/>
      <c r="J55" s="214"/>
      <c r="K55" s="214"/>
      <c r="L55" s="214"/>
      <c r="M55" s="214"/>
      <c r="N55" s="214"/>
      <c r="O55" s="214"/>
      <c r="P55" s="214"/>
      <c r="Q55" s="214"/>
      <c r="R55" s="214"/>
      <c r="S55" s="214"/>
      <c r="T55" s="214"/>
      <c r="U55" s="214"/>
      <c r="V55" s="214"/>
      <c r="W55" s="214"/>
      <c r="X55" s="214"/>
      <c r="Y55" s="214"/>
      <c r="Z55" s="214"/>
      <c r="AA55" s="214"/>
      <c r="AB55" s="214"/>
      <c r="AC55" s="214"/>
      <c r="AD55" s="214"/>
      <c r="AE55" s="214"/>
      <c r="AF55" s="214"/>
      <c r="AG55" s="214"/>
      <c r="AH55" s="214"/>
      <c r="AI55" s="214"/>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c r="CW55" s="1"/>
      <c r="CX55" s="1"/>
    </row>
    <row r="56" spans="1:102" ht="12.6" customHeight="1" x14ac:dyDescent="0.3">
      <c r="A56" s="214"/>
      <c r="B56" s="214"/>
      <c r="C56" s="214"/>
      <c r="D56" s="214"/>
      <c r="E56" s="214"/>
      <c r="F56" s="214"/>
      <c r="G56" s="214"/>
      <c r="H56" s="214"/>
      <c r="I56" s="214"/>
      <c r="J56" s="214"/>
      <c r="K56" s="214"/>
      <c r="L56" s="214"/>
      <c r="M56" s="214"/>
      <c r="N56" s="214"/>
      <c r="O56" s="214"/>
      <c r="P56" s="214"/>
      <c r="Q56" s="214"/>
      <c r="R56" s="214"/>
      <c r="S56" s="214"/>
      <c r="T56" s="214"/>
      <c r="U56" s="214"/>
      <c r="V56" s="214"/>
      <c r="W56" s="214"/>
      <c r="X56" s="214"/>
      <c r="Y56" s="214"/>
      <c r="Z56" s="214"/>
      <c r="AA56" s="214"/>
      <c r="AB56" s="214"/>
      <c r="AC56" s="214"/>
      <c r="AD56" s="214"/>
      <c r="AE56" s="214"/>
      <c r="AF56" s="214"/>
      <c r="AG56" s="214"/>
      <c r="AH56" s="214"/>
      <c r="AI56" s="214"/>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row>
    <row r="57" spans="1:102" ht="12.6" customHeight="1" x14ac:dyDescent="0.3">
      <c r="A57" s="214"/>
      <c r="B57" s="214"/>
      <c r="C57" s="214"/>
      <c r="D57" s="214"/>
      <c r="E57" s="214"/>
      <c r="F57" s="214"/>
      <c r="G57" s="214"/>
      <c r="H57" s="214"/>
      <c r="I57" s="214"/>
      <c r="J57" s="214"/>
      <c r="K57" s="214"/>
      <c r="L57" s="220" t="s">
        <v>611</v>
      </c>
      <c r="M57" s="214"/>
      <c r="N57" s="214"/>
      <c r="O57" s="214"/>
      <c r="P57" s="214"/>
      <c r="Q57" s="214"/>
      <c r="R57" s="214"/>
      <c r="S57" s="214"/>
      <c r="T57" s="214"/>
      <c r="U57" s="214"/>
      <c r="V57" s="214"/>
      <c r="W57" s="214"/>
      <c r="X57" s="214"/>
      <c r="Y57" s="214"/>
      <c r="Z57" s="214"/>
      <c r="AA57" s="214"/>
      <c r="AB57" s="214"/>
      <c r="AC57" s="214"/>
      <c r="AD57" s="214"/>
      <c r="AE57" s="214"/>
      <c r="AF57" s="214"/>
      <c r="AG57" s="214"/>
      <c r="AH57" s="214"/>
      <c r="AI57" s="214"/>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row>
    <row r="58" spans="1:102" ht="12.6" customHeight="1" x14ac:dyDescent="0.3">
      <c r="A58" s="214"/>
      <c r="B58" s="214"/>
      <c r="C58" s="214"/>
      <c r="D58" s="214"/>
      <c r="E58" s="214"/>
      <c r="F58" s="214"/>
      <c r="G58" s="214"/>
      <c r="H58" s="214"/>
      <c r="I58" s="214"/>
      <c r="J58" s="214"/>
      <c r="K58" s="214"/>
      <c r="L58" s="214"/>
      <c r="M58" s="214"/>
      <c r="N58" s="214"/>
      <c r="O58" s="214"/>
      <c r="P58" s="214"/>
      <c r="Q58" s="214"/>
      <c r="R58" s="214"/>
      <c r="S58" s="214"/>
      <c r="T58" s="214"/>
      <c r="U58" s="214"/>
      <c r="V58" s="214"/>
      <c r="W58" s="214"/>
      <c r="X58" s="214"/>
      <c r="Y58" s="214"/>
      <c r="Z58" s="214"/>
      <c r="AA58" s="214"/>
      <c r="AB58" s="214"/>
      <c r="AC58" s="214"/>
      <c r="AD58" s="214"/>
      <c r="AE58" s="214"/>
      <c r="AF58" s="214"/>
      <c r="AG58" s="214"/>
      <c r="AH58" s="214"/>
      <c r="AI58" s="214"/>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row>
    <row r="59" spans="1:102" ht="12.6"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row>
    <row r="60" spans="1:102" ht="12" customHeight="1" thickBot="1" x14ac:dyDescent="0.35">
      <c r="A60" s="98"/>
      <c r="B60" s="98"/>
      <c r="C60" s="98"/>
      <c r="D60" s="98"/>
      <c r="E60" s="98"/>
      <c r="F60" s="98"/>
      <c r="G60" s="98"/>
      <c r="H60" s="98"/>
      <c r="I60" s="98"/>
      <c r="J60" s="98"/>
      <c r="K60" s="98"/>
      <c r="L60" s="98"/>
      <c r="M60" s="98"/>
      <c r="N60" s="98"/>
      <c r="O60" s="98"/>
      <c r="P60" s="98"/>
      <c r="Q60" s="98"/>
      <c r="R60" s="98"/>
      <c r="S60" s="98"/>
      <c r="T60" s="265"/>
      <c r="U60" s="265"/>
      <c r="V60" s="265"/>
      <c r="W60" s="265"/>
      <c r="X60" s="55"/>
      <c r="Y60" s="55"/>
      <c r="Z60" s="55"/>
      <c r="AA60" s="1"/>
      <c r="AB60" s="1"/>
      <c r="AC60" s="1"/>
      <c r="AD60" s="1"/>
      <c r="AE60" s="1"/>
      <c r="AF60" s="1"/>
      <c r="AG60" s="1"/>
      <c r="AH60" s="1"/>
      <c r="AI60" s="1"/>
      <c r="AJ60" s="1"/>
      <c r="AK60" s="1"/>
      <c r="AL60" s="1"/>
      <c r="AM60" s="1"/>
      <c r="AN60" s="1"/>
      <c r="AO60" s="1"/>
      <c r="AP60" s="1"/>
      <c r="AQ60" s="1"/>
      <c r="AR60" s="56"/>
      <c r="AS60" s="56"/>
      <c r="AT60" s="56"/>
      <c r="AU60" s="56"/>
      <c r="AV60" s="56"/>
      <c r="AW60" s="56"/>
      <c r="AX60" s="56"/>
      <c r="AY60" s="56"/>
      <c r="AZ60" s="1"/>
      <c r="BA60" s="1"/>
      <c r="BB60" s="1"/>
      <c r="BC60" s="1"/>
      <c r="BD60" s="1"/>
      <c r="BE60" s="1"/>
      <c r="BF60" s="1"/>
      <c r="BG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row>
    <row r="61" spans="1:102" ht="12" customHeight="1" thickBot="1" x14ac:dyDescent="0.35">
      <c r="A61" s="98"/>
      <c r="B61" s="266" t="s">
        <v>200</v>
      </c>
      <c r="C61" s="267"/>
      <c r="D61" s="267"/>
      <c r="E61" s="267"/>
      <c r="F61" s="267"/>
      <c r="G61" s="267"/>
      <c r="H61" s="267"/>
      <c r="I61" s="267"/>
      <c r="J61" s="267"/>
      <c r="K61" s="267"/>
      <c r="L61" s="267"/>
      <c r="M61" s="267"/>
      <c r="N61" s="267"/>
      <c r="O61" s="267"/>
      <c r="P61" s="267"/>
      <c r="Q61" s="267"/>
      <c r="R61" s="267"/>
      <c r="S61" s="267"/>
      <c r="T61" s="268"/>
      <c r="U61" s="268"/>
      <c r="V61" s="269"/>
      <c r="W61" s="265"/>
      <c r="X61" s="55"/>
      <c r="Y61" s="55"/>
      <c r="Z61" s="55"/>
      <c r="AA61" s="1"/>
      <c r="AB61" s="1"/>
      <c r="AC61" s="1"/>
      <c r="AD61" s="1"/>
      <c r="AE61" s="1"/>
      <c r="AF61" s="1"/>
      <c r="AG61" s="1"/>
      <c r="AH61" s="1"/>
      <c r="AI61" s="1"/>
      <c r="AJ61" s="1"/>
      <c r="AK61" s="1"/>
      <c r="AL61" s="1"/>
      <c r="AM61" s="1"/>
      <c r="AN61" s="1"/>
      <c r="AO61" s="1"/>
      <c r="AP61" s="1"/>
      <c r="AQ61" s="1"/>
      <c r="AR61" s="56"/>
      <c r="AS61" s="56"/>
      <c r="AT61" s="56"/>
      <c r="AU61" s="56"/>
      <c r="AV61" s="56"/>
      <c r="AW61" s="56"/>
      <c r="AX61" s="56"/>
      <c r="AY61" s="56"/>
      <c r="AZ61" s="1"/>
      <c r="BA61" s="1"/>
      <c r="BB61" s="1"/>
      <c r="BC61" s="1"/>
      <c r="BD61" s="1"/>
      <c r="BE61" s="1"/>
      <c r="BF61" s="1"/>
      <c r="BG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row>
    <row r="62" spans="1:102" ht="21.6" customHeight="1" x14ac:dyDescent="0.3">
      <c r="A62" s="98"/>
      <c r="B62" s="270"/>
      <c r="C62" s="98"/>
      <c r="D62" s="98"/>
      <c r="E62" s="98"/>
      <c r="F62" s="98"/>
      <c r="G62" s="98"/>
      <c r="H62" s="98"/>
      <c r="I62" s="98"/>
      <c r="J62" s="98"/>
      <c r="K62" s="98"/>
      <c r="L62" s="98"/>
      <c r="M62" s="98"/>
      <c r="N62" s="98"/>
      <c r="O62" s="98"/>
      <c r="P62" s="98"/>
      <c r="Q62" s="98"/>
      <c r="R62" s="98"/>
      <c r="S62" s="98"/>
      <c r="T62" s="98"/>
      <c r="U62" s="98"/>
      <c r="V62" s="98"/>
      <c r="W62" s="98"/>
      <c r="X62" s="1"/>
      <c r="Y62" s="1"/>
      <c r="Z62" s="1"/>
      <c r="AA62" s="1"/>
      <c r="AB62" s="1"/>
      <c r="AC62" s="1"/>
      <c r="AD62" s="1"/>
      <c r="AE62" s="1"/>
      <c r="AF62" s="1"/>
      <c r="AG62" s="1"/>
      <c r="AH62" s="1"/>
      <c r="AI62" s="1"/>
      <c r="AJ62" s="1"/>
      <c r="AK62" s="1"/>
      <c r="AL62" s="1"/>
      <c r="AM62" s="76"/>
      <c r="AN62" s="1"/>
      <c r="AO62" s="1"/>
      <c r="AP62" s="1"/>
      <c r="AQ62" s="1"/>
      <c r="AR62" s="56"/>
      <c r="AS62" s="56"/>
      <c r="AT62" s="56"/>
      <c r="AU62" s="56"/>
      <c r="AV62" s="56"/>
      <c r="AW62" s="56"/>
      <c r="AX62" s="56"/>
      <c r="AY62" s="56"/>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row>
    <row r="63" spans="1:102" ht="21" customHeight="1" x14ac:dyDescent="0.3">
      <c r="A63" s="98"/>
      <c r="B63" s="98"/>
      <c r="C63" s="98"/>
      <c r="D63" s="98"/>
      <c r="E63" s="98"/>
      <c r="F63" s="98"/>
      <c r="G63" s="98"/>
      <c r="H63" s="98"/>
      <c r="I63" s="98"/>
      <c r="J63" s="98"/>
      <c r="K63" s="98"/>
      <c r="L63" s="98"/>
      <c r="M63" s="98"/>
      <c r="N63" s="98"/>
      <c r="O63" s="98"/>
      <c r="P63" s="98"/>
      <c r="Q63" s="98"/>
      <c r="R63" s="98"/>
      <c r="S63" s="98"/>
      <c r="T63" s="98"/>
      <c r="U63" s="98"/>
      <c r="V63" s="98"/>
      <c r="W63" s="98"/>
      <c r="X63" s="1"/>
      <c r="Y63" s="1"/>
      <c r="Z63" s="1"/>
      <c r="AA63" s="1"/>
      <c r="AB63" s="1"/>
      <c r="AC63" s="1"/>
      <c r="AD63" s="1"/>
      <c r="AE63" s="1"/>
      <c r="AF63" s="1"/>
      <c r="AG63" s="1"/>
      <c r="AH63" s="1"/>
      <c r="AI63" s="1"/>
      <c r="AJ63" s="1"/>
      <c r="AK63" s="1"/>
      <c r="AL63" s="1"/>
      <c r="AM63" s="1"/>
      <c r="AN63" s="1"/>
      <c r="AO63" s="1"/>
      <c r="AP63" s="1"/>
      <c r="AQ63" s="1"/>
      <c r="AR63" s="56"/>
      <c r="AS63" s="56"/>
      <c r="AT63" s="56"/>
      <c r="AU63" s="56"/>
      <c r="AV63" s="56"/>
      <c r="AW63" s="56"/>
      <c r="AX63" s="56"/>
      <c r="AY63" s="56"/>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row>
    <row r="64" spans="1:102" ht="42.6" customHeight="1" x14ac:dyDescent="0.3">
      <c r="A64" s="98"/>
      <c r="B64" s="356" t="s">
        <v>201</v>
      </c>
      <c r="C64" s="271" t="s">
        <v>202</v>
      </c>
      <c r="D64" s="272" t="s">
        <v>538</v>
      </c>
      <c r="E64" s="272" t="s">
        <v>173</v>
      </c>
      <c r="F64" s="273" t="s">
        <v>549</v>
      </c>
      <c r="G64" s="272" t="s">
        <v>548</v>
      </c>
      <c r="H64" s="274"/>
      <c r="I64" s="274"/>
      <c r="J64" s="274"/>
      <c r="K64" s="274"/>
      <c r="L64" s="274"/>
      <c r="M64" s="274"/>
      <c r="N64" s="274"/>
      <c r="O64" s="274"/>
      <c r="P64" s="274"/>
      <c r="Q64" s="274"/>
      <c r="R64" s="274"/>
      <c r="S64" s="274"/>
      <c r="T64" s="274"/>
      <c r="U64" s="274"/>
      <c r="V64" s="274"/>
      <c r="W64" s="98"/>
      <c r="X64" s="1"/>
      <c r="Y64" s="1"/>
      <c r="Z64" s="1"/>
      <c r="AA64" s="1"/>
      <c r="AB64" s="1"/>
      <c r="AC64" s="1"/>
      <c r="AD64" s="1"/>
      <c r="AE64" s="1"/>
      <c r="AF64" s="1"/>
      <c r="AG64" s="1"/>
      <c r="AH64" s="1"/>
      <c r="AI64" s="1"/>
      <c r="AJ64" s="1"/>
      <c r="AK64" s="1"/>
      <c r="AL64" s="1"/>
      <c r="AM64" s="1"/>
      <c r="AN64" s="1"/>
      <c r="AO64" s="1"/>
      <c r="AP64" s="1"/>
      <c r="AQ64" s="1"/>
      <c r="AR64" s="56"/>
      <c r="AS64" s="56"/>
      <c r="AT64" s="56"/>
      <c r="AU64" s="56"/>
      <c r="AV64" s="56"/>
      <c r="AW64" s="56"/>
      <c r="AX64" s="56"/>
      <c r="AY64" s="56"/>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row>
    <row r="65" spans="1:102" ht="15.6" customHeight="1" x14ac:dyDescent="0.3">
      <c r="A65" s="98"/>
      <c r="B65" s="275">
        <v>2019</v>
      </c>
      <c r="C65" s="357">
        <f ca="1">C22/P22*100</f>
        <v>18.858577831124361</v>
      </c>
      <c r="D65" s="276"/>
      <c r="E65" s="276"/>
      <c r="F65" s="276"/>
      <c r="G65" s="276"/>
      <c r="H65" s="277"/>
      <c r="I65" s="277"/>
      <c r="J65" s="277"/>
      <c r="K65" s="277"/>
      <c r="L65" s="277"/>
      <c r="M65" s="277"/>
      <c r="N65" s="277"/>
      <c r="O65" s="277"/>
      <c r="P65" s="277"/>
      <c r="Q65" s="277"/>
      <c r="R65" s="277"/>
      <c r="S65" s="277"/>
      <c r="T65" s="277"/>
      <c r="U65" s="277"/>
      <c r="V65" s="277"/>
      <c r="W65" s="278"/>
      <c r="X65" s="44"/>
      <c r="Y65" s="44"/>
      <c r="Z65" s="44"/>
      <c r="AA65" s="46"/>
      <c r="AB65" s="46"/>
      <c r="AC65" s="46"/>
      <c r="AD65" s="46"/>
      <c r="AE65" s="46"/>
      <c r="AF65" s="46"/>
      <c r="AG65" s="44"/>
      <c r="AH65" s="44"/>
      <c r="AI65" s="1"/>
      <c r="AJ65" s="1"/>
      <c r="AK65" s="1"/>
      <c r="AL65" s="1"/>
      <c r="AM65" s="1"/>
      <c r="AN65" s="1"/>
      <c r="AO65" s="1"/>
      <c r="AP65" s="1"/>
      <c r="AQ65" s="1"/>
      <c r="AR65" s="56"/>
      <c r="AS65" s="56"/>
      <c r="AT65" s="56"/>
      <c r="AU65" s="56"/>
      <c r="AV65" s="56"/>
      <c r="AW65" s="56"/>
      <c r="AX65" s="56"/>
      <c r="AY65" s="56"/>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row>
    <row r="66" spans="1:102" s="51" customFormat="1" ht="15.6" customHeight="1" x14ac:dyDescent="0.3">
      <c r="A66" s="279"/>
      <c r="B66" s="280">
        <v>2020</v>
      </c>
      <c r="C66" s="357">
        <f ca="1">D22/Q22*100</f>
        <v>18.585401775970734</v>
      </c>
      <c r="D66" s="276"/>
      <c r="E66" s="276"/>
      <c r="F66" s="276"/>
      <c r="G66" s="276"/>
      <c r="H66" s="281"/>
      <c r="I66" s="281"/>
      <c r="J66" s="281"/>
      <c r="K66" s="281"/>
      <c r="L66" s="281"/>
      <c r="M66" s="281"/>
      <c r="N66" s="281"/>
      <c r="O66" s="281"/>
      <c r="P66" s="281"/>
      <c r="Q66" s="281"/>
      <c r="R66" s="281"/>
      <c r="S66" s="281"/>
      <c r="T66" s="281"/>
      <c r="U66" s="281"/>
      <c r="V66" s="281"/>
      <c r="W66" s="282"/>
      <c r="X66" s="48"/>
      <c r="Y66" s="48"/>
      <c r="Z66" s="48"/>
      <c r="AA66" s="48"/>
      <c r="AB66" s="48"/>
      <c r="AC66" s="48"/>
      <c r="AD66" s="48"/>
      <c r="AE66" s="48"/>
      <c r="AF66" s="48"/>
      <c r="AG66" s="48"/>
      <c r="AH66" s="48"/>
      <c r="AI66" s="47"/>
      <c r="AJ66" s="47"/>
      <c r="AK66" s="47"/>
      <c r="AL66" s="47"/>
      <c r="AM66" s="47"/>
      <c r="AN66" s="47"/>
      <c r="AO66" s="47"/>
      <c r="AP66" s="47"/>
      <c r="AQ66" s="47"/>
      <c r="AR66" s="56"/>
      <c r="AS66" s="56"/>
      <c r="AT66" s="56"/>
      <c r="AU66" s="56"/>
      <c r="AV66" s="56"/>
      <c r="AW66" s="56"/>
      <c r="AX66" s="56"/>
      <c r="AY66" s="56"/>
      <c r="AZ66" s="47"/>
      <c r="BA66" s="47"/>
      <c r="BB66" s="47"/>
      <c r="BC66" s="47"/>
      <c r="BD66" s="47"/>
      <c r="BE66" s="47"/>
      <c r="BF66" s="47"/>
      <c r="BG66" s="47"/>
      <c r="BH66" s="47"/>
      <c r="BI66" s="47"/>
      <c r="BJ66" s="47"/>
      <c r="BK66" s="47"/>
      <c r="BL66" s="47"/>
      <c r="BM66" s="47"/>
      <c r="BN66" s="47"/>
      <c r="BO66" s="47"/>
      <c r="BP66" s="47"/>
      <c r="BQ66" s="47"/>
      <c r="BR66" s="47"/>
      <c r="BS66" s="47"/>
      <c r="BT66" s="47"/>
      <c r="BU66" s="47"/>
      <c r="BV66" s="47"/>
      <c r="BW66" s="47"/>
      <c r="BX66" s="47"/>
      <c r="BY66" s="47"/>
      <c r="BZ66" s="47"/>
      <c r="CA66" s="47"/>
      <c r="CB66" s="47"/>
      <c r="CC66" s="47"/>
      <c r="CD66" s="47"/>
      <c r="CE66" s="47"/>
      <c r="CF66" s="47"/>
      <c r="CG66" s="47"/>
      <c r="CH66" s="47"/>
      <c r="CI66" s="47"/>
      <c r="CJ66" s="47"/>
      <c r="CK66" s="47"/>
      <c r="CL66" s="47"/>
      <c r="CM66" s="47"/>
      <c r="CN66" s="47"/>
      <c r="CO66" s="47"/>
      <c r="CP66" s="47"/>
      <c r="CQ66" s="47"/>
      <c r="CR66" s="47"/>
      <c r="CS66" s="47"/>
      <c r="CT66" s="47"/>
      <c r="CU66" s="47"/>
      <c r="CV66" s="47"/>
      <c r="CW66" s="47"/>
      <c r="CX66" s="47"/>
    </row>
    <row r="67" spans="1:102" ht="15.6" customHeight="1" x14ac:dyDescent="0.3">
      <c r="A67" s="98"/>
      <c r="B67" s="275">
        <v>2021</v>
      </c>
      <c r="C67" s="357">
        <f ca="1">E22/R22*100</f>
        <v>18.090479889231265</v>
      </c>
      <c r="D67" s="276"/>
      <c r="E67" s="276"/>
      <c r="F67" s="276"/>
      <c r="G67" s="276"/>
      <c r="H67" s="281"/>
      <c r="I67" s="281"/>
      <c r="J67" s="281"/>
      <c r="K67" s="281"/>
      <c r="L67" s="281"/>
      <c r="M67" s="281"/>
      <c r="N67" s="281"/>
      <c r="O67" s="281"/>
      <c r="P67" s="281"/>
      <c r="Q67" s="281"/>
      <c r="R67" s="281"/>
      <c r="S67" s="281"/>
      <c r="T67" s="281"/>
      <c r="U67" s="281"/>
      <c r="V67" s="281"/>
      <c r="W67" s="283"/>
      <c r="X67" s="52"/>
      <c r="Y67" s="52"/>
      <c r="Z67" s="52"/>
      <c r="AA67" s="43"/>
      <c r="AB67" s="43"/>
      <c r="AC67" s="43"/>
      <c r="AD67" s="43"/>
      <c r="AE67" s="43"/>
      <c r="AF67" s="43"/>
      <c r="AG67" s="43"/>
      <c r="AH67" s="43"/>
      <c r="AI67" s="1"/>
      <c r="AJ67" s="1"/>
      <c r="AK67" s="1"/>
      <c r="AL67" s="1"/>
      <c r="AM67" s="1"/>
      <c r="AN67" s="1"/>
      <c r="AO67" s="1"/>
      <c r="AP67" s="1"/>
      <c r="AQ67" s="1"/>
      <c r="AR67" s="56"/>
      <c r="AS67" s="56"/>
      <c r="AT67" s="56"/>
      <c r="AU67" s="56"/>
      <c r="AV67" s="56"/>
      <c r="AW67" s="56"/>
      <c r="AX67" s="56"/>
      <c r="AY67" s="56"/>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1"/>
      <c r="CX67" s="1"/>
    </row>
    <row r="68" spans="1:102" ht="15.6" customHeight="1" x14ac:dyDescent="0.3">
      <c r="A68" s="98"/>
      <c r="B68" s="280">
        <v>2022</v>
      </c>
      <c r="C68" s="357">
        <f ca="1">F22/S22*100</f>
        <v>18.443725494452853</v>
      </c>
      <c r="D68" s="276"/>
      <c r="E68" s="276"/>
      <c r="F68" s="276"/>
      <c r="G68" s="276"/>
      <c r="H68" s="284"/>
      <c r="I68" s="284"/>
      <c r="J68" s="284"/>
      <c r="K68" s="284"/>
      <c r="L68" s="284"/>
      <c r="M68" s="284"/>
      <c r="N68" s="284"/>
      <c r="O68" s="284"/>
      <c r="P68" s="284"/>
      <c r="Q68" s="284"/>
      <c r="R68" s="284"/>
      <c r="S68" s="284"/>
      <c r="T68" s="284"/>
      <c r="U68" s="284"/>
      <c r="V68" s="284"/>
      <c r="W68" s="98"/>
      <c r="X68" s="1"/>
      <c r="Y68" s="1"/>
      <c r="Z68" s="1"/>
      <c r="AA68" s="1"/>
      <c r="AB68" s="1"/>
      <c r="AC68" s="1"/>
      <c r="AD68" s="1"/>
      <c r="AE68" s="1"/>
      <c r="AF68" s="1"/>
      <c r="AG68" s="1"/>
      <c r="AH68" s="1"/>
      <c r="AI68" s="1"/>
      <c r="AJ68" s="1"/>
      <c r="AK68" s="1"/>
      <c r="AL68" s="1"/>
      <c r="AM68" s="1"/>
      <c r="AN68" s="1"/>
      <c r="AO68" s="1"/>
      <c r="AP68" s="1"/>
      <c r="AQ68" s="1"/>
      <c r="AR68" s="56"/>
      <c r="AS68" s="56"/>
      <c r="AT68" s="56"/>
      <c r="AU68" s="56"/>
      <c r="AV68" s="56"/>
      <c r="AW68" s="56"/>
      <c r="AX68" s="56"/>
      <c r="AY68" s="56"/>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c r="CW68" s="1"/>
      <c r="CX68" s="1"/>
    </row>
    <row r="69" spans="1:102" ht="15.6" customHeight="1" x14ac:dyDescent="0.3">
      <c r="A69" s="98"/>
      <c r="B69" s="275">
        <v>2023</v>
      </c>
      <c r="C69" s="357">
        <f ca="1">G22/$T22*100</f>
        <v>17.90065301033205</v>
      </c>
      <c r="D69" s="357">
        <f ca="1">H22/$T22*100</f>
        <v>20.268698167891738</v>
      </c>
      <c r="E69" s="357">
        <f ca="1">I22/$T22*100</f>
        <v>18.792391841644235</v>
      </c>
      <c r="F69" s="357">
        <f ca="1">J22/$T22*100</f>
        <v>18.789449625536868</v>
      </c>
      <c r="G69" s="357">
        <f ca="1">K22/$T22*100</f>
        <v>18.283137423323868</v>
      </c>
      <c r="H69" s="277"/>
      <c r="I69" s="277"/>
      <c r="J69" s="277"/>
      <c r="K69" s="277"/>
      <c r="L69" s="277"/>
      <c r="M69" s="277"/>
      <c r="N69" s="277"/>
      <c r="O69" s="277"/>
      <c r="P69" s="277"/>
      <c r="Q69" s="277"/>
      <c r="R69" s="277"/>
      <c r="S69" s="277"/>
      <c r="T69" s="277"/>
      <c r="U69" s="277"/>
      <c r="V69" s="277"/>
      <c r="W69" s="98"/>
      <c r="X69" s="1"/>
      <c r="Y69" s="1"/>
      <c r="Z69" s="1"/>
      <c r="AA69" s="1"/>
      <c r="AB69" s="1"/>
      <c r="AC69" s="1"/>
      <c r="AD69" s="1"/>
      <c r="AE69" s="1"/>
      <c r="AF69" s="1"/>
      <c r="AG69" s="1"/>
      <c r="AH69" s="1"/>
      <c r="AI69" s="1"/>
      <c r="AJ69" s="1"/>
      <c r="AK69" s="1"/>
      <c r="AL69" s="1"/>
      <c r="AM69" s="1"/>
      <c r="AN69" s="1"/>
      <c r="AO69" s="1"/>
      <c r="AP69" s="1"/>
      <c r="AQ69" s="1"/>
      <c r="AR69" s="56"/>
      <c r="AS69" s="56"/>
      <c r="AT69" s="56"/>
      <c r="AU69" s="56"/>
      <c r="AV69" s="56"/>
      <c r="AW69" s="56"/>
      <c r="AX69" s="56"/>
      <c r="AY69" s="56"/>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c r="CW69" s="1"/>
      <c r="CX69" s="1"/>
    </row>
    <row r="70" spans="1:102" ht="15.6" customHeight="1" x14ac:dyDescent="0.3">
      <c r="A70" s="98"/>
      <c r="B70" s="280">
        <v>2024</v>
      </c>
      <c r="C70" s="276"/>
      <c r="D70" s="358"/>
      <c r="E70" s="357"/>
      <c r="F70" s="357"/>
      <c r="G70" s="357"/>
      <c r="H70" s="284"/>
      <c r="I70" s="284"/>
      <c r="J70" s="284"/>
      <c r="K70" s="284"/>
      <c r="L70" s="284"/>
      <c r="M70" s="284"/>
      <c r="N70" s="284"/>
      <c r="O70" s="284"/>
      <c r="P70" s="284"/>
      <c r="Q70" s="284"/>
      <c r="R70" s="284"/>
      <c r="S70" s="284"/>
      <c r="T70" s="284"/>
      <c r="U70" s="284"/>
      <c r="V70" s="284"/>
      <c r="W70" s="98"/>
      <c r="X70" s="1"/>
      <c r="Y70" s="1"/>
      <c r="Z70" s="1"/>
      <c r="AA70" s="1"/>
      <c r="AB70" s="1"/>
      <c r="AC70" s="1"/>
      <c r="AD70" s="1"/>
      <c r="AE70" s="1"/>
      <c r="AF70" s="1"/>
      <c r="AG70" s="1"/>
      <c r="AH70" s="1"/>
      <c r="AI70" s="1"/>
      <c r="AJ70" s="1"/>
      <c r="AK70" s="1"/>
      <c r="AL70" s="1"/>
      <c r="AM70" s="1"/>
      <c r="AN70" s="1"/>
      <c r="AO70" s="1"/>
      <c r="AP70" s="1"/>
      <c r="AQ70" s="1"/>
      <c r="AR70" s="56"/>
      <c r="AS70" s="56"/>
      <c r="AT70" s="56"/>
      <c r="AU70" s="56"/>
      <c r="AV70" s="56"/>
      <c r="AW70" s="56"/>
      <c r="AX70" s="56"/>
      <c r="AY70" s="56"/>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c r="CW70" s="1"/>
      <c r="CX70" s="1"/>
    </row>
    <row r="71" spans="1:102" ht="15.6" customHeight="1" x14ac:dyDescent="0.3">
      <c r="A71" s="98"/>
      <c r="B71" s="275">
        <v>2025</v>
      </c>
      <c r="C71" s="276"/>
      <c r="D71" s="358"/>
      <c r="E71" s="357"/>
      <c r="F71" s="357"/>
      <c r="G71" s="357"/>
      <c r="H71" s="284"/>
      <c r="I71" s="284"/>
      <c r="J71" s="284"/>
      <c r="K71" s="284"/>
      <c r="L71" s="284"/>
      <c r="M71" s="284"/>
      <c r="N71" s="284"/>
      <c r="O71" s="284"/>
      <c r="P71" s="284"/>
      <c r="Q71" s="284"/>
      <c r="R71" s="284"/>
      <c r="S71" s="284"/>
      <c r="T71" s="284"/>
      <c r="U71" s="284"/>
      <c r="V71" s="284"/>
      <c r="W71" s="98"/>
      <c r="X71" s="1"/>
      <c r="Y71" s="1"/>
      <c r="Z71" s="1"/>
      <c r="AA71" s="1"/>
      <c r="AB71" s="1"/>
      <c r="AC71" s="1"/>
      <c r="AD71" s="1"/>
      <c r="AE71" s="1"/>
      <c r="AF71" s="1"/>
      <c r="AG71" s="1"/>
      <c r="AH71" s="1"/>
      <c r="AI71" s="1"/>
      <c r="AJ71" s="1"/>
      <c r="AK71" s="1"/>
      <c r="AL71" s="1"/>
      <c r="AM71" s="1"/>
      <c r="AN71" s="1"/>
      <c r="AO71" s="1"/>
      <c r="AP71" s="1"/>
      <c r="AQ71" s="1"/>
      <c r="AR71" s="56"/>
      <c r="AS71" s="56"/>
      <c r="AT71" s="56"/>
      <c r="AU71" s="56"/>
      <c r="AV71" s="56"/>
      <c r="AW71" s="56"/>
      <c r="AX71" s="56"/>
      <c r="AY71" s="56"/>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c r="CW71" s="1"/>
      <c r="CX71" s="1"/>
    </row>
    <row r="72" spans="1:102" ht="15.6" customHeight="1" x14ac:dyDescent="0.3">
      <c r="A72" s="98"/>
      <c r="B72" s="280">
        <v>2026</v>
      </c>
      <c r="C72" s="276"/>
      <c r="D72" s="357"/>
      <c r="E72" s="357"/>
      <c r="F72" s="357"/>
      <c r="G72" s="357"/>
      <c r="H72" s="277"/>
      <c r="I72" s="277"/>
      <c r="J72" s="277"/>
      <c r="K72" s="277"/>
      <c r="L72" s="277"/>
      <c r="M72" s="277"/>
      <c r="N72" s="277"/>
      <c r="O72" s="277"/>
      <c r="P72" s="277"/>
      <c r="Q72" s="277"/>
      <c r="R72" s="277"/>
      <c r="S72" s="277"/>
      <c r="T72" s="277"/>
      <c r="U72" s="277"/>
      <c r="V72" s="277"/>
      <c r="W72" s="98"/>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c r="CW72" s="1"/>
      <c r="CX72" s="1"/>
    </row>
    <row r="73" spans="1:102" ht="12.6" customHeight="1" x14ac:dyDescent="0.3">
      <c r="A73" s="98"/>
      <c r="B73" s="98"/>
      <c r="C73" s="98"/>
      <c r="D73" s="98"/>
      <c r="E73" s="98"/>
      <c r="F73" s="98"/>
      <c r="G73" s="98"/>
      <c r="H73" s="98"/>
      <c r="I73" s="98"/>
      <c r="J73" s="98"/>
      <c r="K73" s="98"/>
      <c r="L73" s="98"/>
      <c r="M73" s="98"/>
      <c r="N73" s="98"/>
      <c r="O73" s="98"/>
      <c r="P73" s="98"/>
      <c r="Q73" s="98"/>
      <c r="R73" s="98"/>
      <c r="S73" s="98"/>
      <c r="T73" s="98"/>
      <c r="U73" s="98"/>
      <c r="V73" s="98"/>
      <c r="W73" s="98"/>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c r="CW73" s="1"/>
      <c r="CX73" s="1"/>
    </row>
    <row r="74" spans="1:102" ht="12.6" customHeight="1" x14ac:dyDescent="0.3">
      <c r="A74" s="98"/>
      <c r="B74" s="98"/>
      <c r="C74" s="285"/>
      <c r="D74" s="98"/>
      <c r="E74" s="98"/>
      <c r="F74" s="98"/>
      <c r="G74" s="98"/>
      <c r="H74" s="98"/>
      <c r="I74" s="98"/>
      <c r="J74" s="98"/>
      <c r="K74" s="98"/>
      <c r="L74" s="98"/>
      <c r="M74" s="98"/>
      <c r="N74" s="98"/>
      <c r="O74" s="98"/>
      <c r="P74" s="98"/>
      <c r="Q74" s="98"/>
      <c r="R74" s="98"/>
      <c r="S74" s="98"/>
      <c r="T74" s="98"/>
      <c r="U74" s="98"/>
      <c r="V74" s="98"/>
      <c r="W74" s="98"/>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c r="CW74" s="1"/>
      <c r="CX74" s="1"/>
    </row>
    <row r="75" spans="1:102" ht="12.6" customHeight="1" x14ac:dyDescent="0.3">
      <c r="A75" s="98"/>
      <c r="B75" s="98"/>
      <c r="C75" s="98"/>
      <c r="D75" s="98"/>
      <c r="E75" s="98"/>
      <c r="F75" s="98"/>
      <c r="G75" s="98"/>
      <c r="H75" s="98"/>
      <c r="I75" s="98"/>
      <c r="J75" s="98"/>
      <c r="K75" s="98"/>
      <c r="L75" s="98"/>
      <c r="M75" s="98"/>
      <c r="N75" s="98"/>
      <c r="O75" s="98"/>
      <c r="P75" s="98"/>
      <c r="Q75" s="98"/>
      <c r="R75" s="98"/>
      <c r="S75" s="98"/>
      <c r="T75" s="98"/>
      <c r="U75" s="98"/>
      <c r="V75" s="98"/>
      <c r="W75" s="98"/>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c r="CW75" s="1"/>
      <c r="CX75" s="1"/>
    </row>
    <row r="76" spans="1:102" ht="18" customHeight="1" x14ac:dyDescent="0.3">
      <c r="A76" s="98"/>
      <c r="B76" s="98"/>
      <c r="C76" s="98"/>
      <c r="D76" s="98"/>
      <c r="E76" s="98"/>
      <c r="F76" s="98"/>
      <c r="G76" s="98"/>
      <c r="H76" s="98"/>
      <c r="I76" s="98"/>
      <c r="J76" s="98"/>
      <c r="K76" s="98"/>
      <c r="L76" s="98"/>
      <c r="M76" s="98"/>
      <c r="N76" s="98"/>
      <c r="O76" s="98"/>
      <c r="P76" s="98"/>
      <c r="Q76" s="98"/>
      <c r="R76" s="98"/>
      <c r="S76" s="98"/>
      <c r="T76" s="98"/>
      <c r="U76" s="98"/>
      <c r="V76" s="98"/>
      <c r="W76" s="98"/>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c r="CW76" s="1"/>
      <c r="CX76" s="1"/>
    </row>
    <row r="77" spans="1:102" ht="42" customHeight="1" x14ac:dyDescent="0.3">
      <c r="A77" s="98"/>
      <c r="B77" s="356" t="s">
        <v>203</v>
      </c>
      <c r="C77" s="271" t="s">
        <v>202</v>
      </c>
      <c r="D77" s="272" t="s">
        <v>172</v>
      </c>
      <c r="E77" s="272" t="s">
        <v>173</v>
      </c>
      <c r="F77" s="273" t="s">
        <v>549</v>
      </c>
      <c r="G77" s="272" t="s">
        <v>548</v>
      </c>
      <c r="H77" s="98"/>
      <c r="I77" s="98"/>
      <c r="J77" s="98"/>
      <c r="K77" s="98"/>
      <c r="L77" s="98"/>
      <c r="M77" s="98"/>
      <c r="N77" s="98"/>
      <c r="O77" s="98"/>
      <c r="P77" s="98"/>
      <c r="Q77" s="98"/>
      <c r="R77" s="98"/>
      <c r="S77" s="98"/>
      <c r="T77" s="98"/>
      <c r="U77" s="98"/>
      <c r="V77" s="98"/>
      <c r="W77" s="98"/>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c r="CW77" s="1"/>
      <c r="CX77" s="1"/>
    </row>
    <row r="78" spans="1:102" ht="15.6" customHeight="1" x14ac:dyDescent="0.3">
      <c r="A78" s="98"/>
      <c r="B78" s="275">
        <v>2019</v>
      </c>
      <c r="C78" s="357">
        <f ca="1">C65</f>
        <v>18.858577831124361</v>
      </c>
      <c r="D78" s="276"/>
      <c r="E78" s="276"/>
      <c r="F78" s="276"/>
      <c r="G78" s="276"/>
      <c r="H78" s="98"/>
      <c r="I78" s="98"/>
      <c r="J78" s="98"/>
      <c r="K78" s="98"/>
      <c r="L78" s="98"/>
      <c r="M78" s="98"/>
      <c r="N78" s="98"/>
      <c r="O78" s="98"/>
      <c r="P78" s="98"/>
      <c r="Q78" s="98"/>
      <c r="R78" s="98"/>
      <c r="S78" s="98"/>
      <c r="T78" s="98"/>
      <c r="U78" s="98"/>
      <c r="V78" s="98"/>
      <c r="W78" s="98"/>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c r="CW78" s="1"/>
      <c r="CX78" s="1"/>
    </row>
    <row r="79" spans="1:102" s="1" customFormat="1" ht="15" customHeight="1" x14ac:dyDescent="0.3">
      <c r="A79" s="98"/>
      <c r="B79" s="280">
        <v>2020</v>
      </c>
      <c r="C79" s="357">
        <f ca="1">C66</f>
        <v>18.585401775970734</v>
      </c>
      <c r="D79" s="276"/>
      <c r="E79" s="276"/>
      <c r="F79" s="276"/>
      <c r="G79" s="276"/>
      <c r="H79" s="98"/>
      <c r="I79" s="98"/>
      <c r="J79" s="98"/>
      <c r="K79" s="98"/>
      <c r="L79" s="98"/>
      <c r="M79" s="98"/>
      <c r="N79" s="98"/>
      <c r="O79" s="98"/>
      <c r="P79" s="98"/>
      <c r="Q79" s="98"/>
      <c r="R79" s="98"/>
      <c r="S79" s="98"/>
      <c r="T79" s="98"/>
      <c r="U79" s="98"/>
      <c r="V79" s="98"/>
      <c r="W79" s="98"/>
    </row>
    <row r="80" spans="1:102" s="1" customFormat="1" ht="15" customHeight="1" x14ac:dyDescent="0.3">
      <c r="A80" s="98"/>
      <c r="B80" s="275">
        <v>2021</v>
      </c>
      <c r="C80" s="357">
        <f ca="1">C67</f>
        <v>18.090479889231265</v>
      </c>
      <c r="D80" s="276"/>
      <c r="E80" s="276"/>
      <c r="F80" s="276"/>
      <c r="G80" s="276"/>
      <c r="H80" s="98"/>
      <c r="I80" s="98"/>
      <c r="J80" s="98"/>
      <c r="K80" s="98"/>
      <c r="L80" s="98"/>
      <c r="M80" s="98"/>
      <c r="N80" s="98"/>
      <c r="O80" s="98"/>
      <c r="P80" s="98"/>
      <c r="Q80" s="98"/>
      <c r="R80" s="98"/>
      <c r="S80" s="98"/>
      <c r="T80" s="98"/>
      <c r="U80" s="98"/>
      <c r="V80" s="98"/>
      <c r="W80" s="98"/>
    </row>
    <row r="81" spans="1:23" s="1" customFormat="1" ht="15" customHeight="1" x14ac:dyDescent="0.3">
      <c r="A81" s="98"/>
      <c r="B81" s="280">
        <v>2022</v>
      </c>
      <c r="C81" s="357">
        <f ca="1">C68</f>
        <v>18.443725494452853</v>
      </c>
      <c r="D81" s="276"/>
      <c r="E81" s="276"/>
      <c r="F81" s="276"/>
      <c r="G81" s="276"/>
      <c r="H81" s="98"/>
      <c r="I81" s="98"/>
      <c r="J81" s="98"/>
      <c r="K81" s="98"/>
      <c r="L81" s="98"/>
      <c r="M81" s="98"/>
      <c r="N81" s="98"/>
      <c r="O81" s="98"/>
      <c r="P81" s="98"/>
      <c r="Q81" s="98"/>
      <c r="R81" s="98"/>
      <c r="S81" s="98"/>
      <c r="T81" s="98"/>
      <c r="U81" s="98"/>
      <c r="V81" s="98"/>
      <c r="W81" s="98"/>
    </row>
    <row r="82" spans="1:23" s="1" customFormat="1" ht="15" customHeight="1" x14ac:dyDescent="0.3">
      <c r="A82" s="98"/>
      <c r="B82" s="275">
        <v>2023</v>
      </c>
      <c r="C82" s="357">
        <f ca="1">C69</f>
        <v>17.90065301033205</v>
      </c>
      <c r="D82" s="357">
        <f ca="1">D69</f>
        <v>20.268698167891738</v>
      </c>
      <c r="E82" s="357">
        <f ca="1">E69</f>
        <v>18.792391841644235</v>
      </c>
      <c r="F82" s="357">
        <f ca="1">F69</f>
        <v>18.789449625536868</v>
      </c>
      <c r="G82" s="357">
        <f ca="1">G69</f>
        <v>18.283137423323868</v>
      </c>
      <c r="H82" s="98"/>
      <c r="I82" s="98"/>
      <c r="J82" s="98"/>
      <c r="K82" s="98"/>
      <c r="L82" s="98"/>
      <c r="M82" s="98"/>
      <c r="N82" s="98"/>
      <c r="O82" s="98"/>
      <c r="P82" s="98"/>
      <c r="Q82" s="98"/>
      <c r="R82" s="98"/>
      <c r="S82" s="98"/>
      <c r="T82" s="98"/>
      <c r="U82" s="98"/>
      <c r="V82" s="98"/>
      <c r="W82" s="98"/>
    </row>
    <row r="83" spans="1:23" s="1" customFormat="1" ht="15" customHeight="1" x14ac:dyDescent="0.3">
      <c r="A83" s="98"/>
      <c r="B83" s="280">
        <v>2024</v>
      </c>
      <c r="C83" s="357"/>
      <c r="D83" s="358"/>
      <c r="E83" s="358"/>
      <c r="F83" s="358"/>
      <c r="G83" s="358"/>
      <c r="H83" s="98"/>
      <c r="I83" s="98"/>
      <c r="J83" s="98"/>
      <c r="K83" s="98"/>
      <c r="L83" s="98"/>
      <c r="M83" s="98"/>
      <c r="N83" s="98"/>
      <c r="O83" s="98"/>
      <c r="P83" s="98"/>
      <c r="Q83" s="98"/>
      <c r="R83" s="98"/>
      <c r="S83" s="98"/>
      <c r="T83" s="98"/>
      <c r="U83" s="98"/>
      <c r="V83" s="98"/>
      <c r="W83" s="98"/>
    </row>
    <row r="84" spans="1:23" s="1" customFormat="1" ht="15" customHeight="1" x14ac:dyDescent="0.3">
      <c r="A84" s="98"/>
      <c r="B84" s="275">
        <v>2025</v>
      </c>
      <c r="C84" s="357"/>
      <c r="D84" s="358"/>
      <c r="E84" s="358"/>
      <c r="F84" s="358"/>
      <c r="G84" s="358"/>
      <c r="H84" s="98"/>
      <c r="I84" s="98"/>
      <c r="J84" s="98"/>
      <c r="K84" s="98"/>
      <c r="L84" s="98"/>
      <c r="M84" s="98"/>
      <c r="N84" s="98"/>
      <c r="O84" s="98"/>
      <c r="P84" s="98"/>
      <c r="Q84" s="98"/>
      <c r="R84" s="98"/>
      <c r="S84" s="98"/>
      <c r="T84" s="98"/>
      <c r="U84" s="98"/>
      <c r="V84" s="98"/>
      <c r="W84" s="98"/>
    </row>
    <row r="85" spans="1:23" s="1" customFormat="1" ht="15" customHeight="1" x14ac:dyDescent="0.3">
      <c r="A85" s="98"/>
      <c r="B85" s="280">
        <v>2026</v>
      </c>
      <c r="C85" s="357"/>
      <c r="D85" s="357"/>
      <c r="E85" s="357"/>
      <c r="F85" s="357"/>
      <c r="G85" s="357"/>
      <c r="H85" s="98"/>
      <c r="I85" s="98"/>
      <c r="J85" s="98"/>
      <c r="K85" s="98"/>
      <c r="L85" s="98"/>
      <c r="M85" s="98"/>
      <c r="N85" s="98"/>
      <c r="O85" s="98"/>
      <c r="P85" s="98"/>
      <c r="Q85" s="98"/>
      <c r="R85" s="98"/>
      <c r="S85" s="98"/>
      <c r="T85" s="98"/>
      <c r="U85" s="98"/>
      <c r="V85" s="98"/>
      <c r="W85" s="98"/>
    </row>
    <row r="86" spans="1:23" s="1" customFormat="1" ht="12.6" customHeight="1" x14ac:dyDescent="0.3">
      <c r="A86" s="98"/>
      <c r="B86" s="98"/>
      <c r="C86" s="98"/>
      <c r="D86" s="285"/>
      <c r="E86" s="98"/>
      <c r="F86" s="98"/>
      <c r="G86" s="98"/>
      <c r="H86" s="98"/>
      <c r="I86" s="98"/>
      <c r="J86" s="98"/>
      <c r="K86" s="98"/>
      <c r="L86" s="98"/>
      <c r="M86" s="98"/>
      <c r="N86" s="98"/>
      <c r="O86" s="98"/>
      <c r="P86" s="98"/>
      <c r="Q86" s="98"/>
      <c r="R86" s="98"/>
      <c r="S86" s="98"/>
      <c r="T86" s="98"/>
      <c r="U86" s="98"/>
      <c r="V86" s="98"/>
      <c r="W86" s="98"/>
    </row>
    <row r="87" spans="1:23" s="1" customFormat="1" ht="12.6" customHeight="1" x14ac:dyDescent="0.3">
      <c r="A87" s="98"/>
      <c r="B87" s="98"/>
      <c r="C87" s="98"/>
      <c r="D87" s="98"/>
      <c r="E87" s="98"/>
      <c r="F87" s="98"/>
      <c r="G87" s="98"/>
      <c r="H87" s="98"/>
      <c r="I87" s="98"/>
      <c r="J87" s="98"/>
      <c r="K87" s="98"/>
      <c r="L87" s="98"/>
      <c r="M87" s="98"/>
      <c r="N87" s="98"/>
      <c r="O87" s="98"/>
      <c r="P87" s="98"/>
      <c r="Q87" s="98"/>
      <c r="R87" s="98"/>
      <c r="S87" s="98"/>
      <c r="T87" s="98"/>
      <c r="U87" s="98"/>
      <c r="V87" s="98"/>
      <c r="W87" s="98"/>
    </row>
    <row r="88" spans="1:23" s="1" customFormat="1" ht="12.6" customHeight="1" x14ac:dyDescent="0.3">
      <c r="A88" s="98"/>
      <c r="B88" s="98"/>
      <c r="C88" s="98"/>
      <c r="D88" s="98"/>
      <c r="E88" s="98"/>
      <c r="F88" s="98"/>
      <c r="G88" s="98"/>
      <c r="H88" s="98"/>
      <c r="I88" s="98"/>
      <c r="J88" s="98"/>
      <c r="K88" s="98"/>
      <c r="L88" s="98"/>
      <c r="M88" s="98"/>
      <c r="N88" s="98"/>
      <c r="O88" s="98"/>
      <c r="P88" s="98"/>
      <c r="Q88" s="98"/>
      <c r="R88" s="98"/>
      <c r="S88" s="98"/>
      <c r="T88" s="98"/>
      <c r="U88" s="98"/>
      <c r="V88" s="98"/>
      <c r="W88" s="98"/>
    </row>
    <row r="89" spans="1:23" s="1" customFormat="1" ht="12.6" customHeight="1" x14ac:dyDescent="0.3"/>
    <row r="90" spans="1:23" s="1" customFormat="1" ht="12.6" customHeight="1" x14ac:dyDescent="0.3"/>
    <row r="91" spans="1:23" s="1" customFormat="1" x14ac:dyDescent="0.3"/>
    <row r="92" spans="1:23" s="1" customFormat="1" x14ac:dyDescent="0.3"/>
    <row r="93" spans="1:23" s="1" customFormat="1" x14ac:dyDescent="0.3"/>
    <row r="94" spans="1:23" s="1" customFormat="1" x14ac:dyDescent="0.3"/>
    <row r="95" spans="1:23" s="1" customFormat="1" x14ac:dyDescent="0.3"/>
    <row r="96" spans="1:23" s="1" customFormat="1" x14ac:dyDescent="0.3"/>
    <row r="97" s="1" customFormat="1" x14ac:dyDescent="0.3"/>
    <row r="98" s="1" customFormat="1" x14ac:dyDescent="0.3"/>
    <row r="99" s="1" customFormat="1" x14ac:dyDescent="0.3"/>
    <row r="100" s="1" customFormat="1" x14ac:dyDescent="0.3"/>
    <row r="101" s="1" customFormat="1" x14ac:dyDescent="0.3"/>
    <row r="102" s="1" customFormat="1" x14ac:dyDescent="0.3"/>
    <row r="103" s="1" customFormat="1" x14ac:dyDescent="0.3"/>
    <row r="104" s="1" customFormat="1" x14ac:dyDescent="0.3"/>
    <row r="105" s="1" customFormat="1" x14ac:dyDescent="0.3"/>
    <row r="106" s="1" customFormat="1" x14ac:dyDescent="0.3"/>
    <row r="107" s="1" customFormat="1" x14ac:dyDescent="0.3"/>
    <row r="108" s="1" customFormat="1" x14ac:dyDescent="0.3"/>
    <row r="109" s="1" customFormat="1" x14ac:dyDescent="0.3"/>
    <row r="110" s="1" customFormat="1" x14ac:dyDescent="0.3"/>
    <row r="111" s="1" customFormat="1" x14ac:dyDescent="0.3"/>
    <row r="112" s="1" customFormat="1" x14ac:dyDescent="0.3"/>
    <row r="113" s="1" customFormat="1" x14ac:dyDescent="0.3"/>
    <row r="114" s="1" customFormat="1" x14ac:dyDescent="0.3"/>
    <row r="115" s="1" customFormat="1" x14ac:dyDescent="0.3"/>
    <row r="116" s="1" customFormat="1" x14ac:dyDescent="0.3"/>
    <row r="117" s="1" customFormat="1" x14ac:dyDescent="0.3"/>
    <row r="118" s="1" customFormat="1" x14ac:dyDescent="0.3"/>
    <row r="119" s="1" customFormat="1" x14ac:dyDescent="0.3"/>
    <row r="120" s="1" customFormat="1" x14ac:dyDescent="0.3"/>
    <row r="121" s="1" customFormat="1" x14ac:dyDescent="0.3"/>
  </sheetData>
  <pageMargins left="0.7" right="0.7" top="0.75" bottom="0.75" header="0.3" footer="0.3"/>
  <pageSetup paperSize="9" orientation="portrait" r:id="rId1"/>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28EAE114-18BE-4C75-8474-90C0F804D4C6}">
          <x14:formula1>
            <xm:f>'1CC'!$B$25:$B$47</xm:f>
          </x14:formula1>
          <xm:sqref>C8</xm:sqref>
        </x14:dataValidation>
      </x14:dataValidations>
    </ext>
  </extLs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23E0DF-275F-4F87-9235-F5704439A315}">
  <sheetPr>
    <tabColor rgb="FF00B050"/>
  </sheetPr>
  <dimension ref="A1:V396"/>
  <sheetViews>
    <sheetView showGridLines="0" topLeftCell="A351" zoomScale="85" zoomScaleNormal="85" workbookViewId="0">
      <selection activeCell="Q394" sqref="Q394"/>
    </sheetView>
  </sheetViews>
  <sheetFormatPr baseColWidth="10" defaultColWidth="8.6640625" defaultRowHeight="14.4" x14ac:dyDescent="0.3"/>
  <cols>
    <col min="1" max="1" width="21.33203125" customWidth="1"/>
    <col min="2" max="11" width="14.33203125" customWidth="1"/>
    <col min="12" max="14" width="4.33203125" customWidth="1"/>
    <col min="15" max="15" width="35" style="90" customWidth="1"/>
    <col min="16" max="16" width="35" style="97" customWidth="1"/>
    <col min="17" max="17" width="35" customWidth="1"/>
    <col min="18" max="18" width="35" style="97" customWidth="1"/>
    <col min="19" max="23" width="35" customWidth="1"/>
    <col min="24" max="24" width="45.44140625" bestFit="1" customWidth="1"/>
    <col min="25" max="25" width="49.44140625" bestFit="1" customWidth="1"/>
    <col min="26" max="26" width="40.44140625" bestFit="1" customWidth="1"/>
    <col min="27" max="27" width="34.5546875" bestFit="1" customWidth="1"/>
    <col min="28" max="28" width="41.5546875" bestFit="1" customWidth="1"/>
    <col min="29" max="29" width="38.44140625" bestFit="1" customWidth="1"/>
    <col min="30" max="30" width="45.44140625" bestFit="1" customWidth="1"/>
  </cols>
  <sheetData>
    <row r="1" spans="1:22" s="85" customFormat="1" ht="30.75" customHeight="1" x14ac:dyDescent="0.3">
      <c r="A1" s="539" t="s">
        <v>616</v>
      </c>
      <c r="O1" s="87"/>
      <c r="P1" s="93"/>
      <c r="R1" s="93"/>
    </row>
    <row r="2" spans="1:22" s="1" customFormat="1" x14ac:dyDescent="0.3">
      <c r="O2" s="88"/>
      <c r="P2" s="94"/>
      <c r="R2" s="94"/>
    </row>
    <row r="3" spans="1:22" s="1" customFormat="1" x14ac:dyDescent="0.3">
      <c r="A3" s="1" t="s">
        <v>289</v>
      </c>
      <c r="B3" s="1" t="s">
        <v>290</v>
      </c>
      <c r="C3" s="1" t="s">
        <v>291</v>
      </c>
      <c r="D3" s="1" t="s">
        <v>292</v>
      </c>
      <c r="E3" s="1" t="s">
        <v>293</v>
      </c>
      <c r="F3" s="1" t="s">
        <v>294</v>
      </c>
      <c r="G3" s="1" t="s">
        <v>295</v>
      </c>
      <c r="I3" s="1" t="s">
        <v>296</v>
      </c>
      <c r="J3" s="1" t="s">
        <v>297</v>
      </c>
      <c r="O3" s="88"/>
      <c r="P3" s="94"/>
      <c r="R3" s="94"/>
    </row>
    <row r="4" spans="1:22" s="1" customFormat="1" ht="43.2" x14ac:dyDescent="0.3">
      <c r="A4" s="95" t="s">
        <v>2</v>
      </c>
      <c r="B4" s="104" t="s">
        <v>8</v>
      </c>
      <c r="C4" s="105" t="s">
        <v>298</v>
      </c>
      <c r="D4" s="105" t="s">
        <v>299</v>
      </c>
      <c r="E4" s="105" t="s">
        <v>300</v>
      </c>
      <c r="F4" s="105" t="s">
        <v>301</v>
      </c>
      <c r="G4" s="105" t="s">
        <v>302</v>
      </c>
      <c r="H4" s="105" t="s">
        <v>303</v>
      </c>
      <c r="I4" s="105" t="s">
        <v>326</v>
      </c>
      <c r="J4" s="102" t="s">
        <v>38</v>
      </c>
      <c r="K4" s="109"/>
      <c r="O4" s="91"/>
      <c r="P4" s="95"/>
      <c r="Q4" s="92"/>
      <c r="R4" s="95"/>
      <c r="S4" s="92"/>
      <c r="T4" s="92"/>
      <c r="U4" s="92"/>
      <c r="V4" s="92"/>
    </row>
    <row r="5" spans="1:22" s="1" customFormat="1" x14ac:dyDescent="0.3">
      <c r="A5" s="86" t="s">
        <v>304</v>
      </c>
      <c r="B5" s="101" t="e" cm="1">
        <f t="array" aca="1" ref="B5" ca="1">INDIRECT("'1"&amp;$A5&amp;"'!"&amp;B$3 )</f>
        <v>#REF!</v>
      </c>
      <c r="C5" s="101" t="e" cm="1">
        <f t="array" aca="1" ref="C5" ca="1">INDIRECT("'1"&amp;$A5&amp;"'!"&amp;C$3 )</f>
        <v>#REF!</v>
      </c>
      <c r="D5" s="101" t="e" cm="1">
        <f t="array" aca="1" ref="D5" ca="1">INDIRECT("'1"&amp;$A5&amp;"'!"&amp;D$3 )</f>
        <v>#REF!</v>
      </c>
      <c r="E5" s="101" t="e" cm="1">
        <f t="array" aca="1" ref="E5" ca="1">INDIRECT("'1"&amp;$A5&amp;"'!"&amp;E$3 )</f>
        <v>#REF!</v>
      </c>
      <c r="F5" s="101" t="e" cm="1">
        <f t="array" aca="1" ref="F5" ca="1">INDIRECT("'1"&amp;$A5&amp;"'!"&amp;F$3 )</f>
        <v>#REF!</v>
      </c>
      <c r="G5" s="101" t="e" cm="1">
        <f t="array" aca="1" ref="G5" ca="1">INDIRECT("'1"&amp;$A5&amp;"'!"&amp;G$3 )</f>
        <v>#REF!</v>
      </c>
      <c r="H5" s="101"/>
      <c r="I5" s="101" t="e" cm="1">
        <f t="array" aca="1" ref="I5" ca="1">INDIRECT("'1"&amp;$A5&amp;"'!"&amp;I$3 )</f>
        <v>#REF!</v>
      </c>
      <c r="J5" s="101" t="e" cm="1">
        <f t="array" aca="1" ref="J5" ca="1">INDIRECT("'1"&amp;$A5&amp;"'!"&amp;J$3 )</f>
        <v>#REF!</v>
      </c>
      <c r="K5" s="101"/>
      <c r="O5" s="88"/>
      <c r="P5" s="94"/>
      <c r="Q5" s="99"/>
      <c r="R5" s="100"/>
    </row>
    <row r="6" spans="1:22" s="1" customFormat="1" x14ac:dyDescent="0.3">
      <c r="A6" s="86" t="s">
        <v>305</v>
      </c>
      <c r="B6" s="101" t="e" cm="1">
        <f t="array" aca="1" ref="B6" ca="1">INDIRECT("'1"&amp;$A6&amp;"'!"&amp;B$3 )</f>
        <v>#REF!</v>
      </c>
      <c r="C6" s="101" t="e" cm="1">
        <f t="array" aca="1" ref="C6" ca="1">INDIRECT("'1"&amp;$A6&amp;"'!"&amp;C$3 )</f>
        <v>#REF!</v>
      </c>
      <c r="D6" s="101" t="e" cm="1">
        <f t="array" aca="1" ref="D6" ca="1">INDIRECT("'1"&amp;$A6&amp;"'!"&amp;D$3 )</f>
        <v>#REF!</v>
      </c>
      <c r="E6" s="101" t="e" cm="1">
        <f t="array" aca="1" ref="E6" ca="1">INDIRECT("'1"&amp;$A6&amp;"'!"&amp;E$3 )</f>
        <v>#REF!</v>
      </c>
      <c r="F6" s="101" t="e" cm="1">
        <f t="array" aca="1" ref="F6" ca="1">INDIRECT("'1"&amp;$A6&amp;"'!"&amp;F$3 )</f>
        <v>#REF!</v>
      </c>
      <c r="G6" s="101" t="e" cm="1">
        <f t="array" aca="1" ref="G6" ca="1">INDIRECT("'1"&amp;$A6&amp;"'!"&amp;G$3 )</f>
        <v>#REF!</v>
      </c>
      <c r="H6" s="101"/>
      <c r="I6" s="101" t="e" cm="1">
        <f t="array" aca="1" ref="I6" ca="1">INDIRECT("'1"&amp;$A6&amp;"'!"&amp;I$3 )</f>
        <v>#REF!</v>
      </c>
      <c r="J6" s="101" t="e" cm="1">
        <f t="array" aca="1" ref="J6" ca="1">INDIRECT("'1"&amp;$A6&amp;"'!"&amp;J$3 )</f>
        <v>#REF!</v>
      </c>
      <c r="K6" s="101"/>
      <c r="O6" s="88"/>
      <c r="P6" s="94"/>
      <c r="Q6" s="88"/>
      <c r="R6" s="94"/>
    </row>
    <row r="7" spans="1:22" s="86" customFormat="1" x14ac:dyDescent="0.3">
      <c r="A7" s="86" t="s">
        <v>306</v>
      </c>
      <c r="B7" s="101" t="e" cm="1">
        <f t="array" aca="1" ref="B7" ca="1">INDIRECT("'1"&amp;$A7&amp;"'!"&amp;B$3 )</f>
        <v>#REF!</v>
      </c>
      <c r="C7" s="101" t="e" cm="1">
        <f t="array" aca="1" ref="C7" ca="1">INDIRECT("'1"&amp;$A7&amp;"'!"&amp;C$3 )</f>
        <v>#REF!</v>
      </c>
      <c r="D7" s="101" t="e" cm="1">
        <f t="array" aca="1" ref="D7" ca="1">INDIRECT("'1"&amp;$A7&amp;"'!"&amp;D$3 )</f>
        <v>#REF!</v>
      </c>
      <c r="E7" s="101" t="e" cm="1">
        <f t="array" aca="1" ref="E7" ca="1">INDIRECT("'1"&amp;$A7&amp;"'!"&amp;E$3 )</f>
        <v>#REF!</v>
      </c>
      <c r="F7" s="101" t="e" cm="1">
        <f t="array" aca="1" ref="F7" ca="1">INDIRECT("'1"&amp;$A7&amp;"'!"&amp;F$3 )</f>
        <v>#REF!</v>
      </c>
      <c r="G7" s="101" t="e" cm="1">
        <f t="array" aca="1" ref="G7" ca="1">INDIRECT("'1"&amp;$A7&amp;"'!"&amp;G$3 )</f>
        <v>#REF!</v>
      </c>
      <c r="H7" s="101"/>
      <c r="I7" s="101" t="e" cm="1">
        <f t="array" aca="1" ref="I7" ca="1">INDIRECT("'1"&amp;$A7&amp;"'!"&amp;I$3 )</f>
        <v>#REF!</v>
      </c>
      <c r="J7" s="101" t="e" cm="1">
        <f t="array" aca="1" ref="J7" ca="1">INDIRECT("'1"&amp;$A7&amp;"'!"&amp;J$3 )</f>
        <v>#REF!</v>
      </c>
      <c r="K7" s="101"/>
      <c r="O7" s="89"/>
      <c r="P7" s="96"/>
      <c r="Q7" s="88"/>
      <c r="R7" s="96"/>
    </row>
    <row r="8" spans="1:22" s="1" customFormat="1" x14ac:dyDescent="0.3">
      <c r="A8" s="86" t="s">
        <v>307</v>
      </c>
      <c r="B8" s="101" t="e" cm="1">
        <f t="array" aca="1" ref="B8" ca="1">INDIRECT("'1"&amp;$A8&amp;"'!"&amp;B$3 )</f>
        <v>#REF!</v>
      </c>
      <c r="C8" s="101" t="e" cm="1">
        <f t="array" aca="1" ref="C8" ca="1">INDIRECT("'1"&amp;$A8&amp;"'!"&amp;C$3 )</f>
        <v>#REF!</v>
      </c>
      <c r="D8" s="101" t="e" cm="1">
        <f t="array" aca="1" ref="D8" ca="1">INDIRECT("'1"&amp;$A8&amp;"'!"&amp;D$3 )</f>
        <v>#REF!</v>
      </c>
      <c r="E8" s="101" t="e" cm="1">
        <f t="array" aca="1" ref="E8" ca="1">INDIRECT("'1"&amp;$A8&amp;"'!"&amp;E$3 )</f>
        <v>#REF!</v>
      </c>
      <c r="F8" s="101" t="e" cm="1">
        <f t="array" aca="1" ref="F8" ca="1">INDIRECT("'1"&amp;$A8&amp;"'!"&amp;F$3 )</f>
        <v>#REF!</v>
      </c>
      <c r="G8" s="101" t="e" cm="1">
        <f t="array" aca="1" ref="G8" ca="1">INDIRECT("'1"&amp;$A8&amp;"'!"&amp;G$3 )</f>
        <v>#REF!</v>
      </c>
      <c r="H8" s="101"/>
      <c r="I8" s="101" t="e" cm="1">
        <f t="array" aca="1" ref="I8" ca="1">INDIRECT("'1"&amp;$A8&amp;"'!"&amp;I$3 )</f>
        <v>#REF!</v>
      </c>
      <c r="J8" s="101" t="e" cm="1">
        <f t="array" aca="1" ref="J8" ca="1">INDIRECT("'1"&amp;$A8&amp;"'!"&amp;J$3 )</f>
        <v>#REF!</v>
      </c>
      <c r="K8" s="101"/>
      <c r="O8" s="88"/>
      <c r="P8" s="94"/>
      <c r="Q8" s="88"/>
      <c r="R8" s="94"/>
    </row>
    <row r="9" spans="1:22" s="86" customFormat="1" x14ac:dyDescent="0.3">
      <c r="A9" s="86" t="s">
        <v>308</v>
      </c>
      <c r="B9" s="101" t="e" cm="1">
        <f t="array" aca="1" ref="B9" ca="1">INDIRECT("'1"&amp;$A9&amp;"'!"&amp;B$3 )</f>
        <v>#REF!</v>
      </c>
      <c r="C9" s="101" t="e" cm="1">
        <f t="array" aca="1" ref="C9" ca="1">INDIRECT("'1"&amp;$A9&amp;"'!"&amp;C$3 )</f>
        <v>#REF!</v>
      </c>
      <c r="D9" s="101" t="e" cm="1">
        <f t="array" aca="1" ref="D9" ca="1">INDIRECT("'1"&amp;$A9&amp;"'!"&amp;D$3 )</f>
        <v>#REF!</v>
      </c>
      <c r="E9" s="101" t="e" cm="1">
        <f t="array" aca="1" ref="E9" ca="1">INDIRECT("'1"&amp;$A9&amp;"'!"&amp;E$3 )</f>
        <v>#REF!</v>
      </c>
      <c r="F9" s="101" t="e" cm="1">
        <f t="array" aca="1" ref="F9" ca="1">INDIRECT("'1"&amp;$A9&amp;"'!"&amp;F$3 )</f>
        <v>#REF!</v>
      </c>
      <c r="G9" s="101" t="e" cm="1">
        <f t="array" aca="1" ref="G9" ca="1">INDIRECT("'1"&amp;$A9&amp;"'!"&amp;G$3 )</f>
        <v>#REF!</v>
      </c>
      <c r="H9" s="101"/>
      <c r="I9" s="101" t="e" cm="1">
        <f t="array" aca="1" ref="I9" ca="1">INDIRECT("'1"&amp;$A9&amp;"'!"&amp;I$3 )</f>
        <v>#REF!</v>
      </c>
      <c r="J9" s="101" t="e" cm="1">
        <f t="array" aca="1" ref="J9" ca="1">INDIRECT("'1"&amp;$A9&amp;"'!"&amp;J$3 )</f>
        <v>#REF!</v>
      </c>
      <c r="K9" s="101"/>
      <c r="O9" s="89"/>
      <c r="P9" s="96"/>
      <c r="Q9" s="88"/>
      <c r="R9" s="96"/>
    </row>
    <row r="10" spans="1:22" s="1" customFormat="1" x14ac:dyDescent="0.3">
      <c r="A10" s="86" t="s">
        <v>309</v>
      </c>
      <c r="B10" s="101" t="e" cm="1">
        <f t="array" aca="1" ref="B10" ca="1">INDIRECT("'1"&amp;$A10&amp;"'!"&amp;B$3 )</f>
        <v>#REF!</v>
      </c>
      <c r="C10" s="101" t="e" cm="1">
        <f t="array" aca="1" ref="C10" ca="1">INDIRECT("'1"&amp;$A10&amp;"'!"&amp;C$3 )</f>
        <v>#REF!</v>
      </c>
      <c r="D10" s="101" t="e" cm="1">
        <f t="array" aca="1" ref="D10" ca="1">INDIRECT("'1"&amp;$A10&amp;"'!"&amp;D$3 )</f>
        <v>#REF!</v>
      </c>
      <c r="E10" s="101" t="e" cm="1">
        <f t="array" aca="1" ref="E10" ca="1">INDIRECT("'1"&amp;$A10&amp;"'!"&amp;E$3 )</f>
        <v>#REF!</v>
      </c>
      <c r="F10" s="101" t="e" cm="1">
        <f t="array" aca="1" ref="F10" ca="1">INDIRECT("'1"&amp;$A10&amp;"'!"&amp;F$3 )</f>
        <v>#REF!</v>
      </c>
      <c r="G10" s="101" t="e" cm="1">
        <f t="array" aca="1" ref="G10" ca="1">INDIRECT("'1"&amp;$A10&amp;"'!"&amp;G$3 )</f>
        <v>#REF!</v>
      </c>
      <c r="H10" s="101"/>
      <c r="I10" s="101" t="e" cm="1">
        <f t="array" aca="1" ref="I10" ca="1">INDIRECT("'1"&amp;$A10&amp;"'!"&amp;I$3 )</f>
        <v>#REF!</v>
      </c>
      <c r="J10" s="101" t="e" cm="1">
        <f t="array" aca="1" ref="J10" ca="1">INDIRECT("'1"&amp;$A10&amp;"'!"&amp;J$3 )</f>
        <v>#REF!</v>
      </c>
      <c r="K10" s="101"/>
      <c r="O10" s="88"/>
      <c r="P10" s="94"/>
      <c r="Q10" s="88"/>
      <c r="R10" s="94"/>
    </row>
    <row r="11" spans="1:22" s="86" customFormat="1" x14ac:dyDescent="0.3">
      <c r="A11" s="86" t="s">
        <v>310</v>
      </c>
      <c r="B11" s="101" t="e" cm="1">
        <f t="array" aca="1" ref="B11" ca="1">INDIRECT("'1"&amp;$A11&amp;"'!"&amp;B$3 )</f>
        <v>#REF!</v>
      </c>
      <c r="C11" s="101" t="e" cm="1">
        <f t="array" aca="1" ref="C11" ca="1">INDIRECT("'1"&amp;$A11&amp;"'!"&amp;C$3 )</f>
        <v>#REF!</v>
      </c>
      <c r="D11" s="101" t="e" cm="1">
        <f t="array" aca="1" ref="D11" ca="1">INDIRECT("'1"&amp;$A11&amp;"'!"&amp;D$3 )</f>
        <v>#REF!</v>
      </c>
      <c r="E11" s="101" t="e" cm="1">
        <f t="array" aca="1" ref="E11" ca="1">INDIRECT("'1"&amp;$A11&amp;"'!"&amp;E$3 )</f>
        <v>#REF!</v>
      </c>
      <c r="F11" s="101" t="e" cm="1">
        <f t="array" aca="1" ref="F11" ca="1">INDIRECT("'1"&amp;$A11&amp;"'!"&amp;F$3 )</f>
        <v>#REF!</v>
      </c>
      <c r="G11" s="101" t="e" cm="1">
        <f t="array" aca="1" ref="G11" ca="1">INDIRECT("'1"&amp;$A11&amp;"'!"&amp;G$3 )</f>
        <v>#REF!</v>
      </c>
      <c r="H11" s="101"/>
      <c r="I11" s="101" t="e" cm="1">
        <f t="array" aca="1" ref="I11" ca="1">INDIRECT("'1"&amp;$A11&amp;"'!"&amp;I$3 )</f>
        <v>#REF!</v>
      </c>
      <c r="J11" s="101" t="e" cm="1">
        <f t="array" aca="1" ref="J11" ca="1">INDIRECT("'1"&amp;$A11&amp;"'!"&amp;J$3 )</f>
        <v>#REF!</v>
      </c>
      <c r="K11" s="101"/>
      <c r="O11" s="89"/>
      <c r="P11" s="96"/>
      <c r="Q11" s="88"/>
      <c r="R11" s="96"/>
    </row>
    <row r="12" spans="1:22" s="1" customFormat="1" x14ac:dyDescent="0.3">
      <c r="A12" s="86" t="s">
        <v>311</v>
      </c>
      <c r="B12" s="101" t="e" cm="1">
        <f t="array" aca="1" ref="B12" ca="1">INDIRECT("'1"&amp;$A12&amp;"'!"&amp;B$3 )</f>
        <v>#REF!</v>
      </c>
      <c r="C12" s="101" t="e" cm="1">
        <f t="array" aca="1" ref="C12" ca="1">INDIRECT("'1"&amp;$A12&amp;"'!"&amp;C$3 )</f>
        <v>#REF!</v>
      </c>
      <c r="D12" s="101" t="e" cm="1">
        <f t="array" aca="1" ref="D12" ca="1">INDIRECT("'1"&amp;$A12&amp;"'!"&amp;D$3 )</f>
        <v>#REF!</v>
      </c>
      <c r="E12" s="101" t="e" cm="1">
        <f t="array" aca="1" ref="E12" ca="1">INDIRECT("'1"&amp;$A12&amp;"'!"&amp;E$3 )</f>
        <v>#REF!</v>
      </c>
      <c r="F12" s="101" t="e" cm="1">
        <f t="array" aca="1" ref="F12" ca="1">INDIRECT("'1"&amp;$A12&amp;"'!"&amp;F$3 )</f>
        <v>#REF!</v>
      </c>
      <c r="G12" s="101" t="e" cm="1">
        <f t="array" aca="1" ref="G12" ca="1">INDIRECT("'1"&amp;$A12&amp;"'!"&amp;G$3 )</f>
        <v>#REF!</v>
      </c>
      <c r="H12" s="101"/>
      <c r="I12" s="101" t="e" cm="1">
        <f t="array" aca="1" ref="I12" ca="1">INDIRECT("'1"&amp;$A12&amp;"'!"&amp;I$3 )</f>
        <v>#REF!</v>
      </c>
      <c r="J12" s="101" t="e" cm="1">
        <f t="array" aca="1" ref="J12" ca="1">INDIRECT("'1"&amp;$A12&amp;"'!"&amp;J$3 )</f>
        <v>#REF!</v>
      </c>
      <c r="K12" s="101"/>
      <c r="O12" s="88"/>
      <c r="P12" s="94"/>
      <c r="Q12" s="88"/>
      <c r="R12" s="94"/>
    </row>
    <row r="13" spans="1:22" s="1" customFormat="1" x14ac:dyDescent="0.3">
      <c r="A13" s="1" t="s">
        <v>225</v>
      </c>
      <c r="B13" s="106" cm="1">
        <f t="array" aca="1" ref="B13" ca="1">INDIRECT("'1"&amp;$A13&amp;"'!"&amp;B$3 )</f>
        <v>2.355007449589813</v>
      </c>
      <c r="C13" s="106" cm="1">
        <f t="array" aca="1" ref="C13" ca="1">INDIRECT("'1"&amp;$A13&amp;"'!"&amp;C$3 )</f>
        <v>1</v>
      </c>
      <c r="D13" s="106" cm="1">
        <f t="array" aca="1" ref="D13" ca="1">INDIRECT("'1"&amp;$A13&amp;"'!"&amp;D$3 )</f>
        <v>1.2212638368652939E-2</v>
      </c>
      <c r="E13" s="106" cm="1">
        <f t="array" aca="1" ref="E13" ca="1">INDIRECT("'1"&amp;$A13&amp;"'!"&amp;E$3 )</f>
        <v>1.0587267984237194</v>
      </c>
      <c r="F13" s="106" cm="1">
        <f t="array" aca="1" ref="F13" ca="1">INDIRECT("'1"&amp;$A13&amp;"'!"&amp;F$3 )</f>
        <v>0.22778708028471595</v>
      </c>
      <c r="G13" s="106" cm="1">
        <f t="array" aca="1" ref="G13" ca="1">INDIRECT("'1"&amp;$A13&amp;"'!"&amp;G$3 )</f>
        <v>0</v>
      </c>
      <c r="H13" s="106"/>
      <c r="I13" s="106" cm="1">
        <f t="array" aca="1" ref="I13" ca="1">INDIRECT("'1"&amp;$A13&amp;"'!"&amp;I$3 )</f>
        <v>-5.1156635055169541E-3</v>
      </c>
      <c r="J13" s="106" cm="1">
        <f t="array" aca="1" ref="J13" ca="1">INDIRECT("'1"&amp;$A13&amp;"'!"&amp;J$3 )</f>
        <v>6.13965960182421E-2</v>
      </c>
      <c r="K13" s="106"/>
      <c r="O13" s="88"/>
      <c r="P13" s="94"/>
      <c r="Q13" s="88"/>
      <c r="R13" s="94"/>
    </row>
    <row r="14" spans="1:22" s="1" customFormat="1" x14ac:dyDescent="0.3">
      <c r="A14" s="1" t="s">
        <v>208</v>
      </c>
      <c r="B14" s="106" cm="1">
        <f t="array" aca="1" ref="B14" ca="1">INDIRECT("'1"&amp;$A14&amp;"'!"&amp;B$3 )</f>
        <v>2.2980633345266068</v>
      </c>
      <c r="C14" s="106" cm="1">
        <f t="array" aca="1" ref="C14" ca="1">INDIRECT("'1"&amp;$A14&amp;"'!"&amp;C$3 )</f>
        <v>1</v>
      </c>
      <c r="D14" s="106" cm="1">
        <f t="array" aca="1" ref="D14" ca="1">INDIRECT("'1"&amp;$A14&amp;"'!"&amp;D$3 )</f>
        <v>1.2934513525724549</v>
      </c>
      <c r="E14" s="106" cm="1">
        <f t="array" aca="1" ref="E14" ca="1">INDIRECT("'1"&amp;$A14&amp;"'!"&amp;E$3 )</f>
        <v>2.6360746533675705E-3</v>
      </c>
      <c r="F14" s="106" cm="1">
        <f t="array" aca="1" ref="F14" ca="1">INDIRECT("'1"&amp;$A14&amp;"'!"&amp;F$3 )</f>
        <v>0</v>
      </c>
      <c r="G14" s="106" cm="1">
        <f t="array" aca="1" ref="G14" ca="1">INDIRECT("'1"&amp;$A14&amp;"'!"&amp;G$3 )</f>
        <v>0</v>
      </c>
      <c r="H14" s="106"/>
      <c r="I14" s="106" cm="1">
        <f t="array" aca="1" ref="I14" ca="1">INDIRECT("'1"&amp;$A14&amp;"'!"&amp;I$3 )</f>
        <v>0</v>
      </c>
      <c r="J14" s="106" cm="1">
        <f t="array" aca="1" ref="J14" ca="1">INDIRECT("'1"&amp;$A14&amp;"'!"&amp;J$3 )</f>
        <v>1.9759073007841188E-3</v>
      </c>
      <c r="K14" s="106"/>
      <c r="O14" s="88"/>
      <c r="P14" s="94"/>
      <c r="Q14" s="88"/>
      <c r="R14" s="94"/>
    </row>
    <row r="15" spans="1:22" s="86" customFormat="1" x14ac:dyDescent="0.3">
      <c r="A15" s="1" t="s">
        <v>247</v>
      </c>
      <c r="B15" s="106" cm="1">
        <f t="array" aca="1" ref="B15" ca="1">INDIRECT("'1"&amp;$A15&amp;"'!"&amp;B$3 )</f>
        <v>2.1811011429483584</v>
      </c>
      <c r="C15" s="106" cm="1">
        <f t="array" aca="1" ref="C15" ca="1">INDIRECT("'1"&amp;$A15&amp;"'!"&amp;C$3 )</f>
        <v>1</v>
      </c>
      <c r="D15" s="106" cm="1">
        <f t="array" aca="1" ref="D15" ca="1">INDIRECT("'1"&amp;$A15&amp;"'!"&amp;D$3 )</f>
        <v>0.8117324497813585</v>
      </c>
      <c r="E15" s="106" cm="1">
        <f t="array" aca="1" ref="E15" ca="1">INDIRECT("'1"&amp;$A15&amp;"'!"&amp;E$3 )</f>
        <v>0.23958252793437151</v>
      </c>
      <c r="F15" s="106" cm="1">
        <f t="array" aca="1" ref="F15" ca="1">INDIRECT("'1"&amp;$A15&amp;"'!"&amp;F$3 )</f>
        <v>1.5039542359578162E-2</v>
      </c>
      <c r="G15" s="106" cm="1">
        <f t="array" aca="1" ref="G15" ca="1">INDIRECT("'1"&amp;$A15&amp;"'!"&amp;G$3 )</f>
        <v>0</v>
      </c>
      <c r="H15" s="106"/>
      <c r="I15" s="106" cm="1">
        <f t="array" aca="1" ref="I15" ca="1">INDIRECT("'1"&amp;$A15&amp;"'!"&amp;I$3 )</f>
        <v>6.7313177393817369E-3</v>
      </c>
      <c r="J15" s="106" cm="1">
        <f t="array" aca="1" ref="J15" ca="1">INDIRECT("'1"&amp;$A15&amp;"'!"&amp;J$3 )</f>
        <v>0.10801530513366808</v>
      </c>
      <c r="K15" s="106"/>
      <c r="O15" s="89"/>
      <c r="P15" s="96"/>
      <c r="Q15" s="88"/>
      <c r="R15" s="96"/>
    </row>
    <row r="16" spans="1:22" s="86" customFormat="1" x14ac:dyDescent="0.3">
      <c r="A16" s="1" t="s">
        <v>218</v>
      </c>
      <c r="B16" s="106" cm="1">
        <f t="array" aca="1" ref="B16" ca="1">INDIRECT("'1"&amp;$A16&amp;"'!"&amp;B$3 )</f>
        <v>2.0191248605309946</v>
      </c>
      <c r="C16" s="106" cm="1">
        <f t="array" aca="1" ref="C16" ca="1">INDIRECT("'1"&amp;$A16&amp;"'!"&amp;C$3 )</f>
        <v>1</v>
      </c>
      <c r="D16" s="106" cm="1">
        <f t="array" aca="1" ref="D16" ca="1">INDIRECT("'1"&amp;$A16&amp;"'!"&amp;D$3 )</f>
        <v>0.36285776653682689</v>
      </c>
      <c r="E16" s="106" cm="1">
        <f t="array" aca="1" ref="E16" ca="1">INDIRECT("'1"&amp;$A16&amp;"'!"&amp;E$3 )</f>
        <v>0.2781666453636813</v>
      </c>
      <c r="F16" s="106" cm="1">
        <f t="array" aca="1" ref="F16" ca="1">INDIRECT("'1"&amp;$A16&amp;"'!"&amp;F$3 )</f>
        <v>0.27515917833824677</v>
      </c>
      <c r="G16" s="106" cm="1">
        <f t="array" aca="1" ref="G16" ca="1">INDIRECT("'1"&amp;$A16&amp;"'!"&amp;G$3 )</f>
        <v>0</v>
      </c>
      <c r="H16" s="106"/>
      <c r="I16" s="106" cm="1">
        <f t="array" aca="1" ref="I16" ca="1">INDIRECT("'1"&amp;$A16&amp;"'!"&amp;I$3 )</f>
        <v>4.8999720315687112E-2</v>
      </c>
      <c r="J16" s="106" cm="1">
        <f t="array" aca="1" ref="J16" ca="1">INDIRECT("'1"&amp;$A16&amp;"'!"&amp;J$3 )</f>
        <v>5.3941549976552539E-2</v>
      </c>
      <c r="K16" s="106"/>
      <c r="O16" s="89"/>
      <c r="P16" s="96"/>
      <c r="Q16" s="88"/>
      <c r="R16" s="96"/>
    </row>
    <row r="17" spans="1:18" s="1" customFormat="1" x14ac:dyDescent="0.3">
      <c r="A17" s="1" t="s">
        <v>249</v>
      </c>
      <c r="B17" s="106" cm="1">
        <f t="array" aca="1" ref="B17" ca="1">INDIRECT("'1"&amp;$A17&amp;"'!"&amp;B$3 )</f>
        <v>1.9912797248057028</v>
      </c>
      <c r="C17" s="106" cm="1">
        <f t="array" aca="1" ref="C17" ca="1">INDIRECT("'1"&amp;$A17&amp;"'!"&amp;C$3 )</f>
        <v>1</v>
      </c>
      <c r="D17" s="106" cm="1">
        <f t="array" aca="1" ref="D17" ca="1">INDIRECT("'1"&amp;$A17&amp;"'!"&amp;D$3 )</f>
        <v>0.43397368154429183</v>
      </c>
      <c r="E17" s="106" cm="1">
        <f t="array" aca="1" ref="E17" ca="1">INDIRECT("'1"&amp;$A17&amp;"'!"&amp;E$3 )</f>
        <v>0.28992579601440638</v>
      </c>
      <c r="F17" s="106" cm="1">
        <f t="array" aca="1" ref="F17" ca="1">INDIRECT("'1"&amp;$A17&amp;"'!"&amp;F$3 )</f>
        <v>7.0806533734250943E-2</v>
      </c>
      <c r="G17" s="106" cm="1">
        <f t="array" aca="1" ref="G17" ca="1">INDIRECT("'1"&amp;$A17&amp;"'!"&amp;G$3 )</f>
        <v>8.5569670763286254E-2</v>
      </c>
      <c r="H17" s="106"/>
      <c r="I17" s="106" cm="1">
        <f t="array" aca="1" ref="I17" ca="1">INDIRECT("'1"&amp;$A17&amp;"'!"&amp;I$3 )</f>
        <v>5.253088799197303E-2</v>
      </c>
      <c r="J17" s="106" cm="1">
        <f t="array" aca="1" ref="J17" ca="1">INDIRECT("'1"&amp;$A17&amp;"'!"&amp;J$3 )</f>
        <v>5.8473154757494372E-2</v>
      </c>
      <c r="K17" s="106"/>
      <c r="O17" s="88"/>
      <c r="P17" s="94"/>
      <c r="Q17" s="88"/>
      <c r="R17" s="94"/>
    </row>
    <row r="18" spans="1:18" s="1" customFormat="1" x14ac:dyDescent="0.3">
      <c r="A18" s="1" t="s">
        <v>204</v>
      </c>
      <c r="B18" s="106" cm="1">
        <f t="array" aca="1" ref="B18" ca="1">INDIRECT("'1"&amp;$A18&amp;"'!"&amp;B$3 )</f>
        <v>1.966454320802733</v>
      </c>
      <c r="C18" s="106" cm="1">
        <f t="array" aca="1" ref="C18" ca="1">INDIRECT("'1"&amp;$A18&amp;"'!"&amp;C$3 )</f>
        <v>1</v>
      </c>
      <c r="D18" s="106" cm="1">
        <f t="array" aca="1" ref="D18" ca="1">INDIRECT("'1"&amp;$A18&amp;"'!"&amp;D$3 )</f>
        <v>0.35917999074323648</v>
      </c>
      <c r="E18" s="106" cm="1">
        <f t="array" aca="1" ref="E18" ca="1">INDIRECT("'1"&amp;$A18&amp;"'!"&amp;E$3 )</f>
        <v>0.42310299087474834</v>
      </c>
      <c r="F18" s="106" cm="1">
        <f t="array" aca="1" ref="F18" ca="1">INDIRECT("'1"&amp;$A18&amp;"'!"&amp;F$3 )</f>
        <v>0.14378289662043864</v>
      </c>
      <c r="G18" s="106" cm="1">
        <f t="array" aca="1" ref="G18" ca="1">INDIRECT("'1"&amp;$A18&amp;"'!"&amp;G$3 )</f>
        <v>0</v>
      </c>
      <c r="H18" s="106"/>
      <c r="I18" s="106" cm="1">
        <f t="array" aca="1" ref="I18" ca="1">INDIRECT("'1"&amp;$A18&amp;"'!"&amp;I$3 )</f>
        <v>6.8893574650277234E-3</v>
      </c>
      <c r="J18" s="106" cm="1">
        <f t="array" aca="1" ref="J18" ca="1">INDIRECT("'1"&amp;$A18&amp;"'!"&amp;J$3 )</f>
        <v>3.3499085099281789E-2</v>
      </c>
      <c r="K18" s="106"/>
      <c r="O18" s="88"/>
      <c r="P18" s="94"/>
      <c r="Q18" s="88"/>
      <c r="R18" s="94"/>
    </row>
    <row r="19" spans="1:18" s="1" customFormat="1" x14ac:dyDescent="0.3">
      <c r="A19" s="1" t="s">
        <v>3</v>
      </c>
      <c r="B19" s="106" cm="1">
        <f t="array" aca="1" ref="B19" ca="1">INDIRECT("'1"&amp;$A19&amp;"'!"&amp;B$3 )</f>
        <v>1.8866256424887944</v>
      </c>
      <c r="C19" s="106" cm="1">
        <f t="array" aca="1" ref="C19" ca="1">INDIRECT("'1"&amp;$A19&amp;"'!"&amp;C$3 )</f>
        <v>1</v>
      </c>
      <c r="D19" s="106" cm="1">
        <f t="array" aca="1" ref="D19" ca="1">INDIRECT("'1"&amp;$A19&amp;"'!"&amp;D$3 )</f>
        <v>0.74750879241278745</v>
      </c>
      <c r="E19" s="106" cm="1">
        <f t="array" aca="1" ref="E19" ca="1">INDIRECT("'1"&amp;$A19&amp;"'!"&amp;E$3 )</f>
        <v>5.1271133027993798E-2</v>
      </c>
      <c r="F19" s="106" cm="1">
        <f t="array" aca="1" ref="F19" ca="1">INDIRECT("'1"&amp;$A19&amp;"'!"&amp;F$3 )</f>
        <v>3.7711883040369099E-2</v>
      </c>
      <c r="G19" s="106" cm="1">
        <f t="array" aca="1" ref="G19" ca="1">INDIRECT("'1"&amp;$A19&amp;"'!"&amp;G$3 )</f>
        <v>0</v>
      </c>
      <c r="H19" s="106"/>
      <c r="I19" s="106" cm="1">
        <f t="array" aca="1" ref="I19" ca="1">INDIRECT("'1"&amp;$A19&amp;"'!"&amp;I$3 )</f>
        <v>5.013383400764404E-2</v>
      </c>
      <c r="J19" s="106" cm="1">
        <f t="array" aca="1" ref="J19" ca="1">INDIRECT("'1"&amp;$A19&amp;"'!"&amp;J$3 )</f>
        <v>0</v>
      </c>
      <c r="K19" s="106"/>
      <c r="O19" s="88"/>
      <c r="P19" s="94"/>
      <c r="Q19" s="88"/>
      <c r="R19" s="94"/>
    </row>
    <row r="20" spans="1:18" s="1" customFormat="1" x14ac:dyDescent="0.3">
      <c r="A20" s="1" t="s">
        <v>252</v>
      </c>
      <c r="B20" s="106" cm="1">
        <f t="array" aca="1" ref="B20" ca="1">INDIRECT("'1"&amp;$A20&amp;"'!"&amp;B$3 )</f>
        <v>1.8863476683839748</v>
      </c>
      <c r="C20" s="106" cm="1">
        <f t="array" aca="1" ref="C20" ca="1">INDIRECT("'1"&amp;$A20&amp;"'!"&amp;C$3 )</f>
        <v>1</v>
      </c>
      <c r="D20" s="106" cm="1">
        <f t="array" aca="1" ref="D20" ca="1">INDIRECT("'1"&amp;$A20&amp;"'!"&amp;D$3 )</f>
        <v>0.31791300200150951</v>
      </c>
      <c r="E20" s="106" cm="1">
        <f t="array" aca="1" ref="E20" ca="1">INDIRECT("'1"&amp;$A20&amp;"'!"&amp;E$3 )</f>
        <v>0.44929476618994224</v>
      </c>
      <c r="F20" s="106" cm="1">
        <f t="array" aca="1" ref="F20" ca="1">INDIRECT("'1"&amp;$A20&amp;"'!"&amp;F$3 )</f>
        <v>0.11156873107911758</v>
      </c>
      <c r="G20" s="106" cm="1">
        <f t="array" aca="1" ref="G20" ca="1">INDIRECT("'1"&amp;$A20&amp;"'!"&amp;G$3 )</f>
        <v>0</v>
      </c>
      <c r="H20" s="106"/>
      <c r="I20" s="106" cm="1">
        <f t="array" aca="1" ref="I20" ca="1">INDIRECT("'1"&amp;$A20&amp;"'!"&amp;I$3 )</f>
        <v>5.1759340673429577E-4</v>
      </c>
      <c r="J20" s="106" cm="1">
        <f t="array" aca="1" ref="J20" ca="1">INDIRECT("'1"&amp;$A20&amp;"'!"&amp;J$3 )</f>
        <v>7.0535757066712002E-3</v>
      </c>
      <c r="K20" s="106"/>
      <c r="O20" s="91"/>
      <c r="P20" s="95"/>
      <c r="Q20" s="91"/>
      <c r="R20" s="95"/>
    </row>
    <row r="21" spans="1:18" s="1" customFormat="1" x14ac:dyDescent="0.3">
      <c r="A21" s="1" t="s">
        <v>240</v>
      </c>
      <c r="B21" s="106" cm="1">
        <f t="array" aca="1" ref="B21" ca="1">INDIRECT("'1"&amp;$A21&amp;"'!"&amp;B$3 )</f>
        <v>1.8727964639724985</v>
      </c>
      <c r="C21" s="106" cm="1">
        <f t="array" aca="1" ref="C21" ca="1">INDIRECT("'1"&amp;$A21&amp;"'!"&amp;C$3 )</f>
        <v>1</v>
      </c>
      <c r="D21" s="106" cm="1">
        <f t="array" aca="1" ref="D21" ca="1">INDIRECT("'1"&amp;$A21&amp;"'!"&amp;D$3 )</f>
        <v>0.7411849478331074</v>
      </c>
      <c r="E21" s="106" cm="1">
        <f t="array" aca="1" ref="E21" ca="1">INDIRECT("'1"&amp;$A21&amp;"'!"&amp;E$3 )</f>
        <v>6.2203547139468407E-2</v>
      </c>
      <c r="F21" s="106" cm="1">
        <f t="array" aca="1" ref="F21" ca="1">INDIRECT("'1"&amp;$A21&amp;"'!"&amp;F$3 )</f>
        <v>2.1530202282421529E-2</v>
      </c>
      <c r="G21" s="106" cm="1">
        <f t="array" aca="1" ref="G21" ca="1">INDIRECT("'1"&amp;$A21&amp;"'!"&amp;G$3 )</f>
        <v>2.4608467058549133E-2</v>
      </c>
      <c r="H21" s="106"/>
      <c r="I21" s="106" cm="1">
        <f t="array" aca="1" ref="I21" ca="1">INDIRECT("'1"&amp;$A21&amp;"'!"&amp;I$3 )</f>
        <v>1.3015991248551906E-2</v>
      </c>
      <c r="J21" s="106" cm="1">
        <f t="array" aca="1" ref="J21" ca="1">INDIRECT("'1"&amp;$A21&amp;"'!"&amp;J$3 )</f>
        <v>1.0253308410400175E-2</v>
      </c>
      <c r="K21" s="106"/>
      <c r="O21" s="88"/>
      <c r="P21" s="94"/>
      <c r="Q21" s="99"/>
      <c r="R21" s="100"/>
    </row>
    <row r="22" spans="1:18" s="1" customFormat="1" x14ac:dyDescent="0.3">
      <c r="A22" s="1" t="s">
        <v>234</v>
      </c>
      <c r="B22" s="106" cm="1">
        <f t="array" aca="1" ref="B22" ca="1">INDIRECT("'1"&amp;$A22&amp;"'!"&amp;B$3 )</f>
        <v>1.8551616744290942</v>
      </c>
      <c r="C22" s="106" cm="1">
        <f t="array" aca="1" ref="C22" ca="1">INDIRECT("'1"&amp;$A22&amp;"'!"&amp;C$3 )</f>
        <v>1</v>
      </c>
      <c r="D22" s="106" cm="1">
        <f t="array" aca="1" ref="D22" ca="1">INDIRECT("'1"&amp;$A22&amp;"'!"&amp;D$3 )</f>
        <v>0.28610604140036422</v>
      </c>
      <c r="E22" s="106" cm="1">
        <f t="array" aca="1" ref="E22" ca="1">INDIRECT("'1"&amp;$A22&amp;"'!"&amp;E$3 )</f>
        <v>0.30251284271747125</v>
      </c>
      <c r="F22" s="106" cm="1">
        <f t="array" aca="1" ref="F22" ca="1">INDIRECT("'1"&amp;$A22&amp;"'!"&amp;F$3 )</f>
        <v>0.13466096967105434</v>
      </c>
      <c r="G22" s="106" cm="1">
        <f t="array" aca="1" ref="G22" ca="1">INDIRECT("'1"&amp;$A22&amp;"'!"&amp;G$3 )</f>
        <v>8.356704487245592E-2</v>
      </c>
      <c r="H22" s="106"/>
      <c r="I22" s="106" cm="1">
        <f t="array" aca="1" ref="I22" ca="1">INDIRECT("'1"&amp;$A22&amp;"'!"&amp;I$3 )</f>
        <v>1.114058315913935E-3</v>
      </c>
      <c r="J22" s="106" cm="1">
        <f t="array" aca="1" ref="J22" ca="1">INDIRECT("'1"&amp;$A22&amp;"'!"&amp;J$3 )</f>
        <v>4.7200717451834517E-2</v>
      </c>
      <c r="K22" s="106"/>
      <c r="O22" s="88"/>
      <c r="P22" s="94"/>
      <c r="Q22" s="88"/>
      <c r="R22" s="94"/>
    </row>
    <row r="23" spans="1:18" s="1" customFormat="1" x14ac:dyDescent="0.3">
      <c r="A23" s="1" t="s">
        <v>254</v>
      </c>
      <c r="B23" s="106" cm="1">
        <f t="array" aca="1" ref="B23" ca="1">INDIRECT("'1"&amp;$A23&amp;"'!"&amp;B$3 )</f>
        <v>1.8516723283112846</v>
      </c>
      <c r="C23" s="106" cm="1">
        <f t="array" aca="1" ref="C23" ca="1">INDIRECT("'1"&amp;$A23&amp;"'!"&amp;C$3 )</f>
        <v>1</v>
      </c>
      <c r="D23" s="106" cm="1">
        <f t="array" aca="1" ref="D23" ca="1">INDIRECT("'1"&amp;$A23&amp;"'!"&amp;D$3 )</f>
        <v>3.9698009166191373E-3</v>
      </c>
      <c r="E23" s="106" cm="1">
        <f t="array" aca="1" ref="E23" ca="1">INDIRECT("'1"&amp;$A23&amp;"'!"&amp;E$3 )</f>
        <v>0.71386740759585177</v>
      </c>
      <c r="F23" s="106" cm="1">
        <f t="array" aca="1" ref="F23" ca="1">INDIRECT("'1"&amp;$A23&amp;"'!"&amp;F$3 )</f>
        <v>1.1999515517639558E-2</v>
      </c>
      <c r="G23" s="106" cm="1">
        <f t="array" aca="1" ref="G23" ca="1">INDIRECT("'1"&amp;$A23&amp;"'!"&amp;G$3 )</f>
        <v>0</v>
      </c>
      <c r="H23" s="106"/>
      <c r="I23" s="106" cm="1">
        <f t="array" aca="1" ref="I23" ca="1">INDIRECT("'1"&amp;$A23&amp;"'!"&amp;I$3 )</f>
        <v>0</v>
      </c>
      <c r="J23" s="106" cm="1">
        <f t="array" aca="1" ref="J23" ca="1">INDIRECT("'1"&amp;$A23&amp;"'!"&amp;J$3 )</f>
        <v>0.12183560428117413</v>
      </c>
      <c r="K23" s="106"/>
      <c r="O23" s="89"/>
      <c r="P23" s="96"/>
      <c r="Q23" s="88"/>
      <c r="R23" s="96"/>
    </row>
    <row r="24" spans="1:18" s="1" customFormat="1" x14ac:dyDescent="0.3">
      <c r="A24" s="1" t="s">
        <v>233</v>
      </c>
      <c r="B24" s="106" cm="1">
        <f t="array" aca="1" ref="B24" ca="1">INDIRECT("'1"&amp;$A24&amp;"'!"&amp;B$3 )</f>
        <v>1.8138953207581621</v>
      </c>
      <c r="C24" s="106" cm="1">
        <f t="array" aca="1" ref="C24" ca="1">INDIRECT("'1"&amp;$A24&amp;"'!"&amp;C$3 )</f>
        <v>1</v>
      </c>
      <c r="D24" s="106" cm="1">
        <f t="array" aca="1" ref="D24" ca="1">INDIRECT("'1"&amp;$A24&amp;"'!"&amp;D$3 )</f>
        <v>0.39184792993449191</v>
      </c>
      <c r="E24" s="106" cm="1">
        <f t="array" aca="1" ref="E24" ca="1">INDIRECT("'1"&amp;$A24&amp;"'!"&amp;E$3 )</f>
        <v>0.31259246731340395</v>
      </c>
      <c r="F24" s="106" cm="1">
        <f t="array" aca="1" ref="F24" ca="1">INDIRECT("'1"&amp;$A24&amp;"'!"&amp;F$3 )</f>
        <v>9.3422407138279429E-2</v>
      </c>
      <c r="G24" s="106" cm="1">
        <f t="array" aca="1" ref="G24" ca="1">INDIRECT("'1"&amp;$A24&amp;"'!"&amp;G$3 )</f>
        <v>0</v>
      </c>
      <c r="H24" s="106"/>
      <c r="I24" s="106" cm="1">
        <f t="array" aca="1" ref="I24" ca="1">INDIRECT("'1"&amp;$A24&amp;"'!"&amp;I$3 )</f>
        <v>0</v>
      </c>
      <c r="J24" s="106" cm="1">
        <f t="array" aca="1" ref="J24" ca="1">INDIRECT("'1"&amp;$A24&amp;"'!"&amp;J$3 )</f>
        <v>1.6032516371986771E-2</v>
      </c>
      <c r="K24" s="106"/>
      <c r="O24" s="88"/>
      <c r="P24" s="94"/>
      <c r="Q24" s="88"/>
      <c r="R24" s="94"/>
    </row>
    <row r="25" spans="1:18" s="1" customFormat="1" x14ac:dyDescent="0.3">
      <c r="A25" s="1" t="s">
        <v>245</v>
      </c>
      <c r="B25" s="106" cm="1">
        <f t="array" aca="1" ref="B25" ca="1">INDIRECT("'1"&amp;$A25&amp;"'!"&amp;B$3 )</f>
        <v>1.8138346754056838</v>
      </c>
      <c r="C25" s="106" cm="1">
        <f t="array" aca="1" ref="C25" ca="1">INDIRECT("'1"&amp;$A25&amp;"'!"&amp;C$3 )</f>
        <v>1</v>
      </c>
      <c r="D25" s="106" cm="1">
        <f t="array" aca="1" ref="D25" ca="1">INDIRECT("'1"&amp;$A25&amp;"'!"&amp;D$3 )</f>
        <v>0.76447152926209938</v>
      </c>
      <c r="E25" s="106" cm="1">
        <f t="array" aca="1" ref="E25" ca="1">INDIRECT("'1"&amp;$A25&amp;"'!"&amp;E$3 )</f>
        <v>1.2155319485450899E-2</v>
      </c>
      <c r="F25" s="106" cm="1">
        <f t="array" aca="1" ref="F25" ca="1">INDIRECT("'1"&amp;$A25&amp;"'!"&amp;F$3 )</f>
        <v>2.877142453980186E-3</v>
      </c>
      <c r="G25" s="106" cm="1">
        <f t="array" aca="1" ref="G25" ca="1">INDIRECT("'1"&amp;$A25&amp;"'!"&amp;G$3 )</f>
        <v>3.1018771171842374E-4</v>
      </c>
      <c r="H25" s="106"/>
      <c r="I25" s="106" cm="1">
        <f t="array" aca="1" ref="I25" ca="1">INDIRECT("'1"&amp;$A25&amp;"'!"&amp;I$3 )</f>
        <v>7.4343708337212266E-3</v>
      </c>
      <c r="J25" s="106" cm="1">
        <f t="array" aca="1" ref="J25" ca="1">INDIRECT("'1"&amp;$A25&amp;"'!"&amp;J$3 )</f>
        <v>2.6586125658713655E-2</v>
      </c>
      <c r="K25" s="106"/>
      <c r="O25" s="89"/>
      <c r="P25" s="96"/>
      <c r="Q25" s="88"/>
      <c r="R25" s="96"/>
    </row>
    <row r="26" spans="1:18" s="1" customFormat="1" x14ac:dyDescent="0.3">
      <c r="A26" s="1" t="s">
        <v>217</v>
      </c>
      <c r="B26" s="106" cm="1">
        <f t="array" aca="1" ref="B26" ca="1">INDIRECT("'1"&amp;$A26&amp;"'!"&amp;B$3 )</f>
        <v>1.8032111978204031</v>
      </c>
      <c r="C26" s="106" cm="1">
        <f t="array" aca="1" ref="C26" ca="1">INDIRECT("'1"&amp;$A26&amp;"'!"&amp;C$3 )</f>
        <v>1</v>
      </c>
      <c r="D26" s="106" cm="1">
        <f t="array" aca="1" ref="D26" ca="1">INDIRECT("'1"&amp;$A26&amp;"'!"&amp;D$3 )</f>
        <v>0.15790905020047608</v>
      </c>
      <c r="E26" s="106" cm="1">
        <f t="array" aca="1" ref="E26" ca="1">INDIRECT("'1"&amp;$A26&amp;"'!"&amp;E$3 )</f>
        <v>0.64530214761992699</v>
      </c>
      <c r="F26" s="106" cm="1">
        <f t="array" aca="1" ref="F26" ca="1">INDIRECT("'1"&amp;$A26&amp;"'!"&amp;F$3 )</f>
        <v>0</v>
      </c>
      <c r="G26" s="106" cm="1">
        <f t="array" aca="1" ref="G26" ca="1">INDIRECT("'1"&amp;$A26&amp;"'!"&amp;G$3 )</f>
        <v>0</v>
      </c>
      <c r="H26" s="106"/>
      <c r="I26" s="106" cm="1">
        <f t="array" aca="1" ref="I26" ca="1">INDIRECT("'1"&amp;$A26&amp;"'!"&amp;I$3 )</f>
        <v>0</v>
      </c>
      <c r="J26" s="106" cm="1">
        <f t="array" aca="1" ref="J26" ca="1">INDIRECT("'1"&amp;$A26&amp;"'!"&amp;J$3 )</f>
        <v>0</v>
      </c>
      <c r="K26" s="106"/>
      <c r="O26" s="88"/>
      <c r="P26" s="94"/>
      <c r="Q26" s="88"/>
      <c r="R26" s="94"/>
    </row>
    <row r="27" spans="1:18" s="1" customFormat="1" x14ac:dyDescent="0.3">
      <c r="A27" s="1" t="s">
        <v>222</v>
      </c>
      <c r="B27" s="106" cm="1">
        <f t="array" aca="1" ref="B27" ca="1">INDIRECT("'1"&amp;$A27&amp;"'!"&amp;B$3 )</f>
        <v>1.7423543356823485</v>
      </c>
      <c r="C27" s="106" cm="1">
        <f t="array" aca="1" ref="C27" ca="1">INDIRECT("'1"&amp;$A27&amp;"'!"&amp;C$3 )</f>
        <v>1</v>
      </c>
      <c r="D27" s="106" cm="1">
        <f t="array" aca="1" ref="D27" ca="1">INDIRECT("'1"&amp;$A27&amp;"'!"&amp;D$3 )</f>
        <v>0.35419014809811289</v>
      </c>
      <c r="E27" s="106" cm="1">
        <f t="array" aca="1" ref="E27" ca="1">INDIRECT("'1"&amp;$A27&amp;"'!"&amp;E$3 )</f>
        <v>0.11199199711863939</v>
      </c>
      <c r="F27" s="106" cm="1">
        <f t="array" aca="1" ref="F27" ca="1">INDIRECT("'1"&amp;$A27&amp;"'!"&amp;F$3 )</f>
        <v>0.11457780809409046</v>
      </c>
      <c r="G27" s="106" cm="1">
        <f t="array" aca="1" ref="G27" ca="1">INDIRECT("'1"&amp;$A27&amp;"'!"&amp;G$3 )</f>
        <v>0.134860785872019</v>
      </c>
      <c r="H27" s="106"/>
      <c r="I27" s="106" cm="1">
        <f t="array" aca="1" ref="I27" ca="1">INDIRECT("'1"&amp;$A27&amp;"'!"&amp;I$3 )</f>
        <v>2.4448816453920941E-2</v>
      </c>
      <c r="J27" s="106" cm="1">
        <f t="array" aca="1" ref="J27" ca="1">INDIRECT("'1"&amp;$A27&amp;"'!"&amp;J$3 )</f>
        <v>2.2847800455658707E-3</v>
      </c>
      <c r="K27" s="106"/>
      <c r="O27" s="89"/>
      <c r="P27" s="96"/>
      <c r="Q27" s="88"/>
      <c r="R27" s="96"/>
    </row>
    <row r="28" spans="1:18" s="86" customFormat="1" x14ac:dyDescent="0.3">
      <c r="A28" s="1" t="s">
        <v>210</v>
      </c>
      <c r="B28" s="106" cm="1">
        <f t="array" aca="1" ref="B28" ca="1">INDIRECT("'1"&amp;$A28&amp;"'!"&amp;B$3 )</f>
        <v>1.7103139797998415</v>
      </c>
      <c r="C28" s="106" cm="1">
        <f t="array" aca="1" ref="C28" ca="1">INDIRECT("'1"&amp;$A28&amp;"'!"&amp;C$3 )</f>
        <v>1</v>
      </c>
      <c r="D28" s="106" cm="1">
        <f t="array" aca="1" ref="D28" ca="1">INDIRECT("'1"&amp;$A28&amp;"'!"&amp;D$3 )</f>
        <v>0.50384350169997694</v>
      </c>
      <c r="E28" s="106" cm="1">
        <f t="array" aca="1" ref="E28" ca="1">INDIRECT("'1"&amp;$A28&amp;"'!"&amp;E$3 )</f>
        <v>0.12440165170545736</v>
      </c>
      <c r="F28" s="106" cm="1">
        <f t="array" aca="1" ref="F28" ca="1">INDIRECT("'1"&amp;$A28&amp;"'!"&amp;F$3 )</f>
        <v>3.5479907579255343E-2</v>
      </c>
      <c r="G28" s="106" cm="1">
        <f t="array" aca="1" ref="G28" ca="1">INDIRECT("'1"&amp;$A28&amp;"'!"&amp;G$3 )</f>
        <v>3.4317825081779496E-2</v>
      </c>
      <c r="H28" s="106"/>
      <c r="I28" s="106" cm="1">
        <f t="array" aca="1" ref="I28" ca="1">INDIRECT("'1"&amp;$A28&amp;"'!"&amp;I$3 )</f>
        <v>1.2271093733372318E-2</v>
      </c>
      <c r="J28" s="106" cm="1">
        <f t="array" aca="1" ref="J28" ca="1">INDIRECT("'1"&amp;$A28&amp;"'!"&amp;J$3 )</f>
        <v>0</v>
      </c>
      <c r="K28" s="106"/>
      <c r="O28" s="88"/>
      <c r="P28" s="94"/>
      <c r="Q28" s="88"/>
      <c r="R28" s="94"/>
    </row>
    <row r="29" spans="1:18" s="1" customFormat="1" x14ac:dyDescent="0.3">
      <c r="A29" s="1" t="s">
        <v>214</v>
      </c>
      <c r="B29" s="106" cm="1">
        <f t="array" aca="1" ref="B29" ca="1">INDIRECT("'1"&amp;$A29&amp;"'!"&amp;B$3 )</f>
        <v>1.6590608942486251</v>
      </c>
      <c r="C29" s="106" cm="1">
        <f t="array" aca="1" ref="C29" ca="1">INDIRECT("'1"&amp;$A29&amp;"'!"&amp;C$3 )</f>
        <v>1</v>
      </c>
      <c r="D29" s="106" cm="1">
        <f t="array" aca="1" ref="D29" ca="1">INDIRECT("'1"&amp;$A29&amp;"'!"&amp;D$3 )</f>
        <v>0</v>
      </c>
      <c r="E29" s="106" cm="1">
        <f t="array" aca="1" ref="E29" ca="1">INDIRECT("'1"&amp;$A29&amp;"'!"&amp;E$3 )</f>
        <v>0.62804834410068544</v>
      </c>
      <c r="F29" s="106" cm="1">
        <f t="array" aca="1" ref="F29" ca="1">INDIRECT("'1"&amp;$A29&amp;"'!"&amp;F$3 )</f>
        <v>1.6905042984745045E-2</v>
      </c>
      <c r="G29" s="106" cm="1">
        <f t="array" aca="1" ref="G29" ca="1">INDIRECT("'1"&amp;$A29&amp;"'!"&amp;G$3 )</f>
        <v>3.5288789413969734E-3</v>
      </c>
      <c r="H29" s="106"/>
      <c r="I29" s="106" cm="1">
        <f t="array" aca="1" ref="I29" ca="1">INDIRECT("'1"&amp;$A29&amp;"'!"&amp;I$3 )</f>
        <v>3.783633622517879E-3</v>
      </c>
      <c r="J29" s="106" cm="1">
        <f t="array" aca="1" ref="J29" ca="1">INDIRECT("'1"&amp;$A29&amp;"'!"&amp;J$3 )</f>
        <v>6.7949945992797911E-3</v>
      </c>
      <c r="K29" s="106"/>
      <c r="O29" s="88"/>
      <c r="P29" s="94"/>
      <c r="Q29" s="88"/>
      <c r="R29" s="94"/>
    </row>
    <row r="30" spans="1:18" s="86" customFormat="1" x14ac:dyDescent="0.3">
      <c r="A30" s="1" t="s">
        <v>223</v>
      </c>
      <c r="B30" s="106" cm="1">
        <f t="array" aca="1" ref="B30" ca="1">INDIRECT("'1"&amp;$A30&amp;"'!"&amp;B$3 )</f>
        <v>1.5415702152840249</v>
      </c>
      <c r="C30" s="106" cm="1">
        <f t="array" aca="1" ref="C30" ca="1">INDIRECT("'1"&amp;$A30&amp;"'!"&amp;C$3 )</f>
        <v>1</v>
      </c>
      <c r="D30" s="106" cm="1">
        <f t="array" aca="1" ref="D30" ca="1">INDIRECT("'1"&amp;$A30&amp;"'!"&amp;D$3 )</f>
        <v>0.36690432468627732</v>
      </c>
      <c r="E30" s="106" cm="1">
        <f t="array" aca="1" ref="E30" ca="1">INDIRECT("'1"&amp;$A30&amp;"'!"&amp;E$3 )</f>
        <v>6.2955225666680104E-2</v>
      </c>
      <c r="F30" s="106" cm="1">
        <f t="array" aca="1" ref="F30" ca="1">INDIRECT("'1"&amp;$A30&amp;"'!"&amp;F$3 )</f>
        <v>5.5336544707874635E-2</v>
      </c>
      <c r="G30" s="106" cm="1">
        <f t="array" aca="1" ref="G30" ca="1">INDIRECT("'1"&amp;$A30&amp;"'!"&amp;G$3 )</f>
        <v>2.9476415886343199E-2</v>
      </c>
      <c r="H30" s="106"/>
      <c r="I30" s="106" cm="1">
        <f t="array" aca="1" ref="I30" ca="1">INDIRECT("'1"&amp;$A30&amp;"'!"&amp;I$3 )</f>
        <v>2.6897704336849682E-2</v>
      </c>
      <c r="J30" s="106" cm="1">
        <f t="array" aca="1" ref="J30" ca="1">INDIRECT("'1"&amp;$A30&amp;"'!"&amp;J$3 )</f>
        <v>0</v>
      </c>
      <c r="K30" s="106"/>
      <c r="O30" s="88"/>
      <c r="P30" s="94"/>
      <c r="Q30" s="88"/>
      <c r="R30" s="94"/>
    </row>
    <row r="31" spans="1:18" s="86" customFormat="1" x14ac:dyDescent="0.3">
      <c r="A31" s="1" t="s">
        <v>242</v>
      </c>
      <c r="B31" s="106" cm="1">
        <f t="array" aca="1" ref="B31" ca="1">INDIRECT("'1"&amp;$A31&amp;"'!"&amp;B$3 )</f>
        <v>1.439871427179074</v>
      </c>
      <c r="C31" s="106" cm="1">
        <f t="array" aca="1" ref="C31" ca="1">INDIRECT("'1"&amp;$A31&amp;"'!"&amp;C$3 )</f>
        <v>1</v>
      </c>
      <c r="D31" s="106" cm="1">
        <f t="array" aca="1" ref="D31" ca="1">INDIRECT("'1"&amp;$A31&amp;"'!"&amp;D$3 )</f>
        <v>5.2124099728372064E-2</v>
      </c>
      <c r="E31" s="106" cm="1">
        <f t="array" aca="1" ref="E31" ca="1">INDIRECT("'1"&amp;$A31&amp;"'!"&amp;E$3 )</f>
        <v>0.30064903791821807</v>
      </c>
      <c r="F31" s="106" cm="1">
        <f t="array" aca="1" ref="F31" ca="1">INDIRECT("'1"&amp;$A31&amp;"'!"&amp;F$3 )</f>
        <v>8.2138395007142817E-2</v>
      </c>
      <c r="G31" s="106" cm="1">
        <f t="array" aca="1" ref="G31" ca="1">INDIRECT("'1"&amp;$A31&amp;"'!"&amp;G$3 )</f>
        <v>0</v>
      </c>
      <c r="H31" s="106"/>
      <c r="I31" s="106" cm="1">
        <f t="array" aca="1" ref="I31" ca="1">INDIRECT("'1"&amp;$A31&amp;"'!"&amp;I$3 )</f>
        <v>0</v>
      </c>
      <c r="J31" s="106" cm="1">
        <f t="array" aca="1" ref="J31" ca="1">INDIRECT("'1"&amp;$A31&amp;"'!"&amp;J$3 )</f>
        <v>4.9598945253410687E-3</v>
      </c>
      <c r="K31" s="106"/>
      <c r="O31" s="89"/>
      <c r="P31" s="96"/>
      <c r="Q31" s="88"/>
      <c r="R31" s="96"/>
    </row>
    <row r="32" spans="1:18" s="1" customFormat="1" x14ac:dyDescent="0.3">
      <c r="A32" s="1" t="s">
        <v>238</v>
      </c>
      <c r="B32" s="106" cm="1">
        <f t="array" aca="1" ref="B32" ca="1">INDIRECT("'1"&amp;$A32&amp;"'!"&amp;B$3 )</f>
        <v>1.3144652982741332</v>
      </c>
      <c r="C32" s="106" cm="1">
        <f t="array" aca="1" ref="C32" ca="1">INDIRECT("'1"&amp;$A32&amp;"'!"&amp;C$3 )</f>
        <v>1</v>
      </c>
      <c r="D32" s="106" cm="1">
        <f t="array" aca="1" ref="D32" ca="1">INDIRECT("'1"&amp;$A32&amp;"'!"&amp;D$3 )</f>
        <v>7.3990221814811852E-2</v>
      </c>
      <c r="E32" s="106" cm="1">
        <f t="array" aca="1" ref="E32" ca="1">INDIRECT("'1"&amp;$A32&amp;"'!"&amp;E$3 )</f>
        <v>0.22835195926678153</v>
      </c>
      <c r="F32" s="106" cm="1">
        <f t="array" aca="1" ref="F32" ca="1">INDIRECT("'1"&amp;$A32&amp;"'!"&amp;F$3 )</f>
        <v>0</v>
      </c>
      <c r="G32" s="106" cm="1">
        <f t="array" aca="1" ref="G32" ca="1">INDIRECT("'1"&amp;$A32&amp;"'!"&amp;G$3 )</f>
        <v>0</v>
      </c>
      <c r="H32" s="106"/>
      <c r="I32" s="106" cm="1">
        <f t="array" aca="1" ref="I32" ca="1">INDIRECT("'1"&amp;$A32&amp;"'!"&amp;I$3 )</f>
        <v>0</v>
      </c>
      <c r="J32" s="106" cm="1">
        <f t="array" aca="1" ref="J32" ca="1">INDIRECT("'1"&amp;$A32&amp;"'!"&amp;J$3 )</f>
        <v>1.2123117192539778E-2</v>
      </c>
      <c r="K32" s="106"/>
      <c r="O32" s="89"/>
      <c r="P32" s="96"/>
      <c r="Q32" s="88"/>
      <c r="R32" s="96"/>
    </row>
    <row r="33" spans="1:18" s="1" customFormat="1" x14ac:dyDescent="0.3">
      <c r="A33" s="1" t="s">
        <v>227</v>
      </c>
      <c r="B33" s="106" cm="1">
        <f t="array" aca="1" ref="B33" ca="1">INDIRECT("'1"&amp;$A33&amp;"'!"&amp;B$3 )</f>
        <v>1.0958061555302958</v>
      </c>
      <c r="C33" s="106" cm="1">
        <f t="array" aca="1" ref="C33" ca="1">INDIRECT("'1"&amp;$A33&amp;"'!"&amp;C$3 )</f>
        <v>1</v>
      </c>
      <c r="D33" s="106" cm="1">
        <f t="array" aca="1" ref="D33" ca="1">INDIRECT("'1"&amp;$A33&amp;"'!"&amp;D$3 )</f>
        <v>0</v>
      </c>
      <c r="E33" s="106" cm="1">
        <f t="array" aca="1" ref="E33" ca="1">INDIRECT("'1"&amp;$A33&amp;"'!"&amp;E$3 )</f>
        <v>9.5806155530295811E-2</v>
      </c>
      <c r="F33" s="106" cm="1">
        <f t="array" aca="1" ref="F33" ca="1">INDIRECT("'1"&amp;$A33&amp;"'!"&amp;F$3 )</f>
        <v>0</v>
      </c>
      <c r="G33" s="106" cm="1">
        <f t="array" aca="1" ref="G33" ca="1">INDIRECT("'1"&amp;$A33&amp;"'!"&amp;G$3 )</f>
        <v>0</v>
      </c>
      <c r="H33" s="106"/>
      <c r="I33" s="106" cm="1">
        <f t="array" aca="1" ref="I33" ca="1">INDIRECT("'1"&amp;$A33&amp;"'!"&amp;I$3 )</f>
        <v>0</v>
      </c>
      <c r="J33" s="106" cm="1">
        <f t="array" aca="1" ref="J33" ca="1">INDIRECT("'1"&amp;$A33&amp;"'!"&amp;J$3 )</f>
        <v>0</v>
      </c>
      <c r="K33" s="106"/>
      <c r="O33" s="88"/>
      <c r="P33" s="94"/>
      <c r="Q33" s="88"/>
      <c r="R33" s="94"/>
    </row>
    <row r="34" spans="1:18" s="1" customFormat="1" x14ac:dyDescent="0.3">
      <c r="O34" s="88"/>
      <c r="P34" s="94"/>
      <c r="Q34" s="88"/>
      <c r="R34" s="94"/>
    </row>
    <row r="35" spans="1:18" s="1" customFormat="1" x14ac:dyDescent="0.3">
      <c r="O35" s="88"/>
      <c r="P35" s="94"/>
      <c r="Q35" s="88"/>
      <c r="R35" s="94"/>
    </row>
    <row r="36" spans="1:18" s="1" customFormat="1" x14ac:dyDescent="0.3">
      <c r="O36" s="91"/>
      <c r="P36" s="95"/>
      <c r="Q36" s="91"/>
      <c r="R36" s="95"/>
    </row>
    <row r="37" spans="1:18" s="85" customFormat="1" ht="30.75" customHeight="1" x14ac:dyDescent="0.3">
      <c r="A37" s="181" t="s">
        <v>598</v>
      </c>
      <c r="O37" s="87"/>
      <c r="P37" s="93"/>
      <c r="R37" s="93"/>
    </row>
    <row r="38" spans="1:18" s="1" customFormat="1" ht="18" customHeight="1" x14ac:dyDescent="0.3">
      <c r="O38" s="88"/>
      <c r="P38" s="94"/>
      <c r="R38" s="94"/>
    </row>
    <row r="39" spans="1:18" s="1" customFormat="1" x14ac:dyDescent="0.3">
      <c r="A39" s="1" t="s">
        <v>289</v>
      </c>
      <c r="B39" s="1" t="s">
        <v>312</v>
      </c>
      <c r="C39" s="1" t="s">
        <v>313</v>
      </c>
      <c r="D39" s="1" t="s">
        <v>314</v>
      </c>
      <c r="E39" s="1" t="s">
        <v>315</v>
      </c>
      <c r="O39" s="88"/>
      <c r="P39" s="94"/>
      <c r="R39" s="94"/>
    </row>
    <row r="40" spans="1:18" s="1" customFormat="1" ht="43.2" x14ac:dyDescent="0.3">
      <c r="A40" s="109" t="s">
        <v>316</v>
      </c>
      <c r="B40" s="107" t="s">
        <v>317</v>
      </c>
      <c r="C40" s="107" t="s">
        <v>318</v>
      </c>
      <c r="D40" s="107" t="s">
        <v>52</v>
      </c>
      <c r="E40" s="108" t="s">
        <v>53</v>
      </c>
      <c r="O40" s="88"/>
      <c r="P40" s="94"/>
      <c r="R40" s="94"/>
    </row>
    <row r="41" spans="1:18" s="1" customFormat="1" x14ac:dyDescent="0.3">
      <c r="A41" s="86" t="s">
        <v>304</v>
      </c>
      <c r="B41" s="86" t="e" cm="1">
        <f t="array" aca="1" ref="B41" ca="1">INDIRECT("'1"&amp;$A41&amp;"'!"&amp;B$39)</f>
        <v>#REF!</v>
      </c>
      <c r="C41" s="86" t="e" cm="1">
        <f t="array" aca="1" ref="C41" ca="1">INDIRECT("'1"&amp;$A41&amp;"'!"&amp;C$39)</f>
        <v>#REF!</v>
      </c>
      <c r="D41" s="86" t="e" cm="1">
        <f t="array" aca="1" ref="D41" ca="1">INDIRECT("'1"&amp;$A41&amp;"'!"&amp;D$39)</f>
        <v>#REF!</v>
      </c>
      <c r="E41" s="86" t="e" cm="1">
        <f t="array" aca="1" ref="E41" ca="1">INDIRECT("'1"&amp;$A41&amp;"'!"&amp;E$39)</f>
        <v>#REF!</v>
      </c>
      <c r="O41" s="99"/>
      <c r="P41" s="100"/>
      <c r="Q41" s="99"/>
      <c r="R41" s="100"/>
    </row>
    <row r="42" spans="1:18" s="1" customFormat="1" x14ac:dyDescent="0.3">
      <c r="A42" s="86" t="s">
        <v>305</v>
      </c>
      <c r="B42" s="86" t="e" cm="1">
        <f t="array" aca="1" ref="B42" ca="1">INDIRECT("'1"&amp;$A42&amp;"'!"&amp;B$39)</f>
        <v>#REF!</v>
      </c>
      <c r="C42" s="86" t="e" cm="1">
        <f t="array" aca="1" ref="C42" ca="1">INDIRECT("'1"&amp;$A42&amp;"'!"&amp;C$39)</f>
        <v>#REF!</v>
      </c>
      <c r="D42" s="86" t="e" cm="1">
        <f t="array" aca="1" ref="D42" ca="1">INDIRECT("'1"&amp;$A42&amp;"'!"&amp;D$39)</f>
        <v>#REF!</v>
      </c>
      <c r="E42" s="86" t="e" cm="1">
        <f t="array" aca="1" ref="E42" ca="1">INDIRECT("'1"&amp;$A42&amp;"'!"&amp;E$39)</f>
        <v>#REF!</v>
      </c>
      <c r="O42" s="88"/>
      <c r="P42" s="94"/>
      <c r="Q42" s="88"/>
      <c r="R42" s="94"/>
    </row>
    <row r="43" spans="1:18" s="1" customFormat="1" x14ac:dyDescent="0.3">
      <c r="A43" s="86" t="s">
        <v>306</v>
      </c>
      <c r="B43" s="86" t="e" cm="1">
        <f t="array" aca="1" ref="B43" ca="1">INDIRECT("'1"&amp;$A43&amp;"'!"&amp;B$39)</f>
        <v>#REF!</v>
      </c>
      <c r="C43" s="86" t="e" cm="1">
        <f t="array" aca="1" ref="C43" ca="1">INDIRECT("'1"&amp;$A43&amp;"'!"&amp;C$39)</f>
        <v>#REF!</v>
      </c>
      <c r="D43" s="86" t="e" cm="1">
        <f t="array" aca="1" ref="D43" ca="1">INDIRECT("'1"&amp;$A43&amp;"'!"&amp;D$39)</f>
        <v>#REF!</v>
      </c>
      <c r="E43" s="86" t="e" cm="1">
        <f t="array" aca="1" ref="E43" ca="1">INDIRECT("'1"&amp;$A43&amp;"'!"&amp;E$39)</f>
        <v>#REF!</v>
      </c>
      <c r="O43" s="89"/>
      <c r="P43" s="96"/>
      <c r="Q43" s="88"/>
      <c r="R43" s="96"/>
    </row>
    <row r="44" spans="1:18" s="1" customFormat="1" x14ac:dyDescent="0.3">
      <c r="A44" s="86" t="s">
        <v>307</v>
      </c>
      <c r="B44" s="86" t="e" cm="1">
        <f t="array" aca="1" ref="B44" ca="1">INDIRECT("'1"&amp;$A44&amp;"'!"&amp;B$39)</f>
        <v>#REF!</v>
      </c>
      <c r="C44" s="86" t="e" cm="1">
        <f t="array" aca="1" ref="C44" ca="1">INDIRECT("'1"&amp;$A44&amp;"'!"&amp;C$39)</f>
        <v>#REF!</v>
      </c>
      <c r="D44" s="86" t="e" cm="1">
        <f t="array" aca="1" ref="D44" ca="1">INDIRECT("'1"&amp;$A44&amp;"'!"&amp;D$39)</f>
        <v>#REF!</v>
      </c>
      <c r="E44" s="86" t="e" cm="1">
        <f t="array" aca="1" ref="E44" ca="1">INDIRECT("'1"&amp;$A44&amp;"'!"&amp;E$39)</f>
        <v>#REF!</v>
      </c>
      <c r="O44" s="88"/>
      <c r="P44" s="94"/>
      <c r="Q44" s="88"/>
      <c r="R44" s="94"/>
    </row>
    <row r="45" spans="1:18" s="1" customFormat="1" x14ac:dyDescent="0.3">
      <c r="A45" s="86" t="s">
        <v>308</v>
      </c>
      <c r="B45" s="86" t="e" cm="1">
        <f t="array" aca="1" ref="B45" ca="1">INDIRECT("'1"&amp;$A45&amp;"'!"&amp;B$39)</f>
        <v>#REF!</v>
      </c>
      <c r="C45" s="86" t="e" cm="1">
        <f t="array" aca="1" ref="C45" ca="1">INDIRECT("'1"&amp;$A45&amp;"'!"&amp;C$39)</f>
        <v>#REF!</v>
      </c>
      <c r="D45" s="86" t="e" cm="1">
        <f t="array" aca="1" ref="D45" ca="1">INDIRECT("'1"&amp;$A45&amp;"'!"&amp;D$39)</f>
        <v>#REF!</v>
      </c>
      <c r="E45" s="86" t="e" cm="1">
        <f t="array" aca="1" ref="E45" ca="1">INDIRECT("'1"&amp;$A45&amp;"'!"&amp;E$39)</f>
        <v>#REF!</v>
      </c>
      <c r="O45" s="89"/>
      <c r="P45" s="96"/>
      <c r="Q45" s="88"/>
      <c r="R45" s="96"/>
    </row>
    <row r="46" spans="1:18" s="1" customFormat="1" x14ac:dyDescent="0.3">
      <c r="A46" s="86" t="s">
        <v>309</v>
      </c>
      <c r="B46" s="86" t="e" cm="1">
        <f t="array" aca="1" ref="B46" ca="1">INDIRECT("'1"&amp;$A46&amp;"'!"&amp;B$39)</f>
        <v>#REF!</v>
      </c>
      <c r="C46" s="86" t="e" cm="1">
        <f t="array" aca="1" ref="C46" ca="1">INDIRECT("'1"&amp;$A46&amp;"'!"&amp;C$39)</f>
        <v>#REF!</v>
      </c>
      <c r="D46" s="86" t="e" cm="1">
        <f t="array" aca="1" ref="D46" ca="1">INDIRECT("'1"&amp;$A46&amp;"'!"&amp;D$39)</f>
        <v>#REF!</v>
      </c>
      <c r="E46" s="86" t="e" cm="1">
        <f t="array" aca="1" ref="E46" ca="1">INDIRECT("'1"&amp;$A46&amp;"'!"&amp;E$39)</f>
        <v>#REF!</v>
      </c>
      <c r="O46" s="88"/>
      <c r="P46" s="94"/>
      <c r="Q46" s="88"/>
      <c r="R46" s="94"/>
    </row>
    <row r="47" spans="1:18" s="1" customFormat="1" x14ac:dyDescent="0.3">
      <c r="A47" s="86" t="s">
        <v>310</v>
      </c>
      <c r="B47" s="86" t="e" cm="1">
        <f t="array" aca="1" ref="B47" ca="1">INDIRECT("'1"&amp;$A47&amp;"'!"&amp;B$39)</f>
        <v>#REF!</v>
      </c>
      <c r="C47" s="86" t="e" cm="1">
        <f t="array" aca="1" ref="C47" ca="1">INDIRECT("'1"&amp;$A47&amp;"'!"&amp;C$39)</f>
        <v>#REF!</v>
      </c>
      <c r="D47" s="86" t="e" cm="1">
        <f t="array" aca="1" ref="D47" ca="1">INDIRECT("'1"&amp;$A47&amp;"'!"&amp;D$39)</f>
        <v>#REF!</v>
      </c>
      <c r="E47" s="86" t="e" cm="1">
        <f t="array" aca="1" ref="E47" ca="1">INDIRECT("'1"&amp;$A47&amp;"'!"&amp;E$39)</f>
        <v>#REF!</v>
      </c>
      <c r="O47" s="89"/>
      <c r="P47" s="96"/>
      <c r="Q47" s="88"/>
      <c r="R47" s="96"/>
    </row>
    <row r="48" spans="1:18" s="1" customFormat="1" x14ac:dyDescent="0.3">
      <c r="A48" s="86" t="s">
        <v>311</v>
      </c>
      <c r="B48" s="86" t="e" cm="1">
        <f t="array" aca="1" ref="B48" ca="1">INDIRECT("'1"&amp;$A48&amp;"'!"&amp;B$39)</f>
        <v>#REF!</v>
      </c>
      <c r="C48" s="86" t="e" cm="1">
        <f t="array" aca="1" ref="C48" ca="1">INDIRECT("'1"&amp;$A48&amp;"'!"&amp;C$39)</f>
        <v>#REF!</v>
      </c>
      <c r="D48" s="86" t="e" cm="1">
        <f t="array" aca="1" ref="D48" ca="1">INDIRECT("'1"&amp;$A48&amp;"'!"&amp;D$39)</f>
        <v>#REF!</v>
      </c>
      <c r="E48" s="86" t="e" cm="1">
        <f t="array" aca="1" ref="E48" ca="1">INDIRECT("'1"&amp;$A48&amp;"'!"&amp;E$39)</f>
        <v>#REF!</v>
      </c>
      <c r="O48" s="88"/>
      <c r="P48" s="94"/>
      <c r="Q48" s="88"/>
      <c r="R48" s="94"/>
    </row>
    <row r="49" spans="1:18" s="1" customFormat="1" x14ac:dyDescent="0.3">
      <c r="A49" s="1" t="s">
        <v>225</v>
      </c>
      <c r="B49" s="1" cm="1">
        <f t="array" aca="1" ref="B49" ca="1">INDIRECT("'1"&amp;$A49&amp;"'!"&amp;B$39)</f>
        <v>2.6884276693825342</v>
      </c>
      <c r="C49" s="1" cm="1">
        <f t="array" aca="1" ref="C49" ca="1">INDIRECT("'1"&amp;$A49&amp;"'!"&amp;C$39)</f>
        <v>1.0104123808023298</v>
      </c>
      <c r="D49" s="1" cm="1">
        <f t="array" aca="1" ref="D49" ca="1">INDIRECT("'1"&amp;$A49&amp;"'!"&amp;D$39)</f>
        <v>3.5782659495015663</v>
      </c>
      <c r="E49" s="1" cm="1">
        <f t="array" aca="1" ref="E49" ca="1">INDIRECT("'1"&amp;$A49&amp;"'!"&amp;E$39)</f>
        <v>2.1853699236530271</v>
      </c>
      <c r="O49" s="88"/>
      <c r="P49" s="94"/>
      <c r="Q49" s="88"/>
      <c r="R49" s="94"/>
    </row>
    <row r="50" spans="1:18" s="1" customFormat="1" x14ac:dyDescent="0.3">
      <c r="A50" s="1" t="s">
        <v>247</v>
      </c>
      <c r="B50" s="1" cm="1">
        <f t="array" aca="1" ref="B50" ca="1">INDIRECT("'1"&amp;$A50&amp;"'!"&amp;B$39)</f>
        <v>2.4690313683534573</v>
      </c>
      <c r="C50" s="1" cm="1">
        <f t="array" aca="1" ref="C50" ca="1">INDIRECT("'1"&amp;$A50&amp;"'!"&amp;C$39)</f>
        <v>1.6942098979905715</v>
      </c>
      <c r="D50" s="1" cm="1">
        <f t="array" aca="1" ref="D50" ca="1">INDIRECT("'1"&amp;$A50&amp;"'!"&amp;D$39)</f>
        <v>2.0460719597729513</v>
      </c>
      <c r="E50" s="1" cm="1">
        <f t="array" aca="1" ref="E50" ca="1">INDIRECT("'1"&amp;$A50&amp;"'!"&amp;E$39)</f>
        <v>1.4510064346989677</v>
      </c>
      <c r="O50" s="88"/>
      <c r="P50" s="94"/>
      <c r="Q50" s="88"/>
      <c r="R50" s="94"/>
    </row>
    <row r="51" spans="1:18" s="1" customFormat="1" x14ac:dyDescent="0.3">
      <c r="A51" s="1" t="s">
        <v>208</v>
      </c>
      <c r="B51" s="1" cm="1">
        <f t="array" aca="1" ref="B51" ca="1">INDIRECT("'1"&amp;$A51&amp;"'!"&amp;B$39)</f>
        <v>2.3353021028384129</v>
      </c>
      <c r="C51" s="1" cm="1">
        <f t="array" aca="1" ref="C51" ca="1">INDIRECT("'1"&amp;$A51&amp;"'!"&amp;C$39)</f>
        <v>2.3723706605064598</v>
      </c>
      <c r="D51" s="1" cm="1">
        <f t="array" aca="1" ref="D51" ca="1">INDIRECT("'1"&amp;$A51&amp;"'!"&amp;D$39)</f>
        <v>1.5044128799674092</v>
      </c>
      <c r="E51" s="1" cm="1">
        <f t="array" aca="1" ref="E51" ca="1">INDIRECT("'1"&amp;$A51&amp;"'!"&amp;E$39)</f>
        <v>2.0075492929301699</v>
      </c>
      <c r="O51" s="89"/>
      <c r="P51" s="96"/>
      <c r="Q51" s="88"/>
      <c r="R51" s="96"/>
    </row>
    <row r="52" spans="1:18" s="1" customFormat="1" x14ac:dyDescent="0.3">
      <c r="A52" s="1" t="s">
        <v>252</v>
      </c>
      <c r="B52" s="1" cm="1">
        <f t="array" aca="1" ref="B52" ca="1">INDIRECT("'1"&amp;$A52&amp;"'!"&amp;B$39)</f>
        <v>2.2081156713004653</v>
      </c>
      <c r="C52" s="1" cm="1">
        <f t="array" aca="1" ref="C52" ca="1">INDIRECT("'1"&amp;$A52&amp;"'!"&amp;C$39)</f>
        <v>0.75577205303893757</v>
      </c>
      <c r="D52" s="1" cm="1">
        <f t="array" aca="1" ref="D52" ca="1">INDIRECT("'1"&amp;$A52&amp;"'!"&amp;D$39)</f>
        <v>2.4834953306538483</v>
      </c>
      <c r="E52" s="1" cm="1">
        <f t="array" aca="1" ref="E52" ca="1">INDIRECT("'1"&amp;$A52&amp;"'!"&amp;E$39)</f>
        <v>2.49753074624559</v>
      </c>
      <c r="O52" s="89"/>
      <c r="P52" s="96"/>
      <c r="Q52" s="88"/>
      <c r="R52" s="96"/>
    </row>
    <row r="53" spans="1:18" s="1" customFormat="1" x14ac:dyDescent="0.3">
      <c r="A53" s="1" t="s">
        <v>249</v>
      </c>
      <c r="B53" s="1" cm="1">
        <f t="array" aca="1" ref="B53" ca="1">INDIRECT("'1"&amp;$A53&amp;"'!"&amp;B$39)</f>
        <v>2.1090928514088643</v>
      </c>
      <c r="C53" s="1" cm="1">
        <f t="array" aca="1" ref="C53" ca="1">INDIRECT("'1"&amp;$A53&amp;"'!"&amp;C$39)</f>
        <v>1.6647705593685156</v>
      </c>
      <c r="D53" s="1" cm="1">
        <f t="array" aca="1" ref="D53" ca="1">INDIRECT("'1"&amp;$A53&amp;"'!"&amp;D$39)</f>
        <v>1.9320193275666571</v>
      </c>
      <c r="E53" s="1" cm="1">
        <f t="array" aca="1" ref="E53" ca="1">INDIRECT("'1"&amp;$A53&amp;"'!"&amp;E$39)</f>
        <v>2.4313184855918766</v>
      </c>
      <c r="O53" s="88"/>
      <c r="P53" s="94"/>
      <c r="Q53" s="88"/>
      <c r="R53" s="94"/>
    </row>
    <row r="54" spans="1:18" s="1" customFormat="1" x14ac:dyDescent="0.3">
      <c r="A54" s="1" t="s">
        <v>204</v>
      </c>
      <c r="B54" s="1" cm="1">
        <f t="array" aca="1" ref="B54" ca="1">INDIRECT("'1"&amp;$A54&amp;"'!"&amp;B$39)</f>
        <v>2.0854920937951134</v>
      </c>
      <c r="C54" s="1" cm="1">
        <f t="array" aca="1" ref="C54" ca="1">INDIRECT("'1"&amp;$A54&amp;"'!"&amp;C$39)</f>
        <v>1.7608154234504292</v>
      </c>
      <c r="D54" s="1" cm="1">
        <f t="array" aca="1" ref="D54" ca="1">INDIRECT("'1"&amp;$A54&amp;"'!"&amp;D$39)</f>
        <v>1.9495121255522077</v>
      </c>
      <c r="E54" s="1" cm="1">
        <f t="array" aca="1" ref="E54" ca="1">INDIRECT("'1"&amp;$A54&amp;"'!"&amp;E$39)</f>
        <v>1.4640340832739966</v>
      </c>
      <c r="O54" s="88"/>
      <c r="P54" s="94"/>
      <c r="Q54" s="88"/>
      <c r="R54" s="94"/>
    </row>
    <row r="55" spans="1:18" s="1" customFormat="1" x14ac:dyDescent="0.3">
      <c r="A55" s="1" t="s">
        <v>218</v>
      </c>
      <c r="B55" s="1" cm="1">
        <f t="array" aca="1" ref="B55" ca="1">INDIRECT("'1"&amp;$A55&amp;"'!"&amp;B$39)</f>
        <v>2.0793244264470014</v>
      </c>
      <c r="C55" s="1" cm="1">
        <f t="array" aca="1" ref="C55" ca="1">INDIRECT("'1"&amp;$A55&amp;"'!"&amp;C$39)</f>
        <v>1.8762948618205961</v>
      </c>
      <c r="D55" s="1" cm="1">
        <f t="array" aca="1" ref="D55" ca="1">INDIRECT("'1"&amp;$A55&amp;"'!"&amp;D$39)</f>
        <v>2.0679438662368117</v>
      </c>
      <c r="E55" s="1" cm="1">
        <f t="array" aca="1" ref="E55" ca="1">INDIRECT("'1"&amp;$A55&amp;"'!"&amp;E$39)</f>
        <v>1.7059627595037326</v>
      </c>
      <c r="O55" s="88"/>
      <c r="P55" s="94"/>
      <c r="Q55" s="88"/>
      <c r="R55" s="94"/>
    </row>
    <row r="56" spans="1:18" s="1" customFormat="1" x14ac:dyDescent="0.3">
      <c r="A56" s="1" t="s">
        <v>245</v>
      </c>
      <c r="B56" s="1" cm="1">
        <f t="array" aca="1" ref="B56" ca="1">INDIRECT("'1"&amp;$A56&amp;"'!"&amp;B$39)</f>
        <v>1.9984210109142111</v>
      </c>
      <c r="C56" s="1" cm="1">
        <f t="array" aca="1" ref="C56" ca="1">INDIRECT("'1"&amp;$A56&amp;"'!"&amp;C$39)</f>
        <v>0.73848195880842593</v>
      </c>
      <c r="D56" s="1" cm="1">
        <f t="array" aca="1" ref="D56" ca="1">INDIRECT("'1"&amp;$A56&amp;"'!"&amp;D$39)</f>
        <v>2.0026194552608425</v>
      </c>
      <c r="E56" s="1" cm="1">
        <f t="array" aca="1" ref="E56" ca="1">INDIRECT("'1"&amp;$A56&amp;"'!"&amp;E$39)</f>
        <v>1.6342452720963929</v>
      </c>
      <c r="O56" s="91"/>
      <c r="P56" s="95"/>
      <c r="Q56" s="91"/>
      <c r="R56" s="95"/>
    </row>
    <row r="57" spans="1:18" s="1" customFormat="1" x14ac:dyDescent="0.3">
      <c r="A57" s="1" t="s">
        <v>254</v>
      </c>
      <c r="B57" s="1" cm="1">
        <f t="array" aca="1" ref="B57" ca="1">INDIRECT("'1"&amp;$A57&amp;"'!"&amp;B$39)</f>
        <v>1.9961548581214728</v>
      </c>
      <c r="C57" s="1" cm="1">
        <f t="array" aca="1" ref="C57" ca="1">INDIRECT("'1"&amp;$A57&amp;"'!"&amp;C$39)</f>
        <v>2.3756448304070346</v>
      </c>
      <c r="D57" s="1" cm="1">
        <f t="array" aca="1" ref="D57" ca="1">INDIRECT("'1"&amp;$A57&amp;"'!"&amp;D$39)</f>
        <v>1.0011110900025455</v>
      </c>
      <c r="E57" s="1" cm="1">
        <f t="array" aca="1" ref="E57" ca="1">INDIRECT("'1"&amp;$A57&amp;"'!"&amp;E$39)</f>
        <v>1.6678959479585278</v>
      </c>
      <c r="O57" s="88"/>
      <c r="P57" s="94"/>
      <c r="Q57" s="99"/>
      <c r="R57" s="100"/>
    </row>
    <row r="58" spans="1:18" s="1" customFormat="1" x14ac:dyDescent="0.3">
      <c r="A58" s="1" t="s">
        <v>233</v>
      </c>
      <c r="B58" s="1" cm="1">
        <f t="array" aca="1" ref="B58" ca="1">INDIRECT("'1"&amp;$A58&amp;"'!"&amp;B$39)</f>
        <v>1.970526294511352</v>
      </c>
      <c r="C58" s="1" cm="1">
        <f t="array" aca="1" ref="C58" ca="1">INDIRECT("'1"&amp;$A58&amp;"'!"&amp;C$39)</f>
        <v>0.70800073725099166</v>
      </c>
      <c r="D58" s="1" cm="1">
        <f t="array" aca="1" ref="D58" ca="1">INDIRECT("'1"&amp;$A58&amp;"'!"&amp;D$39)</f>
        <v>2.1236932565563813</v>
      </c>
      <c r="E58" s="1" cm="1">
        <f t="array" aca="1" ref="E58" ca="1">INDIRECT("'1"&amp;$A58&amp;"'!"&amp;E$39)</f>
        <v>2.030635402414612</v>
      </c>
      <c r="O58" s="88"/>
      <c r="P58" s="94"/>
      <c r="Q58" s="88"/>
      <c r="R58" s="94"/>
    </row>
    <row r="59" spans="1:18" s="1" customFormat="1" x14ac:dyDescent="0.3">
      <c r="A59" s="1" t="s">
        <v>234</v>
      </c>
      <c r="B59" s="1" cm="1">
        <f t="array" aca="1" ref="B59" ca="1">INDIRECT("'1"&amp;$A59&amp;"'!"&amp;B$39)</f>
        <v>1.9537493484105335</v>
      </c>
      <c r="C59" s="1" cm="1">
        <f t="array" aca="1" ref="C59" ca="1">INDIRECT("'1"&amp;$A59&amp;"'!"&amp;C$39)</f>
        <v>1.8591212509285036</v>
      </c>
      <c r="D59" s="1" cm="1">
        <f t="array" aca="1" ref="D59" ca="1">INDIRECT("'1"&amp;$A59&amp;"'!"&amp;D$39)</f>
        <v>1.287581922864246</v>
      </c>
      <c r="E59" s="1" cm="1">
        <f t="array" aca="1" ref="E59" ca="1">INDIRECT("'1"&amp;$A59&amp;"'!"&amp;E$39)</f>
        <v>2.0030244186384594</v>
      </c>
      <c r="O59" s="89"/>
      <c r="P59" s="96"/>
      <c r="Q59" s="88"/>
      <c r="R59" s="96"/>
    </row>
    <row r="60" spans="1:18" s="1" customFormat="1" x14ac:dyDescent="0.3">
      <c r="A60" s="1" t="s">
        <v>217</v>
      </c>
      <c r="B60" s="1" cm="1">
        <f t="array" aca="1" ref="B60" ca="1">INDIRECT("'1"&amp;$A60&amp;"'!"&amp;B$39)</f>
        <v>1.929360819718092</v>
      </c>
      <c r="C60" s="1" cm="1">
        <f t="array" aca="1" ref="C60" ca="1">INDIRECT("'1"&amp;$A60&amp;"'!"&amp;C$39)</f>
        <v>1.1591095437536814</v>
      </c>
      <c r="D60" s="1" cm="1">
        <f t="array" aca="1" ref="D60" ca="1">INDIRECT("'1"&amp;$A60&amp;"'!"&amp;D$39)</f>
        <v>2.5417012400277428</v>
      </c>
      <c r="E60" s="1" cm="1">
        <f t="array" aca="1" ref="E60" ca="1">INDIRECT("'1"&amp;$A60&amp;"'!"&amp;E$39)</f>
        <v>2.151172237402577</v>
      </c>
      <c r="O60" s="88"/>
      <c r="P60" s="94"/>
      <c r="Q60" s="88"/>
      <c r="R60" s="94"/>
    </row>
    <row r="61" spans="1:18" s="1" customFormat="1" x14ac:dyDescent="0.3">
      <c r="A61" s="1" t="s">
        <v>240</v>
      </c>
      <c r="B61" s="1" cm="1">
        <f t="array" aca="1" ref="B61" ca="1">INDIRECT("'1"&amp;$A61&amp;"'!"&amp;B$39)</f>
        <v>1.8999946856387637</v>
      </c>
      <c r="C61" s="1" cm="1">
        <f t="array" aca="1" ref="C61" ca="1">INDIRECT("'1"&amp;$A61&amp;"'!"&amp;C$39)</f>
        <v>1.8809239920002523</v>
      </c>
      <c r="D61" s="1" cm="1">
        <f t="array" aca="1" ref="D61" ca="1">INDIRECT("'1"&amp;$A61&amp;"'!"&amp;D$39)</f>
        <v>1.855599622654609</v>
      </c>
      <c r="E61" s="1" cm="1">
        <f t="array" aca="1" ref="E61" ca="1">INDIRECT("'1"&amp;$A61&amp;"'!"&amp;E$39)</f>
        <v>2.1375577352985529</v>
      </c>
      <c r="O61" s="89"/>
      <c r="P61" s="96"/>
      <c r="Q61" s="88"/>
      <c r="R61" s="96"/>
    </row>
    <row r="62" spans="1:18" s="1" customFormat="1" x14ac:dyDescent="0.3">
      <c r="A62" s="1" t="s">
        <v>210</v>
      </c>
      <c r="B62" s="1" cm="1">
        <f t="array" aca="1" ref="B62" ca="1">INDIRECT("'1"&amp;$A62&amp;"'!"&amp;B$39)</f>
        <v>1.8688044417274889</v>
      </c>
      <c r="C62" s="1" cm="1">
        <f t="array" aca="1" ref="C62" ca="1">INDIRECT("'1"&amp;$A62&amp;"'!"&amp;C$39)</f>
        <v>0.83796069764858772</v>
      </c>
      <c r="D62" s="1" cm="1">
        <f t="array" aca="1" ref="D62" ca="1">INDIRECT("'1"&amp;$A62&amp;"'!"&amp;D$39)</f>
        <v>2.019445463646294</v>
      </c>
      <c r="E62" s="1" cm="1">
        <f t="array" aca="1" ref="E62" ca="1">INDIRECT("'1"&amp;$A62&amp;"'!"&amp;E$39)</f>
        <v>1.7758046351289409</v>
      </c>
      <c r="O62" s="88"/>
      <c r="P62" s="94"/>
      <c r="Q62" s="88"/>
      <c r="R62" s="94"/>
    </row>
    <row r="63" spans="1:18" s="1" customFormat="1" x14ac:dyDescent="0.3">
      <c r="A63" s="1" t="s">
        <v>3</v>
      </c>
      <c r="B63" s="1" cm="1">
        <f t="array" aca="1" ref="B63" ca="1">INDIRECT("'1"&amp;$A63&amp;"'!"&amp;B$39)</f>
        <v>1.8225671577828801</v>
      </c>
      <c r="C63" s="1" cm="1">
        <f t="array" aca="1" ref="C63" ca="1">INDIRECT("'1"&amp;$A63&amp;"'!"&amp;C$39)</f>
        <v>1.8725383772899549</v>
      </c>
      <c r="D63" s="1" cm="1">
        <f t="array" aca="1" ref="D63" ca="1">INDIRECT("'1"&amp;$A63&amp;"'!"&amp;D$39)</f>
        <v>2.4075525797409782</v>
      </c>
      <c r="E63" s="1" cm="1">
        <f t="array" aca="1" ref="E63" ca="1">INDIRECT("'1"&amp;$A63&amp;"'!"&amp;E$39)</f>
        <v>2.0576559734182283</v>
      </c>
      <c r="O63" s="89"/>
      <c r="P63" s="96"/>
      <c r="Q63" s="88"/>
      <c r="R63" s="96"/>
    </row>
    <row r="64" spans="1:18" s="1" customFormat="1" x14ac:dyDescent="0.3">
      <c r="A64" s="1" t="s">
        <v>222</v>
      </c>
      <c r="B64" s="1" cm="1">
        <f t="array" aca="1" ref="B64" ca="1">INDIRECT("'1"&amp;$A64&amp;"'!"&amp;B$39)</f>
        <v>1.7592194742378242</v>
      </c>
      <c r="C64" s="1" cm="1">
        <f t="array" aca="1" ref="C64" ca="1">INDIRECT("'1"&amp;$A64&amp;"'!"&amp;C$39)</f>
        <v>1.8002256504988021</v>
      </c>
      <c r="D64" s="1" cm="1">
        <f t="array" aca="1" ref="D64" ca="1">INDIRECT("'1"&amp;$A64&amp;"'!"&amp;D$39)</f>
        <v>1.2061332089795913</v>
      </c>
      <c r="E64" s="1" cm="1">
        <f t="array" aca="1" ref="E64" ca="1">INDIRECT("'1"&amp;$A64&amp;"'!"&amp;E$39)</f>
        <v>1.5757971404149997</v>
      </c>
      <c r="O64" s="88"/>
      <c r="P64" s="94"/>
      <c r="Q64" s="88"/>
      <c r="R64" s="94"/>
    </row>
    <row r="65" spans="1:22" s="1" customFormat="1" x14ac:dyDescent="0.3">
      <c r="A65" s="1" t="s">
        <v>214</v>
      </c>
      <c r="B65" s="1" cm="1">
        <f t="array" aca="1" ref="B65" ca="1">INDIRECT("'1"&amp;$A65&amp;"'!"&amp;B$39)</f>
        <v>1.7576094398382469</v>
      </c>
      <c r="C65" s="1" cm="1">
        <f t="array" aca="1" ref="C65" ca="1">INDIRECT("'1"&amp;$A65&amp;"'!"&amp;C$39)</f>
        <v>1.2307576473337651</v>
      </c>
      <c r="D65" s="1" cm="1">
        <f t="array" aca="1" ref="D65" ca="1">INDIRECT("'1"&amp;$A65&amp;"'!"&amp;D$39)</f>
        <v>1.4118513561801462</v>
      </c>
      <c r="E65" s="1" cm="1">
        <f t="array" aca="1" ref="E65" ca="1">INDIRECT("'1"&amp;$A65&amp;"'!"&amp;E$39)</f>
        <v>1.660429316419471</v>
      </c>
      <c r="O65" s="88"/>
      <c r="P65" s="94"/>
      <c r="Q65" s="88"/>
      <c r="R65" s="94"/>
    </row>
    <row r="66" spans="1:22" s="1" customFormat="1" x14ac:dyDescent="0.3">
      <c r="A66" s="1" t="s">
        <v>223</v>
      </c>
      <c r="B66" s="1" cm="1">
        <f t="array" aca="1" ref="B66" ca="1">INDIRECT("'1"&amp;$A66&amp;"'!"&amp;B$39)</f>
        <v>1.5332977251311959</v>
      </c>
      <c r="C66" s="1" cm="1">
        <f t="array" aca="1" ref="C66" ca="1">INDIRECT("'1"&amp;$A66&amp;"'!"&amp;C$39)</f>
        <v>1.527852959594066</v>
      </c>
      <c r="D66" s="1" cm="1">
        <f t="array" aca="1" ref="D66" ca="1">INDIRECT("'1"&amp;$A66&amp;"'!"&amp;D$39)</f>
        <v>1.4994579213571648</v>
      </c>
      <c r="E66" s="1" cm="1">
        <f t="array" aca="1" ref="E66" ca="1">INDIRECT("'1"&amp;$A66&amp;"'!"&amp;E$39)</f>
        <v>1.6431081444694662</v>
      </c>
      <c r="O66" s="88"/>
      <c r="P66" s="94"/>
      <c r="Q66" s="88"/>
      <c r="R66" s="94"/>
    </row>
    <row r="67" spans="1:22" s="1" customFormat="1" x14ac:dyDescent="0.3">
      <c r="A67" s="1" t="s">
        <v>242</v>
      </c>
      <c r="B67" s="1" cm="1">
        <f t="array" aca="1" ref="B67" ca="1">INDIRECT("'1"&amp;$A67&amp;"'!"&amp;B$39)</f>
        <v>1.4601387143957609</v>
      </c>
      <c r="C67" s="1" cm="1">
        <f t="array" aca="1" ref="C67" ca="1">INDIRECT("'1"&amp;$A67&amp;"'!"&amp;C$39)</f>
        <v>1.3338340627050325</v>
      </c>
      <c r="D67" s="1" cm="1">
        <f t="array" aca="1" ref="D67" ca="1">INDIRECT("'1"&amp;$A67&amp;"'!"&amp;D$39)</f>
        <v>1.4312187304648096</v>
      </c>
      <c r="E67" s="1" cm="1">
        <f t="array" aca="1" ref="E67" ca="1">INDIRECT("'1"&amp;$A67&amp;"'!"&amp;E$39)</f>
        <v>1.4974934921459935</v>
      </c>
      <c r="O67" s="89"/>
      <c r="P67" s="96"/>
      <c r="Q67" s="88"/>
      <c r="R67" s="96"/>
    </row>
    <row r="68" spans="1:22" s="1" customFormat="1" x14ac:dyDescent="0.3">
      <c r="A68" s="1" t="s">
        <v>238</v>
      </c>
      <c r="B68" s="1" cm="1">
        <f t="array" aca="1" ref="B68" ca="1">INDIRECT("'1"&amp;$A68&amp;"'!"&amp;B$39)</f>
        <v>1.4179586363622065</v>
      </c>
      <c r="C68" s="1" cm="1">
        <f t="array" aca="1" ref="C68" ca="1">INDIRECT("'1"&amp;$A68&amp;"'!"&amp;C$39)</f>
        <v>1.066709013371774</v>
      </c>
      <c r="D68" s="1" cm="1">
        <f t="array" aca="1" ref="D68" ca="1">INDIRECT("'1"&amp;$A68&amp;"'!"&amp;D$39)</f>
        <v>0.73260968072054045</v>
      </c>
      <c r="E68" s="1" cm="1">
        <f t="array" aca="1" ref="E68" ca="1">INDIRECT("'1"&amp;$A68&amp;"'!"&amp;E$39)</f>
        <v>1.0105271462337075</v>
      </c>
      <c r="O68" s="89"/>
      <c r="P68" s="96"/>
      <c r="Q68" s="88"/>
      <c r="R68" s="96"/>
    </row>
    <row r="69" spans="1:22" s="1" customFormat="1" x14ac:dyDescent="0.3">
      <c r="A69" s="1" t="s">
        <v>227</v>
      </c>
      <c r="B69" s="1" cm="1">
        <f t="array" aca="1" ref="B69" ca="1">INDIRECT("'1"&amp;$A69&amp;"'!"&amp;B$39)</f>
        <v>1.3679494214177452</v>
      </c>
      <c r="C69" s="1" cm="1">
        <f t="array" aca="1" ref="C69" ca="1">INDIRECT("'1"&amp;$A69&amp;"'!"&amp;C$39)</f>
        <v>1.5042242873058123E-2</v>
      </c>
      <c r="D69" s="1" cm="1">
        <f t="array" aca="1" ref="D69" ca="1">INDIRECT("'1"&amp;$A69&amp;"'!"&amp;D$39)</f>
        <v>1.2502440477725676</v>
      </c>
      <c r="E69" s="1" cm="1">
        <f t="array" aca="1" ref="E69" ca="1">INDIRECT("'1"&amp;$A69&amp;"'!"&amp;E$39)</f>
        <v>1.3997285624545133</v>
      </c>
      <c r="O69" s="88"/>
      <c r="P69" s="94"/>
      <c r="Q69" s="88"/>
      <c r="R69" s="94"/>
    </row>
    <row r="70" spans="1:22" s="1" customFormat="1" x14ac:dyDescent="0.3">
      <c r="O70" s="88"/>
      <c r="P70" s="94"/>
      <c r="Q70" s="88"/>
      <c r="R70" s="94"/>
    </row>
    <row r="71" spans="1:22" s="1" customFormat="1" x14ac:dyDescent="0.3">
      <c r="O71" s="88"/>
      <c r="P71" s="94"/>
      <c r="Q71" s="88"/>
      <c r="R71" s="94"/>
    </row>
    <row r="72" spans="1:22" s="1" customFormat="1" x14ac:dyDescent="0.3">
      <c r="O72" s="91"/>
      <c r="P72" s="95"/>
      <c r="Q72" s="91"/>
      <c r="R72" s="95"/>
    </row>
    <row r="73" spans="1:22" s="85" customFormat="1" ht="30.75" customHeight="1" x14ac:dyDescent="0.3">
      <c r="A73" s="181" t="s">
        <v>597</v>
      </c>
      <c r="O73" s="87"/>
      <c r="P73" s="93"/>
      <c r="R73" s="93"/>
    </row>
    <row r="74" spans="1:22" s="1" customFormat="1" x14ac:dyDescent="0.3">
      <c r="O74" s="88"/>
      <c r="P74" s="94"/>
      <c r="R74" s="94"/>
    </row>
    <row r="75" spans="1:22" s="1" customFormat="1" x14ac:dyDescent="0.3">
      <c r="A75" s="1" t="s">
        <v>289</v>
      </c>
      <c r="B75" s="1" t="s">
        <v>319</v>
      </c>
      <c r="C75" s="1" t="s">
        <v>320</v>
      </c>
      <c r="D75" s="1" t="s">
        <v>321</v>
      </c>
      <c r="E75" s="1" t="s">
        <v>322</v>
      </c>
      <c r="F75" s="1" t="s">
        <v>323</v>
      </c>
      <c r="G75" s="1" t="s">
        <v>324</v>
      </c>
      <c r="H75" s="1" t="s">
        <v>325</v>
      </c>
      <c r="J75" s="1" t="s">
        <v>289</v>
      </c>
      <c r="K75" s="1" t="s">
        <v>325</v>
      </c>
      <c r="O75" s="88"/>
      <c r="P75" s="94"/>
      <c r="R75" s="94"/>
    </row>
    <row r="76" spans="1:22" s="1" customFormat="1" ht="43.2" x14ac:dyDescent="0.3">
      <c r="A76" s="109" t="s">
        <v>316</v>
      </c>
      <c r="B76" s="105" t="s">
        <v>299</v>
      </c>
      <c r="C76" s="105" t="s">
        <v>300</v>
      </c>
      <c r="D76" s="105" t="s">
        <v>301</v>
      </c>
      <c r="E76" s="190" t="s">
        <v>302</v>
      </c>
      <c r="F76" s="105" t="s">
        <v>303</v>
      </c>
      <c r="G76" s="105" t="s">
        <v>326</v>
      </c>
      <c r="H76" s="102" t="s">
        <v>38</v>
      </c>
      <c r="I76" s="189" t="s">
        <v>327</v>
      </c>
      <c r="J76" s="113"/>
      <c r="K76" s="110"/>
      <c r="O76" s="91"/>
      <c r="P76" s="95"/>
      <c r="Q76" s="91"/>
      <c r="R76" s="95"/>
      <c r="S76" s="92"/>
      <c r="T76" s="92"/>
      <c r="U76" s="92"/>
      <c r="V76" s="92"/>
    </row>
    <row r="77" spans="1:22" s="1" customFormat="1" x14ac:dyDescent="0.3">
      <c r="A77" s="1" t="s">
        <v>227</v>
      </c>
      <c r="B77" s="103" cm="1">
        <f t="array" aca="1" ref="B77" ca="1">INDIRECT("'1"&amp;$A77&amp;"'!"&amp;B$75 )</f>
        <v>0</v>
      </c>
      <c r="C77" s="103" cm="1">
        <f t="array" aca="1" ref="C77" ca="1">INDIRECT("'1"&amp;$A77&amp;"'!"&amp;C$75 )</f>
        <v>100</v>
      </c>
      <c r="D77" s="103" cm="1">
        <f t="array" aca="1" ref="D77" ca="1">INDIRECT("'1"&amp;$A77&amp;"'!"&amp;D$75 )</f>
        <v>0</v>
      </c>
      <c r="E77" s="103" cm="1">
        <f t="array" aca="1" ref="E77" ca="1">INDIRECT("'1"&amp;$A77&amp;"'!"&amp;E$75 )</f>
        <v>0</v>
      </c>
      <c r="F77" s="103" cm="1">
        <f t="array" aca="1" ref="F77" ca="1">INDIRECT("'1"&amp;$A77&amp;"'!"&amp;F$75 )</f>
        <v>0</v>
      </c>
      <c r="G77" s="103" cm="1">
        <f t="array" aca="1" ref="G77" ca="1">INDIRECT("'1"&amp;$A77&amp;"'!"&amp;G$75 )</f>
        <v>0</v>
      </c>
      <c r="H77" s="103" cm="1">
        <f t="array" aca="1" ref="H77" ca="1">INDIRECT("'1"&amp;$A77&amp;"'!"&amp;H$75 )</f>
        <v>0</v>
      </c>
      <c r="I77" s="103">
        <f ca="1">Table35[[#This Row],[By tax deduction/credit 1 ]]+Table35[[#This Row],[By tax deduction/credit 2 ]]+Table35[[#This Row],[By tax deduction/credit 3]]+Table35[[#This Row],[Columna1]]+Table35[[#This Row],[By other tax deductions/credits]]</f>
        <v>100</v>
      </c>
      <c r="J77" s="116"/>
      <c r="K77" s="117"/>
      <c r="O77" s="88"/>
      <c r="P77" s="94"/>
      <c r="R77" s="94"/>
    </row>
    <row r="78" spans="1:22" s="1" customFormat="1" x14ac:dyDescent="0.3">
      <c r="A78" s="1" t="s">
        <v>214</v>
      </c>
      <c r="B78" s="103" cm="1">
        <f t="array" aca="1" ref="B78" ca="1">INDIRECT("'1"&amp;$A78&amp;"'!"&amp;B$75 )</f>
        <v>0</v>
      </c>
      <c r="C78" s="103" cm="1">
        <f t="array" aca="1" ref="C78" ca="1">INDIRECT("'1"&amp;$A78&amp;"'!"&amp;C$75 )</f>
        <v>95.294433273378161</v>
      </c>
      <c r="D78" s="103" cm="1">
        <f t="array" aca="1" ref="D78" ca="1">INDIRECT("'1"&amp;$A78&amp;"'!"&amp;D$75 )</f>
        <v>2.5650198839392466</v>
      </c>
      <c r="E78" s="103" cm="1">
        <f t="array" aca="1" ref="E78" ca="1">INDIRECT("'1"&amp;$A78&amp;"'!"&amp;E$75 )</f>
        <v>0.53544049907863811</v>
      </c>
      <c r="F78" s="103" cm="1">
        <f t="array" aca="1" ref="F78" ca="1">INDIRECT("'1"&amp;$A78&amp;"'!"&amp;F$75 )</f>
        <v>0</v>
      </c>
      <c r="G78" s="103" cm="1">
        <f t="array" aca="1" ref="G78" ca="1">INDIRECT("'1"&amp;$A78&amp;"'!"&amp;G$75 )</f>
        <v>0.57409469375837907</v>
      </c>
      <c r="H78" s="103" cm="1">
        <f t="array" aca="1" ref="H78" ca="1">INDIRECT("'1"&amp;$A78&amp;"'!"&amp;H$75 )</f>
        <v>1.0310116498455812</v>
      </c>
      <c r="I78" s="103">
        <f ca="1">Table35[[#This Row],[By tax deduction/credit 1 ]]+Table35[[#This Row],[By tax deduction/credit 2 ]]+Table35[[#This Row],[By tax deduction/credit 3]]+Table35[[#This Row],[Columna1]]+Table35[[#This Row],[By other tax deductions/credits]]</f>
        <v>98.968988350154419</v>
      </c>
      <c r="J78" s="89"/>
      <c r="K78" s="111"/>
      <c r="O78" s="88"/>
      <c r="P78" s="94"/>
      <c r="R78" s="94"/>
    </row>
    <row r="79" spans="1:22" s="86" customFormat="1" x14ac:dyDescent="0.3">
      <c r="A79" s="1" t="s">
        <v>254</v>
      </c>
      <c r="B79" s="103" cm="1">
        <f t="array" aca="1" ref="B79" ca="1">INDIRECT("'1"&amp;$A79&amp;"'!"&amp;B$75 )</f>
        <v>0.46611833972468608</v>
      </c>
      <c r="C79" s="103" cm="1">
        <f t="array" aca="1" ref="C79" ca="1">INDIRECT("'1"&amp;$A79&amp;"'!"&amp;C$75 )</f>
        <v>83.819490649804777</v>
      </c>
      <c r="D79" s="103" cm="1">
        <f t="array" aca="1" ref="D79" ca="1">INDIRECT("'1"&amp;$A79&amp;"'!"&amp;D$75 )</f>
        <v>1.4089357043491684</v>
      </c>
      <c r="E79" s="103" cm="1">
        <f t="array" aca="1" ref="E79" ca="1">INDIRECT("'1"&amp;$A79&amp;"'!"&amp;E$75 )</f>
        <v>0</v>
      </c>
      <c r="F79" s="103" cm="1">
        <f t="array" aca="1" ref="F79" ca="1">INDIRECT("'1"&amp;$A79&amp;"'!"&amp;F$75 )</f>
        <v>0</v>
      </c>
      <c r="G79" s="103" cm="1">
        <f t="array" aca="1" ref="G79" ca="1">INDIRECT("'1"&amp;$A79&amp;"'!"&amp;G$75 )</f>
        <v>0</v>
      </c>
      <c r="H79" s="103" cm="1">
        <f t="array" aca="1" ref="H79" ca="1">INDIRECT("'1"&amp;$A79&amp;"'!"&amp;H$75 )</f>
        <v>14.305455306121376</v>
      </c>
      <c r="I79" s="103">
        <f ca="1">Table35[[#This Row],[By tax deduction/credit 1 ]]+Table35[[#This Row],[By tax deduction/credit 2 ]]+Table35[[#This Row],[By tax deduction/credit 3]]+Table35[[#This Row],[Columna1]]+Table35[[#This Row],[By other tax deductions/credits]]</f>
        <v>85.228426354153939</v>
      </c>
      <c r="J79" s="89"/>
      <c r="K79" s="111"/>
      <c r="O79" s="89"/>
      <c r="P79" s="96"/>
      <c r="R79" s="96"/>
      <c r="S79" s="1"/>
    </row>
    <row r="80" spans="1:22" s="1" customFormat="1" x14ac:dyDescent="0.3">
      <c r="A80" s="1" t="s">
        <v>225</v>
      </c>
      <c r="B80" s="103" cm="1">
        <f t="array" aca="1" ref="B80" ca="1">INDIRECT("'1"&amp;$A80&amp;"'!"&amp;B$75 )</f>
        <v>0.90129676942735193</v>
      </c>
      <c r="C80" s="103" cm="1">
        <f t="array" aca="1" ref="C80" ca="1">INDIRECT("'1"&amp;$A80&amp;"'!"&amp;C$75 )</f>
        <v>78.13438950053127</v>
      </c>
      <c r="D80" s="103" cm="1">
        <f t="array" aca="1" ref="D80" ca="1">INDIRECT("'1"&amp;$A80&amp;"'!"&amp;D$75 )</f>
        <v>16.810762210471353</v>
      </c>
      <c r="E80" s="103" cm="1">
        <f t="array" aca="1" ref="E80" ca="1">INDIRECT("'1"&amp;$A80&amp;"'!"&amp;E$75 )</f>
        <v>0</v>
      </c>
      <c r="F80" s="103" cm="1">
        <f t="array" aca="1" ref="F80" ca="1">INDIRECT("'1"&amp;$A80&amp;"'!"&amp;F$75 )</f>
        <v>0</v>
      </c>
      <c r="G80" s="103" cm="1">
        <f t="array" aca="1" ref="G80" ca="1">INDIRECT("'1"&amp;$A80&amp;"'!"&amp;G$75 )</f>
        <v>-0.37753766645825931</v>
      </c>
      <c r="H80" s="103" cm="1">
        <f t="array" aca="1" ref="H80" ca="1">INDIRECT("'1"&amp;$A80&amp;"'!"&amp;H$75 )</f>
        <v>4.531089186028316</v>
      </c>
      <c r="I80" s="103">
        <f ca="1">Table35[[#This Row],[By tax deduction/credit 1 ]]+Table35[[#This Row],[By tax deduction/credit 2 ]]+Table35[[#This Row],[By tax deduction/credit 3]]+Table35[[#This Row],[Columna1]]+Table35[[#This Row],[By other tax deductions/credits]]</f>
        <v>94.567614044544371</v>
      </c>
      <c r="J80" s="89"/>
      <c r="K80" s="111"/>
      <c r="O80" s="88"/>
      <c r="P80" s="94"/>
      <c r="R80" s="94"/>
    </row>
    <row r="81" spans="1:19" s="86" customFormat="1" x14ac:dyDescent="0.3">
      <c r="A81" s="1" t="s">
        <v>242</v>
      </c>
      <c r="B81" s="103" cm="1">
        <f t="array" aca="1" ref="B81" ca="1">INDIRECT("'1"&amp;$A81&amp;"'!"&amp;B$75 )</f>
        <v>11.8498489576028</v>
      </c>
      <c r="C81" s="103" cm="1">
        <f t="array" aca="1" ref="C81" ca="1">INDIRECT("'1"&amp;$A81&amp;"'!"&amp;C$75 )</f>
        <v>68.349299213704612</v>
      </c>
      <c r="D81" s="103" cm="1">
        <f t="array" aca="1" ref="D81" ca="1">INDIRECT("'1"&amp;$A81&amp;"'!"&amp;D$75 )</f>
        <v>18.67327358221516</v>
      </c>
      <c r="E81" s="103" cm="1">
        <f t="array" aca="1" ref="E81" ca="1">INDIRECT("'1"&amp;$A81&amp;"'!"&amp;E$75 )</f>
        <v>0</v>
      </c>
      <c r="F81" s="103" cm="1">
        <f t="array" aca="1" ref="F81" ca="1">INDIRECT("'1"&amp;$A81&amp;"'!"&amp;F$75 )</f>
        <v>0</v>
      </c>
      <c r="G81" s="103" cm="1">
        <f t="array" aca="1" ref="G81" ca="1">INDIRECT("'1"&amp;$A81&amp;"'!"&amp;G$75 )</f>
        <v>0</v>
      </c>
      <c r="H81" s="103" cm="1">
        <f t="array" aca="1" ref="H81" ca="1">INDIRECT("'1"&amp;$A81&amp;"'!"&amp;H$75 )</f>
        <v>1.1275782464774347</v>
      </c>
      <c r="I81" s="103">
        <f ca="1">Table35[[#This Row],[By tax deduction/credit 1 ]]+Table35[[#This Row],[By tax deduction/credit 2 ]]+Table35[[#This Row],[By tax deduction/credit 3]]+Table35[[#This Row],[Columna1]]+Table35[[#This Row],[By other tax deductions/credits]]</f>
        <v>87.022572795919771</v>
      </c>
      <c r="J81" s="89"/>
      <c r="K81" s="111"/>
      <c r="O81" s="89"/>
      <c r="P81" s="96"/>
      <c r="R81" s="96"/>
      <c r="S81" s="1"/>
    </row>
    <row r="82" spans="1:19" s="1" customFormat="1" x14ac:dyDescent="0.3">
      <c r="A82" s="1" t="s">
        <v>217</v>
      </c>
      <c r="B82" s="103" cm="1">
        <f t="array" aca="1" ref="B82" ca="1">INDIRECT("'1"&amp;$A82&amp;"'!"&amp;B$75 )</f>
        <v>19.659717223686457</v>
      </c>
      <c r="C82" s="103" cm="1">
        <f t="array" aca="1" ref="C82" ca="1">INDIRECT("'1"&amp;$A82&amp;"'!"&amp;C$75 )</f>
        <v>80.340282776313543</v>
      </c>
      <c r="D82" s="103" cm="1">
        <f t="array" aca="1" ref="D82" ca="1">INDIRECT("'1"&amp;$A82&amp;"'!"&amp;D$75 )</f>
        <v>0</v>
      </c>
      <c r="E82" s="103" cm="1">
        <f t="array" aca="1" ref="E82" ca="1">INDIRECT("'1"&amp;$A82&amp;"'!"&amp;E$75 )</f>
        <v>0</v>
      </c>
      <c r="F82" s="103" cm="1">
        <f t="array" aca="1" ref="F82" ca="1">INDIRECT("'1"&amp;$A82&amp;"'!"&amp;F$75 )</f>
        <v>0</v>
      </c>
      <c r="G82" s="103" cm="1">
        <f t="array" aca="1" ref="G82" ca="1">INDIRECT("'1"&amp;$A82&amp;"'!"&amp;G$75 )</f>
        <v>0</v>
      </c>
      <c r="H82" s="103" cm="1">
        <f t="array" aca="1" ref="H82" ca="1">INDIRECT("'1"&amp;$A82&amp;"'!"&amp;H$75 )</f>
        <v>0</v>
      </c>
      <c r="I82" s="103">
        <f ca="1">Table35[[#This Row],[By tax deduction/credit 1 ]]+Table35[[#This Row],[By tax deduction/credit 2 ]]+Table35[[#This Row],[By tax deduction/credit 3]]+Table35[[#This Row],[Columna1]]+Table35[[#This Row],[By other tax deductions/credits]]</f>
        <v>80.340282776313543</v>
      </c>
      <c r="J82" s="89"/>
      <c r="K82" s="111"/>
      <c r="O82" s="88"/>
      <c r="P82" s="94"/>
      <c r="R82" s="94"/>
    </row>
    <row r="83" spans="1:19" s="86" customFormat="1" x14ac:dyDescent="0.3">
      <c r="A83" s="1" t="s">
        <v>238</v>
      </c>
      <c r="B83" s="103" cm="1">
        <f t="array" aca="1" ref="B83" ca="1">INDIRECT("'1"&amp;$A83&amp;"'!"&amp;B$75 )</f>
        <v>23.528898807241788</v>
      </c>
      <c r="C83" s="103" cm="1">
        <f t="array" aca="1" ref="C83" ca="1">INDIRECT("'1"&amp;$A83&amp;"'!"&amp;C$75 )</f>
        <v>72.615948570489692</v>
      </c>
      <c r="D83" s="103" cm="1">
        <f t="array" aca="1" ref="D83" ca="1">INDIRECT("'1"&amp;$A83&amp;"'!"&amp;D$75 )</f>
        <v>0</v>
      </c>
      <c r="E83" s="103" cm="1">
        <f t="array" aca="1" ref="E83" ca="1">INDIRECT("'1"&amp;$A83&amp;"'!"&amp;E$75 )</f>
        <v>0</v>
      </c>
      <c r="F83" s="103" cm="1">
        <f t="array" aca="1" ref="F83" ca="1">INDIRECT("'1"&amp;$A83&amp;"'!"&amp;F$75 )</f>
        <v>0</v>
      </c>
      <c r="G83" s="103" cm="1">
        <f t="array" aca="1" ref="G83" ca="1">INDIRECT("'1"&amp;$A83&amp;"'!"&amp;G$75 )</f>
        <v>0</v>
      </c>
      <c r="H83" s="103" cm="1">
        <f t="array" aca="1" ref="H83" ca="1">INDIRECT("'1"&amp;$A83&amp;"'!"&amp;H$75 )</f>
        <v>3.8551526222685233</v>
      </c>
      <c r="I83" s="103">
        <f ca="1">Table35[[#This Row],[By tax deduction/credit 1 ]]+Table35[[#This Row],[By tax deduction/credit 2 ]]+Table35[[#This Row],[By tax deduction/credit 3]]+Table35[[#This Row],[Columna1]]+Table35[[#This Row],[By other tax deductions/credits]]</f>
        <v>72.615948570489692</v>
      </c>
      <c r="J83" s="89"/>
      <c r="K83" s="111"/>
      <c r="O83" s="89"/>
      <c r="P83" s="96"/>
      <c r="R83" s="96"/>
      <c r="S83" s="1"/>
    </row>
    <row r="84" spans="1:19" s="1" customFormat="1" x14ac:dyDescent="0.3">
      <c r="A84" s="1" t="s">
        <v>234</v>
      </c>
      <c r="B84" s="103" cm="1">
        <f t="array" aca="1" ref="B84" ca="1">INDIRECT("'1"&amp;$A84&amp;"'!"&amp;B$75 )</f>
        <v>33.456368538892782</v>
      </c>
      <c r="C84" s="103" cm="1">
        <f t="array" aca="1" ref="C84" ca="1">INDIRECT("'1"&amp;$A84&amp;"'!"&amp;C$75 )</f>
        <v>35.374929883221064</v>
      </c>
      <c r="D84" s="103" cm="1">
        <f t="array" aca="1" ref="D84" ca="1">INDIRECT("'1"&amp;$A84&amp;"'!"&amp;D$75 )</f>
        <v>15.746843397881927</v>
      </c>
      <c r="E84" s="103" cm="1">
        <f t="array" aca="1" ref="E84" ca="1">INDIRECT("'1"&amp;$A84&amp;"'!"&amp;E$75 )</f>
        <v>9.7720755467959055</v>
      </c>
      <c r="F84" s="103" cm="1">
        <f t="array" aca="1" ref="F84" ca="1">INDIRECT("'1"&amp;$A84&amp;"'!"&amp;F$75 )</f>
        <v>0</v>
      </c>
      <c r="G84" s="103" cm="1">
        <f t="array" aca="1" ref="G84" ca="1">INDIRECT("'1"&amp;$A84&amp;"'!"&amp;G$75 )</f>
        <v>0.13027458423668017</v>
      </c>
      <c r="H84" s="103" cm="1">
        <f t="array" aca="1" ref="H84" ca="1">INDIRECT("'1"&amp;$A84&amp;"'!"&amp;H$75 )</f>
        <v>5.519508048971641</v>
      </c>
      <c r="I84" s="103">
        <f ca="1">Table35[[#This Row],[By tax deduction/credit 1 ]]+Table35[[#This Row],[By tax deduction/credit 2 ]]+Table35[[#This Row],[By tax deduction/credit 3]]+Table35[[#This Row],[Columna1]]+Table35[[#This Row],[By other tax deductions/credits]]</f>
        <v>61.024123412135573</v>
      </c>
      <c r="J84" s="89"/>
      <c r="K84" s="111"/>
      <c r="O84" s="88"/>
      <c r="P84" s="94"/>
      <c r="R84" s="94"/>
    </row>
    <row r="85" spans="1:19" s="1" customFormat="1" x14ac:dyDescent="0.3">
      <c r="A85" s="1" t="s">
        <v>218</v>
      </c>
      <c r="B85" s="103" cm="1">
        <f t="array" aca="1" ref="B85" ca="1">INDIRECT("'1"&amp;$A85&amp;"'!"&amp;B$75 )</f>
        <v>35.604839072198388</v>
      </c>
      <c r="C85" s="103" cm="1">
        <f t="array" aca="1" ref="C85" ca="1">INDIRECT("'1"&amp;$A85&amp;"'!"&amp;C$75 )</f>
        <v>27.29465800871035</v>
      </c>
      <c r="D85" s="103" cm="1">
        <f t="array" aca="1" ref="D85" ca="1">INDIRECT("'1"&amp;$A85&amp;"'!"&amp;D$75 )</f>
        <v>26.99955510798555</v>
      </c>
      <c r="E85" s="103" cm="1">
        <f t="array" aca="1" ref="E85" ca="1">INDIRECT("'1"&amp;$A85&amp;"'!"&amp;E$75 )</f>
        <v>0</v>
      </c>
      <c r="F85" s="103" cm="1">
        <f t="array" aca="1" ref="F85" ca="1">INDIRECT("'1"&amp;$A85&amp;"'!"&amp;F$75 )</f>
        <v>0</v>
      </c>
      <c r="G85" s="103" cm="1">
        <f t="array" aca="1" ref="G85" ca="1">INDIRECT("'1"&amp;$A85&amp;"'!"&amp;G$75 )</f>
        <v>4.8080193324061185</v>
      </c>
      <c r="H85" s="103" cm="1">
        <f t="array" aca="1" ref="H85" ca="1">INDIRECT("'1"&amp;$A85&amp;"'!"&amp;H$75 )</f>
        <v>5.2929284786995945</v>
      </c>
      <c r="I85" s="103">
        <f ca="1">Table35[[#This Row],[By tax deduction/credit 1 ]]+Table35[[#This Row],[By tax deduction/credit 2 ]]+Table35[[#This Row],[By tax deduction/credit 3]]+Table35[[#This Row],[Columna1]]+Table35[[#This Row],[By other tax deductions/credits]]</f>
        <v>59.102232449102019</v>
      </c>
      <c r="J85" s="88"/>
      <c r="K85" s="111"/>
      <c r="O85" s="88"/>
      <c r="P85" s="94"/>
      <c r="R85" s="94"/>
    </row>
    <row r="86" spans="1:19" s="1" customFormat="1" x14ac:dyDescent="0.3">
      <c r="A86" s="1" t="s">
        <v>252</v>
      </c>
      <c r="B86" s="103" cm="1">
        <f t="array" aca="1" ref="B86" ca="1">INDIRECT("'1"&amp;$A86&amp;"'!"&amp;B$75 )</f>
        <v>35.867754081323575</v>
      </c>
      <c r="C86" s="103" cm="1">
        <f t="array" aca="1" ref="C86" ca="1">INDIRECT("'1"&amp;$A86&amp;"'!"&amp;C$75 )</f>
        <v>50.69057912783984</v>
      </c>
      <c r="D86" s="103" cm="1">
        <f t="array" aca="1" ref="D86" ca="1">INDIRECT("'1"&amp;$A86&amp;"'!"&amp;D$75 )</f>
        <v>12.587468220290379</v>
      </c>
      <c r="E86" s="103" cm="1">
        <f t="array" aca="1" ref="E86" ca="1">INDIRECT("'1"&amp;$A86&amp;"'!"&amp;E$75 )</f>
        <v>0</v>
      </c>
      <c r="F86" s="103" cm="1">
        <f t="array" aca="1" ref="F86" ca="1">INDIRECT("'1"&amp;$A86&amp;"'!"&amp;F$75 )</f>
        <v>0</v>
      </c>
      <c r="G86" s="103" cm="1">
        <f t="array" aca="1" ref="G86" ca="1">INDIRECT("'1"&amp;$A86&amp;"'!"&amp;G$75 )</f>
        <v>5.8396205597064765E-2</v>
      </c>
      <c r="H86" s="103" cm="1">
        <f t="array" aca="1" ref="H86" ca="1">INDIRECT("'1"&amp;$A86&amp;"'!"&amp;H$75 )</f>
        <v>0.79580236494913636</v>
      </c>
      <c r="I86" s="103">
        <f ca="1">Table35[[#This Row],[By tax deduction/credit 1 ]]+Table35[[#This Row],[By tax deduction/credit 2 ]]+Table35[[#This Row],[By tax deduction/credit 3]]+Table35[[#This Row],[Columna1]]+Table35[[#This Row],[By other tax deductions/credits]]</f>
        <v>63.336443553727278</v>
      </c>
      <c r="J86" s="88"/>
      <c r="K86" s="111"/>
      <c r="O86" s="88"/>
      <c r="P86" s="94"/>
      <c r="R86" s="94"/>
    </row>
    <row r="87" spans="1:19" s="86" customFormat="1" x14ac:dyDescent="0.3">
      <c r="A87" s="1" t="s">
        <v>204</v>
      </c>
      <c r="B87" s="103" cm="1">
        <f t="array" aca="1" ref="B87" ca="1">INDIRECT("'1"&amp;$A87&amp;"'!"&amp;B$75 )</f>
        <v>37.164714670104956</v>
      </c>
      <c r="C87" s="103" cm="1">
        <f t="array" aca="1" ref="C87" ca="1">INDIRECT("'1"&amp;$A87&amp;"'!"&amp;C$75 )</f>
        <v>43.778891745584083</v>
      </c>
      <c r="D87" s="103" cm="1">
        <f t="array" aca="1" ref="D87" ca="1">INDIRECT("'1"&amp;$A87&amp;"'!"&amp;D$75 )</f>
        <v>14.877360835948581</v>
      </c>
      <c r="E87" s="103" cm="1">
        <f t="array" aca="1" ref="E87" ca="1">INDIRECT("'1"&amp;$A87&amp;"'!"&amp;E$75 )</f>
        <v>0</v>
      </c>
      <c r="F87" s="103" cm="1">
        <f t="array" aca="1" ref="F87" ca="1">INDIRECT("'1"&amp;$A87&amp;"'!"&amp;F$75 )</f>
        <v>0</v>
      </c>
      <c r="G87" s="103" cm="1">
        <f t="array" aca="1" ref="G87" ca="1">INDIRECT("'1"&amp;$A87&amp;"'!"&amp;G$75 )</f>
        <v>0.71284874170829426</v>
      </c>
      <c r="H87" s="103" cm="1">
        <f t="array" aca="1" ref="H87" ca="1">INDIRECT("'1"&amp;$A87&amp;"'!"&amp;H$75 )</f>
        <v>3.4661840066540948</v>
      </c>
      <c r="I87" s="103">
        <f ca="1">Table35[[#This Row],[By tax deduction/credit 1 ]]+Table35[[#This Row],[By tax deduction/credit 2 ]]+Table35[[#This Row],[By tax deduction/credit 3]]+Table35[[#This Row],[Columna1]]+Table35[[#This Row],[By other tax deductions/credits]]</f>
        <v>59.369101323240955</v>
      </c>
      <c r="J87" s="88"/>
      <c r="K87" s="111"/>
      <c r="O87" s="89"/>
      <c r="P87" s="96"/>
      <c r="R87" s="96"/>
      <c r="S87" s="1"/>
    </row>
    <row r="88" spans="1:19" s="86" customFormat="1" x14ac:dyDescent="0.3">
      <c r="A88" s="1" t="s">
        <v>249</v>
      </c>
      <c r="B88" s="103" cm="1">
        <f t="array" aca="1" ref="B88" ca="1">INDIRECT("'1"&amp;$A88&amp;"'!"&amp;B$75 )</f>
        <v>43.7791342528824</v>
      </c>
      <c r="C88" s="103" cm="1">
        <f t="array" aca="1" ref="C88" ca="1">INDIRECT("'1"&amp;$A88&amp;"'!"&amp;C$75 )</f>
        <v>29.247626957288336</v>
      </c>
      <c r="D88" s="103" cm="1">
        <f t="array" aca="1" ref="D88" ca="1">INDIRECT("'1"&amp;$A88&amp;"'!"&amp;D$75 )</f>
        <v>7.1429417915442066</v>
      </c>
      <c r="E88" s="103" cm="1">
        <f t="array" aca="1" ref="E88" ca="1">INDIRECT("'1"&amp;$A88&amp;"'!"&amp;E$75 )</f>
        <v>8.6322426074091716</v>
      </c>
      <c r="F88" s="103" cm="1">
        <f t="array" aca="1" ref="F88" ca="1">INDIRECT("'1"&amp;$A88&amp;"'!"&amp;F$75 )</f>
        <v>0</v>
      </c>
      <c r="G88" s="103" cm="1">
        <f t="array" aca="1" ref="G88" ca="1">INDIRECT("'1"&amp;$A88&amp;"'!"&amp;G$75 )</f>
        <v>5.2993001548850822</v>
      </c>
      <c r="H88" s="103" cm="1">
        <f t="array" aca="1" ref="H88" ca="1">INDIRECT("'1"&amp;$A88&amp;"'!"&amp;H$75 )</f>
        <v>5.8987542359908032</v>
      </c>
      <c r="I88" s="103">
        <f ca="1">Table35[[#This Row],[By tax deduction/credit 1 ]]+Table35[[#This Row],[By tax deduction/credit 2 ]]+Table35[[#This Row],[By tax deduction/credit 3]]+Table35[[#This Row],[Columna1]]+Table35[[#This Row],[By other tax deductions/credits]]</f>
        <v>50.322111511126799</v>
      </c>
      <c r="J88" s="88"/>
      <c r="K88" s="111"/>
      <c r="O88" s="89"/>
      <c r="P88" s="96"/>
      <c r="R88" s="96"/>
      <c r="S88" s="1"/>
    </row>
    <row r="89" spans="1:19" s="1" customFormat="1" x14ac:dyDescent="0.3">
      <c r="A89" s="1" t="s">
        <v>222</v>
      </c>
      <c r="B89" s="103" cm="1">
        <f t="array" aca="1" ref="B89" ca="1">INDIRECT("'1"&amp;$A89&amp;"'!"&amp;B$75 )</f>
        <v>47.71173697969347</v>
      </c>
      <c r="C89" s="103" cm="1">
        <f t="array" aca="1" ref="C89" ca="1">INDIRECT("'1"&amp;$A89&amp;"'!"&amp;C$75 )</f>
        <v>15.086056851233973</v>
      </c>
      <c r="D89" s="103" cm="1">
        <f t="array" aca="1" ref="D89" ca="1">INDIRECT("'1"&amp;$A89&amp;"'!"&amp;D$75 )</f>
        <v>15.434382556515169</v>
      </c>
      <c r="E89" s="103" cm="1">
        <f t="array" aca="1" ref="E89" ca="1">INDIRECT("'1"&amp;$A89&amp;"'!"&amp;E$75 )</f>
        <v>18.166632750660671</v>
      </c>
      <c r="F89" s="103" cm="1">
        <f t="array" aca="1" ref="F89" ca="1">INDIRECT("'1"&amp;$A89&amp;"'!"&amp;F$75 )</f>
        <v>0</v>
      </c>
      <c r="G89" s="103" cm="1">
        <f t="array" aca="1" ref="G89" ca="1">INDIRECT("'1"&amp;$A89&amp;"'!"&amp;G$75 )</f>
        <v>3.2934159980958908</v>
      </c>
      <c r="H89" s="103" cm="1">
        <f t="array" aca="1" ref="H89" ca="1">INDIRECT("'1"&amp;$A89&amp;"'!"&amp;H$75 )</f>
        <v>0.30777486380082542</v>
      </c>
      <c r="I89" s="103">
        <f ca="1">Table35[[#This Row],[By tax deduction/credit 1 ]]+Table35[[#This Row],[By tax deduction/credit 2 ]]+Table35[[#This Row],[By tax deduction/credit 3]]+Table35[[#This Row],[Columna1]]+Table35[[#This Row],[By other tax deductions/credits]]</f>
        <v>51.980488156505707</v>
      </c>
      <c r="J89" s="88"/>
      <c r="K89" s="111"/>
      <c r="O89" s="88"/>
      <c r="P89" s="94"/>
      <c r="R89" s="94"/>
    </row>
    <row r="90" spans="1:19" s="1" customFormat="1" x14ac:dyDescent="0.3">
      <c r="A90" s="1" t="s">
        <v>233</v>
      </c>
      <c r="B90" s="103" cm="1">
        <f t="array" aca="1" ref="B90" ca="1">INDIRECT("'1"&amp;$A90&amp;"'!"&amp;B$75 )</f>
        <v>48.144757678355568</v>
      </c>
      <c r="C90" s="103" cm="1">
        <f t="array" aca="1" ref="C90" ca="1">INDIRECT("'1"&amp;$A90&amp;"'!"&amp;C$75 )</f>
        <v>38.406962092154181</v>
      </c>
      <c r="D90" s="103" cm="1">
        <f t="array" aca="1" ref="D90" ca="1">INDIRECT("'1"&amp;$A90&amp;"'!"&amp;D$75 )</f>
        <v>11.478430303697326</v>
      </c>
      <c r="E90" s="103" cm="1">
        <f t="array" aca="1" ref="E90" ca="1">INDIRECT("'1"&amp;$A90&amp;"'!"&amp;E$75 )</f>
        <v>0</v>
      </c>
      <c r="F90" s="103" cm="1">
        <f t="array" aca="1" ref="F90" ca="1">INDIRECT("'1"&amp;$A90&amp;"'!"&amp;F$75 )</f>
        <v>0</v>
      </c>
      <c r="G90" s="103" cm="1">
        <f t="array" aca="1" ref="G90" ca="1">INDIRECT("'1"&amp;$A90&amp;"'!"&amp;G$75 )</f>
        <v>0</v>
      </c>
      <c r="H90" s="103" cm="1">
        <f t="array" aca="1" ref="H90" ca="1">INDIRECT("'1"&amp;$A90&amp;"'!"&amp;H$75 )</f>
        <v>1.9698499257929283</v>
      </c>
      <c r="I90" s="103">
        <f ca="1">Table35[[#This Row],[By tax deduction/credit 1 ]]+Table35[[#This Row],[By tax deduction/credit 2 ]]+Table35[[#This Row],[By tax deduction/credit 3]]+Table35[[#This Row],[Columna1]]+Table35[[#This Row],[By other tax deductions/credits]]</f>
        <v>49.885392395851511</v>
      </c>
      <c r="J90" s="88"/>
      <c r="K90" s="111"/>
      <c r="O90" s="88"/>
      <c r="P90" s="94"/>
      <c r="R90" s="94"/>
    </row>
    <row r="91" spans="1:19" s="1" customFormat="1" x14ac:dyDescent="0.3">
      <c r="A91" s="1" t="s">
        <v>223</v>
      </c>
      <c r="B91" s="103" cm="1">
        <f t="array" aca="1" ref="B91" ca="1">INDIRECT("'1"&amp;$A91&amp;"'!"&amp;B$75 )</f>
        <v>67.74824654894573</v>
      </c>
      <c r="C91" s="103" cm="1">
        <f t="array" aca="1" ref="C91" ca="1">INDIRECT("'1"&amp;$A91&amp;"'!"&amp;C$75 )</f>
        <v>11.624573119048547</v>
      </c>
      <c r="D91" s="103" cm="1">
        <f t="array" aca="1" ref="D91" ca="1">INDIRECT("'1"&amp;$A91&amp;"'!"&amp;D$75 )</f>
        <v>10.21779690724933</v>
      </c>
      <c r="E91" s="103" cm="1">
        <f t="array" aca="1" ref="E91" ca="1">INDIRECT("'1"&amp;$A91&amp;"'!"&amp;E$75 )</f>
        <v>5.4427690176581036</v>
      </c>
      <c r="F91" s="103" cm="1">
        <f t="array" aca="1" ref="F91" ca="1">INDIRECT("'1"&amp;$A91&amp;"'!"&amp;F$75 )</f>
        <v>0</v>
      </c>
      <c r="G91" s="103" cm="1">
        <f t="array" aca="1" ref="G91" ca="1">INDIRECT("'1"&amp;$A91&amp;"'!"&amp;G$75 )</f>
        <v>4.9666144070983034</v>
      </c>
      <c r="H91" s="103" cm="1">
        <f t="array" aca="1" ref="H91" ca="1">INDIRECT("'1"&amp;$A91&amp;"'!"&amp;H$75 )</f>
        <v>0</v>
      </c>
      <c r="I91" s="103">
        <f ca="1">Table35[[#This Row],[By tax deduction/credit 1 ]]+Table35[[#This Row],[By tax deduction/credit 2 ]]+Table35[[#This Row],[By tax deduction/credit 3]]+Table35[[#This Row],[Columna1]]+Table35[[#This Row],[By other tax deductions/credits]]</f>
        <v>32.251753451054284</v>
      </c>
      <c r="J91" s="88"/>
      <c r="K91" s="111"/>
      <c r="O91" s="88"/>
      <c r="P91" s="94"/>
      <c r="R91" s="94"/>
    </row>
    <row r="92" spans="1:19" s="1" customFormat="1" x14ac:dyDescent="0.3">
      <c r="A92" s="1" t="s">
        <v>247</v>
      </c>
      <c r="B92" s="103" cm="1">
        <f t="array" aca="1" ref="B92" ca="1">INDIRECT("'1"&amp;$A92&amp;"'!"&amp;B$75 )</f>
        <v>68.726751695036683</v>
      </c>
      <c r="C92" s="103" cm="1">
        <f t="array" aca="1" ref="C92" ca="1">INDIRECT("'1"&amp;$A92&amp;"'!"&amp;C$75 )</f>
        <v>20.284674971722286</v>
      </c>
      <c r="D92" s="103" cm="1">
        <f t="array" aca="1" ref="D92" ca="1">INDIRECT("'1"&amp;$A92&amp;"'!"&amp;D$75 )</f>
        <v>1.2733492342607731</v>
      </c>
      <c r="E92" s="103" cm="1">
        <f t="array" aca="1" ref="E92" ca="1">INDIRECT("'1"&amp;$A92&amp;"'!"&amp;E$75 )</f>
        <v>0</v>
      </c>
      <c r="F92" s="103" cm="1">
        <f t="array" aca="1" ref="F92" ca="1">INDIRECT("'1"&amp;$A92&amp;"'!"&amp;F$75 )</f>
        <v>0</v>
      </c>
      <c r="G92" s="103" cm="1">
        <f t="array" aca="1" ref="G92" ca="1">INDIRECT("'1"&amp;$A92&amp;"'!"&amp;G$75 )</f>
        <v>0.56991882359697721</v>
      </c>
      <c r="H92" s="103" cm="1">
        <f t="array" aca="1" ref="H92" ca="1">INDIRECT("'1"&amp;$A92&amp;"'!"&amp;H$75 )</f>
        <v>9.1453052753832509</v>
      </c>
      <c r="I92" s="103">
        <f ca="1">Table35[[#This Row],[By tax deduction/credit 1 ]]+Table35[[#This Row],[By tax deduction/credit 2 ]]+Table35[[#This Row],[By tax deduction/credit 3]]+Table35[[#This Row],[Columna1]]+Table35[[#This Row],[By other tax deductions/credits]]</f>
        <v>22.127943029580038</v>
      </c>
      <c r="J92" s="88"/>
      <c r="K92" s="111"/>
      <c r="O92" s="91"/>
      <c r="P92" s="95"/>
      <c r="Q92" s="92"/>
      <c r="R92" s="95"/>
    </row>
    <row r="93" spans="1:19" s="1" customFormat="1" x14ac:dyDescent="0.3">
      <c r="A93" s="1" t="s">
        <v>210</v>
      </c>
      <c r="B93" s="103" cm="1">
        <f t="array" aca="1" ref="B93" ca="1">INDIRECT("'1"&amp;$A93&amp;"'!"&amp;B$75 )</f>
        <v>70.93250534671364</v>
      </c>
      <c r="C93" s="103" cm="1">
        <f t="array" aca="1" ref="C93" ca="1">INDIRECT("'1"&amp;$A93&amp;"'!"&amp;C$75 )</f>
        <v>17.513614435761543</v>
      </c>
      <c r="D93" s="103" cm="1">
        <f t="array" aca="1" ref="D93" ca="1">INDIRECT("'1"&amp;$A93&amp;"'!"&amp;D$75 )</f>
        <v>4.9949611845247901</v>
      </c>
      <c r="E93" s="103" cm="1">
        <f t="array" aca="1" ref="E93" ca="1">INDIRECT("'1"&amp;$A93&amp;"'!"&amp;E$75 )</f>
        <v>4.8313599419020132</v>
      </c>
      <c r="F93" s="103" cm="1">
        <f t="array" aca="1" ref="F93" ca="1">INDIRECT("'1"&amp;$A93&amp;"'!"&amp;F$75 )</f>
        <v>0</v>
      </c>
      <c r="G93" s="103" cm="1">
        <f t="array" aca="1" ref="G93" ca="1">INDIRECT("'1"&amp;$A93&amp;"'!"&amp;G$75 )</f>
        <v>1.7275590910980205</v>
      </c>
      <c r="H93" s="103" cm="1">
        <f t="array" aca="1" ref="H93" ca="1">INDIRECT("'1"&amp;$A93&amp;"'!"&amp;H$75 )</f>
        <v>0</v>
      </c>
      <c r="I93" s="103">
        <f ca="1">Table35[[#This Row],[By tax deduction/credit 1 ]]+Table35[[#This Row],[By tax deduction/credit 2 ]]+Table35[[#This Row],[By tax deduction/credit 3]]+Table35[[#This Row],[Columna1]]+Table35[[#This Row],[By other tax deductions/credits]]</f>
        <v>29.067494653286364</v>
      </c>
      <c r="J93" s="88"/>
      <c r="K93" s="111"/>
      <c r="O93" s="88"/>
      <c r="P93" s="94"/>
      <c r="Q93" s="99"/>
      <c r="R93" s="100"/>
    </row>
    <row r="94" spans="1:19" s="1" customFormat="1" x14ac:dyDescent="0.3">
      <c r="A94" s="1" t="s">
        <v>3</v>
      </c>
      <c r="B94" s="103" cm="1">
        <f t="array" aca="1" ref="B94" ca="1">INDIRECT("'1"&amp;$A94&amp;"'!"&amp;B$75 )</f>
        <v>84.309403720210454</v>
      </c>
      <c r="C94" s="103" cm="1">
        <f t="array" aca="1" ref="C94" ca="1">INDIRECT("'1"&amp;$A94&amp;"'!"&amp;C$75 )</f>
        <v>5.7827261666010061</v>
      </c>
      <c r="D94" s="103" cm="1">
        <f t="array" aca="1" ref="D94" ca="1">INDIRECT("'1"&amp;$A94&amp;"'!"&amp;D$75 )</f>
        <v>4.2534166883004083</v>
      </c>
      <c r="E94" s="103" cm="1">
        <f t="array" aca="1" ref="E94" ca="1">INDIRECT("'1"&amp;$A94&amp;"'!"&amp;E$75 )</f>
        <v>0</v>
      </c>
      <c r="F94" s="103" cm="1">
        <f t="array" aca="1" ref="F94" ca="1">INDIRECT("'1"&amp;$A94&amp;"'!"&amp;F$75 )</f>
        <v>0</v>
      </c>
      <c r="G94" s="103" cm="1">
        <f t="array" aca="1" ref="G94" ca="1">INDIRECT("'1"&amp;$A94&amp;"'!"&amp;G$75 )</f>
        <v>5.654453424888132</v>
      </c>
      <c r="H94" s="103" cm="1">
        <f t="array" aca="1" ref="H94" ca="1">INDIRECT("'1"&amp;$A94&amp;"'!"&amp;H$75 )</f>
        <v>0</v>
      </c>
      <c r="I94" s="103">
        <f ca="1">Table35[[#This Row],[By tax deduction/credit 1 ]]+Table35[[#This Row],[By tax deduction/credit 2 ]]+Table35[[#This Row],[By tax deduction/credit 3]]+Table35[[#This Row],[Columna1]]+Table35[[#This Row],[By other tax deductions/credits]]</f>
        <v>15.690596279789546</v>
      </c>
      <c r="J94" s="88"/>
      <c r="K94" s="111"/>
      <c r="O94" s="88"/>
      <c r="P94" s="94"/>
      <c r="Q94" s="88"/>
      <c r="R94" s="94"/>
    </row>
    <row r="95" spans="1:19" s="1" customFormat="1" x14ac:dyDescent="0.3">
      <c r="A95" s="1" t="s">
        <v>240</v>
      </c>
      <c r="B95" s="103" cm="1">
        <f t="array" aca="1" ref="B95" ca="1">INDIRECT("'1"&amp;$A95&amp;"'!"&amp;B$75 )</f>
        <v>84.920709286519497</v>
      </c>
      <c r="C95" s="103" cm="1">
        <f t="array" aca="1" ref="C95" ca="1">INDIRECT("'1"&amp;$A95&amp;"'!"&amp;C$75 )</f>
        <v>7.1269247421502397</v>
      </c>
      <c r="D95" s="103" cm="1">
        <f t="array" aca="1" ref="D95" ca="1">INDIRECT("'1"&amp;$A95&amp;"'!"&amp;D$75 )</f>
        <v>2.466806772386275</v>
      </c>
      <c r="E95" s="103" cm="1">
        <f t="array" aca="1" ref="E95" ca="1">INDIRECT("'1"&amp;$A95&amp;"'!"&amp;E$75 )</f>
        <v>2.8194966494874039</v>
      </c>
      <c r="F95" s="103" cm="1">
        <f t="array" aca="1" ref="F95" ca="1">INDIRECT("'1"&amp;$A95&amp;"'!"&amp;F$75 )</f>
        <v>0</v>
      </c>
      <c r="G95" s="103" cm="1">
        <f t="array" aca="1" ref="G95" ca="1">INDIRECT("'1"&amp;$A95&amp;"'!"&amp;G$75 )</f>
        <v>1.4912974313977094</v>
      </c>
      <c r="H95" s="103" cm="1">
        <f t="array" aca="1" ref="H95" ca="1">INDIRECT("'1"&amp;$A95&amp;"'!"&amp;H$75 )</f>
        <v>1.174765118058871</v>
      </c>
      <c r="I95" s="103">
        <f ca="1">Table35[[#This Row],[By tax deduction/credit 1 ]]+Table35[[#This Row],[By tax deduction/credit 2 ]]+Table35[[#This Row],[By tax deduction/credit 3]]+Table35[[#This Row],[Columna1]]+Table35[[#This Row],[By other tax deductions/credits]]</f>
        <v>13.904525595421628</v>
      </c>
      <c r="J95" s="88"/>
      <c r="K95" s="111"/>
      <c r="O95" s="89"/>
      <c r="P95" s="96"/>
      <c r="Q95" s="88"/>
      <c r="R95" s="96"/>
    </row>
    <row r="96" spans="1:19" s="1" customFormat="1" x14ac:dyDescent="0.3">
      <c r="A96" s="1" t="s">
        <v>245</v>
      </c>
      <c r="B96" s="103" cm="1">
        <f t="array" aca="1" ref="B96" ca="1">INDIRECT("'1"&amp;$A96&amp;"'!"&amp;B$75 )</f>
        <v>93.934499519945163</v>
      </c>
      <c r="C96" s="103" cm="1">
        <f t="array" aca="1" ref="C96" ca="1">INDIRECT("'1"&amp;$A96&amp;"'!"&amp;C$75 )</f>
        <v>1.4935858415459704</v>
      </c>
      <c r="D96" s="103" cm="1">
        <f t="array" aca="1" ref="D96" ca="1">INDIRECT("'1"&amp;$A96&amp;"'!"&amp;D$75 )</f>
        <v>0.3535291062089454</v>
      </c>
      <c r="E96" s="103" cm="1">
        <f t="array" aca="1" ref="E96" ca="1">INDIRECT("'1"&amp;$A96&amp;"'!"&amp;E$75 )</f>
        <v>3.8114339569495496E-2</v>
      </c>
      <c r="F96" s="103" cm="1">
        <f t="array" aca="1" ref="F96" ca="1">INDIRECT("'1"&amp;$A96&amp;"'!"&amp;F$75 )</f>
        <v>0</v>
      </c>
      <c r="G96" s="103" cm="1">
        <f t="array" aca="1" ref="G96" ca="1">INDIRECT("'1"&amp;$A96&amp;"'!"&amp;G$75 )</f>
        <v>0.91349890320356653</v>
      </c>
      <c r="H96" s="103" cm="1">
        <f t="array" aca="1" ref="H96" ca="1">INDIRECT("'1"&amp;$A96&amp;"'!"&amp;H$75 )</f>
        <v>3.2667722895268487</v>
      </c>
      <c r="I96" s="103">
        <f ca="1">Table35[[#This Row],[By tax deduction/credit 1 ]]+Table35[[#This Row],[By tax deduction/credit 2 ]]+Table35[[#This Row],[By tax deduction/credit 3]]+Table35[[#This Row],[Columna1]]+Table35[[#This Row],[By other tax deductions/credits]]</f>
        <v>2.7987281905279779</v>
      </c>
      <c r="J96" s="88"/>
      <c r="K96" s="111"/>
      <c r="O96" s="88"/>
      <c r="P96" s="94"/>
      <c r="Q96" s="88"/>
      <c r="R96" s="94"/>
    </row>
    <row r="97" spans="1:19" s="1" customFormat="1" x14ac:dyDescent="0.3">
      <c r="A97" s="1" t="s">
        <v>208</v>
      </c>
      <c r="B97" s="103" cm="1">
        <f t="array" aca="1" ref="B97" ca="1">INDIRECT("'1"&amp;$A97&amp;"'!"&amp;B$75 )</f>
        <v>99.644702856056412</v>
      </c>
      <c r="C97" s="103" cm="1">
        <f t="array" aca="1" ref="C97" ca="1">INDIRECT("'1"&amp;$A97&amp;"'!"&amp;C$75 )</f>
        <v>0.20307750656318518</v>
      </c>
      <c r="D97" s="103" cm="1">
        <f t="array" aca="1" ref="D97" ca="1">INDIRECT("'1"&amp;$A97&amp;"'!"&amp;D$75 )</f>
        <v>0</v>
      </c>
      <c r="E97" s="103" cm="1">
        <f t="array" aca="1" ref="E97" ca="1">INDIRECT("'1"&amp;$A97&amp;"'!"&amp;E$75 )</f>
        <v>0</v>
      </c>
      <c r="F97" s="103" cm="1">
        <f t="array" aca="1" ref="F97" ca="1">INDIRECT("'1"&amp;$A97&amp;"'!"&amp;F$75 )</f>
        <v>0</v>
      </c>
      <c r="G97" s="103" cm="1">
        <f t="array" aca="1" ref="G97" ca="1">INDIRECT("'1"&amp;$A97&amp;"'!"&amp;G$75 )</f>
        <v>0</v>
      </c>
      <c r="H97" s="103" cm="1">
        <f t="array" aca="1" ref="H97" ca="1">INDIRECT("'1"&amp;$A97&amp;"'!"&amp;H$75 )</f>
        <v>0.15221963738038377</v>
      </c>
      <c r="I97" s="103">
        <f ca="1">Table35[[#This Row],[By tax deduction/credit 1 ]]+Table35[[#This Row],[By tax deduction/credit 2 ]]+Table35[[#This Row],[By tax deduction/credit 3]]+Table35[[#This Row],[Columna1]]+Table35[[#This Row],[By other tax deductions/credits]]</f>
        <v>0.20307750656318518</v>
      </c>
      <c r="J97" s="88"/>
      <c r="K97" s="111"/>
      <c r="O97" s="89"/>
      <c r="P97" s="96"/>
      <c r="Q97" s="88"/>
      <c r="R97" s="96"/>
    </row>
    <row r="98" spans="1:19" s="1" customFormat="1" x14ac:dyDescent="0.3">
      <c r="A98" s="115" t="s">
        <v>304</v>
      </c>
      <c r="B98" s="114" t="e" cm="1">
        <f t="array" aca="1" ref="B98" ca="1">INDIRECT("'1"&amp;$A98&amp;"'!"&amp;B$75 )</f>
        <v>#REF!</v>
      </c>
      <c r="C98" s="114" t="e" cm="1">
        <f t="array" aca="1" ref="C98" ca="1">INDIRECT("'1"&amp;$A98&amp;"'!"&amp;C$75 )</f>
        <v>#REF!</v>
      </c>
      <c r="D98" s="114" t="e" cm="1">
        <f t="array" aca="1" ref="D98" ca="1">INDIRECT("'1"&amp;$A98&amp;"'!"&amp;D$75 )</f>
        <v>#REF!</v>
      </c>
      <c r="E98" s="114" t="e" cm="1">
        <f t="array" aca="1" ref="E98" ca="1">INDIRECT("'1"&amp;$A98&amp;"'!"&amp;E$75 )</f>
        <v>#REF!</v>
      </c>
      <c r="F98" s="114" t="e" cm="1">
        <f t="array" aca="1" ref="F98" ca="1">INDIRECT("'1"&amp;$A98&amp;"'!"&amp;F$75 )</f>
        <v>#REF!</v>
      </c>
      <c r="G98" s="114" t="e" cm="1">
        <f t="array" aca="1" ref="G98" ca="1">INDIRECT("'1"&amp;$A98&amp;"'!"&amp;G$75 )</f>
        <v>#REF!</v>
      </c>
      <c r="H98" s="114" t="e" cm="1">
        <f t="array" aca="1" ref="H98" ca="1">INDIRECT("'1"&amp;$A98&amp;"'!"&amp;H$75 )</f>
        <v>#REF!</v>
      </c>
      <c r="I98" s="101" t="e">
        <f ca="1">Table35[[#This Row],[By tax deduction/credit 1 ]]+Table35[[#This Row],[By tax deduction/credit 2 ]]+Table35[[#This Row],[By tax deduction/credit 3]]+Table35[[#This Row],[Columna1]]+Table35[[#This Row],[By other tax deductions/credits]]</f>
        <v>#REF!</v>
      </c>
      <c r="J98" s="88"/>
      <c r="K98" s="111"/>
      <c r="O98" s="88"/>
      <c r="P98" s="94"/>
      <c r="Q98" s="88"/>
      <c r="R98" s="94"/>
    </row>
    <row r="99" spans="1:19" s="1" customFormat="1" x14ac:dyDescent="0.3">
      <c r="A99" s="115" t="s">
        <v>305</v>
      </c>
      <c r="B99" s="114" t="e" cm="1">
        <f t="array" aca="1" ref="B99" ca="1">INDIRECT("'1"&amp;$A99&amp;"'!"&amp;B$75 )</f>
        <v>#REF!</v>
      </c>
      <c r="C99" s="114" t="e" cm="1">
        <f t="array" aca="1" ref="C99" ca="1">INDIRECT("'1"&amp;$A99&amp;"'!"&amp;C$75 )</f>
        <v>#REF!</v>
      </c>
      <c r="D99" s="114" t="e" cm="1">
        <f t="array" aca="1" ref="D99" ca="1">INDIRECT("'1"&amp;$A99&amp;"'!"&amp;D$75 )</f>
        <v>#REF!</v>
      </c>
      <c r="E99" s="114" t="e" cm="1">
        <f t="array" aca="1" ref="E99" ca="1">INDIRECT("'1"&amp;$A99&amp;"'!"&amp;E$75 )</f>
        <v>#REF!</v>
      </c>
      <c r="F99" s="114" t="e" cm="1">
        <f t="array" aca="1" ref="F99" ca="1">INDIRECT("'1"&amp;$A99&amp;"'!"&amp;F$75 )</f>
        <v>#REF!</v>
      </c>
      <c r="G99" s="114" t="e" cm="1">
        <f t="array" aca="1" ref="G99" ca="1">INDIRECT("'1"&amp;$A99&amp;"'!"&amp;G$75 )</f>
        <v>#REF!</v>
      </c>
      <c r="H99" s="114" t="e" cm="1">
        <f t="array" aca="1" ref="H99" ca="1">INDIRECT("'1"&amp;$A99&amp;"'!"&amp;H$75 )</f>
        <v>#REF!</v>
      </c>
      <c r="I99" s="101" t="e">
        <f ca="1">Table35[[#This Row],[By tax deduction/credit 1 ]]+Table35[[#This Row],[By tax deduction/credit 2 ]]+Table35[[#This Row],[By tax deduction/credit 3]]+Table35[[#This Row],[Columna1]]+Table35[[#This Row],[By other tax deductions/credits]]</f>
        <v>#REF!</v>
      </c>
      <c r="J99" s="88"/>
      <c r="K99" s="111"/>
      <c r="O99" s="89"/>
      <c r="P99" s="96"/>
      <c r="Q99" s="88"/>
      <c r="R99" s="96"/>
    </row>
    <row r="100" spans="1:19" s="86" customFormat="1" x14ac:dyDescent="0.3">
      <c r="A100" s="115" t="s">
        <v>306</v>
      </c>
      <c r="B100" s="114" t="e" cm="1">
        <f t="array" aca="1" ref="B100" ca="1">INDIRECT("'1"&amp;$A100&amp;"'!"&amp;B$75 )</f>
        <v>#REF!</v>
      </c>
      <c r="C100" s="114" t="e" cm="1">
        <f t="array" aca="1" ref="C100" ca="1">INDIRECT("'1"&amp;$A100&amp;"'!"&amp;C$75 )</f>
        <v>#REF!</v>
      </c>
      <c r="D100" s="114" t="e" cm="1">
        <f t="array" aca="1" ref="D100" ca="1">INDIRECT("'1"&amp;$A100&amp;"'!"&amp;D$75 )</f>
        <v>#REF!</v>
      </c>
      <c r="E100" s="114" t="e" cm="1">
        <f t="array" aca="1" ref="E100" ca="1">INDIRECT("'1"&amp;$A100&amp;"'!"&amp;E$75 )</f>
        <v>#REF!</v>
      </c>
      <c r="F100" s="114" t="e" cm="1">
        <f t="array" aca="1" ref="F100" ca="1">INDIRECT("'1"&amp;$A100&amp;"'!"&amp;F$75 )</f>
        <v>#REF!</v>
      </c>
      <c r="G100" s="114" t="e" cm="1">
        <f t="array" aca="1" ref="G100" ca="1">INDIRECT("'1"&amp;$A100&amp;"'!"&amp;G$75 )</f>
        <v>#REF!</v>
      </c>
      <c r="H100" s="114" t="e" cm="1">
        <f t="array" aca="1" ref="H100" ca="1">INDIRECT("'1"&amp;$A100&amp;"'!"&amp;H$75 )</f>
        <v>#REF!</v>
      </c>
      <c r="I100" s="101" t="e">
        <f ca="1">Table35[[#This Row],[By tax deduction/credit 1 ]]+Table35[[#This Row],[By tax deduction/credit 2 ]]+Table35[[#This Row],[By tax deduction/credit 3]]+Table35[[#This Row],[Columna1]]+Table35[[#This Row],[By other tax deductions/credits]]</f>
        <v>#REF!</v>
      </c>
      <c r="J100" s="88"/>
      <c r="K100" s="111"/>
      <c r="O100" s="88"/>
      <c r="P100" s="94"/>
      <c r="Q100" s="88"/>
      <c r="R100" s="94"/>
      <c r="S100" s="1"/>
    </row>
    <row r="101" spans="1:19" s="1" customFormat="1" x14ac:dyDescent="0.3">
      <c r="A101" s="115" t="s">
        <v>307</v>
      </c>
      <c r="B101" s="114" t="e" cm="1">
        <f t="array" aca="1" ref="B101" ca="1">INDIRECT("'1"&amp;$A101&amp;"'!"&amp;B$75 )</f>
        <v>#REF!</v>
      </c>
      <c r="C101" s="114" t="e" cm="1">
        <f t="array" aca="1" ref="C101" ca="1">INDIRECT("'1"&amp;$A101&amp;"'!"&amp;C$75 )</f>
        <v>#REF!</v>
      </c>
      <c r="D101" s="114" t="e" cm="1">
        <f t="array" aca="1" ref="D101" ca="1">INDIRECT("'1"&amp;$A101&amp;"'!"&amp;D$75 )</f>
        <v>#REF!</v>
      </c>
      <c r="E101" s="114" t="e" cm="1">
        <f t="array" aca="1" ref="E101" ca="1">INDIRECT("'1"&amp;$A101&amp;"'!"&amp;E$75 )</f>
        <v>#REF!</v>
      </c>
      <c r="F101" s="114" t="e" cm="1">
        <f t="array" aca="1" ref="F101" ca="1">INDIRECT("'1"&amp;$A101&amp;"'!"&amp;F$75 )</f>
        <v>#REF!</v>
      </c>
      <c r="G101" s="114" t="e" cm="1">
        <f t="array" aca="1" ref="G101" ca="1">INDIRECT("'1"&amp;$A101&amp;"'!"&amp;G$75 )</f>
        <v>#REF!</v>
      </c>
      <c r="H101" s="114" t="e" cm="1">
        <f t="array" aca="1" ref="H101" ca="1">INDIRECT("'1"&amp;$A101&amp;"'!"&amp;H$75 )</f>
        <v>#REF!</v>
      </c>
      <c r="I101" s="101" t="e">
        <f ca="1">Table35[[#This Row],[By tax deduction/credit 1 ]]+Table35[[#This Row],[By tax deduction/credit 2 ]]+Table35[[#This Row],[By tax deduction/credit 3]]+Table35[[#This Row],[Columna1]]+Table35[[#This Row],[By other tax deductions/credits]]</f>
        <v>#REF!</v>
      </c>
      <c r="J101" s="88"/>
      <c r="K101" s="111"/>
      <c r="O101" s="88"/>
      <c r="P101" s="94"/>
      <c r="Q101" s="88"/>
      <c r="R101" s="94"/>
    </row>
    <row r="102" spans="1:19" s="86" customFormat="1" x14ac:dyDescent="0.3">
      <c r="A102" s="115" t="s">
        <v>308</v>
      </c>
      <c r="B102" s="114" t="e" cm="1">
        <f t="array" aca="1" ref="B102" ca="1">INDIRECT("'1"&amp;$A102&amp;"'!"&amp;B$75 )</f>
        <v>#REF!</v>
      </c>
      <c r="C102" s="114" t="e" cm="1">
        <f t="array" aca="1" ref="C102" ca="1">INDIRECT("'1"&amp;$A102&amp;"'!"&amp;C$75 )</f>
        <v>#REF!</v>
      </c>
      <c r="D102" s="114" t="e" cm="1">
        <f t="array" aca="1" ref="D102" ca="1">INDIRECT("'1"&amp;$A102&amp;"'!"&amp;D$75 )</f>
        <v>#REF!</v>
      </c>
      <c r="E102" s="114" t="e" cm="1">
        <f t="array" aca="1" ref="E102" ca="1">INDIRECT("'1"&amp;$A102&amp;"'!"&amp;E$75 )</f>
        <v>#REF!</v>
      </c>
      <c r="F102" s="114" t="e" cm="1">
        <f t="array" aca="1" ref="F102" ca="1">INDIRECT("'1"&amp;$A102&amp;"'!"&amp;F$75 )</f>
        <v>#REF!</v>
      </c>
      <c r="G102" s="114" t="e" cm="1">
        <f t="array" aca="1" ref="G102" ca="1">INDIRECT("'1"&amp;$A102&amp;"'!"&amp;G$75 )</f>
        <v>#REF!</v>
      </c>
      <c r="H102" s="114" t="e" cm="1">
        <f t="array" aca="1" ref="H102" ca="1">INDIRECT("'1"&amp;$A102&amp;"'!"&amp;H$75 )</f>
        <v>#REF!</v>
      </c>
      <c r="I102" s="101" t="e">
        <f ca="1">Table35[[#This Row],[By tax deduction/credit 1 ]]+Table35[[#This Row],[By tax deduction/credit 2 ]]+Table35[[#This Row],[By tax deduction/credit 3]]+Table35[[#This Row],[Columna1]]+Table35[[#This Row],[By other tax deductions/credits]]</f>
        <v>#REF!</v>
      </c>
      <c r="J102" s="88"/>
      <c r="K102" s="111"/>
      <c r="O102" s="88"/>
      <c r="P102" s="94"/>
      <c r="Q102" s="88"/>
      <c r="R102" s="94"/>
      <c r="S102" s="1"/>
    </row>
    <row r="103" spans="1:19" s="86" customFormat="1" x14ac:dyDescent="0.3">
      <c r="A103" s="115" t="s">
        <v>309</v>
      </c>
      <c r="B103" s="114" t="e" cm="1">
        <f t="array" aca="1" ref="B103" ca="1">INDIRECT("'1"&amp;$A103&amp;"'!"&amp;B$75 )</f>
        <v>#REF!</v>
      </c>
      <c r="C103" s="114" t="e" cm="1">
        <f t="array" aca="1" ref="C103" ca="1">INDIRECT("'1"&amp;$A103&amp;"'!"&amp;C$75 )</f>
        <v>#REF!</v>
      </c>
      <c r="D103" s="114" t="e" cm="1">
        <f t="array" aca="1" ref="D103" ca="1">INDIRECT("'1"&amp;$A103&amp;"'!"&amp;D$75 )</f>
        <v>#REF!</v>
      </c>
      <c r="E103" s="114" t="e" cm="1">
        <f t="array" aca="1" ref="E103" ca="1">INDIRECT("'1"&amp;$A103&amp;"'!"&amp;E$75 )</f>
        <v>#REF!</v>
      </c>
      <c r="F103" s="114" t="e" cm="1">
        <f t="array" aca="1" ref="F103" ca="1">INDIRECT("'1"&amp;$A103&amp;"'!"&amp;F$75 )</f>
        <v>#REF!</v>
      </c>
      <c r="G103" s="114" t="e" cm="1">
        <f t="array" aca="1" ref="G103" ca="1">INDIRECT("'1"&amp;$A103&amp;"'!"&amp;G$75 )</f>
        <v>#REF!</v>
      </c>
      <c r="H103" s="114" t="e" cm="1">
        <f t="array" aca="1" ref="H103" ca="1">INDIRECT("'1"&amp;$A103&amp;"'!"&amp;H$75 )</f>
        <v>#REF!</v>
      </c>
      <c r="I103" s="101" t="e">
        <f ca="1">Table35[[#This Row],[By tax deduction/credit 1 ]]+Table35[[#This Row],[By tax deduction/credit 2 ]]+Table35[[#This Row],[By tax deduction/credit 3]]+Table35[[#This Row],[Columna1]]+Table35[[#This Row],[By other tax deductions/credits]]</f>
        <v>#REF!</v>
      </c>
      <c r="J103" s="88"/>
      <c r="K103" s="111"/>
      <c r="O103" s="89"/>
      <c r="P103" s="96"/>
      <c r="Q103" s="88"/>
      <c r="R103" s="96"/>
      <c r="S103" s="1"/>
    </row>
    <row r="104" spans="1:19" s="1" customFormat="1" x14ac:dyDescent="0.3">
      <c r="A104" s="115" t="s">
        <v>310</v>
      </c>
      <c r="B104" s="114" t="e" cm="1">
        <f t="array" aca="1" ref="B104" ca="1">INDIRECT("'1"&amp;$A104&amp;"'!"&amp;B$75 )</f>
        <v>#REF!</v>
      </c>
      <c r="C104" s="114" t="e" cm="1">
        <f t="array" aca="1" ref="C104" ca="1">INDIRECT("'1"&amp;$A104&amp;"'!"&amp;C$75 )</f>
        <v>#REF!</v>
      </c>
      <c r="D104" s="114" t="e" cm="1">
        <f t="array" aca="1" ref="D104" ca="1">INDIRECT("'1"&amp;$A104&amp;"'!"&amp;D$75 )</f>
        <v>#REF!</v>
      </c>
      <c r="E104" s="114" t="e" cm="1">
        <f t="array" aca="1" ref="E104" ca="1">INDIRECT("'1"&amp;$A104&amp;"'!"&amp;E$75 )</f>
        <v>#REF!</v>
      </c>
      <c r="F104" s="114" t="e" cm="1">
        <f t="array" aca="1" ref="F104" ca="1">INDIRECT("'1"&amp;$A104&amp;"'!"&amp;F$75 )</f>
        <v>#REF!</v>
      </c>
      <c r="G104" s="114" t="e" cm="1">
        <f t="array" aca="1" ref="G104" ca="1">INDIRECT("'1"&amp;$A104&amp;"'!"&amp;G$75 )</f>
        <v>#REF!</v>
      </c>
      <c r="H104" s="114" t="e" cm="1">
        <f t="array" aca="1" ref="H104" ca="1">INDIRECT("'1"&amp;$A104&amp;"'!"&amp;H$75 )</f>
        <v>#REF!</v>
      </c>
      <c r="I104" s="101" t="e">
        <f ca="1">Table35[[#This Row],[By tax deduction/credit 1 ]]+Table35[[#This Row],[By tax deduction/credit 2 ]]+Table35[[#This Row],[By tax deduction/credit 3]]+Table35[[#This Row],[Columna1]]+Table35[[#This Row],[By other tax deductions/credits]]</f>
        <v>#REF!</v>
      </c>
      <c r="J104" s="88"/>
      <c r="K104" s="111"/>
      <c r="O104" s="89"/>
      <c r="P104" s="96"/>
      <c r="Q104" s="88"/>
      <c r="R104" s="96"/>
    </row>
    <row r="105" spans="1:19" s="1" customFormat="1" x14ac:dyDescent="0.3">
      <c r="A105" s="115" t="s">
        <v>311</v>
      </c>
      <c r="B105" s="114" t="e" cm="1">
        <f t="array" aca="1" ref="B105" ca="1">INDIRECT("'1"&amp;$A105&amp;"'!"&amp;B$75 )</f>
        <v>#REF!</v>
      </c>
      <c r="C105" s="114" t="e" cm="1">
        <f t="array" aca="1" ref="C105" ca="1">INDIRECT("'1"&amp;$A105&amp;"'!"&amp;C$75 )</f>
        <v>#REF!</v>
      </c>
      <c r="D105" s="114" t="e" cm="1">
        <f t="array" aca="1" ref="D105" ca="1">INDIRECT("'1"&amp;$A105&amp;"'!"&amp;D$75 )</f>
        <v>#REF!</v>
      </c>
      <c r="E105" s="114" t="e" cm="1">
        <f t="array" aca="1" ref="E105" ca="1">INDIRECT("'1"&amp;$A105&amp;"'!"&amp;E$75 )</f>
        <v>#REF!</v>
      </c>
      <c r="F105" s="114" t="e" cm="1">
        <f t="array" aca="1" ref="F105" ca="1">INDIRECT("'1"&amp;$A105&amp;"'!"&amp;F$75 )</f>
        <v>#REF!</v>
      </c>
      <c r="G105" s="114" t="e" cm="1">
        <f t="array" aca="1" ref="G105" ca="1">INDIRECT("'1"&amp;$A105&amp;"'!"&amp;G$75 )</f>
        <v>#REF!</v>
      </c>
      <c r="H105" s="114" t="e" cm="1">
        <f t="array" aca="1" ref="H105" ca="1">INDIRECT("'1"&amp;$A105&amp;"'!"&amp;H$75 )</f>
        <v>#REF!</v>
      </c>
      <c r="I105" s="101" t="e">
        <f ca="1">Table35[[#This Row],[By tax deduction/credit 1 ]]+Table35[[#This Row],[By tax deduction/credit 2 ]]+Table35[[#This Row],[By tax deduction/credit 3]]+Table35[[#This Row],[Columna1]]+Table35[[#This Row],[By other tax deductions/credits]]</f>
        <v>#REF!</v>
      </c>
      <c r="J105" s="91"/>
      <c r="K105" s="112"/>
      <c r="O105" s="88"/>
      <c r="P105" s="94"/>
      <c r="Q105" s="88"/>
      <c r="R105" s="94"/>
    </row>
    <row r="106" spans="1:19" s="1" customFormat="1" x14ac:dyDescent="0.3">
      <c r="O106" s="88"/>
      <c r="P106" s="94"/>
      <c r="Q106" s="88"/>
      <c r="R106" s="94"/>
    </row>
    <row r="107" spans="1:19" s="1" customFormat="1" x14ac:dyDescent="0.3">
      <c r="O107" s="88"/>
      <c r="P107" s="94"/>
      <c r="Q107" s="88"/>
      <c r="R107" s="94"/>
    </row>
    <row r="108" spans="1:19" s="1" customFormat="1" x14ac:dyDescent="0.3">
      <c r="O108" s="91"/>
      <c r="P108" s="95"/>
      <c r="Q108" s="91"/>
      <c r="R108" s="95"/>
    </row>
    <row r="109" spans="1:19" s="85" customFormat="1" ht="36.6" customHeight="1" x14ac:dyDescent="0.3">
      <c r="A109" s="181" t="s">
        <v>609</v>
      </c>
      <c r="O109" s="87"/>
      <c r="P109" s="93"/>
      <c r="R109" s="93"/>
    </row>
    <row r="110" spans="1:19" s="1" customFormat="1" x14ac:dyDescent="0.3">
      <c r="O110" s="88"/>
      <c r="P110" s="94"/>
      <c r="R110" s="94"/>
    </row>
    <row r="111" spans="1:19" s="1" customFormat="1" x14ac:dyDescent="0.3">
      <c r="A111" s="1" t="s">
        <v>289</v>
      </c>
      <c r="B111" s="1" t="s">
        <v>328</v>
      </c>
      <c r="C111" s="1" t="s">
        <v>290</v>
      </c>
      <c r="D111" s="1" t="s">
        <v>329</v>
      </c>
      <c r="O111" s="88"/>
      <c r="P111" s="94"/>
      <c r="R111" s="94"/>
    </row>
    <row r="112" spans="1:19" s="1" customFormat="1" ht="28.8" x14ac:dyDescent="0.3">
      <c r="A112" s="109" t="s">
        <v>316</v>
      </c>
      <c r="B112" s="107" t="s">
        <v>330</v>
      </c>
      <c r="C112" s="107" t="s">
        <v>331</v>
      </c>
      <c r="D112" s="107" t="s">
        <v>332</v>
      </c>
      <c r="E112" s="119" t="s">
        <v>333</v>
      </c>
      <c r="O112" s="91"/>
      <c r="P112" s="95"/>
      <c r="Q112" s="92"/>
      <c r="R112" s="95"/>
    </row>
    <row r="113" spans="1:18" s="1" customFormat="1" x14ac:dyDescent="0.3">
      <c r="A113" s="1" t="s">
        <v>3</v>
      </c>
      <c r="B113" s="118" cm="1">
        <f t="array" aca="1" ref="B113" ca="1">INDIRECT("'1"&amp;$A113&amp;"'!"&amp;B$111)</f>
        <v>1.97</v>
      </c>
      <c r="C113" s="118" cm="1">
        <f t="array" aca="1" ref="C113" ca="1">INDIRECT("'1"&amp;$A113&amp;"'!"&amp;C$111)</f>
        <v>1.8866256424887944</v>
      </c>
      <c r="D113" s="118" cm="1">
        <f t="array" aca="1" ref="D113" ca="1">INDIRECT("'1"&amp;$A113&amp;"'!"&amp;D$111)</f>
        <v>1.8933826254078019</v>
      </c>
      <c r="E113" s="118">
        <f ca="1">Table271832[[#This Row],[OECD ERTI
.]]</f>
        <v>1.97</v>
      </c>
      <c r="O113" s="88"/>
      <c r="P113" s="94"/>
      <c r="R113" s="94"/>
    </row>
    <row r="114" spans="1:18" s="1" customFormat="1" x14ac:dyDescent="0.3">
      <c r="A114" s="1" t="s">
        <v>204</v>
      </c>
      <c r="B114" s="118" cm="1">
        <f t="array" aca="1" ref="B114" ca="1">INDIRECT("'1"&amp;$A114&amp;"'!"&amp;B$111)</f>
        <v>1.62</v>
      </c>
      <c r="C114" s="118" cm="1">
        <f t="array" aca="1" ref="C114" ca="1">INDIRECT("'1"&amp;$A114&amp;"'!"&amp;C$111)</f>
        <v>1.966454320802733</v>
      </c>
      <c r="D114" s="118" cm="1">
        <f t="array" aca="1" ref="D114" ca="1">INDIRECT("'1"&amp;$A114&amp;"'!"&amp;D$111)</f>
        <v>2.0517922219005911</v>
      </c>
      <c r="E114" s="118">
        <f ca="1">Table271832[[#This Row],[OECD ERTI
.]]</f>
        <v>1.62</v>
      </c>
      <c r="O114" s="88"/>
      <c r="P114" s="94"/>
      <c r="R114" s="94"/>
    </row>
    <row r="115" spans="1:18" s="1" customFormat="1" x14ac:dyDescent="0.3">
      <c r="A115" s="1" t="s">
        <v>208</v>
      </c>
      <c r="B115" s="376">
        <f ca="1">Table271832[[#This Row],[Own ERTI (w/o pens. &amp; benef.)]]</f>
        <v>2.2435648143034013</v>
      </c>
      <c r="C115" s="118" cm="1">
        <f t="array" aca="1" ref="C115" ca="1">INDIRECT("'1"&amp;$A115&amp;"'!"&amp;C$111)</f>
        <v>2.2980633345266068</v>
      </c>
      <c r="D115" s="118" cm="1">
        <f t="array" aca="1" ref="D115" ca="1">INDIRECT("'1"&amp;$A115&amp;"'!"&amp;D$111)</f>
        <v>2.2435648143034013</v>
      </c>
      <c r="E115" s="118">
        <f ca="1">Table271832[[#This Row],[OECD ERTI
.]]</f>
        <v>2.2435648143034013</v>
      </c>
      <c r="O115" s="89"/>
      <c r="P115" s="96"/>
      <c r="Q115" s="86"/>
      <c r="R115" s="96"/>
    </row>
    <row r="116" spans="1:18" s="1" customFormat="1" x14ac:dyDescent="0.3">
      <c r="A116" s="1" t="s">
        <v>210</v>
      </c>
      <c r="B116" s="118" cm="1">
        <f t="array" aca="1" ref="B116" ca="1">INDIRECT("'1"&amp;$A116&amp;"'!"&amp;B$111)</f>
        <v>1.88</v>
      </c>
      <c r="C116" s="118" cm="1">
        <f t="array" aca="1" ref="C116" ca="1">INDIRECT("'1"&amp;$A116&amp;"'!"&amp;C$111)</f>
        <v>1.7103139797998415</v>
      </c>
      <c r="D116" s="118" cm="1">
        <f t="array" aca="1" ref="D116" ca="1">INDIRECT("'1"&amp;$A116&amp;"'!"&amp;D$111)</f>
        <v>1.8850935414322816</v>
      </c>
      <c r="E116" s="118">
        <f ca="1">Table271832[[#This Row],[OECD ERTI
.]]</f>
        <v>1.88</v>
      </c>
      <c r="O116" s="88"/>
      <c r="P116" s="94"/>
      <c r="R116" s="94"/>
    </row>
    <row r="117" spans="1:18" s="1" customFormat="1" x14ac:dyDescent="0.3">
      <c r="A117" s="1" t="s">
        <v>214</v>
      </c>
      <c r="B117" s="118" cm="1">
        <f t="array" aca="1" ref="B117" ca="1">INDIRECT("'1"&amp;$A117&amp;"'!"&amp;B$111)</f>
        <v>1.46</v>
      </c>
      <c r="C117" s="118" cm="1">
        <f t="array" aca="1" ref="C117" ca="1">INDIRECT("'1"&amp;$A117&amp;"'!"&amp;C$111)</f>
        <v>1.6590608942486251</v>
      </c>
      <c r="D117" s="118" cm="1">
        <f t="array" aca="1" ref="D117" ca="1">INDIRECT("'1"&amp;$A117&amp;"'!"&amp;D$111)</f>
        <v>1.749805452964974</v>
      </c>
      <c r="E117" s="118">
        <f ca="1">Table271832[[#This Row],[OECD ERTI
.]]</f>
        <v>1.46</v>
      </c>
      <c r="O117" s="89"/>
      <c r="P117" s="96"/>
      <c r="Q117" s="86"/>
      <c r="R117" s="96"/>
    </row>
    <row r="118" spans="1:18" s="1" customFormat="1" x14ac:dyDescent="0.3">
      <c r="A118" s="1" t="s">
        <v>217</v>
      </c>
      <c r="B118" s="118" cm="1">
        <f t="array" aca="1" ref="B118" ca="1">INDIRECT("'1"&amp;$A118&amp;"'!"&amp;B$111)</f>
        <v>2.21</v>
      </c>
      <c r="C118" s="118" cm="1">
        <f t="array" aca="1" ref="C118" ca="1">INDIRECT("'1"&amp;$A118&amp;"'!"&amp;C$111)</f>
        <v>1.8032111978204031</v>
      </c>
      <c r="D118" s="118" cm="1">
        <f t="array" aca="1" ref="D118" ca="1">INDIRECT("'1"&amp;$A118&amp;"'!"&amp;D$111)</f>
        <v>2.1113042975714551</v>
      </c>
      <c r="E118" s="118">
        <f ca="1">Table271832[[#This Row],[OECD ERTI
.]]</f>
        <v>2.21</v>
      </c>
      <c r="O118" s="88"/>
      <c r="P118" s="94"/>
      <c r="R118" s="94"/>
    </row>
    <row r="119" spans="1:18" s="1" customFormat="1" x14ac:dyDescent="0.3">
      <c r="A119" s="1" t="s">
        <v>218</v>
      </c>
      <c r="B119" s="118" cm="1">
        <f t="array" aca="1" ref="B119" ca="1">INDIRECT("'1"&amp;$A119&amp;"'!"&amp;B$111)</f>
        <v>1.88</v>
      </c>
      <c r="C119" s="118" cm="1">
        <f t="array" aca="1" ref="C119" ca="1">INDIRECT("'1"&amp;$A119&amp;"'!"&amp;C$111)</f>
        <v>2.0191248605309946</v>
      </c>
      <c r="D119" s="118" cm="1">
        <f t="array" aca="1" ref="D119" ca="1">INDIRECT("'1"&amp;$A119&amp;"'!"&amp;D$111)</f>
        <v>2.0628483961087243</v>
      </c>
      <c r="E119" s="118">
        <f ca="1">Table271832[[#This Row],[OECD ERTI
.]]</f>
        <v>1.88</v>
      </c>
      <c r="O119" s="89"/>
      <c r="P119" s="96"/>
      <c r="Q119" s="86"/>
      <c r="R119" s="96"/>
    </row>
    <row r="120" spans="1:18" s="1" customFormat="1" x14ac:dyDescent="0.3">
      <c r="A120" s="1" t="s">
        <v>222</v>
      </c>
      <c r="B120" s="118" cm="1">
        <f t="array" aca="1" ref="B120" ca="1">INDIRECT("'1"&amp;$A120&amp;"'!"&amp;B$111)</f>
        <v>1.48</v>
      </c>
      <c r="C120" s="118" cm="1">
        <f t="array" aca="1" ref="C120" ca="1">INDIRECT("'1"&amp;$A120&amp;"'!"&amp;C$111)</f>
        <v>1.7423543356823485</v>
      </c>
      <c r="D120" s="118" cm="1">
        <f t="array" aca="1" ref="D120" ca="1">INDIRECT("'1"&amp;$A120&amp;"'!"&amp;D$111)</f>
        <v>1.7219194129619515</v>
      </c>
      <c r="E120" s="118">
        <f ca="1">Table271832[[#This Row],[OECD ERTI
.]]</f>
        <v>1.48</v>
      </c>
      <c r="O120" s="88"/>
      <c r="P120" s="94"/>
      <c r="R120" s="94"/>
    </row>
    <row r="121" spans="1:18" s="1" customFormat="1" x14ac:dyDescent="0.3">
      <c r="A121" s="1" t="s">
        <v>223</v>
      </c>
      <c r="B121" s="118" cm="1">
        <f t="array" aca="1" ref="B121" ca="1">INDIRECT("'1"&amp;$A121&amp;"'!"&amp;B$111)</f>
        <v>1.68</v>
      </c>
      <c r="C121" s="118" cm="1">
        <f t="array" aca="1" ref="C121" ca="1">INDIRECT("'1"&amp;$A121&amp;"'!"&amp;C$111)</f>
        <v>1.5415702152840249</v>
      </c>
      <c r="D121" s="118" cm="1">
        <f t="array" aca="1" ref="D121" ca="1">INDIRECT("'1"&amp;$A121&amp;"'!"&amp;D$111)</f>
        <v>1.5426456116953331</v>
      </c>
      <c r="E121" s="118">
        <f ca="1">Table271832[[#This Row],[OECD ERTI
.]]</f>
        <v>1.68</v>
      </c>
      <c r="O121" s="88"/>
      <c r="P121" s="94"/>
      <c r="R121" s="94"/>
    </row>
    <row r="122" spans="1:18" s="1" customFormat="1" x14ac:dyDescent="0.3">
      <c r="A122" s="1" t="s">
        <v>225</v>
      </c>
      <c r="B122" s="376">
        <f ca="1">Table271832[[#This Row],[Own ERTI (w/o pens. &amp; benef.)]]</f>
        <v>2.7450826919490132</v>
      </c>
      <c r="C122" s="118" cm="1">
        <f t="array" aca="1" ref="C122" ca="1">INDIRECT("'1"&amp;$A122&amp;"'!"&amp;C$111)</f>
        <v>2.355007449589813</v>
      </c>
      <c r="D122" s="118" cm="1">
        <f t="array" aca="1" ref="D122" ca="1">INDIRECT("'1"&amp;$A122&amp;"'!"&amp;D$111)</f>
        <v>2.7450826919490132</v>
      </c>
      <c r="E122" s="118">
        <f ca="1">Table271832[[#This Row],[OECD ERTI
.]]</f>
        <v>2.7450826919490132</v>
      </c>
      <c r="O122" s="88"/>
      <c r="P122" s="94"/>
      <c r="R122" s="94"/>
    </row>
    <row r="123" spans="1:18" s="1" customFormat="1" x14ac:dyDescent="0.3">
      <c r="A123" s="1" t="s">
        <v>227</v>
      </c>
      <c r="B123" s="118" cm="1">
        <f t="array" aca="1" ref="B123" ca="1">INDIRECT("'1"&amp;$A123&amp;"'!"&amp;B$111)</f>
        <v>1.8</v>
      </c>
      <c r="C123" s="118" cm="1">
        <f t="array" aca="1" ref="C123" ca="1">INDIRECT("'1"&amp;$A123&amp;"'!"&amp;C$111)</f>
        <v>1.0958061555302958</v>
      </c>
      <c r="D123" s="118" cm="1">
        <f t="array" aca="1" ref="D123" ca="1">INDIRECT("'1"&amp;$A123&amp;"'!"&amp;D$111)</f>
        <v>1.3548989756827889</v>
      </c>
      <c r="E123" s="118">
        <f ca="1">Table271832[[#This Row],[OECD ERTI
.]]</f>
        <v>1.8</v>
      </c>
      <c r="O123" s="89"/>
      <c r="P123" s="96"/>
      <c r="Q123" s="86"/>
      <c r="R123" s="96"/>
    </row>
    <row r="124" spans="1:18" s="1" customFormat="1" x14ac:dyDescent="0.3">
      <c r="A124" s="1" t="s">
        <v>233</v>
      </c>
      <c r="B124" s="118" cm="1">
        <f t="array" aca="1" ref="B124" ca="1">INDIRECT("'1"&amp;$A124&amp;"'!"&amp;B$111)</f>
        <v>2.04</v>
      </c>
      <c r="C124" s="118" cm="1">
        <f t="array" aca="1" ref="C124" ca="1">INDIRECT("'1"&amp;$A124&amp;"'!"&amp;C$111)</f>
        <v>1.8138953207581621</v>
      </c>
      <c r="D124" s="118" cm="1">
        <f t="array" aca="1" ref="D124" ca="1">INDIRECT("'1"&amp;$A124&amp;"'!"&amp;D$111)</f>
        <v>1.9918082564305868</v>
      </c>
      <c r="E124" s="118">
        <f ca="1">Table271832[[#This Row],[OECD ERTI
.]]</f>
        <v>2.04</v>
      </c>
      <c r="O124" s="89"/>
      <c r="P124" s="96"/>
      <c r="Q124" s="86"/>
      <c r="R124" s="96"/>
    </row>
    <row r="125" spans="1:18" s="1" customFormat="1" x14ac:dyDescent="0.3">
      <c r="A125" s="1" t="s">
        <v>234</v>
      </c>
      <c r="B125" s="118" cm="1">
        <f t="array" aca="1" ref="B125" ca="1">INDIRECT("'1"&amp;$A125&amp;"'!"&amp;B$111)</f>
        <v>1.85</v>
      </c>
      <c r="C125" s="118" cm="1">
        <f t="array" aca="1" ref="C125" ca="1">INDIRECT("'1"&amp;$A125&amp;"'!"&amp;C$111)</f>
        <v>1.8551616744290942</v>
      </c>
      <c r="D125" s="118" cm="1">
        <f t="array" aca="1" ref="D125" ca="1">INDIRECT("'1"&amp;$A125&amp;"'!"&amp;D$111)</f>
        <v>1.8536241066957808</v>
      </c>
      <c r="E125" s="118">
        <f ca="1">Table271832[[#This Row],[OECD ERTI
.]]</f>
        <v>1.85</v>
      </c>
      <c r="O125" s="88"/>
      <c r="P125" s="94"/>
      <c r="R125" s="94"/>
    </row>
    <row r="126" spans="1:18" s="1" customFormat="1" x14ac:dyDescent="0.3">
      <c r="A126" s="1" t="s">
        <v>238</v>
      </c>
      <c r="B126" s="376">
        <f ca="1">Table271832[[#This Row],[Own ERTI (w/o pens. &amp; benef.)]]</f>
        <v>1.3217813545180088</v>
      </c>
      <c r="C126" s="118" cm="1">
        <f t="array" aca="1" ref="C126" ca="1">INDIRECT("'1"&amp;$A126&amp;"'!"&amp;C$111)</f>
        <v>1.3144652982741332</v>
      </c>
      <c r="D126" s="118" cm="1">
        <f t="array" aca="1" ref="D126" ca="1">INDIRECT("'1"&amp;$A126&amp;"'!"&amp;D$111)</f>
        <v>1.3217813545180088</v>
      </c>
      <c r="E126" s="118">
        <f ca="1">Table271832[[#This Row],[OECD ERTI
.]]</f>
        <v>1.3217813545180088</v>
      </c>
      <c r="O126" s="88"/>
      <c r="P126" s="94"/>
      <c r="R126" s="94"/>
    </row>
    <row r="127" spans="1:18" s="1" customFormat="1" x14ac:dyDescent="0.3">
      <c r="A127" s="1" t="s">
        <v>240</v>
      </c>
      <c r="B127" s="118" cm="1">
        <f t="array" aca="1" ref="B127" ca="1">INDIRECT("'1"&amp;$A127&amp;"'!"&amp;B$111)</f>
        <v>2.2400000000000002</v>
      </c>
      <c r="C127" s="118" cm="1">
        <f t="array" aca="1" ref="C127" ca="1">INDIRECT("'1"&amp;$A127&amp;"'!"&amp;C$111)</f>
        <v>1.8727964639724985</v>
      </c>
      <c r="D127" s="118" cm="1">
        <f t="array" aca="1" ref="D127" ca="1">INDIRECT("'1"&amp;$A127&amp;"'!"&amp;D$111)</f>
        <v>1.9079718457696586</v>
      </c>
      <c r="E127" s="118">
        <f ca="1">Table271832[[#This Row],[OECD ERTI
.]]</f>
        <v>2.2400000000000002</v>
      </c>
      <c r="O127" s="88"/>
      <c r="P127" s="94"/>
      <c r="R127" s="94"/>
    </row>
    <row r="128" spans="1:18" s="1" customFormat="1" x14ac:dyDescent="0.3">
      <c r="A128" s="1" t="s">
        <v>242</v>
      </c>
      <c r="B128" s="118" cm="1">
        <f t="array" aca="1" ref="B128" ca="1">INDIRECT("'1"&amp;$A128&amp;"'!"&amp;B$111)</f>
        <v>1.31</v>
      </c>
      <c r="C128" s="118" cm="1">
        <f t="array" aca="1" ref="C128" ca="1">INDIRECT("'1"&amp;$A128&amp;"'!"&amp;C$111)</f>
        <v>1.439871427179074</v>
      </c>
      <c r="D128" s="118" cm="1">
        <f t="array" aca="1" ref="D128" ca="1">INDIRECT("'1"&amp;$A128&amp;"'!"&amp;D$111)</f>
        <v>1.4597225848100328</v>
      </c>
      <c r="E128" s="118">
        <f ca="1">Table271832[[#This Row],[OECD ERTI
.]]</f>
        <v>1.31</v>
      </c>
      <c r="O128" s="91"/>
      <c r="P128" s="95"/>
      <c r="Q128" s="92"/>
      <c r="R128" s="95"/>
    </row>
    <row r="129" spans="1:18" s="1" customFormat="1" x14ac:dyDescent="0.3">
      <c r="A129" s="1" t="s">
        <v>245</v>
      </c>
      <c r="B129" s="376">
        <f ca="1">Table271832[[#This Row],[Own ERTI (w/o pens. &amp; benef.)]]</f>
        <v>1.9839505060927796</v>
      </c>
      <c r="C129" s="118" cm="1">
        <f t="array" aca="1" ref="C129" ca="1">INDIRECT("'1"&amp;$A129&amp;"'!"&amp;C$111)</f>
        <v>1.8138346754056838</v>
      </c>
      <c r="D129" s="118" cm="1">
        <f t="array" aca="1" ref="D129" ca="1">INDIRECT("'1"&amp;$A129&amp;"'!"&amp;D$111)</f>
        <v>1.9839505060927796</v>
      </c>
      <c r="E129" s="118">
        <f ca="1">Table271832[[#This Row],[OECD ERTI
.]]</f>
        <v>1.9839505060927796</v>
      </c>
      <c r="O129" s="88"/>
      <c r="P129" s="94"/>
      <c r="Q129" s="99"/>
      <c r="R129" s="100"/>
    </row>
    <row r="130" spans="1:18" s="1" customFormat="1" x14ac:dyDescent="0.3">
      <c r="A130" s="1" t="s">
        <v>247</v>
      </c>
      <c r="B130" s="118" cm="1">
        <f t="array" aca="1" ref="B130" ca="1">INDIRECT("'1"&amp;$A130&amp;"'!"&amp;B$111)</f>
        <v>2</v>
      </c>
      <c r="C130" s="118" cm="1">
        <f t="array" aca="1" ref="C130" ca="1">INDIRECT("'1"&amp;$A130&amp;"'!"&amp;C$111)</f>
        <v>2.1811011429483584</v>
      </c>
      <c r="D130" s="118" cm="1">
        <f t="array" aca="1" ref="D130" ca="1">INDIRECT("'1"&amp;$A130&amp;"'!"&amp;D$111)</f>
        <v>2.3227113347668173</v>
      </c>
      <c r="E130" s="118">
        <f ca="1">Table271832[[#This Row],[OECD ERTI
.]]</f>
        <v>2</v>
      </c>
      <c r="O130" s="88"/>
      <c r="P130" s="94"/>
      <c r="Q130" s="88"/>
      <c r="R130" s="94"/>
    </row>
    <row r="131" spans="1:18" s="1" customFormat="1" x14ac:dyDescent="0.3">
      <c r="A131" s="1" t="s">
        <v>249</v>
      </c>
      <c r="B131" s="118" cm="1">
        <f t="array" aca="1" ref="B131" ca="1">INDIRECT("'1"&amp;$A131&amp;"'!"&amp;B$111)</f>
        <v>2.15</v>
      </c>
      <c r="C131" s="118" cm="1">
        <f t="array" aca="1" ref="C131" ca="1">INDIRECT("'1"&amp;$A131&amp;"'!"&amp;C$111)</f>
        <v>1.9912797248057028</v>
      </c>
      <c r="D131" s="118" cm="1">
        <f t="array" aca="1" ref="D131" ca="1">INDIRECT("'1"&amp;$A131&amp;"'!"&amp;D$111)</f>
        <v>2.1023817837650527</v>
      </c>
      <c r="E131" s="118">
        <f ca="1">Table271832[[#This Row],[OECD ERTI
.]]</f>
        <v>2.15</v>
      </c>
      <c r="O131" s="89"/>
      <c r="P131" s="96"/>
      <c r="Q131" s="88"/>
      <c r="R131" s="96"/>
    </row>
    <row r="132" spans="1:18" s="1" customFormat="1" x14ac:dyDescent="0.3">
      <c r="A132" s="1" t="s">
        <v>252</v>
      </c>
      <c r="B132" s="118" cm="1">
        <f t="array" aca="1" ref="B132" ca="1">INDIRECT("'1"&amp;$A132&amp;"'!"&amp;B$111)</f>
        <v>2.14</v>
      </c>
      <c r="C132" s="118" cm="1">
        <f t="array" aca="1" ref="C132" ca="1">INDIRECT("'1"&amp;$A132&amp;"'!"&amp;C$111)</f>
        <v>1.8863476683839748</v>
      </c>
      <c r="D132" s="118" cm="1">
        <f t="array" aca="1" ref="D132" ca="1">INDIRECT("'1"&amp;$A132&amp;"'!"&amp;D$111)</f>
        <v>2.234647503442206</v>
      </c>
      <c r="E132" s="118">
        <f ca="1">Table271832[[#This Row],[OECD ERTI
.]]</f>
        <v>2.14</v>
      </c>
      <c r="O132" s="88"/>
      <c r="P132" s="94"/>
      <c r="Q132" s="88"/>
      <c r="R132" s="94"/>
    </row>
    <row r="133" spans="1:18" s="1" customFormat="1" x14ac:dyDescent="0.3">
      <c r="A133" s="1" t="s">
        <v>254</v>
      </c>
      <c r="B133" s="118" cm="1">
        <f t="array" aca="1" ref="B133" ca="1">INDIRECT("'1"&amp;$A133&amp;"'!"&amp;B$111)</f>
        <v>2.4300000000000002</v>
      </c>
      <c r="C133" s="118" cm="1">
        <f t="array" aca="1" ref="C133" ca="1">INDIRECT("'1"&amp;$A133&amp;"'!"&amp;C$111)</f>
        <v>1.8516723283112846</v>
      </c>
      <c r="D133" s="118" cm="1">
        <f t="array" aca="1" ref="D133" ca="1">INDIRECT("'1"&amp;$A133&amp;"'!"&amp;D$111)</f>
        <v>1.8514554439277999</v>
      </c>
      <c r="E133" s="118">
        <f ca="1">Table271832[[#This Row],[OECD ERTI
.]]</f>
        <v>2.4300000000000002</v>
      </c>
      <c r="O133" s="89"/>
      <c r="P133" s="96"/>
      <c r="Q133" s="88"/>
      <c r="R133" s="96"/>
    </row>
    <row r="134" spans="1:18" s="1" customFormat="1" x14ac:dyDescent="0.3">
      <c r="A134" s="86" t="s">
        <v>304</v>
      </c>
      <c r="B134" s="193" t="e" cm="1">
        <f t="array" aca="1" ref="B134" ca="1">INDIRECT("'1"&amp;$A134&amp;"'!"&amp;B$111)</f>
        <v>#REF!</v>
      </c>
      <c r="C134" s="118" t="e" cm="1">
        <f t="array" aca="1" ref="C134" ca="1">INDIRECT("'1"&amp;$A134&amp;"'!"&amp;C$111)</f>
        <v>#REF!</v>
      </c>
      <c r="D134" s="118" t="e" cm="1">
        <f t="array" aca="1" ref="D134" ca="1">INDIRECT("'1"&amp;$A134&amp;"'!"&amp;D$111)</f>
        <v>#REF!</v>
      </c>
      <c r="E134" s="120" t="e">
        <f ca="1">Table271832[[#This Row],[OECD ERTI
.]]</f>
        <v>#REF!</v>
      </c>
      <c r="O134" s="88"/>
      <c r="P134" s="94"/>
      <c r="Q134" s="88"/>
      <c r="R134" s="94"/>
    </row>
    <row r="135" spans="1:18" s="1" customFormat="1" x14ac:dyDescent="0.3">
      <c r="A135" s="86" t="s">
        <v>305</v>
      </c>
      <c r="B135" s="193" t="e" cm="1">
        <f t="array" aca="1" ref="B135" ca="1">INDIRECT("'1"&amp;$A135&amp;"'!"&amp;B$111)</f>
        <v>#REF!</v>
      </c>
      <c r="C135" s="118" t="e" cm="1">
        <f t="array" aca="1" ref="C135" ca="1">INDIRECT("'1"&amp;$A135&amp;"'!"&amp;C$111)</f>
        <v>#REF!</v>
      </c>
      <c r="D135" s="118" t="e" cm="1">
        <f t="array" aca="1" ref="D135" ca="1">INDIRECT("'1"&amp;$A135&amp;"'!"&amp;D$111)</f>
        <v>#REF!</v>
      </c>
      <c r="E135" s="120" t="e">
        <f ca="1">Table271832[[#This Row],[OECD ERTI
.]]</f>
        <v>#REF!</v>
      </c>
      <c r="O135" s="89"/>
      <c r="P135" s="96"/>
      <c r="Q135" s="88"/>
      <c r="R135" s="96"/>
    </row>
    <row r="136" spans="1:18" s="1" customFormat="1" x14ac:dyDescent="0.3">
      <c r="A136" s="89" t="s">
        <v>306</v>
      </c>
      <c r="B136" s="193" t="e" cm="1">
        <f t="array" aca="1" ref="B136" ca="1">INDIRECT("'1"&amp;$A136&amp;"'!"&amp;B$111)</f>
        <v>#REF!</v>
      </c>
      <c r="C136" s="118" t="e" cm="1">
        <f t="array" aca="1" ref="C136" ca="1">INDIRECT("'1"&amp;$A136&amp;"'!"&amp;C$111)</f>
        <v>#REF!</v>
      </c>
      <c r="D136" s="118" t="e" cm="1">
        <f t="array" aca="1" ref="D136" ca="1">INDIRECT("'1"&amp;$A136&amp;"'!"&amp;D$111)</f>
        <v>#REF!</v>
      </c>
      <c r="E136" s="120" t="e">
        <f ca="1">Table271832[[#This Row],[OECD ERTI
.]]</f>
        <v>#REF!</v>
      </c>
      <c r="O136" s="88"/>
      <c r="P136" s="94"/>
      <c r="Q136" s="88"/>
      <c r="R136" s="94"/>
    </row>
    <row r="137" spans="1:18" s="1" customFormat="1" x14ac:dyDescent="0.3">
      <c r="A137" s="89" t="s">
        <v>307</v>
      </c>
      <c r="B137" s="193" t="e" cm="1">
        <f t="array" aca="1" ref="B137" ca="1">INDIRECT("'1"&amp;$A137&amp;"'!"&amp;B$111)</f>
        <v>#REF!</v>
      </c>
      <c r="C137" s="118" t="e" cm="1">
        <f t="array" aca="1" ref="C137" ca="1">INDIRECT("'1"&amp;$A137&amp;"'!"&amp;C$111)</f>
        <v>#REF!</v>
      </c>
      <c r="D137" s="118" t="e" cm="1">
        <f t="array" aca="1" ref="D137" ca="1">INDIRECT("'1"&amp;$A137&amp;"'!"&amp;D$111)</f>
        <v>#REF!</v>
      </c>
      <c r="E137" s="120" t="e">
        <f ca="1">Table271832[[#This Row],[OECD ERTI
.]]</f>
        <v>#REF!</v>
      </c>
      <c r="O137" s="88"/>
      <c r="P137" s="94"/>
      <c r="Q137" s="88"/>
      <c r="R137" s="94"/>
    </row>
    <row r="138" spans="1:18" s="1" customFormat="1" x14ac:dyDescent="0.3">
      <c r="A138" s="89" t="s">
        <v>308</v>
      </c>
      <c r="B138" s="193" t="e" cm="1">
        <f t="array" aca="1" ref="B138" ca="1">INDIRECT("'1"&amp;$A138&amp;"'!"&amp;B$111)</f>
        <v>#REF!</v>
      </c>
      <c r="C138" s="118" t="e" cm="1">
        <f t="array" aca="1" ref="C138" ca="1">INDIRECT("'1"&amp;$A138&amp;"'!"&amp;C$111)</f>
        <v>#REF!</v>
      </c>
      <c r="D138" s="118" t="e" cm="1">
        <f t="array" aca="1" ref="D138" ca="1">INDIRECT("'1"&amp;$A138&amp;"'!"&amp;D$111)</f>
        <v>#REF!</v>
      </c>
      <c r="E138" s="120" t="e">
        <f ca="1">Table271832[[#This Row],[OECD ERTI
.]]</f>
        <v>#REF!</v>
      </c>
      <c r="O138" s="88"/>
      <c r="P138" s="94"/>
      <c r="Q138" s="88"/>
      <c r="R138" s="94"/>
    </row>
    <row r="139" spans="1:18" s="1" customFormat="1" x14ac:dyDescent="0.3">
      <c r="A139" s="86" t="s">
        <v>309</v>
      </c>
      <c r="B139" s="193" t="e" cm="1">
        <f t="array" aca="1" ref="B139" ca="1">INDIRECT("'1"&amp;$A139&amp;"'!"&amp;B$111)</f>
        <v>#REF!</v>
      </c>
      <c r="C139" s="118" t="e" cm="1">
        <f t="array" aca="1" ref="C139" ca="1">INDIRECT("'1"&amp;$A139&amp;"'!"&amp;C$111)</f>
        <v>#REF!</v>
      </c>
      <c r="D139" s="118" t="e" cm="1">
        <f t="array" aca="1" ref="D139" ca="1">INDIRECT("'1"&amp;$A139&amp;"'!"&amp;D$111)</f>
        <v>#REF!</v>
      </c>
      <c r="E139" s="120" t="e">
        <f ca="1">Table271832[[#This Row],[OECD ERTI
.]]</f>
        <v>#REF!</v>
      </c>
      <c r="O139" s="89"/>
      <c r="P139" s="96"/>
      <c r="Q139" s="88"/>
      <c r="R139" s="96"/>
    </row>
    <row r="140" spans="1:18" s="1" customFormat="1" x14ac:dyDescent="0.3">
      <c r="A140" s="86" t="s">
        <v>310</v>
      </c>
      <c r="B140" s="193" t="e" cm="1">
        <f t="array" aca="1" ref="B140" ca="1">INDIRECT("'1"&amp;$A140&amp;"'!"&amp;B$111)</f>
        <v>#REF!</v>
      </c>
      <c r="C140" s="118" t="e" cm="1">
        <f t="array" aca="1" ref="C140" ca="1">INDIRECT("'1"&amp;$A140&amp;"'!"&amp;C$111)</f>
        <v>#REF!</v>
      </c>
      <c r="D140" s="118" t="e" cm="1">
        <f t="array" aca="1" ref="D140" ca="1">INDIRECT("'1"&amp;$A140&amp;"'!"&amp;D$111)</f>
        <v>#REF!</v>
      </c>
      <c r="E140" s="120" t="e">
        <f ca="1">Table271832[[#This Row],[OECD ERTI
.]]</f>
        <v>#REF!</v>
      </c>
      <c r="O140" s="89"/>
      <c r="P140" s="96"/>
      <c r="Q140" s="88"/>
      <c r="R140" s="96"/>
    </row>
    <row r="141" spans="1:18" s="1" customFormat="1" x14ac:dyDescent="0.3">
      <c r="A141" s="86" t="s">
        <v>311</v>
      </c>
      <c r="B141" s="193" t="e" cm="1">
        <f t="array" aca="1" ref="B141" ca="1">INDIRECT("'1"&amp;$A141&amp;"'!"&amp;B$111)</f>
        <v>#REF!</v>
      </c>
      <c r="C141" s="118" t="e" cm="1">
        <f t="array" aca="1" ref="C141" ca="1">INDIRECT("'1"&amp;$A141&amp;"'!"&amp;C$111)</f>
        <v>#REF!</v>
      </c>
      <c r="D141" s="118" t="e" cm="1">
        <f t="array" aca="1" ref="D141" ca="1">INDIRECT("'1"&amp;$A141&amp;"'!"&amp;D$111)</f>
        <v>#REF!</v>
      </c>
      <c r="E141" s="120" t="e">
        <f ca="1">Table271832[[#This Row],[OECD ERTI
.]]</f>
        <v>#REF!</v>
      </c>
      <c r="O141" s="88"/>
      <c r="P141" s="94"/>
      <c r="Q141" s="88"/>
      <c r="R141" s="94"/>
    </row>
    <row r="142" spans="1:18" s="1" customFormat="1" x14ac:dyDescent="0.3">
      <c r="O142" s="88"/>
      <c r="P142" s="94"/>
      <c r="Q142" s="88"/>
      <c r="R142" s="94"/>
    </row>
    <row r="143" spans="1:18" s="1" customFormat="1" x14ac:dyDescent="0.3">
      <c r="O143" s="88"/>
      <c r="P143" s="94"/>
      <c r="Q143" s="88"/>
      <c r="R143" s="94"/>
    </row>
    <row r="144" spans="1:18" s="1" customFormat="1" x14ac:dyDescent="0.3">
      <c r="O144" s="91"/>
      <c r="P144" s="95"/>
      <c r="Q144" s="91"/>
      <c r="R144" s="95"/>
    </row>
    <row r="145" spans="1:18" s="85" customFormat="1" ht="36.6" customHeight="1" x14ac:dyDescent="0.3">
      <c r="A145" s="181" t="s">
        <v>599</v>
      </c>
      <c r="O145" s="87"/>
      <c r="P145" s="93"/>
      <c r="R145" s="93"/>
    </row>
    <row r="146" spans="1:18" s="1" customFormat="1" x14ac:dyDescent="0.3">
      <c r="O146" s="88"/>
      <c r="P146" s="94"/>
      <c r="R146" s="94"/>
    </row>
    <row r="147" spans="1:18" s="1" customFormat="1" x14ac:dyDescent="0.3">
      <c r="A147" s="1" t="s">
        <v>289</v>
      </c>
      <c r="B147" s="1" t="s">
        <v>334</v>
      </c>
      <c r="C147" s="1" t="s">
        <v>335</v>
      </c>
      <c r="D147" s="1" t="s">
        <v>336</v>
      </c>
      <c r="E147" s="1" t="s">
        <v>337</v>
      </c>
      <c r="O147" s="88"/>
      <c r="P147" s="94"/>
      <c r="R147" s="94"/>
    </row>
    <row r="148" spans="1:18" s="1" customFormat="1" ht="43.2" x14ac:dyDescent="0.3">
      <c r="A148" s="109" t="s">
        <v>338</v>
      </c>
      <c r="B148" s="119" t="s">
        <v>50</v>
      </c>
      <c r="C148" s="185" t="s">
        <v>51</v>
      </c>
      <c r="D148" s="44" t="s">
        <v>52</v>
      </c>
      <c r="E148" s="186" t="s">
        <v>53</v>
      </c>
      <c r="O148" s="91"/>
      <c r="P148" s="95"/>
      <c r="R148" s="94"/>
    </row>
    <row r="149" spans="1:18" s="1" customFormat="1" x14ac:dyDescent="0.3">
      <c r="A149" s="86" t="s">
        <v>304</v>
      </c>
      <c r="B149" s="118" t="e" cm="1">
        <f t="array" aca="1" ref="B149" ca="1">INDIRECT("'1"&amp;$A149&amp;"'!"&amp;B$147)</f>
        <v>#REF!</v>
      </c>
      <c r="C149" s="118" t="e" cm="1">
        <f t="array" aca="1" ref="C149" ca="1">INDIRECT("'1"&amp;$A149&amp;"'!"&amp;C$147)</f>
        <v>#REF!</v>
      </c>
      <c r="D149" s="118" t="e" cm="1">
        <f t="array" aca="1" ref="D149" ca="1">INDIRECT("'1"&amp;$A149&amp;"'!"&amp;D$147)</f>
        <v>#REF!</v>
      </c>
      <c r="E149" s="118" t="e" cm="1">
        <f t="array" aca="1" ref="E149" ca="1">INDIRECT("'1"&amp;$A149&amp;"'!"&amp;E$147)</f>
        <v>#REF!</v>
      </c>
      <c r="O149" s="88"/>
      <c r="P149" s="94"/>
      <c r="R149" s="94"/>
    </row>
    <row r="150" spans="1:18" s="1" customFormat="1" x14ac:dyDescent="0.3">
      <c r="A150" s="86" t="s">
        <v>305</v>
      </c>
      <c r="B150" s="118" t="e" cm="1">
        <f t="array" aca="1" ref="B150" ca="1">INDIRECT("'1"&amp;$A150&amp;"'!"&amp;B$147)</f>
        <v>#REF!</v>
      </c>
      <c r="C150" s="118" t="e" cm="1">
        <f t="array" aca="1" ref="C150" ca="1">INDIRECT("'1"&amp;$A150&amp;"'!"&amp;C$147)</f>
        <v>#REF!</v>
      </c>
      <c r="D150" s="118" t="e" cm="1">
        <f t="array" aca="1" ref="D150" ca="1">INDIRECT("'1"&amp;$A150&amp;"'!"&amp;D$147)</f>
        <v>#REF!</v>
      </c>
      <c r="E150" s="118" t="e" cm="1">
        <f t="array" aca="1" ref="E150" ca="1">INDIRECT("'1"&amp;$A150&amp;"'!"&amp;E$147)</f>
        <v>#REF!</v>
      </c>
      <c r="O150" s="88"/>
      <c r="P150" s="94"/>
      <c r="R150" s="94"/>
    </row>
    <row r="151" spans="1:18" s="1" customFormat="1" x14ac:dyDescent="0.3">
      <c r="A151" s="86" t="s">
        <v>306</v>
      </c>
      <c r="B151" s="118" t="e" cm="1">
        <f t="array" aca="1" ref="B151" ca="1">INDIRECT("'1"&amp;$A151&amp;"'!"&amp;B$147)</f>
        <v>#REF!</v>
      </c>
      <c r="C151" s="118" t="e" cm="1">
        <f t="array" aca="1" ref="C151" ca="1">INDIRECT("'1"&amp;$A151&amp;"'!"&amp;C$147)</f>
        <v>#REF!</v>
      </c>
      <c r="D151" s="118" t="e" cm="1">
        <f t="array" aca="1" ref="D151" ca="1">INDIRECT("'1"&amp;$A151&amp;"'!"&amp;D$147)</f>
        <v>#REF!</v>
      </c>
      <c r="E151" s="118" t="e" cm="1">
        <f t="array" aca="1" ref="E151" ca="1">INDIRECT("'1"&amp;$A151&amp;"'!"&amp;E$147)</f>
        <v>#REF!</v>
      </c>
      <c r="O151" s="89"/>
      <c r="P151" s="96"/>
      <c r="Q151" s="86"/>
      <c r="R151" s="96"/>
    </row>
    <row r="152" spans="1:18" s="1" customFormat="1" x14ac:dyDescent="0.3">
      <c r="A152" s="86" t="s">
        <v>307</v>
      </c>
      <c r="B152" s="118" t="e" cm="1">
        <f t="array" aca="1" ref="B152" ca="1">INDIRECT("'1"&amp;$A152&amp;"'!"&amp;B$147)</f>
        <v>#REF!</v>
      </c>
      <c r="C152" s="118" t="e" cm="1">
        <f t="array" aca="1" ref="C152" ca="1">INDIRECT("'1"&amp;$A152&amp;"'!"&amp;C$147)</f>
        <v>#REF!</v>
      </c>
      <c r="D152" s="118" t="e" cm="1">
        <f t="array" aca="1" ref="D152" ca="1">INDIRECT("'1"&amp;$A152&amp;"'!"&amp;D$147)</f>
        <v>#REF!</v>
      </c>
      <c r="E152" s="118" t="e" cm="1">
        <f t="array" aca="1" ref="E152" ca="1">INDIRECT("'1"&amp;$A152&amp;"'!"&amp;E$147)</f>
        <v>#REF!</v>
      </c>
      <c r="O152" s="88"/>
      <c r="P152" s="94"/>
      <c r="R152" s="94"/>
    </row>
    <row r="153" spans="1:18" s="1" customFormat="1" x14ac:dyDescent="0.3">
      <c r="A153" s="86" t="s">
        <v>308</v>
      </c>
      <c r="B153" s="118" t="e" cm="1">
        <f t="array" aca="1" ref="B153" ca="1">INDIRECT("'1"&amp;$A153&amp;"'!"&amp;B$147)</f>
        <v>#REF!</v>
      </c>
      <c r="C153" s="118" t="e" cm="1">
        <f t="array" aca="1" ref="C153" ca="1">INDIRECT("'1"&amp;$A153&amp;"'!"&amp;C$147)</f>
        <v>#REF!</v>
      </c>
      <c r="D153" s="118" t="e" cm="1">
        <f t="array" aca="1" ref="D153" ca="1">INDIRECT("'1"&amp;$A153&amp;"'!"&amp;D$147)</f>
        <v>#REF!</v>
      </c>
      <c r="E153" s="118" t="e" cm="1">
        <f t="array" aca="1" ref="E153" ca="1">INDIRECT("'1"&amp;$A153&amp;"'!"&amp;E$147)</f>
        <v>#REF!</v>
      </c>
      <c r="O153" s="89"/>
      <c r="P153" s="96"/>
      <c r="Q153" s="86"/>
      <c r="R153" s="96"/>
    </row>
    <row r="154" spans="1:18" s="1" customFormat="1" x14ac:dyDescent="0.3">
      <c r="A154" s="86" t="s">
        <v>309</v>
      </c>
      <c r="B154" s="118" t="e" cm="1">
        <f t="array" aca="1" ref="B154" ca="1">INDIRECT("'1"&amp;$A154&amp;"'!"&amp;B$147)</f>
        <v>#REF!</v>
      </c>
      <c r="C154" s="118" t="e" cm="1">
        <f t="array" aca="1" ref="C154" ca="1">INDIRECT("'1"&amp;$A154&amp;"'!"&amp;C$147)</f>
        <v>#REF!</v>
      </c>
      <c r="D154" s="118" t="e" cm="1">
        <f t="array" aca="1" ref="D154" ca="1">INDIRECT("'1"&amp;$A154&amp;"'!"&amp;D$147)</f>
        <v>#REF!</v>
      </c>
      <c r="E154" s="118" t="e" cm="1">
        <f t="array" aca="1" ref="E154" ca="1">INDIRECT("'1"&amp;$A154&amp;"'!"&amp;E$147)</f>
        <v>#REF!</v>
      </c>
      <c r="O154" s="88"/>
      <c r="P154" s="94"/>
      <c r="R154" s="94"/>
    </row>
    <row r="155" spans="1:18" s="1" customFormat="1" x14ac:dyDescent="0.3">
      <c r="A155" s="86" t="s">
        <v>310</v>
      </c>
      <c r="B155" s="118" t="e" cm="1">
        <f t="array" aca="1" ref="B155" ca="1">INDIRECT("'1"&amp;$A155&amp;"'!"&amp;B$147)</f>
        <v>#REF!</v>
      </c>
      <c r="C155" s="118" t="e" cm="1">
        <f t="array" aca="1" ref="C155" ca="1">INDIRECT("'1"&amp;$A155&amp;"'!"&amp;C$147)</f>
        <v>#REF!</v>
      </c>
      <c r="D155" s="118" t="e" cm="1">
        <f t="array" aca="1" ref="D155" ca="1">INDIRECT("'1"&amp;$A155&amp;"'!"&amp;D$147)</f>
        <v>#REF!</v>
      </c>
      <c r="E155" s="118" t="e" cm="1">
        <f t="array" aca="1" ref="E155" ca="1">INDIRECT("'1"&amp;$A155&amp;"'!"&amp;E$147)</f>
        <v>#REF!</v>
      </c>
      <c r="O155" s="89"/>
      <c r="P155" s="96"/>
      <c r="Q155" s="86"/>
      <c r="R155" s="96"/>
    </row>
    <row r="156" spans="1:18" s="1" customFormat="1" x14ac:dyDescent="0.3">
      <c r="A156" s="86" t="s">
        <v>311</v>
      </c>
      <c r="B156" s="118" t="e" cm="1">
        <f t="array" aca="1" ref="B156" ca="1">INDIRECT("'1"&amp;$A156&amp;"'!"&amp;B$147)</f>
        <v>#REF!</v>
      </c>
      <c r="C156" s="118" t="e" cm="1">
        <f t="array" aca="1" ref="C156" ca="1">INDIRECT("'1"&amp;$A156&amp;"'!"&amp;C$147)</f>
        <v>#REF!</v>
      </c>
      <c r="D156" s="118" t="e" cm="1">
        <f t="array" aca="1" ref="D156" ca="1">INDIRECT("'1"&amp;$A156&amp;"'!"&amp;D$147)</f>
        <v>#REF!</v>
      </c>
      <c r="E156" s="118" t="e" cm="1">
        <f t="array" aca="1" ref="E156" ca="1">INDIRECT("'1"&amp;$A156&amp;"'!"&amp;E$147)</f>
        <v>#REF!</v>
      </c>
      <c r="O156" s="88"/>
      <c r="P156" s="94"/>
      <c r="R156" s="94"/>
    </row>
    <row r="157" spans="1:18" s="1" customFormat="1" x14ac:dyDescent="0.3">
      <c r="A157" s="1" t="s">
        <v>254</v>
      </c>
      <c r="B157" s="118" cm="1">
        <f t="array" aca="1" ref="B157" ca="1">INDIRECT("'1"&amp;$A157&amp;"'!"&amp;B$147)</f>
        <v>0.85302134000795082</v>
      </c>
      <c r="C157" s="118" cm="1">
        <f t="array" aca="1" ref="C157" ca="1">INDIRECT("'1"&amp;$A157&amp;"'!"&amp;C$147)</f>
        <v>4.1099196555073196E-4</v>
      </c>
      <c r="D157" s="118" cm="1">
        <f t="array" aca="1" ref="D157" ca="1">INDIRECT("'1"&amp;$A157&amp;"'!"&amp;D$147)</f>
        <v>0.14476603626156276</v>
      </c>
      <c r="E157" s="118" cm="1">
        <f t="array" aca="1" ref="E157" ca="1">INDIRECT("'1"&amp;$A157&amp;"'!"&amp;E$147)</f>
        <v>1.8016317649356456E-3</v>
      </c>
      <c r="O157" s="88"/>
      <c r="P157" s="94"/>
      <c r="R157" s="94"/>
    </row>
    <row r="158" spans="1:18" s="1" customFormat="1" x14ac:dyDescent="0.3">
      <c r="A158" s="1" t="s">
        <v>238</v>
      </c>
      <c r="B158" s="118" cm="1">
        <f t="array" aca="1" ref="B158" ca="1">INDIRECT("'1"&amp;$A158&amp;"'!"&amp;B$147)</f>
        <v>0.82077830897464632</v>
      </c>
      <c r="C158" s="118" cm="1">
        <f t="array" aca="1" ref="C158" ca="1">INDIRECT("'1"&amp;$A158&amp;"'!"&amp;C$147)</f>
        <v>2.8939410210830688E-2</v>
      </c>
      <c r="D158" s="118" cm="1">
        <f t="array" aca="1" ref="D158" ca="1">INDIRECT("'1"&amp;$A158&amp;"'!"&amp;D$147)</f>
        <v>0.11573304455833605</v>
      </c>
      <c r="E158" s="118" cm="1">
        <f t="array" aca="1" ref="E158" ca="1">INDIRECT("'1"&amp;$A158&amp;"'!"&amp;E$147)</f>
        <v>3.454923625618693E-2</v>
      </c>
      <c r="O158" s="88"/>
      <c r="P158" s="94"/>
      <c r="R158" s="94"/>
    </row>
    <row r="159" spans="1:18" s="1" customFormat="1" x14ac:dyDescent="0.3">
      <c r="A159" s="1" t="s">
        <v>242</v>
      </c>
      <c r="B159" s="118" cm="1">
        <f t="array" aca="1" ref="B159" ca="1">INDIRECT("'1"&amp;$A159&amp;"'!"&amp;B$147)</f>
        <v>0.7893873578132008</v>
      </c>
      <c r="C159" s="118" cm="1">
        <f t="array" aca="1" ref="C159" ca="1">INDIRECT("'1"&amp;$A159&amp;"'!"&amp;C$147)</f>
        <v>0.15910137136579952</v>
      </c>
      <c r="D159" s="118" cm="1">
        <f t="array" aca="1" ref="D159" ca="1">INDIRECT("'1"&amp;$A159&amp;"'!"&amp;D$147)</f>
        <v>3.4313437173309799E-2</v>
      </c>
      <c r="E159" s="118" cm="1">
        <f t="array" aca="1" ref="E159" ca="1">INDIRECT("'1"&amp;$A159&amp;"'!"&amp;E$147)</f>
        <v>1.7197833647689936E-2</v>
      </c>
      <c r="O159" s="89"/>
      <c r="P159" s="96"/>
      <c r="Q159" s="86"/>
      <c r="R159" s="96"/>
    </row>
    <row r="160" spans="1:18" s="1" customFormat="1" x14ac:dyDescent="0.3">
      <c r="A160" s="1" t="s">
        <v>214</v>
      </c>
      <c r="B160" s="118" cm="1">
        <f t="array" aca="1" ref="B160" ca="1">INDIRECT("'1"&amp;$A160&amp;"'!"&amp;B$147)</f>
        <v>0.7832527437023461</v>
      </c>
      <c r="C160" s="118" cm="1">
        <f t="array" aca="1" ref="C160" ca="1">INDIRECT("'1"&amp;$A160&amp;"'!"&amp;C$147)</f>
        <v>0.17493794725043307</v>
      </c>
      <c r="D160" s="118" cm="1">
        <f t="array" aca="1" ref="D160" ca="1">INDIRECT("'1"&amp;$A160&amp;"'!"&amp;D$147)</f>
        <v>9.557322031861288E-3</v>
      </c>
      <c r="E160" s="118" cm="1">
        <f t="array" aca="1" ref="E160" ca="1">INDIRECT("'1"&amp;$A160&amp;"'!"&amp;E$147)</f>
        <v>3.2251987015359466E-2</v>
      </c>
      <c r="O160" s="89"/>
      <c r="P160" s="96"/>
      <c r="Q160" s="86"/>
      <c r="R160" s="96"/>
    </row>
    <row r="161" spans="1:18" s="1" customFormat="1" x14ac:dyDescent="0.3">
      <c r="A161" s="1" t="s">
        <v>208</v>
      </c>
      <c r="B161" s="118" cm="1">
        <f t="array" aca="1" ref="B161" ca="1">INDIRECT("'1"&amp;$A161&amp;"'!"&amp;B$147)</f>
        <v>0.73870199127973368</v>
      </c>
      <c r="C161" s="118" cm="1">
        <f t="array" aca="1" ref="C161" ca="1">INDIRECT("'1"&amp;$A161&amp;"'!"&amp;C$147)</f>
        <v>0.15627989053126976</v>
      </c>
      <c r="D161" s="118" cm="1">
        <f t="array" aca="1" ref="D161" ca="1">INDIRECT("'1"&amp;$A161&amp;"'!"&amp;D$147)</f>
        <v>8.5425365149602209E-2</v>
      </c>
      <c r="E161" s="118" cm="1">
        <f t="array" aca="1" ref="E161" ca="1">INDIRECT("'1"&amp;$A161&amp;"'!"&amp;E$147)</f>
        <v>1.9592753039394423E-2</v>
      </c>
      <c r="O161" s="88"/>
      <c r="P161" s="94"/>
      <c r="R161" s="94"/>
    </row>
    <row r="162" spans="1:18" s="1" customFormat="1" x14ac:dyDescent="0.3">
      <c r="A162" s="1" t="s">
        <v>245</v>
      </c>
      <c r="B162" s="118" cm="1">
        <f t="array" aca="1" ref="B162" ca="1">INDIRECT("'1"&amp;$A162&amp;"'!"&amp;B$147)</f>
        <v>0.72766374633788422</v>
      </c>
      <c r="C162" s="118" cm="1">
        <f t="array" aca="1" ref="C162" ca="1">INDIRECT("'1"&amp;$A162&amp;"'!"&amp;C$147)</f>
        <v>0.13521100818729789</v>
      </c>
      <c r="D162" s="118" cm="1">
        <f t="array" aca="1" ref="D162" ca="1">INDIRECT("'1"&amp;$A162&amp;"'!"&amp;D$147)</f>
        <v>0.10159168588943476</v>
      </c>
      <c r="E162" s="118" cm="1">
        <f t="array" aca="1" ref="E162" ca="1">INDIRECT("'1"&amp;$A162&amp;"'!"&amp;E$147)</f>
        <v>3.5533559585383137E-2</v>
      </c>
      <c r="O162" s="88"/>
      <c r="P162" s="94"/>
      <c r="R162" s="94"/>
    </row>
    <row r="163" spans="1:18" s="1" customFormat="1" x14ac:dyDescent="0.3">
      <c r="A163" s="1" t="s">
        <v>233</v>
      </c>
      <c r="B163" s="118" cm="1">
        <f t="array" aca="1" ref="B163" ca="1">INDIRECT("'1"&amp;$A163&amp;"'!"&amp;B$147)</f>
        <v>0.72497974012530975</v>
      </c>
      <c r="C163" s="118" cm="1">
        <f t="array" aca="1" ref="C163" ca="1">INDIRECT("'1"&amp;$A163&amp;"'!"&amp;C$147)</f>
        <v>0.13871221931916494</v>
      </c>
      <c r="D163" s="118" cm="1">
        <f t="array" aca="1" ref="D163" ca="1">INDIRECT("'1"&amp;$A163&amp;"'!"&amp;D$147)</f>
        <v>0.10892728105115472</v>
      </c>
      <c r="E163" s="118" cm="1">
        <f t="array" aca="1" ref="E163" ca="1">INDIRECT("'1"&amp;$A163&amp;"'!"&amp;E$147)</f>
        <v>2.7380759504370581E-2</v>
      </c>
      <c r="O163" s="88"/>
      <c r="P163" s="94"/>
      <c r="R163" s="94"/>
    </row>
    <row r="164" spans="1:18" s="1" customFormat="1" x14ac:dyDescent="0.3">
      <c r="A164" s="1" t="s">
        <v>227</v>
      </c>
      <c r="B164" s="118" cm="1">
        <f t="array" aca="1" ref="B164" ca="1">INDIRECT("'1"&amp;$A164&amp;"'!"&amp;B$147)</f>
        <v>0.70767009148121007</v>
      </c>
      <c r="C164" s="118" cm="1">
        <f t="array" aca="1" ref="C164" ca="1">INDIRECT("'1"&amp;$A164&amp;"'!"&amp;C$147)</f>
        <v>0.19493368218010654</v>
      </c>
      <c r="D164" s="118" cm="1">
        <f t="array" aca="1" ref="D164" ca="1">INDIRECT("'1"&amp;$A164&amp;"'!"&amp;D$147)</f>
        <v>9.0990312514681732E-2</v>
      </c>
      <c r="E164" s="118" cm="1">
        <f t="array" aca="1" ref="E164" ca="1">INDIRECT("'1"&amp;$A164&amp;"'!"&amp;E$147)</f>
        <v>6.4059138240016708E-3</v>
      </c>
      <c r="O164" s="91"/>
      <c r="P164" s="95"/>
      <c r="Q164" s="92"/>
      <c r="R164" s="95"/>
    </row>
    <row r="165" spans="1:18" s="1" customFormat="1" x14ac:dyDescent="0.3">
      <c r="A165" s="1" t="s">
        <v>225</v>
      </c>
      <c r="B165" s="118" cm="1">
        <f t="array" aca="1" ref="B165" ca="1">INDIRECT("'1"&amp;$A165&amp;"'!"&amp;B$147)</f>
        <v>0.70213848752245811</v>
      </c>
      <c r="C165" s="118" cm="1">
        <f t="array" aca="1" ref="C165" ca="1">INDIRECT("'1"&amp;$A165&amp;"'!"&amp;C$147)</f>
        <v>0.22511378395649023</v>
      </c>
      <c r="D165" s="118" cm="1">
        <f t="array" aca="1" ref="D165" ca="1">INDIRECT("'1"&amp;$A165&amp;"'!"&amp;D$147)</f>
        <v>5.7791466756538762E-2</v>
      </c>
      <c r="E165" s="118" cm="1">
        <f t="array" aca="1" ref="E165" ca="1">INDIRECT("'1"&amp;$A165&amp;"'!"&amp;E$147)</f>
        <v>1.4956261764512821E-2</v>
      </c>
      <c r="O165" s="88"/>
      <c r="P165" s="94"/>
      <c r="Q165" s="99"/>
      <c r="R165" s="100"/>
    </row>
    <row r="166" spans="1:18" s="1" customFormat="1" x14ac:dyDescent="0.3">
      <c r="A166" s="1" t="s">
        <v>252</v>
      </c>
      <c r="B166" s="118" cm="1">
        <f t="array" aca="1" ref="B166" ca="1">INDIRECT("'1"&amp;$A166&amp;"'!"&amp;B$147)</f>
        <v>0.69095160207736472</v>
      </c>
      <c r="C166" s="118" cm="1">
        <f t="array" aca="1" ref="C166" ca="1">INDIRECT("'1"&amp;$A166&amp;"'!"&amp;C$147)</f>
        <v>0.2366279875483833</v>
      </c>
      <c r="D166" s="118" cm="1">
        <f t="array" aca="1" ref="D166" ca="1">INDIRECT("'1"&amp;$A166&amp;"'!"&amp;D$147)</f>
        <v>5.0294228577534884E-2</v>
      </c>
      <c r="E166" s="118" cm="1">
        <f t="array" aca="1" ref="E166" ca="1">INDIRECT("'1"&amp;$A166&amp;"'!"&amp;E$147)</f>
        <v>2.2126181796717166E-2</v>
      </c>
      <c r="O166" s="88"/>
      <c r="P166" s="94"/>
      <c r="Q166" s="88"/>
      <c r="R166" s="94"/>
    </row>
    <row r="167" spans="1:18" s="1" customFormat="1" x14ac:dyDescent="0.3">
      <c r="A167" s="1" t="s">
        <v>210</v>
      </c>
      <c r="B167" s="118" cm="1">
        <f t="array" aca="1" ref="B167" ca="1">INDIRECT("'1"&amp;$A167&amp;"'!"&amp;B$147)</f>
        <v>0.69089609220865789</v>
      </c>
      <c r="C167" s="118" cm="1">
        <f t="array" aca="1" ref="C167" ca="1">INDIRECT("'1"&amp;$A167&amp;"'!"&amp;C$147)</f>
        <v>0.17960631045291311</v>
      </c>
      <c r="D167" s="118" cm="1">
        <f t="array" aca="1" ref="D167" ca="1">INDIRECT("'1"&amp;$A167&amp;"'!"&amp;D$147)</f>
        <v>0.1042794275010281</v>
      </c>
      <c r="E167" s="118" cm="1">
        <f t="array" aca="1" ref="E167" ca="1">INDIRECT("'1"&amp;$A167&amp;"'!"&amp;E$147)</f>
        <v>2.5218169837400897E-2</v>
      </c>
      <c r="O167" s="89"/>
      <c r="P167" s="96"/>
      <c r="Q167" s="88"/>
      <c r="R167" s="96"/>
    </row>
    <row r="168" spans="1:18" s="1" customFormat="1" x14ac:dyDescent="0.3">
      <c r="A168" s="1" t="s">
        <v>240</v>
      </c>
      <c r="B168" s="118" cm="1">
        <f t="array" aca="1" ref="B168" ca="1">INDIRECT("'1"&amp;$A168&amp;"'!"&amp;B$147)</f>
        <v>0.68879967755084304</v>
      </c>
      <c r="C168" s="118" cm="1">
        <f t="array" aca="1" ref="C168" ca="1">INDIRECT("'1"&amp;$A168&amp;"'!"&amp;C$147)</f>
        <v>0.24556965611605538</v>
      </c>
      <c r="D168" s="118" cm="1">
        <f t="array" aca="1" ref="D168" ca="1">INDIRECT("'1"&amp;$A168&amp;"'!"&amp;D$147)</f>
        <v>3.3952594925390857E-2</v>
      </c>
      <c r="E168" s="118" cm="1">
        <f t="array" aca="1" ref="E168" ca="1">INDIRECT("'1"&amp;$A168&amp;"'!"&amp;E$147)</f>
        <v>3.1678071407710603E-2</v>
      </c>
      <c r="O168" s="88"/>
      <c r="P168" s="94"/>
      <c r="Q168" s="88"/>
      <c r="R168" s="94"/>
    </row>
    <row r="169" spans="1:18" s="1" customFormat="1" x14ac:dyDescent="0.3">
      <c r="A169" s="1" t="s">
        <v>218</v>
      </c>
      <c r="B169" s="118" cm="1">
        <f t="array" aca="1" ref="B169" ca="1">INDIRECT("'1"&amp;$A169&amp;"'!"&amp;B$147)</f>
        <v>0.65411081250132441</v>
      </c>
      <c r="C169" s="118" cm="1">
        <f t="array" aca="1" ref="C169" ca="1">INDIRECT("'1"&amp;$A169&amp;"'!"&amp;C$147)</f>
        <v>0.25027188216296875</v>
      </c>
      <c r="D169" s="118" cm="1">
        <f t="array" aca="1" ref="D169" ca="1">INDIRECT("'1"&amp;$A169&amp;"'!"&amp;D$147)</f>
        <v>6.4498651613430102E-2</v>
      </c>
      <c r="E169" s="118" cm="1">
        <f t="array" aca="1" ref="E169" ca="1">INDIRECT("'1"&amp;$A169&amp;"'!"&amp;E$147)</f>
        <v>3.1118653722276689E-2</v>
      </c>
      <c r="O169" s="89"/>
      <c r="P169" s="96"/>
      <c r="Q169" s="88"/>
      <c r="R169" s="96"/>
    </row>
    <row r="170" spans="1:18" s="1" customFormat="1" x14ac:dyDescent="0.3">
      <c r="A170" s="1" t="s">
        <v>222</v>
      </c>
      <c r="B170" s="118" cm="1">
        <f t="array" aca="1" ref="B170" ca="1">INDIRECT("'1"&amp;$A170&amp;"'!"&amp;B$147)</f>
        <v>0.65297089549550147</v>
      </c>
      <c r="C170" s="118" cm="1">
        <f t="array" aca="1" ref="C170" ca="1">INDIRECT("'1"&amp;$A170&amp;"'!"&amp;C$147)</f>
        <v>0.26156270204758691</v>
      </c>
      <c r="D170" s="118" cm="1">
        <f t="array" aca="1" ref="D170" ca="1">INDIRECT("'1"&amp;$A170&amp;"'!"&amp;D$147)</f>
        <v>3.210296826592355E-2</v>
      </c>
      <c r="E170" s="118" cm="1">
        <f t="array" aca="1" ref="E170" ca="1">INDIRECT("'1"&amp;$A170&amp;"'!"&amp;E$147)</f>
        <v>5.3363434190987907E-2</v>
      </c>
      <c r="O170" s="88"/>
      <c r="P170" s="94"/>
      <c r="Q170" s="88"/>
      <c r="R170" s="94"/>
    </row>
    <row r="171" spans="1:18" s="1" customFormat="1" x14ac:dyDescent="0.3">
      <c r="A171" s="1" t="s">
        <v>3</v>
      </c>
      <c r="B171" s="118" cm="1">
        <f t="array" aca="1" ref="B171" ca="1">INDIRECT("'1"&amp;$A171&amp;"'!"&amp;B$147)</f>
        <v>0.65041857831115224</v>
      </c>
      <c r="C171" s="118" cm="1">
        <f t="array" aca="1" ref="C171" ca="1">INDIRECT("'1"&amp;$A171&amp;"'!"&amp;C$147)</f>
        <v>0.24169434510282167</v>
      </c>
      <c r="D171" s="118" cm="1">
        <f t="array" aca="1" ref="D171" ca="1">INDIRECT("'1"&amp;$A171&amp;"'!"&amp;D$147)</f>
        <v>8.0985994105524789E-2</v>
      </c>
      <c r="E171" s="118" cm="1">
        <f t="array" aca="1" ref="E171" ca="1">INDIRECT("'1"&amp;$A171&amp;"'!"&amp;E$147)</f>
        <v>2.6901082480501302E-2</v>
      </c>
      <c r="O171" s="89"/>
      <c r="P171" s="96"/>
      <c r="Q171" s="88"/>
      <c r="R171" s="96"/>
    </row>
    <row r="172" spans="1:18" s="1" customFormat="1" x14ac:dyDescent="0.3">
      <c r="A172" s="1" t="s">
        <v>204</v>
      </c>
      <c r="B172" s="118" cm="1">
        <f t="array" aca="1" ref="B172" ca="1">INDIRECT("'1"&amp;$A172&amp;"'!"&amp;B$147)</f>
        <v>0.64736777556873604</v>
      </c>
      <c r="C172" s="118" cm="1">
        <f t="array" aca="1" ref="C172" ca="1">INDIRECT("'1"&amp;$A172&amp;"'!"&amp;C$147)</f>
        <v>0.25655978164365628</v>
      </c>
      <c r="D172" s="118" cm="1">
        <f t="array" aca="1" ref="D172" ca="1">INDIRECT("'1"&amp;$A172&amp;"'!"&amp;D$147)</f>
        <v>7.1375316746022169E-2</v>
      </c>
      <c r="E172" s="118" cm="1">
        <f t="array" aca="1" ref="E172" ca="1">INDIRECT("'1"&amp;$A172&amp;"'!"&amp;E$147)</f>
        <v>2.4697126041585585E-2</v>
      </c>
      <c r="O172" s="88"/>
      <c r="P172" s="94"/>
      <c r="Q172" s="88"/>
      <c r="R172" s="94"/>
    </row>
    <row r="173" spans="1:18" s="1" customFormat="1" x14ac:dyDescent="0.3">
      <c r="A173" s="1" t="s">
        <v>249</v>
      </c>
      <c r="B173" s="118" cm="1">
        <f t="array" aca="1" ref="B173" ca="1">INDIRECT("'1"&amp;$A173&amp;"'!"&amp;B$147)</f>
        <v>0.64682344807286818</v>
      </c>
      <c r="C173" s="118" cm="1">
        <f t="array" aca="1" ref="C173" ca="1">INDIRECT("'1"&amp;$A173&amp;"'!"&amp;C$147)</f>
        <v>0.25417888859747939</v>
      </c>
      <c r="D173" s="118" cm="1">
        <f t="array" aca="1" ref="D173" ca="1">INDIRECT("'1"&amp;$A173&amp;"'!"&amp;D$147)</f>
        <v>7.3913284620388223E-2</v>
      </c>
      <c r="E173" s="118" cm="1">
        <f t="array" aca="1" ref="E173" ca="1">INDIRECT("'1"&amp;$A173&amp;"'!"&amp;E$147)</f>
        <v>2.5084378709264332E-2</v>
      </c>
      <c r="O173" s="88"/>
      <c r="P173" s="94"/>
      <c r="Q173" s="88"/>
      <c r="R173" s="94"/>
    </row>
    <row r="174" spans="1:18" s="1" customFormat="1" x14ac:dyDescent="0.3">
      <c r="A174" s="1" t="s">
        <v>247</v>
      </c>
      <c r="B174" s="118" cm="1">
        <f t="array" aca="1" ref="B174" ca="1">INDIRECT("'1"&amp;$A174&amp;"'!"&amp;B$147)</f>
        <v>0.61446280312246482</v>
      </c>
      <c r="C174" s="118" cm="1">
        <f t="array" aca="1" ref="C174" ca="1">INDIRECT("'1"&amp;$A174&amp;"'!"&amp;C$147)</f>
        <v>0.21918535943710515</v>
      </c>
      <c r="D174" s="118" cm="1">
        <f t="array" aca="1" ref="D174" ca="1">INDIRECT("'1"&amp;$A174&amp;"'!"&amp;D$147)</f>
        <v>9.2597355282247953E-2</v>
      </c>
      <c r="E174" s="118" cm="1">
        <f t="array" aca="1" ref="E174" ca="1">INDIRECT("'1"&amp;$A174&amp;"'!"&amp;E$147)</f>
        <v>7.3754482158181964E-2</v>
      </c>
      <c r="O174" s="88"/>
      <c r="P174" s="94"/>
      <c r="Q174" s="88"/>
      <c r="R174" s="94"/>
    </row>
    <row r="175" spans="1:18" s="1" customFormat="1" x14ac:dyDescent="0.3">
      <c r="A175" s="1" t="s">
        <v>223</v>
      </c>
      <c r="B175" s="118" cm="1">
        <f t="array" aca="1" ref="B175" ca="1">INDIRECT("'1"&amp;$A175&amp;"'!"&amp;B$147)</f>
        <v>0.59247786418241222</v>
      </c>
      <c r="C175" s="118" cm="1">
        <f t="array" aca="1" ref="C175" ca="1">INDIRECT("'1"&amp;$A175&amp;"'!"&amp;C$147)</f>
        <v>0.26964199603956468</v>
      </c>
      <c r="D175" s="118" cm="1">
        <f t="array" aca="1" ref="D175" ca="1">INDIRECT("'1"&amp;$A175&amp;"'!"&amp;D$147)</f>
        <v>5.7872323586390315E-2</v>
      </c>
      <c r="E175" s="118" cm="1">
        <f t="array" aca="1" ref="E175" ca="1">INDIRECT("'1"&amp;$A175&amp;"'!"&amp;E$147)</f>
        <v>8.0007816191632775E-2</v>
      </c>
      <c r="O175" s="89"/>
      <c r="P175" s="96"/>
      <c r="Q175" s="88"/>
      <c r="R175" s="96"/>
    </row>
    <row r="176" spans="1:18" s="1" customFormat="1" x14ac:dyDescent="0.3">
      <c r="A176" s="1" t="s">
        <v>234</v>
      </c>
      <c r="B176" s="118" cm="1">
        <f t="array" aca="1" ref="B176" ca="1">INDIRECT("'1"&amp;$A176&amp;"'!"&amp;B$147)</f>
        <v>0.56609190904926798</v>
      </c>
      <c r="C176" s="118" cm="1">
        <f t="array" aca="1" ref="C176" ca="1">INDIRECT("'1"&amp;$A176&amp;"'!"&amp;C$147)</f>
        <v>0.30906101515244833</v>
      </c>
      <c r="D176" s="118" cm="1">
        <f t="array" aca="1" ref="D176" ca="1">INDIRECT("'1"&amp;$A176&amp;"'!"&amp;D$147)</f>
        <v>0.10529466971932921</v>
      </c>
      <c r="E176" s="118" cm="1">
        <f t="array" aca="1" ref="E176" ca="1">INDIRECT("'1"&amp;$A176&amp;"'!"&amp;E$147)</f>
        <v>1.9552406078954476E-2</v>
      </c>
      <c r="O176" s="89"/>
      <c r="P176" s="96"/>
      <c r="Q176" s="88"/>
      <c r="R176" s="96"/>
    </row>
    <row r="177" spans="1:18" s="1" customFormat="1" x14ac:dyDescent="0.3">
      <c r="A177" s="1" t="s">
        <v>217</v>
      </c>
      <c r="B177" s="118" cm="1">
        <f t="array" aca="1" ref="B177" ca="1">INDIRECT("'1"&amp;$A177&amp;"'!"&amp;B$147)</f>
        <v>0.4497459959211188</v>
      </c>
      <c r="C177" s="118" cm="1">
        <f t="array" aca="1" ref="C177" ca="1">INDIRECT("'1"&amp;$A177&amp;"'!"&amp;C$147)</f>
        <v>0.32533052347904917</v>
      </c>
      <c r="D177" s="118" cm="1">
        <f t="array" aca="1" ref="D177" ca="1">INDIRECT("'1"&amp;$A177&amp;"'!"&amp;D$147)</f>
        <v>0.18657030429897492</v>
      </c>
      <c r="E177" s="118" cm="1">
        <f t="array" aca="1" ref="E177" ca="1">INDIRECT("'1"&amp;$A177&amp;"'!"&amp;E$147)</f>
        <v>3.8353176300857279E-2</v>
      </c>
      <c r="O177" s="88"/>
      <c r="P177" s="94"/>
      <c r="Q177" s="88"/>
      <c r="R177" s="94"/>
    </row>
    <row r="178" spans="1:18" s="1" customFormat="1" x14ac:dyDescent="0.3">
      <c r="O178" s="88"/>
      <c r="P178" s="94"/>
      <c r="Q178" s="88"/>
      <c r="R178" s="94"/>
    </row>
    <row r="179" spans="1:18" s="1" customFormat="1" x14ac:dyDescent="0.3">
      <c r="O179" s="88"/>
      <c r="P179" s="94"/>
      <c r="Q179" s="88"/>
      <c r="R179" s="94"/>
    </row>
    <row r="180" spans="1:18" s="1" customFormat="1" x14ac:dyDescent="0.3">
      <c r="O180" s="91"/>
      <c r="P180" s="95"/>
      <c r="Q180" s="91"/>
      <c r="R180" s="95"/>
    </row>
    <row r="181" spans="1:18" s="85" customFormat="1" ht="36.6" customHeight="1" x14ac:dyDescent="0.3">
      <c r="A181" s="184" t="s">
        <v>610</v>
      </c>
      <c r="B181" s="541"/>
      <c r="C181" s="542"/>
      <c r="D181" s="542"/>
      <c r="E181" s="542"/>
      <c r="F181" s="542"/>
      <c r="G181" s="542"/>
      <c r="H181" s="542"/>
      <c r="I181" s="542"/>
      <c r="J181" s="542"/>
      <c r="K181" s="542"/>
      <c r="L181" s="542"/>
      <c r="M181" s="542"/>
      <c r="N181" s="543"/>
      <c r="O181" s="87"/>
      <c r="P181" s="93"/>
      <c r="R181" s="93"/>
    </row>
    <row r="182" spans="1:18" s="1" customFormat="1" x14ac:dyDescent="0.3">
      <c r="O182" s="88"/>
      <c r="P182" s="94"/>
      <c r="R182" s="94"/>
    </row>
    <row r="183" spans="1:18" s="1" customFormat="1" x14ac:dyDescent="0.3">
      <c r="A183" s="1" t="s">
        <v>289</v>
      </c>
      <c r="B183" s="1" t="s">
        <v>339</v>
      </c>
      <c r="C183" s="1" t="s">
        <v>340</v>
      </c>
      <c r="D183" s="1" t="s">
        <v>341</v>
      </c>
      <c r="E183" s="1" t="s">
        <v>342</v>
      </c>
      <c r="F183" s="1" t="s">
        <v>343</v>
      </c>
      <c r="G183" s="1" t="s">
        <v>344</v>
      </c>
      <c r="O183" s="88"/>
      <c r="P183" s="94"/>
      <c r="R183" s="94"/>
    </row>
    <row r="184" spans="1:18" s="1" customFormat="1" ht="64.2" customHeight="1" x14ac:dyDescent="0.3">
      <c r="A184" s="109" t="s">
        <v>338</v>
      </c>
      <c r="B184" s="119" t="s">
        <v>345</v>
      </c>
      <c r="C184" s="185" t="s">
        <v>346</v>
      </c>
      <c r="D184" s="44" t="s">
        <v>347</v>
      </c>
      <c r="E184" s="44" t="s">
        <v>348</v>
      </c>
      <c r="F184" s="119" t="s">
        <v>561</v>
      </c>
      <c r="G184" s="119" t="s">
        <v>349</v>
      </c>
      <c r="H184"/>
      <c r="I184" s="187" t="s">
        <v>338</v>
      </c>
      <c r="J184" s="188" t="s">
        <v>350</v>
      </c>
      <c r="O184" s="91"/>
      <c r="P184" s="95"/>
      <c r="R184" s="94"/>
    </row>
    <row r="185" spans="1:18" s="1" customFormat="1" x14ac:dyDescent="0.3">
      <c r="A185" s="1" t="s">
        <v>227</v>
      </c>
      <c r="B185" s="118" cm="1">
        <f t="array" aca="1" ref="B185" ca="1">INDIRECT("'1"&amp;$A185&amp;"'!"&amp;B$183)</f>
        <v>15.963023023770544</v>
      </c>
      <c r="C185" s="118" cm="1">
        <f t="array" aca="1" ref="C185" ca="1">INDIRECT("'1"&amp;$A185&amp;"'!"&amp;C$183)</f>
        <v>31.417806921408285</v>
      </c>
      <c r="D185" s="118" cm="1">
        <f t="array" aca="1" ref="D185" ca="1">IF(INDIRECT("'1"&amp;$A185&amp;"'!"&amp;D$183)&lt;&gt;0,INDIRECT("'1"&amp;$A185&amp;"'!"&amp;D$183),"")</f>
        <v>14.584975030040964</v>
      </c>
      <c r="E185" s="118" cm="1">
        <f t="array" aca="1" ref="E185" ca="1">IF(INDIRECT("'1"&amp;$A185&amp;"'!"&amp;E$183)&lt;&gt;0,INDIRECT("'1"&amp;$A185&amp;"'!"&amp;E$183),"")</f>
        <v>25.652533318401062</v>
      </c>
      <c r="F185" s="41" cm="1">
        <f t="array" aca="1" ref="F185" ca="1">INDIRECT("'1"&amp;$A185&amp;"'!"&amp;D$183)+INDIRECT("'1"&amp;$A185&amp;"'!"&amp;E$183)</f>
        <v>40.237508348442027</v>
      </c>
      <c r="G185" s="41" cm="1">
        <f t="array" aca="1" ref="G185" ca="1">INDIRECT("'1"&amp;$A185&amp;"'!"&amp;B$183)+INDIRECT("'1"&amp;$A185&amp;"'!"&amp;C$183)</f>
        <v>47.380829945178832</v>
      </c>
      <c r="I185" s="1" t="s">
        <v>238</v>
      </c>
      <c r="J185" s="191" cm="1">
        <f t="array" aca="1" ref="J185" ca="1">IF(INDIRECT("'1"&amp;$I185&amp;"'!"&amp;D$183)&lt;&gt;0,INDIRECT("'1"&amp;$I185&amp;"'!"&amp;B$183)+INDIRECT("'1"&amp;$I185&amp;"'!"&amp;C$183)-INDIRECT("'1"&amp;$I185&amp;"'!"&amp;D$183)-INDIRECT("'1"&amp;$I185&amp;"'!"&amp;E$183),"")</f>
        <v>6.183495141465265</v>
      </c>
      <c r="O185" s="88"/>
      <c r="P185" s="94"/>
      <c r="R185" s="94"/>
    </row>
    <row r="186" spans="1:18" s="1" customFormat="1" x14ac:dyDescent="0.3">
      <c r="A186" s="1" t="s">
        <v>254</v>
      </c>
      <c r="B186" s="118" cm="1">
        <f t="array" aca="1" ref="B186" ca="1">INDIRECT("'1"&amp;$A186&amp;"'!"&amp;B$183)</f>
        <v>19.502003694353011</v>
      </c>
      <c r="C186" s="118" cm="1">
        <f t="array" aca="1" ref="C186" ca="1">INDIRECT("'1"&amp;$A186&amp;"'!"&amp;C$183)</f>
        <v>32.073496154309396</v>
      </c>
      <c r="D186" s="118" cm="1">
        <f t="array" aca="1" ref="D186" ca="1">IF(INDIRECT("'1"&amp;$A186&amp;"'!"&amp;D$183)&lt;&gt;0,INDIRECT("'1"&amp;$A186&amp;"'!"&amp;D$183),"")</f>
        <v>17.454705608526453</v>
      </c>
      <c r="E186" s="118" cm="1">
        <f t="array" aca="1" ref="E186" ca="1">IF(INDIRECT("'1"&amp;$A186&amp;"'!"&amp;E$183)&lt;&gt;0,INDIRECT("'1"&amp;$A186&amp;"'!"&amp;E$183),"")</f>
        <v>24.270622505651332</v>
      </c>
      <c r="F186" s="41" cm="1">
        <f t="array" aca="1" ref="F186" ca="1">INDIRECT("'1"&amp;$A186&amp;"'!"&amp;D$183)+INDIRECT("'1"&amp;$A186&amp;"'!"&amp;E$183)</f>
        <v>41.725328114177785</v>
      </c>
      <c r="G186" s="41" cm="1">
        <f t="array" aca="1" ref="G186" ca="1">INDIRECT("'1"&amp;$A186&amp;"'!"&amp;B$183)+INDIRECT("'1"&amp;$A186&amp;"'!"&amp;C$183)</f>
        <v>51.575499848662403</v>
      </c>
      <c r="I186" s="1" t="s">
        <v>227</v>
      </c>
      <c r="J186" s="191" cm="1">
        <f t="array" aca="1" ref="J186" ca="1">IF(INDIRECT("'1"&amp;$I186&amp;"'!"&amp;D$183)&lt;&gt;0,INDIRECT("'1"&amp;$I186&amp;"'!"&amp;B$183)+INDIRECT("'1"&amp;$I186&amp;"'!"&amp;C$183)-INDIRECT("'1"&amp;$I186&amp;"'!"&amp;D$183)-INDIRECT("'1"&amp;$I186&amp;"'!"&amp;E$183),"")</f>
        <v>7.1433215967368042</v>
      </c>
      <c r="O186" s="88"/>
      <c r="P186" s="94"/>
      <c r="R186" s="94"/>
    </row>
    <row r="187" spans="1:18" s="1" customFormat="1" x14ac:dyDescent="0.3">
      <c r="A187" s="1" t="s">
        <v>222</v>
      </c>
      <c r="B187" s="118" cm="1">
        <f t="array" aca="1" ref="B187" ca="1">INDIRECT("'1"&amp;$A187&amp;"'!"&amp;B$183)</f>
        <v>16.314696937439511</v>
      </c>
      <c r="C187" s="118" cm="1">
        <f t="array" aca="1" ref="C187" ca="1">INDIRECT("'1"&amp;$A187&amp;"'!"&amp;C$183)</f>
        <v>35.96407517655603</v>
      </c>
      <c r="D187" s="118" cm="1">
        <f t="array" aca="1" ref="D187" ca="1">IF(INDIRECT("'1"&amp;$A187&amp;"'!"&amp;D$183)&lt;&gt;0,INDIRECT("'1"&amp;$A187&amp;"'!"&amp;D$183),"")</f>
        <v>14.836584528698179</v>
      </c>
      <c r="E187" s="118" cm="1">
        <f t="array" aca="1" ref="E187" ca="1">IF(INDIRECT("'1"&amp;$A187&amp;"'!"&amp;E$183)&lt;&gt;0,INDIRECT("'1"&amp;$A187&amp;"'!"&amp;E$183),"")</f>
        <v>25.156199040804765</v>
      </c>
      <c r="F187" s="41" cm="1">
        <f t="array" aca="1" ref="F187" ca="1">INDIRECT("'1"&amp;$A187&amp;"'!"&amp;D$183)+INDIRECT("'1"&amp;$A187&amp;"'!"&amp;E$183)</f>
        <v>39.992783569502947</v>
      </c>
      <c r="G187" s="41" cm="1">
        <f t="array" aca="1" ref="G187" ca="1">INDIRECT("'1"&amp;$A187&amp;"'!"&amp;B$183)+INDIRECT("'1"&amp;$A187&amp;"'!"&amp;C$183)</f>
        <v>52.278772113995544</v>
      </c>
      <c r="I187" s="1" t="s">
        <v>254</v>
      </c>
      <c r="J187" s="191" cm="1">
        <f t="array" aca="1" ref="J187" ca="1">IF(INDIRECT("'1"&amp;$I187&amp;"'!"&amp;D$183)&lt;&gt;0,INDIRECT("'1"&amp;$I187&amp;"'!"&amp;B$183)+INDIRECT("'1"&amp;$I187&amp;"'!"&amp;C$183)-INDIRECT("'1"&amp;$I187&amp;"'!"&amp;D$183)-INDIRECT("'1"&amp;$I187&amp;"'!"&amp;E$183),"")</f>
        <v>9.8501717344846185</v>
      </c>
      <c r="O187" s="89"/>
      <c r="P187" s="96"/>
      <c r="Q187" s="86"/>
      <c r="R187" s="96"/>
    </row>
    <row r="188" spans="1:18" s="1" customFormat="1" x14ac:dyDescent="0.3">
      <c r="A188" s="1" t="s">
        <v>242</v>
      </c>
      <c r="B188" s="118" cm="1">
        <f t="array" aca="1" ref="B188" ca="1">INDIRECT("'1"&amp;$A188&amp;"'!"&amp;B$183)</f>
        <v>18.78277817538314</v>
      </c>
      <c r="C188" s="118" cm="1">
        <f t="array" aca="1" ref="C188" ca="1">INDIRECT("'1"&amp;$A188&amp;"'!"&amp;C$183)</f>
        <v>36.810683729000601</v>
      </c>
      <c r="D188" s="118" cm="1">
        <f t="array" aca="1" ref="D188" ca="1">IF(INDIRECT("'1"&amp;$A188&amp;"'!"&amp;D$183)&lt;&gt;0,INDIRECT("'1"&amp;$A188&amp;"'!"&amp;D$183),"")</f>
        <v>16.239184537605485</v>
      </c>
      <c r="E188" s="118" cm="1">
        <f t="array" aca="1" ref="E188" ca="1">IF(INDIRECT("'1"&amp;$A188&amp;"'!"&amp;E$183)&lt;&gt;0,INDIRECT("'1"&amp;$A188&amp;"'!"&amp;E$183),"")</f>
        <v>28.517987480356854</v>
      </c>
      <c r="F188" s="41" cm="1">
        <f t="array" aca="1" ref="F188" ca="1">INDIRECT("'1"&amp;$A188&amp;"'!"&amp;D$183)+INDIRECT("'1"&amp;$A188&amp;"'!"&amp;E$183)</f>
        <v>44.75717201796234</v>
      </c>
      <c r="G188" s="41" cm="1">
        <f t="array" aca="1" ref="G188" ca="1">INDIRECT("'1"&amp;$A188&amp;"'!"&amp;B$183)+INDIRECT("'1"&amp;$A188&amp;"'!"&amp;C$183)</f>
        <v>55.593461904383744</v>
      </c>
      <c r="I188" s="1" t="s">
        <v>242</v>
      </c>
      <c r="J188" s="191" cm="1">
        <f t="array" aca="1" ref="J188" ca="1">IF(INDIRECT("'1"&amp;$I188&amp;"'!"&amp;D$183)&lt;&gt;0,INDIRECT("'1"&amp;$I188&amp;"'!"&amp;B$183)+INDIRECT("'1"&amp;$I188&amp;"'!"&amp;C$183)-INDIRECT("'1"&amp;$I188&amp;"'!"&amp;D$183)-INDIRECT("'1"&amp;$I188&amp;"'!"&amp;E$183),"")</f>
        <v>10.836289886421408</v>
      </c>
      <c r="O188" s="88"/>
      <c r="P188" s="94"/>
      <c r="R188" s="94"/>
    </row>
    <row r="189" spans="1:18" s="1" customFormat="1" x14ac:dyDescent="0.3">
      <c r="A189" s="1" t="s">
        <v>238</v>
      </c>
      <c r="B189" s="118" cm="1">
        <f t="array" aca="1" ref="B189" ca="1">INDIRECT("'1"&amp;$A189&amp;"'!"&amp;B$183)</f>
        <v>19.109378803438744</v>
      </c>
      <c r="C189" s="118" cm="1">
        <f t="array" aca="1" ref="C189" ca="1">INDIRECT("'1"&amp;$A189&amp;"'!"&amp;C$183)</f>
        <v>36.960416412311169</v>
      </c>
      <c r="D189" s="118" cm="1">
        <f t="array" aca="1" ref="D189" ca="1">IF(INDIRECT("'1"&amp;$A189&amp;"'!"&amp;D$183)&lt;&gt;0,INDIRECT("'1"&amp;$A189&amp;"'!"&amp;D$183),"")</f>
        <v>17.850018443428272</v>
      </c>
      <c r="E189" s="118" cm="1">
        <f t="array" aca="1" ref="E189" ca="1">IF(INDIRECT("'1"&amp;$A189&amp;"'!"&amp;E$183)&lt;&gt;0,INDIRECT("'1"&amp;$A189&amp;"'!"&amp;E$183),"")</f>
        <v>32.036281630856372</v>
      </c>
      <c r="F189" s="41" cm="1">
        <f t="array" aca="1" ref="F189" ca="1">INDIRECT("'1"&amp;$A189&amp;"'!"&amp;D$183)+INDIRECT("'1"&amp;$A189&amp;"'!"&amp;E$183)</f>
        <v>49.886300074284648</v>
      </c>
      <c r="G189" s="41" cm="1">
        <f t="array" aca="1" ref="G189" ca="1">INDIRECT("'1"&amp;$A189&amp;"'!"&amp;B$183)+INDIRECT("'1"&amp;$A189&amp;"'!"&amp;C$183)</f>
        <v>56.069795215749913</v>
      </c>
      <c r="I189" s="1" t="s">
        <v>222</v>
      </c>
      <c r="J189" s="191" cm="1">
        <f t="array" aca="1" ref="J189" ca="1">IF(INDIRECT("'1"&amp;$I189&amp;"'!"&amp;D$183)&lt;&gt;0,INDIRECT("'1"&amp;$I189&amp;"'!"&amp;B$183)+INDIRECT("'1"&amp;$I189&amp;"'!"&amp;C$183)-INDIRECT("'1"&amp;$I189&amp;"'!"&amp;D$183)-INDIRECT("'1"&amp;$I189&amp;"'!"&amp;E$183),"")</f>
        <v>12.285988544492596</v>
      </c>
      <c r="O189" s="89"/>
      <c r="P189" s="96"/>
      <c r="Q189" s="86"/>
      <c r="R189" s="96"/>
    </row>
    <row r="190" spans="1:18" s="1" customFormat="1" x14ac:dyDescent="0.3">
      <c r="A190" s="1" t="s">
        <v>214</v>
      </c>
      <c r="B190" s="118" cm="1">
        <f t="array" aca="1" ref="B190" ca="1">INDIRECT("'1"&amp;$A190&amp;"'!"&amp;B$183)</f>
        <v>20.439519878993593</v>
      </c>
      <c r="C190" s="118" cm="1">
        <f t="array" aca="1" ref="C190" ca="1">INDIRECT("'1"&amp;$A190&amp;"'!"&amp;C$183)</f>
        <v>37.336169143459067</v>
      </c>
      <c r="D190" s="118" cm="1">
        <f t="array" aca="1" ref="D190" ca="1">IF(INDIRECT("'1"&amp;$A190&amp;"'!"&amp;D$183)&lt;&gt;0,INDIRECT("'1"&amp;$A190&amp;"'!"&amp;D$183),"")</f>
        <v>15.970494308933155</v>
      </c>
      <c r="E190" s="118" cm="1">
        <f t="array" aca="1" ref="E190" ca="1">IF(INDIRECT("'1"&amp;$A190&amp;"'!"&amp;E$183)&lt;&gt;0,INDIRECT("'1"&amp;$A190&amp;"'!"&amp;E$183),"")</f>
        <v>26.3001749775765</v>
      </c>
      <c r="F190" s="41" cm="1">
        <f t="array" aca="1" ref="F190" ca="1">INDIRECT("'1"&amp;$A190&amp;"'!"&amp;D$183)+INDIRECT("'1"&amp;$A190&amp;"'!"&amp;E$183)</f>
        <v>42.270669286509658</v>
      </c>
      <c r="G190" s="41" cm="1">
        <f t="array" aca="1" ref="G190" ca="1">INDIRECT("'1"&amp;$A190&amp;"'!"&amp;B$183)+INDIRECT("'1"&amp;$A190&amp;"'!"&amp;C$183)</f>
        <v>57.77568902245266</v>
      </c>
      <c r="I190" s="1" t="s">
        <v>214</v>
      </c>
      <c r="J190" s="191" cm="1">
        <f t="array" aca="1" ref="J190" ca="1">IF(INDIRECT("'1"&amp;$I190&amp;"'!"&amp;D$183)&lt;&gt;0,INDIRECT("'1"&amp;$I190&amp;"'!"&amp;B$183)+INDIRECT("'1"&amp;$I190&amp;"'!"&amp;C$183)-INDIRECT("'1"&amp;$I190&amp;"'!"&amp;D$183)-INDIRECT("'1"&amp;$I190&amp;"'!"&amp;E$183),"")</f>
        <v>15.505019735943005</v>
      </c>
      <c r="O190" s="88"/>
      <c r="P190" s="94"/>
      <c r="R190" s="94"/>
    </row>
    <row r="191" spans="1:18" s="1" customFormat="1" x14ac:dyDescent="0.3">
      <c r="A191" s="1" t="s">
        <v>204</v>
      </c>
      <c r="B191" s="118" cm="1">
        <f t="array" aca="1" ref="B191" ca="1">INDIRECT("'1"&amp;$A191&amp;"'!"&amp;B$183)</f>
        <v>19.209735931914111</v>
      </c>
      <c r="C191" s="118" cm="1">
        <f t="array" aca="1" ref="C191" ca="1">INDIRECT("'1"&amp;$A191&amp;"'!"&amp;C$183)</f>
        <v>39.719519720654581</v>
      </c>
      <c r="D191" s="118" cm="1">
        <f t="array" aca="1" ref="D191" ca="1">IF(INDIRECT("'1"&amp;$A191&amp;"'!"&amp;D$183)&lt;&gt;0,INDIRECT("'1"&amp;$A191&amp;"'!"&amp;D$183),"")</f>
        <v>15.434180840930797</v>
      </c>
      <c r="E191" s="118" cm="1">
        <f t="array" aca="1" ref="E191" ca="1">IF(INDIRECT("'1"&amp;$A191&amp;"'!"&amp;E$183)&lt;&gt;0,INDIRECT("'1"&amp;$A191&amp;"'!"&amp;E$183),"")</f>
        <v>24.757292491598008</v>
      </c>
      <c r="F191" s="41" cm="1">
        <f t="array" aca="1" ref="F191" ca="1">INDIRECT("'1"&amp;$A191&amp;"'!"&amp;D$183)+INDIRECT("'1"&amp;$A191&amp;"'!"&amp;E$183)</f>
        <v>40.191473332528801</v>
      </c>
      <c r="G191" s="41" cm="1">
        <f t="array" aca="1" ref="G191" ca="1">INDIRECT("'1"&amp;$A191&amp;"'!"&amp;B$183)+INDIRECT("'1"&amp;$A191&amp;"'!"&amp;C$183)</f>
        <v>58.929255652568692</v>
      </c>
      <c r="I191" s="1" t="s">
        <v>234</v>
      </c>
      <c r="J191" s="191" cm="1">
        <f t="array" aca="1" ref="J191" ca="1">IF(INDIRECT("'1"&amp;$I191&amp;"'!"&amp;D$183)&lt;&gt;0,INDIRECT("'1"&amp;$I191&amp;"'!"&amp;B$183)+INDIRECT("'1"&amp;$I191&amp;"'!"&amp;C$183)-INDIRECT("'1"&amp;$I191&amp;"'!"&amp;D$183)-INDIRECT("'1"&amp;$I191&amp;"'!"&amp;E$183),"")</f>
        <v>16.154058520362607</v>
      </c>
      <c r="O191" s="89"/>
      <c r="P191" s="96"/>
      <c r="Q191" s="86"/>
      <c r="R191" s="96"/>
    </row>
    <row r="192" spans="1:18" s="1" customFormat="1" x14ac:dyDescent="0.3">
      <c r="A192" s="1" t="s">
        <v>252</v>
      </c>
      <c r="B192" s="118" cm="1">
        <f t="array" aca="1" ref="B192" ca="1">INDIRECT("'1"&amp;$A192&amp;"'!"&amp;B$183)</f>
        <v>18.109522080222735</v>
      </c>
      <c r="C192" s="118" cm="1">
        <f t="array" aca="1" ref="C192" ca="1">INDIRECT("'1"&amp;$A192&amp;"'!"&amp;C$183)</f>
        <v>41.61494735172564</v>
      </c>
      <c r="D192" s="118" cm="1">
        <f t="array" aca="1" ref="D192" ca="1">IF(INDIRECT("'1"&amp;$A192&amp;"'!"&amp;D$183)&lt;&gt;0,INDIRECT("'1"&amp;$A192&amp;"'!"&amp;D$183),"")</f>
        <v>14.53239878301043</v>
      </c>
      <c r="E192" s="118" cm="1">
        <f t="array" aca="1" ref="E192" ca="1">IF(INDIRECT("'1"&amp;$A192&amp;"'!"&amp;E$183)&lt;&gt;0,INDIRECT("'1"&amp;$A192&amp;"'!"&amp;E$183),"")</f>
        <v>23.311033201992633</v>
      </c>
      <c r="F192" s="41" cm="1">
        <f t="array" aca="1" ref="F192" ca="1">INDIRECT("'1"&amp;$A192&amp;"'!"&amp;D$183)+INDIRECT("'1"&amp;$A192&amp;"'!"&amp;E$183)</f>
        <v>37.843431985003065</v>
      </c>
      <c r="G192" s="41" cm="1">
        <f t="array" aca="1" ref="G192" ca="1">INDIRECT("'1"&amp;$A192&amp;"'!"&amp;B$183)+INDIRECT("'1"&amp;$A192&amp;"'!"&amp;C$183)</f>
        <v>59.724469431948378</v>
      </c>
      <c r="I192" s="1" t="s">
        <v>223</v>
      </c>
      <c r="J192" s="191" cm="1">
        <f t="array" aca="1" ref="J192" ca="1">IF(INDIRECT("'1"&amp;$I192&amp;"'!"&amp;D$183)&lt;&gt;0,INDIRECT("'1"&amp;$I192&amp;"'!"&amp;B$183)+INDIRECT("'1"&amp;$I192&amp;"'!"&amp;C$183)-INDIRECT("'1"&amp;$I192&amp;"'!"&amp;D$183)-INDIRECT("'1"&amp;$I192&amp;"'!"&amp;E$183),"")</f>
        <v>16.186549474799868</v>
      </c>
      <c r="O192" s="88"/>
      <c r="P192" s="94"/>
      <c r="R192" s="94"/>
    </row>
    <row r="193" spans="1:18" s="1" customFormat="1" x14ac:dyDescent="0.3">
      <c r="A193" s="1" t="s">
        <v>223</v>
      </c>
      <c r="B193" s="118" cm="1">
        <f t="array" aca="1" ref="B193" ca="1">INDIRECT("'1"&amp;$A193&amp;"'!"&amp;B$183)</f>
        <v>15.799603570559078</v>
      </c>
      <c r="C193" s="118" cm="1">
        <f t="array" aca="1" ref="C193" ca="1">INDIRECT("'1"&amp;$A193&amp;"'!"&amp;C$183)</f>
        <v>43.953922187560309</v>
      </c>
      <c r="D193" s="118" cm="1">
        <f t="array" aca="1" ref="D193" ca="1">IF(INDIRECT("'1"&amp;$A193&amp;"'!"&amp;D$183)&lt;&gt;0,INDIRECT("'1"&amp;$A193&amp;"'!"&amp;D$183),"")</f>
        <v>14.940135036246001</v>
      </c>
      <c r="E193" s="118" cm="1">
        <f t="array" aca="1" ref="E193" ca="1">IF(INDIRECT("'1"&amp;$A193&amp;"'!"&amp;E$183)&lt;&gt;0,INDIRECT("'1"&amp;$A193&amp;"'!"&amp;E$183),"")</f>
        <v>28.626841247073521</v>
      </c>
      <c r="F193" s="41" cm="1">
        <f t="array" aca="1" ref="F193" ca="1">INDIRECT("'1"&amp;$A193&amp;"'!"&amp;D$183)+INDIRECT("'1"&amp;$A193&amp;"'!"&amp;E$183)</f>
        <v>43.566976283319519</v>
      </c>
      <c r="G193" s="41" cm="1">
        <f t="array" aca="1" ref="G193" ca="1">INDIRECT("'1"&amp;$A193&amp;"'!"&amp;B$183)+INDIRECT("'1"&amp;$A193&amp;"'!"&amp;C$183)</f>
        <v>59.753525758119387</v>
      </c>
      <c r="I193" s="1" t="s">
        <v>204</v>
      </c>
      <c r="J193" s="191" cm="1">
        <f t="array" aca="1" ref="J193" ca="1">IF(INDIRECT("'1"&amp;$I193&amp;"'!"&amp;D$183)&lt;&gt;0,INDIRECT("'1"&amp;$I193&amp;"'!"&amp;B$183)+INDIRECT("'1"&amp;$I193&amp;"'!"&amp;C$183)-INDIRECT("'1"&amp;$I193&amp;"'!"&amp;D$183)-INDIRECT("'1"&amp;$I193&amp;"'!"&amp;E$183),"")</f>
        <v>18.737782320039884</v>
      </c>
      <c r="O193" s="88"/>
      <c r="P193" s="94"/>
      <c r="R193" s="94"/>
    </row>
    <row r="194" spans="1:18" s="1" customFormat="1" x14ac:dyDescent="0.3">
      <c r="A194" s="1" t="s">
        <v>234</v>
      </c>
      <c r="B194" s="118" cm="1">
        <f t="array" aca="1" ref="B194" ca="1">INDIRECT("'1"&amp;$A194&amp;"'!"&amp;B$183)</f>
        <v>18.452723331652276</v>
      </c>
      <c r="C194" s="118" cm="1">
        <f t="array" aca="1" ref="C194" ca="1">INDIRECT("'1"&amp;$A194&amp;"'!"&amp;C$183)</f>
        <v>42.717687848848897</v>
      </c>
      <c r="D194" s="118" cm="1">
        <f t="array" aca="1" ref="D194" ca="1">IF(INDIRECT("'1"&amp;$A194&amp;"'!"&amp;D$183)&lt;&gt;0,INDIRECT("'1"&amp;$A194&amp;"'!"&amp;D$183),"")</f>
        <v>16.467463450074042</v>
      </c>
      <c r="E194" s="118" cm="1">
        <f t="array" aca="1" ref="E194" ca="1">IF(INDIRECT("'1"&amp;$A194&amp;"'!"&amp;E$183)&lt;&gt;0,INDIRECT("'1"&amp;$A194&amp;"'!"&amp;E$183),"")</f>
        <v>28.548889210064527</v>
      </c>
      <c r="F194" s="41" cm="1">
        <f t="array" aca="1" ref="F194" ca="1">INDIRECT("'1"&amp;$A194&amp;"'!"&amp;D$183)+INDIRECT("'1"&amp;$A194&amp;"'!"&amp;E$183)</f>
        <v>45.016352660138566</v>
      </c>
      <c r="G194" s="41" cm="1">
        <f t="array" aca="1" ref="G194" ca="1">INDIRECT("'1"&amp;$A194&amp;"'!"&amp;B$183)+INDIRECT("'1"&amp;$A194&amp;"'!"&amp;C$183)</f>
        <v>61.170411180501176</v>
      </c>
      <c r="I194" s="1" t="s">
        <v>210</v>
      </c>
      <c r="J194" s="191" cm="1">
        <f t="array" aca="1" ref="J194" ca="1">IF(INDIRECT("'1"&amp;$I194&amp;"'!"&amp;D$183)&lt;&gt;0,INDIRECT("'1"&amp;$I194&amp;"'!"&amp;B$183)+INDIRECT("'1"&amp;$I194&amp;"'!"&amp;C$183)-INDIRECT("'1"&amp;$I194&amp;"'!"&amp;D$183)-INDIRECT("'1"&amp;$I194&amp;"'!"&amp;E$183),"")</f>
        <v>20.065942869319013</v>
      </c>
      <c r="O194" s="88"/>
      <c r="P194" s="94"/>
      <c r="R194" s="94"/>
    </row>
    <row r="195" spans="1:18" s="1" customFormat="1" x14ac:dyDescent="0.3">
      <c r="A195" s="1" t="s">
        <v>240</v>
      </c>
      <c r="B195" s="118" cm="1">
        <f t="array" aca="1" ref="B195" ca="1">INDIRECT("'1"&amp;$A195&amp;"'!"&amp;B$183)</f>
        <v>19.342753203326897</v>
      </c>
      <c r="C195" s="118" cm="1">
        <f t="array" aca="1" ref="C195" ca="1">INDIRECT("'1"&amp;$A195&amp;"'!"&amp;C$183)</f>
        <v>44.492737169988757</v>
      </c>
      <c r="D195" s="118" cm="1">
        <f t="array" aca="1" ref="D195" ca="1">IF(INDIRECT("'1"&amp;$A195&amp;"'!"&amp;D$183)&lt;&gt;0,INDIRECT("'1"&amp;$A195&amp;"'!"&amp;D$183),"")</f>
        <v>15.997902243606553</v>
      </c>
      <c r="E195" s="118" cm="1">
        <f t="array" aca="1" ref="E195" ca="1">IF(INDIRECT("'1"&amp;$A195&amp;"'!"&amp;E$183)&lt;&gt;0,INDIRECT("'1"&amp;$A195&amp;"'!"&amp;E$183),"")</f>
        <v>27.585996859253513</v>
      </c>
      <c r="F195" s="41" cm="1">
        <f t="array" aca="1" ref="F195" ca="1">INDIRECT("'1"&amp;$A195&amp;"'!"&amp;D$183)+INDIRECT("'1"&amp;$A195&amp;"'!"&amp;E$183)</f>
        <v>43.583899102860066</v>
      </c>
      <c r="G195" s="41" cm="1">
        <f t="array" aca="1" ref="G195" ca="1">INDIRECT("'1"&amp;$A195&amp;"'!"&amp;B$183)+INDIRECT("'1"&amp;$A195&amp;"'!"&amp;C$183)</f>
        <v>63.83549037331565</v>
      </c>
      <c r="I195" s="1" t="s">
        <v>240</v>
      </c>
      <c r="J195" s="191" cm="1">
        <f t="array" aca="1" ref="J195" ca="1">IF(INDIRECT("'1"&amp;$I195&amp;"'!"&amp;D$183)&lt;&gt;0,INDIRECT("'1"&amp;$I195&amp;"'!"&amp;B$183)+INDIRECT("'1"&amp;$I195&amp;"'!"&amp;C$183)-INDIRECT("'1"&amp;$I195&amp;"'!"&amp;D$183)-INDIRECT("'1"&amp;$I195&amp;"'!"&amp;E$183),"")</f>
        <v>20.251591270455584</v>
      </c>
      <c r="O195" s="89"/>
      <c r="P195" s="96"/>
      <c r="Q195" s="86"/>
      <c r="R195" s="96"/>
    </row>
    <row r="196" spans="1:18" s="1" customFormat="1" x14ac:dyDescent="0.3">
      <c r="A196" s="1" t="s">
        <v>3</v>
      </c>
      <c r="B196" s="118" cm="1">
        <f t="array" aca="1" ref="B196" ca="1">INDIRECT("'1"&amp;$A196&amp;"'!"&amp;B$183)</f>
        <v>18.382497957185571</v>
      </c>
      <c r="C196" s="118" cm="1">
        <f t="array" aca="1" ref="C196" ca="1">INDIRECT("'1"&amp;$A196&amp;"'!"&amp;C$183)</f>
        <v>45.824591122343641</v>
      </c>
      <c r="D196" s="118" cm="1">
        <f t="array" aca="1" ref="D196" ca="1">IF(INDIRECT("'1"&amp;$A196&amp;"'!"&amp;D$183)&lt;&gt;0,INDIRECT("'1"&amp;$A196&amp;"'!"&amp;D$183),"")</f>
        <v>15.893403609693655</v>
      </c>
      <c r="E196" s="118" cm="1">
        <f t="array" aca="1" ref="E196" ca="1">IF(INDIRECT("'1"&amp;$A196&amp;"'!"&amp;E$183)&lt;&gt;0,INDIRECT("'1"&amp;$A196&amp;"'!"&amp;E$183),"")</f>
        <v>26.707176583330455</v>
      </c>
      <c r="F196" s="41" cm="1">
        <f t="array" aca="1" ref="F196" ca="1">INDIRECT("'1"&amp;$A196&amp;"'!"&amp;D$183)+INDIRECT("'1"&amp;$A196&amp;"'!"&amp;E$183)</f>
        <v>42.600580193024108</v>
      </c>
      <c r="G196" s="41" cm="1">
        <f t="array" aca="1" ref="G196" ca="1">INDIRECT("'1"&amp;$A196&amp;"'!"&amp;B$183)+INDIRECT("'1"&amp;$A196&amp;"'!"&amp;C$183)</f>
        <v>64.207089079529212</v>
      </c>
      <c r="I196" s="1" t="s">
        <v>3</v>
      </c>
      <c r="J196" s="191" cm="1">
        <f t="array" aca="1" ref="J196" ca="1">IF(INDIRECT("'1"&amp;$I196&amp;"'!"&amp;D$183)&lt;&gt;0,INDIRECT("'1"&amp;$I196&amp;"'!"&amp;B$183)+INDIRECT("'1"&amp;$I196&amp;"'!"&amp;C$183)-INDIRECT("'1"&amp;$I196&amp;"'!"&amp;D$183)-INDIRECT("'1"&amp;$I196&amp;"'!"&amp;E$183),"")</f>
        <v>21.6065088865051</v>
      </c>
      <c r="O196" s="89"/>
      <c r="P196" s="96"/>
      <c r="Q196" s="86"/>
      <c r="R196" s="96"/>
    </row>
    <row r="197" spans="1:18" s="1" customFormat="1" x14ac:dyDescent="0.3">
      <c r="A197" s="1" t="s">
        <v>210</v>
      </c>
      <c r="B197" s="118" cm="1">
        <f t="array" aca="1" ref="B197" ca="1">INDIRECT("'1"&amp;$A197&amp;"'!"&amp;B$183)</f>
        <v>17.959160260620529</v>
      </c>
      <c r="C197" s="118" cm="1">
        <f t="array" aca="1" ref="C197" ca="1">INDIRECT("'1"&amp;$A197&amp;"'!"&amp;C$183)</f>
        <v>46.43310613440638</v>
      </c>
      <c r="D197" s="118" cm="1">
        <f t="array" aca="1" ref="D197" ca="1">IF(INDIRECT("'1"&amp;$A197&amp;"'!"&amp;D$183)&lt;&gt;0,INDIRECT("'1"&amp;$A197&amp;"'!"&amp;D$183),"")</f>
        <v>15.791836706294482</v>
      </c>
      <c r="E197" s="118" cm="1">
        <f t="array" aca="1" ref="E197" ca="1">IF(INDIRECT("'1"&amp;$A197&amp;"'!"&amp;E$183)&lt;&gt;0,INDIRECT("'1"&amp;$A197&amp;"'!"&amp;E$183),"")</f>
        <v>28.534486819413413</v>
      </c>
      <c r="F197" s="41" cm="1">
        <f t="array" aca="1" ref="F197" ca="1">INDIRECT("'1"&amp;$A197&amp;"'!"&amp;D$183)+INDIRECT("'1"&amp;$A197&amp;"'!"&amp;E$183)</f>
        <v>44.326323525707892</v>
      </c>
      <c r="G197" s="41" cm="1">
        <f t="array" aca="1" ref="G197" ca="1">INDIRECT("'1"&amp;$A197&amp;"'!"&amp;B$183)+INDIRECT("'1"&amp;$A197&amp;"'!"&amp;C$183)</f>
        <v>64.392266395026908</v>
      </c>
      <c r="I197" s="1" t="s">
        <v>252</v>
      </c>
      <c r="J197" s="191" cm="1">
        <f t="array" aca="1" ref="J197" ca="1">IF(INDIRECT("'1"&amp;$I197&amp;"'!"&amp;D$183)&lt;&gt;0,INDIRECT("'1"&amp;$I197&amp;"'!"&amp;B$183)+INDIRECT("'1"&amp;$I197&amp;"'!"&amp;C$183)-INDIRECT("'1"&amp;$I197&amp;"'!"&amp;D$183)-INDIRECT("'1"&amp;$I197&amp;"'!"&amp;E$183),"")</f>
        <v>21.881037446945317</v>
      </c>
      <c r="O197" s="88"/>
      <c r="P197" s="94"/>
      <c r="R197" s="94"/>
    </row>
    <row r="198" spans="1:18" s="1" customFormat="1" x14ac:dyDescent="0.3">
      <c r="A198" s="1" t="s">
        <v>245</v>
      </c>
      <c r="B198" s="118" cm="1">
        <f t="array" aca="1" ref="B198" ca="1">INDIRECT("'1"&amp;$A198&amp;"'!"&amp;B$183)</f>
        <v>18.596590352396504</v>
      </c>
      <c r="C198" s="118" cm="1">
        <f t="array" aca="1" ref="C198" ca="1">INDIRECT("'1"&amp;$A198&amp;"'!"&amp;C$183)</f>
        <v>46.458390133221592</v>
      </c>
      <c r="D198" s="118" cm="1">
        <f t="array" aca="1" ref="D198" ca="1">IF(INDIRECT("'1"&amp;$A198&amp;"'!"&amp;D$183)&lt;&gt;0,INDIRECT("'1"&amp;$A198&amp;"'!"&amp;D$183),"")</f>
        <v>15.495980322608474</v>
      </c>
      <c r="E198" s="118" cm="1">
        <f t="array" aca="1" ref="E198" ca="1">IF(INDIRECT("'1"&amp;$A198&amp;"'!"&amp;E$183)&lt;&gt;0,INDIRECT("'1"&amp;$A198&amp;"'!"&amp;E$183),"")</f>
        <v>27.216912562030803</v>
      </c>
      <c r="F198" s="41" cm="1">
        <f t="array" aca="1" ref="F198" ca="1">INDIRECT("'1"&amp;$A198&amp;"'!"&amp;D$183)+INDIRECT("'1"&amp;$A198&amp;"'!"&amp;E$183)</f>
        <v>42.712892884639274</v>
      </c>
      <c r="G198" s="41" cm="1">
        <f t="array" aca="1" ref="G198" ca="1">INDIRECT("'1"&amp;$A198&amp;"'!"&amp;B$183)+INDIRECT("'1"&amp;$A198&amp;"'!"&amp;C$183)</f>
        <v>65.054980485618103</v>
      </c>
      <c r="I198" s="1" t="s">
        <v>233</v>
      </c>
      <c r="J198" s="191" cm="1">
        <f t="array" aca="1" ref="J198" ca="1">IF(INDIRECT("'1"&amp;$I198&amp;"'!"&amp;D$183)&lt;&gt;0,INDIRECT("'1"&amp;$I198&amp;"'!"&amp;B$183)+INDIRECT("'1"&amp;$I198&amp;"'!"&amp;C$183)-INDIRECT("'1"&amp;$I198&amp;"'!"&amp;D$183)-INDIRECT("'1"&amp;$I198&amp;"'!"&amp;E$183),"")</f>
        <v>22.229570481428478</v>
      </c>
      <c r="O198" s="88"/>
      <c r="P198" s="94"/>
      <c r="R198" s="94"/>
    </row>
    <row r="199" spans="1:18" s="1" customFormat="1" x14ac:dyDescent="0.3">
      <c r="A199" s="1" t="s">
        <v>218</v>
      </c>
      <c r="B199" s="118" cm="1">
        <f t="array" aca="1" ref="B199" ca="1">INDIRECT("'1"&amp;$A199&amp;"'!"&amp;B$183)</f>
        <v>20.185668168811375</v>
      </c>
      <c r="C199" s="118" cm="1">
        <f t="array" aca="1" ref="C199" ca="1">INDIRECT("'1"&amp;$A199&amp;"'!"&amp;C$183)</f>
        <v>46.156372482955618</v>
      </c>
      <c r="D199" s="118" cm="1">
        <f t="array" aca="1" ref="D199" ca="1">IF(INDIRECT("'1"&amp;$A199&amp;"'!"&amp;D$183)&lt;&gt;0,INDIRECT("'1"&amp;$A199&amp;"'!"&amp;D$183),"")</f>
        <v>16.661439111246505</v>
      </c>
      <c r="E199" s="118" cm="1">
        <f t="array" aca="1" ref="E199" ca="1">IF(INDIRECT("'1"&amp;$A199&amp;"'!"&amp;E$183)&lt;&gt;0,INDIRECT("'1"&amp;$A199&amp;"'!"&amp;E$183),"")</f>
        <v>26.760509231913787</v>
      </c>
      <c r="F199" s="41" cm="1">
        <f t="array" aca="1" ref="F199" ca="1">INDIRECT("'1"&amp;$A199&amp;"'!"&amp;D$183)+INDIRECT("'1"&amp;$A199&amp;"'!"&amp;E$183)</f>
        <v>43.421948343160295</v>
      </c>
      <c r="G199" s="41" cm="1">
        <f t="array" aca="1" ref="G199" ca="1">INDIRECT("'1"&amp;$A199&amp;"'!"&amp;B$183)+INDIRECT("'1"&amp;$A199&amp;"'!"&amp;C$183)</f>
        <v>66.342040651766993</v>
      </c>
      <c r="I199" s="1" t="s">
        <v>245</v>
      </c>
      <c r="J199" s="191" cm="1">
        <f t="array" aca="1" ref="J199" ca="1">IF(INDIRECT("'1"&amp;$I199&amp;"'!"&amp;D$183)&lt;&gt;0,INDIRECT("'1"&amp;$I199&amp;"'!"&amp;B$183)+INDIRECT("'1"&amp;$I199&amp;"'!"&amp;C$183)-INDIRECT("'1"&amp;$I199&amp;"'!"&amp;D$183)-INDIRECT("'1"&amp;$I199&amp;"'!"&amp;E$183),"")</f>
        <v>22.342087600978825</v>
      </c>
      <c r="O199" s="88"/>
      <c r="P199" s="94"/>
      <c r="R199" s="94"/>
    </row>
    <row r="200" spans="1:18" s="1" customFormat="1" x14ac:dyDescent="0.3">
      <c r="A200" s="1" t="s">
        <v>247</v>
      </c>
      <c r="B200" s="118" cm="1">
        <f t="array" aca="1" ref="B200" ca="1">INDIRECT("'1"&amp;$A200&amp;"'!"&amp;B$183)</f>
        <v>17.345917102655342</v>
      </c>
      <c r="C200" s="118" cm="1">
        <f t="array" aca="1" ref="C200" ca="1">INDIRECT("'1"&amp;$A200&amp;"'!"&amp;C$183)</f>
        <v>49.239340577531429</v>
      </c>
      <c r="D200" s="118" cm="1">
        <f t="array" aca="1" ref="D200" ca="1">IF(INDIRECT("'1"&amp;$A200&amp;"'!"&amp;D$183)&lt;&gt;0,INDIRECT("'1"&amp;$A200&amp;"'!"&amp;D$183),"")</f>
        <v>14.626985172599957</v>
      </c>
      <c r="E200" s="118" cm="1">
        <f t="array" aca="1" ref="E200" ca="1">IF(INDIRECT("'1"&amp;$A200&amp;"'!"&amp;E$183)&lt;&gt;0,INDIRECT("'1"&amp;$A200&amp;"'!"&amp;E$183),"")</f>
        <v>27.218051693366192</v>
      </c>
      <c r="F200" s="41" cm="1">
        <f t="array" aca="1" ref="F200" ca="1">INDIRECT("'1"&amp;$A200&amp;"'!"&amp;D$183)+INDIRECT("'1"&amp;$A200&amp;"'!"&amp;E$183)</f>
        <v>41.845036865966151</v>
      </c>
      <c r="G200" s="41" cm="1">
        <f t="array" aca="1" ref="G200" ca="1">INDIRECT("'1"&amp;$A200&amp;"'!"&amp;B$183)+INDIRECT("'1"&amp;$A200&amp;"'!"&amp;C$183)</f>
        <v>66.585257680186771</v>
      </c>
      <c r="I200" s="1" t="s">
        <v>218</v>
      </c>
      <c r="J200" s="191" cm="1">
        <f t="array" aca="1" ref="J200" ca="1">IF(INDIRECT("'1"&amp;$I200&amp;"'!"&amp;D$183)&lt;&gt;0,INDIRECT("'1"&amp;$I200&amp;"'!"&amp;B$183)+INDIRECT("'1"&amp;$I200&amp;"'!"&amp;C$183)-INDIRECT("'1"&amp;$I200&amp;"'!"&amp;D$183)-INDIRECT("'1"&amp;$I200&amp;"'!"&amp;E$183),"")</f>
        <v>22.920092308606698</v>
      </c>
      <c r="O200" s="91"/>
      <c r="P200" s="95"/>
      <c r="Q200" s="92"/>
      <c r="R200" s="95"/>
    </row>
    <row r="201" spans="1:18" s="1" customFormat="1" x14ac:dyDescent="0.3">
      <c r="A201" s="1" t="s">
        <v>217</v>
      </c>
      <c r="B201" s="118" cm="1">
        <f t="array" aca="1" ref="B201" ca="1">INDIRECT("'1"&amp;$A201&amp;"'!"&amp;B$183)</f>
        <v>14.975277614352336</v>
      </c>
      <c r="C201" s="118" cm="1">
        <f t="array" aca="1" ref="C201" ca="1">INDIRECT("'1"&amp;$A201&amp;"'!"&amp;C$183)</f>
        <v>53.606334039736169</v>
      </c>
      <c r="D201" s="118" cm="1">
        <f t="array" aca="1" ref="D201" ca="1">IF(INDIRECT("'1"&amp;$A201&amp;"'!"&amp;D$183)&lt;&gt;0,INDIRECT("'1"&amp;$A201&amp;"'!"&amp;D$183),"")</f>
        <v>15.648828507493862</v>
      </c>
      <c r="E201" s="118" cm="1">
        <f t="array" aca="1" ref="E201" ca="1">IF(INDIRECT("'1"&amp;$A201&amp;"'!"&amp;E$183)&lt;&gt;0,INDIRECT("'1"&amp;$A201&amp;"'!"&amp;E$183),"")</f>
        <v>27.94259161711684</v>
      </c>
      <c r="F201" s="41" cm="1">
        <f t="array" aca="1" ref="F201" ca="1">INDIRECT("'1"&amp;$A201&amp;"'!"&amp;D$183)+INDIRECT("'1"&amp;$A201&amp;"'!"&amp;E$183)</f>
        <v>43.5914201246107</v>
      </c>
      <c r="G201" s="41" cm="1">
        <f t="array" aca="1" ref="G201" ca="1">INDIRECT("'1"&amp;$A201&amp;"'!"&amp;B$183)+INDIRECT("'1"&amp;$A201&amp;"'!"&amp;C$183)</f>
        <v>68.581611654088505</v>
      </c>
      <c r="I201" s="1" t="s">
        <v>247</v>
      </c>
      <c r="J201" s="191" cm="1">
        <f t="array" aca="1" ref="J201" ca="1">IF(INDIRECT("'1"&amp;$I201&amp;"'!"&amp;D$183)&lt;&gt;0,INDIRECT("'1"&amp;$I201&amp;"'!"&amp;B$183)+INDIRECT("'1"&amp;$I201&amp;"'!"&amp;C$183)-INDIRECT("'1"&amp;$I201&amp;"'!"&amp;D$183)-INDIRECT("'1"&amp;$I201&amp;"'!"&amp;E$183),"")</f>
        <v>24.740220814220621</v>
      </c>
      <c r="O201" s="88"/>
      <c r="P201" s="94"/>
      <c r="Q201" s="99"/>
      <c r="R201" s="100"/>
    </row>
    <row r="202" spans="1:18" s="1" customFormat="1" x14ac:dyDescent="0.3">
      <c r="A202" s="1" t="s">
        <v>233</v>
      </c>
      <c r="B202" s="118" cm="1">
        <f t="array" aca="1" ref="B202" ca="1">INDIRECT("'1"&amp;$A202&amp;"'!"&amp;B$183)</f>
        <v>19.743334575049154</v>
      </c>
      <c r="C202" s="118" cm="1">
        <f t="array" aca="1" ref="C202" ca="1">INDIRECT("'1"&amp;$A202&amp;"'!"&amp;C$183)</f>
        <v>48.990459781465404</v>
      </c>
      <c r="D202" s="118" cm="1">
        <f t="array" aca="1" ref="D202" ca="1">IF(INDIRECT("'1"&amp;$A202&amp;"'!"&amp;D$183)&lt;&gt;0,INDIRECT("'1"&amp;$A202&amp;"'!"&amp;D$183),"")</f>
        <v>16.86693231982289</v>
      </c>
      <c r="E202" s="118" cm="1">
        <f t="array" aca="1" ref="E202" ca="1">IF(INDIRECT("'1"&amp;$A202&amp;"'!"&amp;E$183)&lt;&gt;0,INDIRECT("'1"&amp;$A202&amp;"'!"&amp;E$183),"")</f>
        <v>29.637291555263179</v>
      </c>
      <c r="F202" s="41" cm="1">
        <f t="array" aca="1" ref="F202" ca="1">INDIRECT("'1"&amp;$A202&amp;"'!"&amp;D$183)+INDIRECT("'1"&amp;$A202&amp;"'!"&amp;E$183)</f>
        <v>46.504223875086069</v>
      </c>
      <c r="G202" s="41" cm="1">
        <f t="array" aca="1" ref="G202" ca="1">INDIRECT("'1"&amp;$A202&amp;"'!"&amp;B$183)+INDIRECT("'1"&amp;$A202&amp;"'!"&amp;C$183)</f>
        <v>68.733794356514551</v>
      </c>
      <c r="I202" s="1" t="s">
        <v>217</v>
      </c>
      <c r="J202" s="191" cm="1">
        <f t="array" aca="1" ref="J202" ca="1">IF(INDIRECT("'1"&amp;$I202&amp;"'!"&amp;D$183)&lt;&gt;0,INDIRECT("'1"&amp;$I202&amp;"'!"&amp;B$183)+INDIRECT("'1"&amp;$I202&amp;"'!"&amp;C$183)-INDIRECT("'1"&amp;$I202&amp;"'!"&amp;D$183)-INDIRECT("'1"&amp;$I202&amp;"'!"&amp;E$183),"")</f>
        <v>24.990191529477805</v>
      </c>
      <c r="O202" s="88"/>
      <c r="P202" s="94"/>
      <c r="Q202" s="88"/>
      <c r="R202" s="94"/>
    </row>
    <row r="203" spans="1:18" s="1" customFormat="1" x14ac:dyDescent="0.3">
      <c r="A203" s="1" t="s">
        <v>249</v>
      </c>
      <c r="B203" s="118" cm="1">
        <f t="array" aca="1" ref="B203" ca="1">INDIRECT("'1"&amp;$A203&amp;"'!"&amp;B$183)</f>
        <v>19.691303486746008</v>
      </c>
      <c r="C203" s="118" cm="1">
        <f t="array" aca="1" ref="C203" ca="1">INDIRECT("'1"&amp;$A203&amp;"'!"&amp;C$183)</f>
        <v>55.063960384540259</v>
      </c>
      <c r="D203" s="118" cm="1">
        <f t="array" aca="1" ref="D203" ca="1">IF(INDIRECT("'1"&amp;$A203&amp;"'!"&amp;D$183)&lt;&gt;0,INDIRECT("'1"&amp;$A203&amp;"'!"&amp;D$183),"")</f>
        <v>16.119759459936269</v>
      </c>
      <c r="E203" s="118" cm="1">
        <f t="array" aca="1" ref="E203" ca="1">IF(INDIRECT("'1"&amp;$A203&amp;"'!"&amp;E$183)&lt;&gt;0,INDIRECT("'1"&amp;$A203&amp;"'!"&amp;E$183),"")</f>
        <v>29.84744146986889</v>
      </c>
      <c r="F203" s="41" cm="1">
        <f t="array" aca="1" ref="F203" ca="1">INDIRECT("'1"&amp;$A203&amp;"'!"&amp;D$183)+INDIRECT("'1"&amp;$A203&amp;"'!"&amp;E$183)</f>
        <v>45.967200929805159</v>
      </c>
      <c r="G203" s="41" cm="1">
        <f t="array" aca="1" ref="G203" ca="1">INDIRECT("'1"&amp;$A203&amp;"'!"&amp;B$183)+INDIRECT("'1"&amp;$A203&amp;"'!"&amp;C$183)</f>
        <v>74.755263871286274</v>
      </c>
      <c r="I203" s="1" t="s">
        <v>249</v>
      </c>
      <c r="J203" s="191" cm="1">
        <f t="array" aca="1" ref="J203" ca="1">IF(INDIRECT("'1"&amp;$I203&amp;"'!"&amp;D$183)&lt;&gt;0,INDIRECT("'1"&amp;$I203&amp;"'!"&amp;B$183)+INDIRECT("'1"&amp;$I203&amp;"'!"&amp;C$183)-INDIRECT("'1"&amp;$I203&amp;"'!"&amp;D$183)-INDIRECT("'1"&amp;$I203&amp;"'!"&amp;E$183),"")</f>
        <v>28.788062941481115</v>
      </c>
      <c r="O203" s="89"/>
      <c r="P203" s="96"/>
      <c r="Q203" s="88"/>
      <c r="R203" s="96"/>
    </row>
    <row r="204" spans="1:18" s="1" customFormat="1" x14ac:dyDescent="0.3">
      <c r="A204" s="1" t="s">
        <v>225</v>
      </c>
      <c r="B204" s="118" cm="1">
        <f t="array" aca="1" ref="B204" ca="1">INDIRECT("'1"&amp;$A204&amp;"'!"&amp;B$183)</f>
        <v>21.269557386857436</v>
      </c>
      <c r="C204" s="118" cm="1">
        <f t="array" aca="1" ref="C204" ca="1">INDIRECT("'1"&amp;$A204&amp;"'!"&amp;C$183)</f>
        <v>55.048736339534898</v>
      </c>
      <c r="D204" s="118" cm="1">
        <f t="array" aca="1" ref="D204" ca="1">IF(INDIRECT("'1"&amp;$A204&amp;"'!"&amp;D$183)&lt;&gt;0,INDIRECT("'1"&amp;$A204&amp;"'!"&amp;D$183),"")</f>
        <v>16.026388175131281</v>
      </c>
      <c r="E204" s="118" cm="1">
        <f t="array" aca="1" ref="E204" ca="1">IF(INDIRECT("'1"&amp;$A204&amp;"'!"&amp;E$183)&lt;&gt;0,INDIRECT("'1"&amp;$A204&amp;"'!"&amp;E$183),"")</f>
        <v>25.072998303436766</v>
      </c>
      <c r="F204" s="41" cm="1">
        <f t="array" aca="1" ref="F204" ca="1">INDIRECT("'1"&amp;$A204&amp;"'!"&amp;D$183)+INDIRECT("'1"&amp;$A204&amp;"'!"&amp;E$183)</f>
        <v>41.09938647856805</v>
      </c>
      <c r="G204" s="41" cm="1">
        <f t="array" aca="1" ref="G204" ca="1">INDIRECT("'1"&amp;$A204&amp;"'!"&amp;B$183)+INDIRECT("'1"&amp;$A204&amp;"'!"&amp;C$183)</f>
        <v>76.318293726392341</v>
      </c>
      <c r="I204" s="1" t="s">
        <v>225</v>
      </c>
      <c r="J204" s="191" cm="1">
        <f t="array" aca="1" ref="J204" ca="1">IF(INDIRECT("'1"&amp;$I204&amp;"'!"&amp;D$183)&lt;&gt;0,INDIRECT("'1"&amp;$I204&amp;"'!"&amp;B$183)+INDIRECT("'1"&amp;$I204&amp;"'!"&amp;C$183)-INDIRECT("'1"&amp;$I204&amp;"'!"&amp;D$183)-INDIRECT("'1"&amp;$I204&amp;"'!"&amp;E$183),"")</f>
        <v>35.218907247824291</v>
      </c>
      <c r="O204" s="88"/>
      <c r="P204" s="94"/>
      <c r="Q204" s="88"/>
      <c r="R204" s="94"/>
    </row>
    <row r="205" spans="1:18" s="1" customFormat="1" x14ac:dyDescent="0.3">
      <c r="A205" s="1" t="s">
        <v>208</v>
      </c>
      <c r="B205" s="118" cm="1">
        <f t="array" aca="1" ref="B205" ca="1">INDIRECT("'1"&amp;$A205&amp;"'!"&amp;B$183)</f>
        <v>18.046613580787081</v>
      </c>
      <c r="C205" s="118" cm="1">
        <f t="array" aca="1" ref="C205" ca="1">INDIRECT("'1"&amp;$A205&amp;"'!"&amp;C$183)</f>
        <v>64.655374614118514</v>
      </c>
      <c r="D205" s="118" cm="1">
        <f t="array" aca="1" ref="D205" ca="1">IF(INDIRECT("'1"&amp;$A205&amp;"'!"&amp;D$183)&lt;&gt;0,INDIRECT("'1"&amp;$A205&amp;"'!"&amp;D$183),"")</f>
        <v>16.336004777462339</v>
      </c>
      <c r="E205" s="118" cm="1">
        <f t="array" aca="1" ref="E205" ca="1">IF(INDIRECT("'1"&amp;$A205&amp;"'!"&amp;E$183)&lt;&gt;0,INDIRECT("'1"&amp;$A205&amp;"'!"&amp;E$183),"")</f>
        <v>28.161596230843404</v>
      </c>
      <c r="F205" s="41" cm="1">
        <f t="array" aca="1" ref="F205" ca="1">INDIRECT("'1"&amp;$A205&amp;"'!"&amp;D$183)+INDIRECT("'1"&amp;$A205&amp;"'!"&amp;E$183)</f>
        <v>44.497601008305743</v>
      </c>
      <c r="G205" s="41" cm="1">
        <f t="array" aca="1" ref="G205" ca="1">INDIRECT("'1"&amp;$A205&amp;"'!"&amp;B$183)+INDIRECT("'1"&amp;$A205&amp;"'!"&amp;C$183)</f>
        <v>82.701988194905596</v>
      </c>
      <c r="I205" s="1" t="s">
        <v>208</v>
      </c>
      <c r="J205" s="191" cm="1">
        <f t="array" aca="1" ref="J205" ca="1">IF(INDIRECT("'1"&amp;$I205&amp;"'!"&amp;D$183)&lt;&gt;0,INDIRECT("'1"&amp;$I205&amp;"'!"&amp;B$183)+INDIRECT("'1"&amp;$I205&amp;"'!"&amp;C$183)-INDIRECT("'1"&amp;$I205&amp;"'!"&amp;D$183)-INDIRECT("'1"&amp;$I205&amp;"'!"&amp;E$183),"")</f>
        <v>38.20438718659986</v>
      </c>
      <c r="O205" s="89"/>
      <c r="P205" s="96"/>
      <c r="Q205" s="88"/>
      <c r="R205" s="96"/>
    </row>
    <row r="206" spans="1:18" s="1" customFormat="1" x14ac:dyDescent="0.3">
      <c r="A206" s="86" t="s">
        <v>304</v>
      </c>
      <c r="B206" s="86" t="e" cm="1">
        <f t="array" aca="1" ref="B206" ca="1">INDIRECT("'1"&amp;$A206&amp;"'!"&amp;B$183)</f>
        <v>#REF!</v>
      </c>
      <c r="C206" s="193" t="e" cm="1">
        <f t="array" aca="1" ref="C206" ca="1">INDIRECT("'1"&amp;$A206&amp;"'!"&amp;C$183)</f>
        <v>#REF!</v>
      </c>
      <c r="D206" s="193" t="e" cm="1">
        <f t="array" aca="1" ref="D206" ca="1">IF(INDIRECT("'1"&amp;$A206&amp;"'!"&amp;D$183)&lt;&gt;0,INDIRECT("'1"&amp;$A206&amp;"'!"&amp;D$183),"")</f>
        <v>#REF!</v>
      </c>
      <c r="E206" s="193" t="e" cm="1">
        <f t="array" aca="1" ref="E206" ca="1">IF(INDIRECT("'1"&amp;$A206&amp;"'!"&amp;E$183)&lt;&gt;0,INDIRECT("'1"&amp;$A206&amp;"'!"&amp;E$183),"")</f>
        <v>#REF!</v>
      </c>
      <c r="F206" s="193" t="e" cm="1">
        <f t="array" aca="1" ref="F206" ca="1">INDIRECT("'1"&amp;$A206&amp;"'!"&amp;D$183)+INDIRECT("'1"&amp;$A206&amp;"'!"&amp;E$183)</f>
        <v>#REF!</v>
      </c>
      <c r="G206" s="193" t="e" cm="1">
        <f t="array" aca="1" ref="G206" ca="1">INDIRECT("'1"&amp;$A206&amp;"'!"&amp;B$183)+INDIRECT("'1"&amp;$A206&amp;"'!"&amp;C$183)</f>
        <v>#REF!</v>
      </c>
      <c r="I206" s="86" t="s">
        <v>304</v>
      </c>
      <c r="J206" s="191" t="e" cm="1">
        <f t="array" aca="1" ref="J206" ca="1">IF(INDIRECT("'1"&amp;$I206&amp;"'!"&amp;D$183)&lt;&gt;0,INDIRECT("'1"&amp;$I206&amp;"'!"&amp;B$183)+INDIRECT("'1"&amp;$I206&amp;"'!"&amp;C$183)-INDIRECT("'1"&amp;$I206&amp;"'!"&amp;D$183)-INDIRECT("'1"&amp;$I206&amp;"'!"&amp;E$183),"")</f>
        <v>#REF!</v>
      </c>
      <c r="O206" s="88"/>
      <c r="P206" s="94"/>
      <c r="Q206" s="88"/>
      <c r="R206" s="94"/>
    </row>
    <row r="207" spans="1:18" s="1" customFormat="1" x14ac:dyDescent="0.3">
      <c r="A207" s="86" t="s">
        <v>305</v>
      </c>
      <c r="B207" s="86" t="e" cm="1">
        <f t="array" aca="1" ref="B207" ca="1">INDIRECT("'1"&amp;$A207&amp;"'!"&amp;B$183)</f>
        <v>#REF!</v>
      </c>
      <c r="C207" s="193" t="e" cm="1">
        <f t="array" aca="1" ref="C207" ca="1">INDIRECT("'1"&amp;$A207&amp;"'!"&amp;C$183)</f>
        <v>#REF!</v>
      </c>
      <c r="D207" s="193" t="e" cm="1">
        <f t="array" aca="1" ref="D207" ca="1">IF(INDIRECT("'1"&amp;$A207&amp;"'!"&amp;D$183)&lt;&gt;0,INDIRECT("'1"&amp;$A207&amp;"'!"&amp;D$183),"")</f>
        <v>#REF!</v>
      </c>
      <c r="E207" s="193" t="e" cm="1">
        <f t="array" aca="1" ref="E207" ca="1">IF(INDIRECT("'1"&amp;$A207&amp;"'!"&amp;E$183)&lt;&gt;0,INDIRECT("'1"&amp;$A207&amp;"'!"&amp;E$183),"")</f>
        <v>#REF!</v>
      </c>
      <c r="F207" s="193" t="e" cm="1">
        <f t="array" aca="1" ref="F207" ca="1">INDIRECT("'1"&amp;$A207&amp;"'!"&amp;D$183)+INDIRECT("'1"&amp;$A207&amp;"'!"&amp;E$183)</f>
        <v>#REF!</v>
      </c>
      <c r="G207" s="193" t="e" cm="1">
        <f t="array" aca="1" ref="G207" ca="1">INDIRECT("'1"&amp;$A207&amp;"'!"&amp;B$183)+INDIRECT("'1"&amp;$A207&amp;"'!"&amp;C$183)</f>
        <v>#REF!</v>
      </c>
      <c r="I207" s="86" t="s">
        <v>305</v>
      </c>
      <c r="J207" s="191" t="e" cm="1">
        <f t="array" aca="1" ref="J207" ca="1">IF(INDIRECT("'1"&amp;$I207&amp;"'!"&amp;D$183)&lt;&gt;0,INDIRECT("'1"&amp;$I207&amp;"'!"&amp;B$183)+INDIRECT("'1"&amp;$I207&amp;"'!"&amp;C$183)-INDIRECT("'1"&amp;$I207&amp;"'!"&amp;D$183)-INDIRECT("'1"&amp;$I207&amp;"'!"&amp;E$183),"")</f>
        <v>#REF!</v>
      </c>
      <c r="O207" s="89"/>
      <c r="P207" s="96"/>
      <c r="Q207" s="88"/>
      <c r="R207" s="96"/>
    </row>
    <row r="208" spans="1:18" s="1" customFormat="1" x14ac:dyDescent="0.3">
      <c r="A208" s="86" t="s">
        <v>306</v>
      </c>
      <c r="B208" s="86" t="e" cm="1">
        <f t="array" aca="1" ref="B208" ca="1">INDIRECT("'1"&amp;$A208&amp;"'!"&amp;B$183)</f>
        <v>#REF!</v>
      </c>
      <c r="C208" s="193" t="e" cm="1">
        <f t="array" aca="1" ref="C208" ca="1">INDIRECT("'1"&amp;$A208&amp;"'!"&amp;C$183)</f>
        <v>#REF!</v>
      </c>
      <c r="D208" s="193" t="e" cm="1">
        <f t="array" aca="1" ref="D208" ca="1">IF(INDIRECT("'1"&amp;$A208&amp;"'!"&amp;D$183)&lt;&gt;0,INDIRECT("'1"&amp;$A208&amp;"'!"&amp;D$183),"")</f>
        <v>#REF!</v>
      </c>
      <c r="E208" s="193" t="e" cm="1">
        <f t="array" aca="1" ref="E208" ca="1">IF(INDIRECT("'1"&amp;$A208&amp;"'!"&amp;E$183)&lt;&gt;0,INDIRECT("'1"&amp;$A208&amp;"'!"&amp;E$183),"")</f>
        <v>#REF!</v>
      </c>
      <c r="F208" s="193" t="e" cm="1">
        <f t="array" aca="1" ref="F208" ca="1">INDIRECT("'1"&amp;$A208&amp;"'!"&amp;D$183)+INDIRECT("'1"&amp;$A208&amp;"'!"&amp;E$183)</f>
        <v>#REF!</v>
      </c>
      <c r="G208" s="193" t="e" cm="1">
        <f t="array" aca="1" ref="G208" ca="1">INDIRECT("'1"&amp;$A208&amp;"'!"&amp;B$183)+INDIRECT("'1"&amp;$A208&amp;"'!"&amp;C$183)</f>
        <v>#REF!</v>
      </c>
      <c r="I208" s="86" t="s">
        <v>306</v>
      </c>
      <c r="J208" s="191" t="e" cm="1">
        <f t="array" aca="1" ref="J208" ca="1">IF(INDIRECT("'1"&amp;$I208&amp;"'!"&amp;D$183)&lt;&gt;0,INDIRECT("'1"&amp;$I208&amp;"'!"&amp;B$183)+INDIRECT("'1"&amp;$I208&amp;"'!"&amp;C$183)-INDIRECT("'1"&amp;$I208&amp;"'!"&amp;D$183)-INDIRECT("'1"&amp;$I208&amp;"'!"&amp;E$183),"")</f>
        <v>#REF!</v>
      </c>
      <c r="O208" s="88"/>
      <c r="P208" s="94"/>
      <c r="Q208" s="88"/>
      <c r="R208" s="94"/>
    </row>
    <row r="209" spans="1:18" s="1" customFormat="1" x14ac:dyDescent="0.3">
      <c r="A209" s="86" t="s">
        <v>307</v>
      </c>
      <c r="B209" s="86" t="e" cm="1">
        <f t="array" aca="1" ref="B209" ca="1">INDIRECT("'1"&amp;$A209&amp;"'!"&amp;B$183)</f>
        <v>#REF!</v>
      </c>
      <c r="C209" s="193" t="e" cm="1">
        <f t="array" aca="1" ref="C209" ca="1">INDIRECT("'1"&amp;$A209&amp;"'!"&amp;C$183)</f>
        <v>#REF!</v>
      </c>
      <c r="D209" s="193" t="e" cm="1">
        <f t="array" aca="1" ref="D209" ca="1">IF(INDIRECT("'1"&amp;$A209&amp;"'!"&amp;D$183)&lt;&gt;0,INDIRECT("'1"&amp;$A209&amp;"'!"&amp;D$183),"")</f>
        <v>#REF!</v>
      </c>
      <c r="E209" s="193" t="e" cm="1">
        <f t="array" aca="1" ref="E209" ca="1">IF(INDIRECT("'1"&amp;$A209&amp;"'!"&amp;E$183)&lt;&gt;0,INDIRECT("'1"&amp;$A209&amp;"'!"&amp;E$183),"")</f>
        <v>#REF!</v>
      </c>
      <c r="F209" s="193" t="e" cm="1">
        <f t="array" aca="1" ref="F209" ca="1">INDIRECT("'1"&amp;$A209&amp;"'!"&amp;D$183)+INDIRECT("'1"&amp;$A209&amp;"'!"&amp;E$183)</f>
        <v>#REF!</v>
      </c>
      <c r="G209" s="193" t="e" cm="1">
        <f t="array" aca="1" ref="G209" ca="1">INDIRECT("'1"&amp;$A209&amp;"'!"&amp;B$183)+INDIRECT("'1"&amp;$A209&amp;"'!"&amp;C$183)</f>
        <v>#REF!</v>
      </c>
      <c r="I209" s="86" t="s">
        <v>307</v>
      </c>
      <c r="J209" s="191" t="e" cm="1">
        <f t="array" aca="1" ref="J209" ca="1">IF(INDIRECT("'1"&amp;$I209&amp;"'!"&amp;D$183)&lt;&gt;0,INDIRECT("'1"&amp;$I209&amp;"'!"&amp;B$183)+INDIRECT("'1"&amp;$I209&amp;"'!"&amp;C$183)-INDIRECT("'1"&amp;$I209&amp;"'!"&amp;D$183)-INDIRECT("'1"&amp;$I209&amp;"'!"&amp;E$183),"")</f>
        <v>#REF!</v>
      </c>
      <c r="O209" s="88"/>
      <c r="P209" s="94"/>
      <c r="Q209" s="88"/>
      <c r="R209" s="94"/>
    </row>
    <row r="210" spans="1:18" s="1" customFormat="1" x14ac:dyDescent="0.3">
      <c r="A210" s="86" t="s">
        <v>308</v>
      </c>
      <c r="B210" s="86" t="e" cm="1">
        <f t="array" aca="1" ref="B210" ca="1">INDIRECT("'1"&amp;$A210&amp;"'!"&amp;B$183)</f>
        <v>#REF!</v>
      </c>
      <c r="C210" s="193" t="e" cm="1">
        <f t="array" aca="1" ref="C210" ca="1">INDIRECT("'1"&amp;$A210&amp;"'!"&amp;C$183)</f>
        <v>#REF!</v>
      </c>
      <c r="D210" s="193" t="e" cm="1">
        <f t="array" aca="1" ref="D210" ca="1">IF(INDIRECT("'1"&amp;$A210&amp;"'!"&amp;D$183)&lt;&gt;0,INDIRECT("'1"&amp;$A210&amp;"'!"&amp;D$183),"")</f>
        <v>#REF!</v>
      </c>
      <c r="E210" s="193" t="e" cm="1">
        <f t="array" aca="1" ref="E210" ca="1">IF(INDIRECT("'1"&amp;$A210&amp;"'!"&amp;E$183)&lt;&gt;0,INDIRECT("'1"&amp;$A210&amp;"'!"&amp;E$183),"")</f>
        <v>#REF!</v>
      </c>
      <c r="F210" s="193" t="e" cm="1">
        <f t="array" aca="1" ref="F210" ca="1">INDIRECT("'1"&amp;$A210&amp;"'!"&amp;D$183)+INDIRECT("'1"&amp;$A210&amp;"'!"&amp;E$183)</f>
        <v>#REF!</v>
      </c>
      <c r="G210" s="193" t="e" cm="1">
        <f t="array" aca="1" ref="G210" ca="1">INDIRECT("'1"&amp;$A210&amp;"'!"&amp;B$183)+INDIRECT("'1"&amp;$A210&amp;"'!"&amp;C$183)</f>
        <v>#REF!</v>
      </c>
      <c r="I210" s="86" t="s">
        <v>308</v>
      </c>
      <c r="J210" s="191" t="e" cm="1">
        <f t="array" aca="1" ref="J210" ca="1">IF(INDIRECT("'1"&amp;$I210&amp;"'!"&amp;D$183)&lt;&gt;0,INDIRECT("'1"&amp;$I210&amp;"'!"&amp;B$183)+INDIRECT("'1"&amp;$I210&amp;"'!"&amp;C$183)-INDIRECT("'1"&amp;$I210&amp;"'!"&amp;D$183)-INDIRECT("'1"&amp;$I210&amp;"'!"&amp;E$183),"")</f>
        <v>#REF!</v>
      </c>
      <c r="O210" s="88"/>
      <c r="P210" s="94"/>
      <c r="Q210" s="88"/>
      <c r="R210" s="94"/>
    </row>
    <row r="211" spans="1:18" s="1" customFormat="1" x14ac:dyDescent="0.3">
      <c r="A211" s="86" t="s">
        <v>309</v>
      </c>
      <c r="B211" s="86" t="e" cm="1">
        <f t="array" aca="1" ref="B211" ca="1">INDIRECT("'1"&amp;$A211&amp;"'!"&amp;B$183)</f>
        <v>#REF!</v>
      </c>
      <c r="C211" s="193" t="e" cm="1">
        <f t="array" aca="1" ref="C211" ca="1">INDIRECT("'1"&amp;$A211&amp;"'!"&amp;C$183)</f>
        <v>#REF!</v>
      </c>
      <c r="D211" s="193" t="e" cm="1">
        <f t="array" aca="1" ref="D211" ca="1">IF(INDIRECT("'1"&amp;$A211&amp;"'!"&amp;D$183)&lt;&gt;0,INDIRECT("'1"&amp;$A211&amp;"'!"&amp;D$183),"")</f>
        <v>#REF!</v>
      </c>
      <c r="E211" s="193" t="e" cm="1">
        <f t="array" aca="1" ref="E211" ca="1">IF(INDIRECT("'1"&amp;$A211&amp;"'!"&amp;E$183)&lt;&gt;0,INDIRECT("'1"&amp;$A211&amp;"'!"&amp;E$183),"")</f>
        <v>#REF!</v>
      </c>
      <c r="F211" s="193" t="e" cm="1">
        <f t="array" aca="1" ref="F211" ca="1">INDIRECT("'1"&amp;$A211&amp;"'!"&amp;D$183)+INDIRECT("'1"&amp;$A211&amp;"'!"&amp;E$183)</f>
        <v>#REF!</v>
      </c>
      <c r="G211" s="193" t="e" cm="1">
        <f t="array" aca="1" ref="G211" ca="1">INDIRECT("'1"&amp;$A211&amp;"'!"&amp;B$183)+INDIRECT("'1"&amp;$A211&amp;"'!"&amp;C$183)</f>
        <v>#REF!</v>
      </c>
      <c r="I211" s="86" t="s">
        <v>309</v>
      </c>
      <c r="J211" s="191" t="e" cm="1">
        <f t="array" aca="1" ref="J211" ca="1">IF(INDIRECT("'1"&amp;$I211&amp;"'!"&amp;D$183)&lt;&gt;0,INDIRECT("'1"&amp;$I211&amp;"'!"&amp;B$183)+INDIRECT("'1"&amp;$I211&amp;"'!"&amp;C$183)-INDIRECT("'1"&amp;$I211&amp;"'!"&amp;D$183)-INDIRECT("'1"&amp;$I211&amp;"'!"&amp;E$183),"")</f>
        <v>#REF!</v>
      </c>
      <c r="O211" s="89"/>
      <c r="P211" s="96"/>
      <c r="Q211" s="88"/>
      <c r="R211" s="96"/>
    </row>
    <row r="212" spans="1:18" s="1" customFormat="1" x14ac:dyDescent="0.3">
      <c r="A212" s="86" t="s">
        <v>310</v>
      </c>
      <c r="B212" s="86" t="e" cm="1">
        <f t="array" aca="1" ref="B212" ca="1">INDIRECT("'1"&amp;$A212&amp;"'!"&amp;B$183)</f>
        <v>#REF!</v>
      </c>
      <c r="C212" s="193" t="e" cm="1">
        <f t="array" aca="1" ref="C212" ca="1">INDIRECT("'1"&amp;$A212&amp;"'!"&amp;C$183)</f>
        <v>#REF!</v>
      </c>
      <c r="D212" s="193" t="e" cm="1">
        <f t="array" aca="1" ref="D212" ca="1">IF(INDIRECT("'1"&amp;$A212&amp;"'!"&amp;D$183)&lt;&gt;0,INDIRECT("'1"&amp;$A212&amp;"'!"&amp;D$183),"")</f>
        <v>#REF!</v>
      </c>
      <c r="E212" s="193" t="e" cm="1">
        <f t="array" aca="1" ref="E212" ca="1">IF(INDIRECT("'1"&amp;$A212&amp;"'!"&amp;E$183)&lt;&gt;0,INDIRECT("'1"&amp;$A212&amp;"'!"&amp;E$183),"")</f>
        <v>#REF!</v>
      </c>
      <c r="F212" s="193" t="e" cm="1">
        <f t="array" aca="1" ref="F212" ca="1">INDIRECT("'1"&amp;$A212&amp;"'!"&amp;D$183)+INDIRECT("'1"&amp;$A212&amp;"'!"&amp;E$183)</f>
        <v>#REF!</v>
      </c>
      <c r="G212" s="193" t="e" cm="1">
        <f t="array" aca="1" ref="G212" ca="1">INDIRECT("'1"&amp;$A212&amp;"'!"&amp;B$183)+INDIRECT("'1"&amp;$A212&amp;"'!"&amp;C$183)</f>
        <v>#REF!</v>
      </c>
      <c r="I212" s="86" t="s">
        <v>310</v>
      </c>
      <c r="J212" s="191" t="e" cm="1">
        <f t="array" aca="1" ref="J212" ca="1">IF(INDIRECT("'1"&amp;$I212&amp;"'!"&amp;D$183)&lt;&gt;0,INDIRECT("'1"&amp;$I212&amp;"'!"&amp;B$183)+INDIRECT("'1"&amp;$I212&amp;"'!"&amp;C$183)-INDIRECT("'1"&amp;$I212&amp;"'!"&amp;D$183)-INDIRECT("'1"&amp;$I212&amp;"'!"&amp;E$183),"")</f>
        <v>#REF!</v>
      </c>
      <c r="O212" s="89"/>
      <c r="P212" s="96"/>
      <c r="Q212" s="88"/>
      <c r="R212" s="96"/>
    </row>
    <row r="213" spans="1:18" s="1" customFormat="1" x14ac:dyDescent="0.3">
      <c r="A213" s="86" t="s">
        <v>311</v>
      </c>
      <c r="B213" s="86" t="e" cm="1">
        <f t="array" aca="1" ref="B213" ca="1">INDIRECT("'1"&amp;$A213&amp;"'!"&amp;B$183)</f>
        <v>#REF!</v>
      </c>
      <c r="C213" s="193" t="e" cm="1">
        <f t="array" aca="1" ref="C213" ca="1">INDIRECT("'1"&amp;$A213&amp;"'!"&amp;C$183)</f>
        <v>#REF!</v>
      </c>
      <c r="D213" s="193" t="e" cm="1">
        <f t="array" aca="1" ref="D213" ca="1">IF(INDIRECT("'1"&amp;$A213&amp;"'!"&amp;D$183)&lt;&gt;0,INDIRECT("'1"&amp;$A213&amp;"'!"&amp;D$183),"")</f>
        <v>#REF!</v>
      </c>
      <c r="E213" s="193" t="e" cm="1">
        <f t="array" aca="1" ref="E213" ca="1">IF(INDIRECT("'1"&amp;$A213&amp;"'!"&amp;E$183)&lt;&gt;0,INDIRECT("'1"&amp;$A213&amp;"'!"&amp;E$183),"")</f>
        <v>#REF!</v>
      </c>
      <c r="F213" s="193" t="e" cm="1">
        <f t="array" aca="1" ref="F213" ca="1">INDIRECT("'1"&amp;$A213&amp;"'!"&amp;D$183)+INDIRECT("'1"&amp;$A213&amp;"'!"&amp;E$183)</f>
        <v>#REF!</v>
      </c>
      <c r="G213" s="193" t="e" cm="1">
        <f t="array" aca="1" ref="G213" ca="1">INDIRECT("'1"&amp;$A213&amp;"'!"&amp;B$183)+INDIRECT("'1"&amp;$A213&amp;"'!"&amp;C$183)</f>
        <v>#REF!</v>
      </c>
      <c r="I213" s="342" t="s">
        <v>311</v>
      </c>
      <c r="J213" s="192" t="e" cm="1">
        <f t="array" aca="1" ref="J213" ca="1">IF(INDIRECT("'1"&amp;$I213&amp;"'!"&amp;D$183)&lt;&gt;0,INDIRECT("'1"&amp;$I213&amp;"'!"&amp;B$183)+INDIRECT("'1"&amp;$I213&amp;"'!"&amp;C$183)-INDIRECT("'1"&amp;$I213&amp;"'!"&amp;D$183)-INDIRECT("'1"&amp;$I213&amp;"'!"&amp;E$183),"")</f>
        <v>#REF!</v>
      </c>
      <c r="O213" s="88"/>
      <c r="P213" s="94"/>
      <c r="Q213" s="88"/>
      <c r="R213" s="94"/>
    </row>
    <row r="214" spans="1:18" s="1" customFormat="1" x14ac:dyDescent="0.3">
      <c r="O214" s="88"/>
      <c r="P214" s="94"/>
      <c r="Q214" s="88"/>
      <c r="R214" s="94"/>
    </row>
    <row r="215" spans="1:18" s="1" customFormat="1" x14ac:dyDescent="0.3">
      <c r="O215" s="88"/>
      <c r="P215" s="94"/>
      <c r="Q215" s="88"/>
      <c r="R215" s="94"/>
    </row>
    <row r="216" spans="1:18" s="1" customFormat="1" x14ac:dyDescent="0.3">
      <c r="O216" s="91"/>
      <c r="P216" s="95"/>
      <c r="Q216" s="91"/>
      <c r="R216" s="95"/>
    </row>
    <row r="217" spans="1:18" s="85" customFormat="1" ht="36.6" customHeight="1" x14ac:dyDescent="0.3">
      <c r="A217" s="552" t="s">
        <v>600</v>
      </c>
      <c r="O217" s="87"/>
      <c r="P217" s="93"/>
      <c r="R217" s="93"/>
    </row>
    <row r="218" spans="1:18" s="1" customFormat="1" x14ac:dyDescent="0.3">
      <c r="D218" s="53"/>
      <c r="O218" s="88"/>
      <c r="P218" s="94"/>
      <c r="R218" s="94"/>
    </row>
    <row r="219" spans="1:18" s="1" customFormat="1" x14ac:dyDescent="0.3">
      <c r="A219" s="1" t="s">
        <v>289</v>
      </c>
      <c r="E219" s="1" t="s">
        <v>351</v>
      </c>
      <c r="O219" s="88"/>
      <c r="P219" s="94"/>
      <c r="R219" s="94"/>
    </row>
    <row r="220" spans="1:18" s="1" customFormat="1" ht="43.2" x14ac:dyDescent="0.3">
      <c r="A220" s="109" t="s">
        <v>338</v>
      </c>
      <c r="B220" s="119" t="s">
        <v>352</v>
      </c>
      <c r="C220" s="119" t="s">
        <v>353</v>
      </c>
      <c r="D220" s="119" t="s">
        <v>354</v>
      </c>
      <c r="E220" s="119" t="s">
        <v>355</v>
      </c>
      <c r="F220" s="119" t="s">
        <v>356</v>
      </c>
      <c r="G220" s="119" t="s">
        <v>357</v>
      </c>
      <c r="O220" s="91"/>
      <c r="P220" s="95"/>
      <c r="R220" s="94"/>
    </row>
    <row r="221" spans="1:18" s="1" customFormat="1" x14ac:dyDescent="0.3">
      <c r="A221" s="1" t="s">
        <v>227</v>
      </c>
      <c r="B221" s="118" cm="1">
        <f t="array" aca="1" ref="B221" ca="1">(INDIRECT("'1"&amp;$A221&amp;"'!O21")*INDIRECT("'1"&amp;$A221&amp;"'!W21")+INDIRECT("'1"&amp;$A221&amp;"'!O20")*INDIRECT("'1"&amp;$A221&amp;"'!W20"))/(INDIRECT("'1"&amp;$A221&amp;"'!O21")+INDIRECT("'1"&amp;$A221&amp;"'!O20"))</f>
        <v>1.057850942658584</v>
      </c>
      <c r="C221" s="118" cm="1">
        <f t="array" aca="1" ref="C221" ca="1" xml:space="preserve"> (INDIRECT("'1"&amp;$A221&amp;"'!O19")*INDIRECT("'1"&amp;$A221&amp;"'!W19")
+ INDIRECT("'1"&amp;$A221&amp;"'!O18")*INDIRECT("'1"&amp;$A221&amp;"'!W18")
+ INDIRECT("'1"&amp;$A221&amp;"'!O17")*INDIRECT("'1"&amp;$A221&amp;"'!W17")
+ INDIRECT("'1"&amp;$A221&amp;"'!O16")*INDIRECT("'1"&amp;$A221&amp;"'!W16")
+ INDIRECT("'1"&amp;$A221&amp;"'!O15")*INDIRECT("'1"&amp;$A221&amp;"'!W15")
+ INDIRECT("'1"&amp;$A221&amp;"'!O14")*INDIRECT("'1"&amp;$A221&amp;"'!W14")
+ INDIRECT("'1"&amp;$A221&amp;"'!O13")*INDIRECT("'1"&amp;$A221&amp;"'!W13")
+ INDIRECT("'1"&amp;$A221&amp;"'!O12")*INDIRECT("'1"&amp;$A221&amp;"'!W12"))
/
(INDIRECT("'1"&amp;$A221&amp;"'!O19")
+ INDIRECT("'1"&amp;$A221&amp;"'!O18")
+ INDIRECT("'1"&amp;$A221&amp;"'!O17")
+ INDIRECT("'1"&amp;$A221&amp;"'!O16")
+ INDIRECT("'1"&amp;$A221&amp;"'!O15")
+ INDIRECT("'1"&amp;$A221&amp;"'!O14")
+ INDIRECT("'1"&amp;$A221&amp;"'!O13")
+ INDIRECT("'1"&amp;$A221&amp;"'!O12"))</f>
        <v>1.1299828300388302</v>
      </c>
      <c r="D221" s="118">
        <f ca="1">Table27810[[#This Row],[weighted ERTI of bottom 80]]-Table27810[[#This Row],[weighted ERTI of top 20]]</f>
        <v>7.2131887380246118E-2</v>
      </c>
      <c r="E221" s="118" cm="1">
        <f t="array" aca="1" ref="E221" ca="1">INDIRECT("'1"&amp;$A221&amp;"'!"&amp;E$219)</f>
        <v>1.0419513367188951</v>
      </c>
      <c r="F221" s="41" cm="1">
        <f t="array" aca="1" ref="F221" ca="1" xml:space="preserve"> (INDIRECT("'1"&amp;$A221&amp;"'!O20")*INDIRECT("'1"&amp;$A221&amp;"'!W20")
+ INDIRECT("'1"&amp;$A221&amp;"'!O19")*INDIRECT("'1"&amp;$A221&amp;"'!W19")
+ INDIRECT("'1"&amp;$A221&amp;"'!O18")*INDIRECT("'1"&amp;$A221&amp;"'!W18")
+ INDIRECT("'1"&amp;$A221&amp;"'!O17")*INDIRECT("'1"&amp;$A221&amp;"'!W17")
+ INDIRECT("'1"&amp;$A221&amp;"'!O16")*INDIRECT("'1"&amp;$A221&amp;"'!W16")
+ INDIRECT("'1"&amp;$A221&amp;"'!O15")*INDIRECT("'1"&amp;$A221&amp;"'!W15")
+ INDIRECT("'1"&amp;$A221&amp;"'!O14")*INDIRECT("'1"&amp;$A221&amp;"'!W14")
+ INDIRECT("'1"&amp;$A221&amp;"'!O13")*INDIRECT("'1"&amp;$A221&amp;"'!W13")
+ INDIRECT("'1"&amp;$A221&amp;"'!O12")*INDIRECT("'1"&amp;$A221&amp;"'!W12"))
/
(INDIRECT("'1"&amp;$A221&amp;"'!O20")
+ INDIRECT("'1"&amp;$A221&amp;"'!O19")
+ INDIRECT("'1"&amp;$A221&amp;"'!O18")
+ INDIRECT("'1"&amp;$A221&amp;"'!O17")
+ INDIRECT("'1"&amp;$A221&amp;"'!O16")
+ INDIRECT("'1"&amp;$A221&amp;"'!O15")
+ INDIRECT("'1"&amp;$A221&amp;"'!O14")
+ INDIRECT("'1"&amp;$A221&amp;"'!O13")
+ INDIRECT("'1"&amp;$A221&amp;"'!O12"))</f>
        <v>1.1204772688983136</v>
      </c>
      <c r="G221" s="41">
        <f ca="1">Table27810[[#This Row],[weighted ERTI of bottom 90]]-Table27810[[#This Row],[ERTI top 10]]</f>
        <v>7.8525932179418501E-2</v>
      </c>
      <c r="O221" s="88"/>
      <c r="P221" s="94"/>
      <c r="R221" s="94"/>
    </row>
    <row r="222" spans="1:18" s="1" customFormat="1" x14ac:dyDescent="0.3">
      <c r="A222" s="1" t="s">
        <v>223</v>
      </c>
      <c r="B222" s="118" cm="1">
        <f t="array" aca="1" ref="B222" ca="1">(INDIRECT("'1"&amp;$A222&amp;"'!O21")*INDIRECT("'1"&amp;$A222&amp;"'!W21")+INDIRECT("'1"&amp;$A222&amp;"'!O20")*INDIRECT("'1"&amp;$A222&amp;"'!W20"))/(INDIRECT("'1"&amp;$A222&amp;"'!O21")+INDIRECT("'1"&amp;$A222&amp;"'!O20"))</f>
        <v>1.4006713426603512</v>
      </c>
      <c r="C222" s="118" cm="1">
        <f t="array" aca="1" ref="C222" ca="1" xml:space="preserve"> (INDIRECT("'1"&amp;$A222&amp;"'!O19")*INDIRECT("'1"&amp;$A222&amp;"'!W19")
+ INDIRECT("'1"&amp;$A222&amp;"'!O18")*INDIRECT("'1"&amp;$A222&amp;"'!W18")
+ INDIRECT("'1"&amp;$A222&amp;"'!O17")*INDIRECT("'1"&amp;$A222&amp;"'!W17")
+ INDIRECT("'1"&amp;$A222&amp;"'!O16")*INDIRECT("'1"&amp;$A222&amp;"'!W16")
+ INDIRECT("'1"&amp;$A222&amp;"'!O15")*INDIRECT("'1"&amp;$A222&amp;"'!W15")
+ INDIRECT("'1"&amp;$A222&amp;"'!O14")*INDIRECT("'1"&amp;$A222&amp;"'!W14")
+ INDIRECT("'1"&amp;$A222&amp;"'!O13")*INDIRECT("'1"&amp;$A222&amp;"'!W13")
+ INDIRECT("'1"&amp;$A222&amp;"'!O12")*INDIRECT("'1"&amp;$A222&amp;"'!W12"))
/
(INDIRECT("'1"&amp;$A222&amp;"'!O19")
+ INDIRECT("'1"&amp;$A222&amp;"'!O18")
+ INDIRECT("'1"&amp;$A222&amp;"'!O17")
+ INDIRECT("'1"&amp;$A222&amp;"'!O16")
+ INDIRECT("'1"&amp;$A222&amp;"'!O15")
+ INDIRECT("'1"&amp;$A222&amp;"'!O14")
+ INDIRECT("'1"&amp;$A222&amp;"'!O13")
+ INDIRECT("'1"&amp;$A222&amp;"'!O12"))</f>
        <v>1.7498434573639701</v>
      </c>
      <c r="D222" s="118">
        <f ca="1">Table27810[[#This Row],[weighted ERTI of bottom 80]]-Table27810[[#This Row],[weighted ERTI of top 20]]</f>
        <v>0.34917211470361886</v>
      </c>
      <c r="E222" s="118" cm="1">
        <f t="array" aca="1" ref="E222" ca="1">INDIRECT("'1"&amp;$A222&amp;"'!"&amp;E$219)</f>
        <v>1.3490482268475614</v>
      </c>
      <c r="F222" s="41" cm="1">
        <f t="array" aca="1" ref="F222" ca="1" xml:space="preserve"> (INDIRECT("'1"&amp;$A222&amp;"'!O20")*INDIRECT("'1"&amp;$A222&amp;"'!W20")
+ INDIRECT("'1"&amp;$A222&amp;"'!O19")*INDIRECT("'1"&amp;$A222&amp;"'!W19")
+ INDIRECT("'1"&amp;$A222&amp;"'!O18")*INDIRECT("'1"&amp;$A222&amp;"'!W18")
+ INDIRECT("'1"&amp;$A222&amp;"'!O17")*INDIRECT("'1"&amp;$A222&amp;"'!W17")
+ INDIRECT("'1"&amp;$A222&amp;"'!O16")*INDIRECT("'1"&amp;$A222&amp;"'!W16")
+ INDIRECT("'1"&amp;$A222&amp;"'!O15")*INDIRECT("'1"&amp;$A222&amp;"'!W15")
+ INDIRECT("'1"&amp;$A222&amp;"'!O14")*INDIRECT("'1"&amp;$A222&amp;"'!W14")
+ INDIRECT("'1"&amp;$A222&amp;"'!O13")*INDIRECT("'1"&amp;$A222&amp;"'!W13")
+ INDIRECT("'1"&amp;$A222&amp;"'!O12")*INDIRECT("'1"&amp;$A222&amp;"'!W12"))
/
(INDIRECT("'1"&amp;$A222&amp;"'!O20")
+ INDIRECT("'1"&amp;$A222&amp;"'!O19")
+ INDIRECT("'1"&amp;$A222&amp;"'!O18")
+ INDIRECT("'1"&amp;$A222&amp;"'!O17")
+ INDIRECT("'1"&amp;$A222&amp;"'!O16")
+ INDIRECT("'1"&amp;$A222&amp;"'!O15")
+ INDIRECT("'1"&amp;$A222&amp;"'!O14")
+ INDIRECT("'1"&amp;$A222&amp;"'!O13")
+ INDIRECT("'1"&amp;$A222&amp;"'!O12"))</f>
        <v>1.6918957346782735</v>
      </c>
      <c r="G222" s="41">
        <f ca="1">Table27810[[#This Row],[weighted ERTI of bottom 90]]-Table27810[[#This Row],[ERTI top 10]]</f>
        <v>0.34284750783071205</v>
      </c>
      <c r="O222" s="88"/>
      <c r="P222" s="94"/>
      <c r="R222" s="94"/>
    </row>
    <row r="223" spans="1:18" s="1" customFormat="1" x14ac:dyDescent="0.3">
      <c r="A223" s="1" t="s">
        <v>238</v>
      </c>
      <c r="B223" s="118" cm="1">
        <f t="array" aca="1" ref="B223" ca="1">(INDIRECT("'1"&amp;$A223&amp;"'!O21")*INDIRECT("'1"&amp;$A223&amp;"'!W21")+INDIRECT("'1"&amp;$A223&amp;"'!O20")*INDIRECT("'1"&amp;$A223&amp;"'!W20"))/(INDIRECT("'1"&amp;$A223&amp;"'!O21")+INDIRECT("'1"&amp;$A223&amp;"'!O20"))</f>
        <v>1.1552350669824181</v>
      </c>
      <c r="C223" s="118" cm="1">
        <f t="array" aca="1" ref="C223" ca="1" xml:space="preserve"> (INDIRECT("'1"&amp;$A223&amp;"'!O19")*INDIRECT("'1"&amp;$A223&amp;"'!W19")
+ INDIRECT("'1"&amp;$A223&amp;"'!O18")*INDIRECT("'1"&amp;$A223&amp;"'!W18")
+ INDIRECT("'1"&amp;$A223&amp;"'!O17")*INDIRECT("'1"&amp;$A223&amp;"'!W17")
+ INDIRECT("'1"&amp;$A223&amp;"'!O16")*INDIRECT("'1"&amp;$A223&amp;"'!W16")
+ INDIRECT("'1"&amp;$A223&amp;"'!O15")*INDIRECT("'1"&amp;$A223&amp;"'!W15")
+ INDIRECT("'1"&amp;$A223&amp;"'!O14")*INDIRECT("'1"&amp;$A223&amp;"'!W14")
+ INDIRECT("'1"&amp;$A223&amp;"'!O13")*INDIRECT("'1"&amp;$A223&amp;"'!W13")
+ INDIRECT("'1"&amp;$A223&amp;"'!O12")*INDIRECT("'1"&amp;$A223&amp;"'!W12"))
/
(INDIRECT("'1"&amp;$A223&amp;"'!O19")
+ INDIRECT("'1"&amp;$A223&amp;"'!O18")
+ INDIRECT("'1"&amp;$A223&amp;"'!O17")
+ INDIRECT("'1"&amp;$A223&amp;"'!O16")
+ INDIRECT("'1"&amp;$A223&amp;"'!O15")
+ INDIRECT("'1"&amp;$A223&amp;"'!O14")
+ INDIRECT("'1"&amp;$A223&amp;"'!O13")
+ INDIRECT("'1"&amp;$A223&amp;"'!O12"))</f>
        <v>1.5172392996911619</v>
      </c>
      <c r="D223" s="118">
        <f ca="1">Table27810[[#This Row],[weighted ERTI of bottom 80]]-Table27810[[#This Row],[weighted ERTI of top 20]]</f>
        <v>0.36200423270874382</v>
      </c>
      <c r="E223" s="120" cm="1">
        <f t="array" aca="1" ref="E223" ca="1">INDIRECT("'1"&amp;$A223&amp;"'!"&amp;E$219)</f>
        <v>1.0891632655382597</v>
      </c>
      <c r="F223" s="41" cm="1">
        <f t="array" aca="1" ref="F223" ca="1" xml:space="preserve"> (INDIRECT("'1"&amp;$A223&amp;"'!O20")*INDIRECT("'1"&amp;$A223&amp;"'!W20")
+ INDIRECT("'1"&amp;$A223&amp;"'!O19")*INDIRECT("'1"&amp;$A223&amp;"'!W19")
+ INDIRECT("'1"&amp;$A223&amp;"'!O18")*INDIRECT("'1"&amp;$A223&amp;"'!W18")
+ INDIRECT("'1"&amp;$A223&amp;"'!O17")*INDIRECT("'1"&amp;$A223&amp;"'!W17")
+ INDIRECT("'1"&amp;$A223&amp;"'!O16")*INDIRECT("'1"&amp;$A223&amp;"'!W16")
+ INDIRECT("'1"&amp;$A223&amp;"'!O15")*INDIRECT("'1"&amp;$A223&amp;"'!W15")
+ INDIRECT("'1"&amp;$A223&amp;"'!O14")*INDIRECT("'1"&amp;$A223&amp;"'!W14")
+ INDIRECT("'1"&amp;$A223&amp;"'!O13")*INDIRECT("'1"&amp;$A223&amp;"'!W13")
+ INDIRECT("'1"&amp;$A223&amp;"'!O12")*INDIRECT("'1"&amp;$A223&amp;"'!W12"))
/
(INDIRECT("'1"&amp;$A223&amp;"'!O20")
+ INDIRECT("'1"&amp;$A223&amp;"'!O19")
+ INDIRECT("'1"&amp;$A223&amp;"'!O18")
+ INDIRECT("'1"&amp;$A223&amp;"'!O17")
+ INDIRECT("'1"&amp;$A223&amp;"'!O16")
+ INDIRECT("'1"&amp;$A223&amp;"'!O15")
+ INDIRECT("'1"&amp;$A223&amp;"'!O14")
+ INDIRECT("'1"&amp;$A223&amp;"'!O13")
+ INDIRECT("'1"&amp;$A223&amp;"'!O12"))</f>
        <v>1.446242087113349</v>
      </c>
      <c r="G223" s="41">
        <f ca="1">Table27810[[#This Row],[weighted ERTI of bottom 90]]-Table27810[[#This Row],[ERTI top 10]]</f>
        <v>0.3570788215750893</v>
      </c>
      <c r="O223" s="89"/>
      <c r="P223" s="96"/>
      <c r="Q223" s="86"/>
      <c r="R223" s="96"/>
    </row>
    <row r="224" spans="1:18" s="1" customFormat="1" x14ac:dyDescent="0.3">
      <c r="A224" s="1" t="s">
        <v>222</v>
      </c>
      <c r="B224" s="118" cm="1">
        <f t="array" aca="1" ref="B224" ca="1">(INDIRECT("'1"&amp;$A224&amp;"'!O21")*INDIRECT("'1"&amp;$A224&amp;"'!W21")+INDIRECT("'1"&amp;$A224&amp;"'!O20")*INDIRECT("'1"&amp;$A224&amp;"'!W20"))/(INDIRECT("'1"&amp;$A224&amp;"'!O21")+INDIRECT("'1"&amp;$A224&amp;"'!O20"))</f>
        <v>1.5076062589786363</v>
      </c>
      <c r="C224" s="118" cm="1">
        <f t="array" aca="1" ref="C224" ca="1" xml:space="preserve"> (INDIRECT("'1"&amp;$A224&amp;"'!O19")*INDIRECT("'1"&amp;$A224&amp;"'!W19")
+ INDIRECT("'1"&amp;$A224&amp;"'!O18")*INDIRECT("'1"&amp;$A224&amp;"'!W18")
+ INDIRECT("'1"&amp;$A224&amp;"'!O17")*INDIRECT("'1"&amp;$A224&amp;"'!W17")
+ INDIRECT("'1"&amp;$A224&amp;"'!O16")*INDIRECT("'1"&amp;$A224&amp;"'!W16")
+ INDIRECT("'1"&amp;$A224&amp;"'!O15")*INDIRECT("'1"&amp;$A224&amp;"'!W15")
+ INDIRECT("'1"&amp;$A224&amp;"'!O14")*INDIRECT("'1"&amp;$A224&amp;"'!W14")
+ INDIRECT("'1"&amp;$A224&amp;"'!O13")*INDIRECT("'1"&amp;$A224&amp;"'!W13")
+ INDIRECT("'1"&amp;$A224&amp;"'!O12")*INDIRECT("'1"&amp;$A224&amp;"'!W12"))
/
(INDIRECT("'1"&amp;$A224&amp;"'!O19")
+ INDIRECT("'1"&amp;$A224&amp;"'!O18")
+ INDIRECT("'1"&amp;$A224&amp;"'!O17")
+ INDIRECT("'1"&amp;$A224&amp;"'!O16")
+ INDIRECT("'1"&amp;$A224&amp;"'!O15")
+ INDIRECT("'1"&amp;$A224&amp;"'!O14")
+ INDIRECT("'1"&amp;$A224&amp;"'!O13")
+ INDIRECT("'1"&amp;$A224&amp;"'!O12"))</f>
        <v>1.9995277178492175</v>
      </c>
      <c r="D224" s="118">
        <f ca="1">Table27810[[#This Row],[weighted ERTI of bottom 80]]-Table27810[[#This Row],[weighted ERTI of top 20]]</f>
        <v>0.49192145887058114</v>
      </c>
      <c r="E224" s="118" cm="1">
        <f t="array" aca="1" ref="E224" ca="1">INDIRECT("'1"&amp;$A224&amp;"'!"&amp;E$219)</f>
        <v>1.4227458805019833</v>
      </c>
      <c r="F224" s="41" cm="1">
        <f t="array" aca="1" ref="F224" ca="1" xml:space="preserve"> (INDIRECT("'1"&amp;$A224&amp;"'!O20")*INDIRECT("'1"&amp;$A224&amp;"'!W20")
+ INDIRECT("'1"&amp;$A224&amp;"'!O19")*INDIRECT("'1"&amp;$A224&amp;"'!W19")
+ INDIRECT("'1"&amp;$A224&amp;"'!O18")*INDIRECT("'1"&amp;$A224&amp;"'!W18")
+ INDIRECT("'1"&amp;$A224&amp;"'!O17")*INDIRECT("'1"&amp;$A224&amp;"'!W17")
+ INDIRECT("'1"&amp;$A224&amp;"'!O16")*INDIRECT("'1"&amp;$A224&amp;"'!W16")
+ INDIRECT("'1"&amp;$A224&amp;"'!O15")*INDIRECT("'1"&amp;$A224&amp;"'!W15")
+ INDIRECT("'1"&amp;$A224&amp;"'!O14")*INDIRECT("'1"&amp;$A224&amp;"'!W14")
+ INDIRECT("'1"&amp;$A224&amp;"'!O13")*INDIRECT("'1"&amp;$A224&amp;"'!W13")
+ INDIRECT("'1"&amp;$A224&amp;"'!O12")*INDIRECT("'1"&amp;$A224&amp;"'!W12"))
/
(INDIRECT("'1"&amp;$A224&amp;"'!O20")
+ INDIRECT("'1"&amp;$A224&amp;"'!O19")
+ INDIRECT("'1"&amp;$A224&amp;"'!O18")
+ INDIRECT("'1"&amp;$A224&amp;"'!O17")
+ INDIRECT("'1"&amp;$A224&amp;"'!O16")
+ INDIRECT("'1"&amp;$A224&amp;"'!O15")
+ INDIRECT("'1"&amp;$A224&amp;"'!O14")
+ INDIRECT("'1"&amp;$A224&amp;"'!O13")
+ INDIRECT("'1"&amp;$A224&amp;"'!O12"))</f>
        <v>1.9218584329725754</v>
      </c>
      <c r="G224" s="41">
        <f ca="1">Table27810[[#This Row],[weighted ERTI of bottom 90]]-Table27810[[#This Row],[ERTI top 10]]</f>
        <v>0.49911255247059216</v>
      </c>
      <c r="O224" s="88"/>
      <c r="P224" s="94"/>
      <c r="R224" s="94"/>
    </row>
    <row r="225" spans="1:18" s="1" customFormat="1" x14ac:dyDescent="0.3">
      <c r="A225" s="1" t="s">
        <v>254</v>
      </c>
      <c r="B225" s="118" cm="1">
        <f t="array" aca="1" ref="B225" ca="1">(INDIRECT("'1"&amp;$A225&amp;"'!O21")*INDIRECT("'1"&amp;$A225&amp;"'!W21")+INDIRECT("'1"&amp;$A225&amp;"'!O20")*INDIRECT("'1"&amp;$A225&amp;"'!W20"))/(INDIRECT("'1"&amp;$A225&amp;"'!O21")+INDIRECT("'1"&amp;$A225&amp;"'!O20"))</f>
        <v>1.613394077793229</v>
      </c>
      <c r="C225" s="118" cm="1">
        <f t="array" aca="1" ref="C225" ca="1" xml:space="preserve"> (INDIRECT("'1"&amp;$A225&amp;"'!O19")*INDIRECT("'1"&amp;$A225&amp;"'!W19")
+ INDIRECT("'1"&amp;$A225&amp;"'!O18")*INDIRECT("'1"&amp;$A225&amp;"'!W18")
+ INDIRECT("'1"&amp;$A225&amp;"'!O17")*INDIRECT("'1"&amp;$A225&amp;"'!W17")
+ INDIRECT("'1"&amp;$A225&amp;"'!O16")*INDIRECT("'1"&amp;$A225&amp;"'!W16")
+ INDIRECT("'1"&amp;$A225&amp;"'!O15")*INDIRECT("'1"&amp;$A225&amp;"'!W15")
+ INDIRECT("'1"&amp;$A225&amp;"'!O14")*INDIRECT("'1"&amp;$A225&amp;"'!W14")
+ INDIRECT("'1"&amp;$A225&amp;"'!O13")*INDIRECT("'1"&amp;$A225&amp;"'!W13")
+ INDIRECT("'1"&amp;$A225&amp;"'!O12")*INDIRECT("'1"&amp;$A225&amp;"'!W12"))
/
(INDIRECT("'1"&amp;$A225&amp;"'!O19")
+ INDIRECT("'1"&amp;$A225&amp;"'!O18")
+ INDIRECT("'1"&amp;$A225&amp;"'!O17")
+ INDIRECT("'1"&amp;$A225&amp;"'!O16")
+ INDIRECT("'1"&amp;$A225&amp;"'!O15")
+ INDIRECT("'1"&amp;$A225&amp;"'!O14")
+ INDIRECT("'1"&amp;$A225&amp;"'!O13")
+ INDIRECT("'1"&amp;$A225&amp;"'!O12"))</f>
        <v>2.105451358115547</v>
      </c>
      <c r="D225" s="118">
        <f ca="1">Table27810[[#This Row],[weighted ERTI of bottom 80]]-Table27810[[#This Row],[weighted ERTI of top 20]]</f>
        <v>0.49205728032231799</v>
      </c>
      <c r="E225" s="120" cm="1">
        <f t="array" aca="1" ref="E225" ca="1">INDIRECT("'1"&amp;$A225&amp;"'!"&amp;E$219)</f>
        <v>1.5309326061675268</v>
      </c>
      <c r="F225" s="41" cm="1">
        <f t="array" aca="1" ref="F225" ca="1" xml:space="preserve"> (INDIRECT("'1"&amp;$A225&amp;"'!O20")*INDIRECT("'1"&amp;$A225&amp;"'!W20")
+ INDIRECT("'1"&amp;$A225&amp;"'!O19")*INDIRECT("'1"&amp;$A225&amp;"'!W19")
+ INDIRECT("'1"&amp;$A225&amp;"'!O18")*INDIRECT("'1"&amp;$A225&amp;"'!W18")
+ INDIRECT("'1"&amp;$A225&amp;"'!O17")*INDIRECT("'1"&amp;$A225&amp;"'!W17")
+ INDIRECT("'1"&amp;$A225&amp;"'!O16")*INDIRECT("'1"&amp;$A225&amp;"'!W16")
+ INDIRECT("'1"&amp;$A225&amp;"'!O15")*INDIRECT("'1"&amp;$A225&amp;"'!W15")
+ INDIRECT("'1"&amp;$A225&amp;"'!O14")*INDIRECT("'1"&amp;$A225&amp;"'!W14")
+ INDIRECT("'1"&amp;$A225&amp;"'!O13")*INDIRECT("'1"&amp;$A225&amp;"'!W13")
+ INDIRECT("'1"&amp;$A225&amp;"'!O12")*INDIRECT("'1"&amp;$A225&amp;"'!W12"))
/
(INDIRECT("'1"&amp;$A225&amp;"'!O20")
+ INDIRECT("'1"&amp;$A225&amp;"'!O19")
+ INDIRECT("'1"&amp;$A225&amp;"'!O18")
+ INDIRECT("'1"&amp;$A225&amp;"'!O17")
+ INDIRECT("'1"&amp;$A225&amp;"'!O16")
+ INDIRECT("'1"&amp;$A225&amp;"'!O15")
+ INDIRECT("'1"&amp;$A225&amp;"'!O14")
+ INDIRECT("'1"&amp;$A225&amp;"'!O13")
+ INDIRECT("'1"&amp;$A225&amp;"'!O12"))</f>
        <v>2.0031161161692697</v>
      </c>
      <c r="G225" s="41">
        <f ca="1">Table27810[[#This Row],[weighted ERTI of bottom 90]]-Table27810[[#This Row],[ERTI top 10]]</f>
        <v>0.47218351000174286</v>
      </c>
      <c r="O225" s="89"/>
      <c r="P225" s="96"/>
      <c r="Q225" s="86"/>
      <c r="R225" s="96"/>
    </row>
    <row r="226" spans="1:18" s="1" customFormat="1" x14ac:dyDescent="0.3">
      <c r="A226" s="1" t="s">
        <v>242</v>
      </c>
      <c r="B226" s="118" cm="1">
        <f t="array" aca="1" ref="B226" ca="1">(INDIRECT("'1"&amp;$A226&amp;"'!O21")*INDIRECT("'1"&amp;$A226&amp;"'!W21")+INDIRECT("'1"&amp;$A226&amp;"'!O20")*INDIRECT("'1"&amp;$A226&amp;"'!W20"))/(INDIRECT("'1"&amp;$A226&amp;"'!O21")+INDIRECT("'1"&amp;$A226&amp;"'!O20"))</f>
        <v>1.179999483308753</v>
      </c>
      <c r="C226" s="118" cm="1">
        <f t="array" aca="1" ref="C226" ca="1" xml:space="preserve"> (INDIRECT("'1"&amp;$A226&amp;"'!O19")*INDIRECT("'1"&amp;$A226&amp;"'!W19")
+ INDIRECT("'1"&amp;$A226&amp;"'!O18")*INDIRECT("'1"&amp;$A226&amp;"'!W18")
+ INDIRECT("'1"&amp;$A226&amp;"'!O17")*INDIRECT("'1"&amp;$A226&amp;"'!W17")
+ INDIRECT("'1"&amp;$A226&amp;"'!O16")*INDIRECT("'1"&amp;$A226&amp;"'!W16")
+ INDIRECT("'1"&amp;$A226&amp;"'!O15")*INDIRECT("'1"&amp;$A226&amp;"'!W15")
+ INDIRECT("'1"&amp;$A226&amp;"'!O14")*INDIRECT("'1"&amp;$A226&amp;"'!W14")
+ INDIRECT("'1"&amp;$A226&amp;"'!O13")*INDIRECT("'1"&amp;$A226&amp;"'!W13")
+ INDIRECT("'1"&amp;$A226&amp;"'!O12")*INDIRECT("'1"&amp;$A226&amp;"'!W12"))
/
(INDIRECT("'1"&amp;$A226&amp;"'!O19")
+ INDIRECT("'1"&amp;$A226&amp;"'!O18")
+ INDIRECT("'1"&amp;$A226&amp;"'!O17")
+ INDIRECT("'1"&amp;$A226&amp;"'!O16")
+ INDIRECT("'1"&amp;$A226&amp;"'!O15")
+ INDIRECT("'1"&amp;$A226&amp;"'!O14")
+ INDIRECT("'1"&amp;$A226&amp;"'!O13")
+ INDIRECT("'1"&amp;$A226&amp;"'!O12"))</f>
        <v>1.7651916826228666</v>
      </c>
      <c r="D226" s="118">
        <f ca="1">Table27810[[#This Row],[weighted ERTI of bottom 80]]-Table27810[[#This Row],[weighted ERTI of top 20]]</f>
        <v>0.58519219931411359</v>
      </c>
      <c r="E226" s="118" cm="1">
        <f t="array" aca="1" ref="E226" ca="1">INDIRECT("'1"&amp;$A226&amp;"'!"&amp;E$219)</f>
        <v>1.1433629732405111</v>
      </c>
      <c r="F226" s="41" cm="1">
        <f t="array" aca="1" ref="F226" ca="1" xml:space="preserve"> (INDIRECT("'1"&amp;$A226&amp;"'!O20")*INDIRECT("'1"&amp;$A226&amp;"'!W20")
+ INDIRECT("'1"&amp;$A226&amp;"'!O19")*INDIRECT("'1"&amp;$A226&amp;"'!W19")
+ INDIRECT("'1"&amp;$A226&amp;"'!O18")*INDIRECT("'1"&amp;$A226&amp;"'!W18")
+ INDIRECT("'1"&amp;$A226&amp;"'!O17")*INDIRECT("'1"&amp;$A226&amp;"'!W17")
+ INDIRECT("'1"&amp;$A226&amp;"'!O16")*INDIRECT("'1"&amp;$A226&amp;"'!W16")
+ INDIRECT("'1"&amp;$A226&amp;"'!O15")*INDIRECT("'1"&amp;$A226&amp;"'!W15")
+ INDIRECT("'1"&amp;$A226&amp;"'!O14")*INDIRECT("'1"&amp;$A226&amp;"'!W14")
+ INDIRECT("'1"&amp;$A226&amp;"'!O13")*INDIRECT("'1"&amp;$A226&amp;"'!W13")
+ INDIRECT("'1"&amp;$A226&amp;"'!O12")*INDIRECT("'1"&amp;$A226&amp;"'!W12"))
/
(INDIRECT("'1"&amp;$A226&amp;"'!O20")
+ INDIRECT("'1"&amp;$A226&amp;"'!O19")
+ INDIRECT("'1"&amp;$A226&amp;"'!O18")
+ INDIRECT("'1"&amp;$A226&amp;"'!O17")
+ INDIRECT("'1"&amp;$A226&amp;"'!O16")
+ INDIRECT("'1"&amp;$A226&amp;"'!O15")
+ INDIRECT("'1"&amp;$A226&amp;"'!O14")
+ INDIRECT("'1"&amp;$A226&amp;"'!O13")
+ INDIRECT("'1"&amp;$A226&amp;"'!O12"))</f>
        <v>1.6125880329288325</v>
      </c>
      <c r="G226" s="41">
        <f ca="1">Table27810[[#This Row],[weighted ERTI of bottom 90]]-Table27810[[#This Row],[ERTI top 10]]</f>
        <v>0.4692250596883214</v>
      </c>
      <c r="O226" s="88"/>
      <c r="P226" s="94"/>
      <c r="R226" s="94"/>
    </row>
    <row r="227" spans="1:18" s="1" customFormat="1" x14ac:dyDescent="0.3">
      <c r="A227" s="1" t="s">
        <v>210</v>
      </c>
      <c r="B227" s="118" cm="1">
        <f t="array" aca="1" ref="B227" ca="1">(INDIRECT("'1"&amp;$A227&amp;"'!O21")*INDIRECT("'1"&amp;$A227&amp;"'!W21")+INDIRECT("'1"&amp;$A227&amp;"'!O20")*INDIRECT("'1"&amp;$A227&amp;"'!W20"))/(INDIRECT("'1"&amp;$A227&amp;"'!O21")+INDIRECT("'1"&amp;$A227&amp;"'!O20"))</f>
        <v>1.452207935816487</v>
      </c>
      <c r="C227" s="118" cm="1">
        <f t="array" aca="1" ref="C227" ca="1" xml:space="preserve"> (INDIRECT("'1"&amp;$A227&amp;"'!O19")*INDIRECT("'1"&amp;$A227&amp;"'!W19")
+ INDIRECT("'1"&amp;$A227&amp;"'!O18")*INDIRECT("'1"&amp;$A227&amp;"'!W18")
+ INDIRECT("'1"&amp;$A227&amp;"'!O17")*INDIRECT("'1"&amp;$A227&amp;"'!W17")
+ INDIRECT("'1"&amp;$A227&amp;"'!O16")*INDIRECT("'1"&amp;$A227&amp;"'!W16")
+ INDIRECT("'1"&amp;$A227&amp;"'!O15")*INDIRECT("'1"&amp;$A227&amp;"'!W15")
+ INDIRECT("'1"&amp;$A227&amp;"'!O14")*INDIRECT("'1"&amp;$A227&amp;"'!W14")
+ INDIRECT("'1"&amp;$A227&amp;"'!O13")*INDIRECT("'1"&amp;$A227&amp;"'!W13")
+ INDIRECT("'1"&amp;$A227&amp;"'!O12")*INDIRECT("'1"&amp;$A227&amp;"'!W12"))
/
(INDIRECT("'1"&amp;$A227&amp;"'!O19")
+ INDIRECT("'1"&amp;$A227&amp;"'!O18")
+ INDIRECT("'1"&amp;$A227&amp;"'!O17")
+ INDIRECT("'1"&amp;$A227&amp;"'!O16")
+ INDIRECT("'1"&amp;$A227&amp;"'!O15")
+ INDIRECT("'1"&amp;$A227&amp;"'!O14")
+ INDIRECT("'1"&amp;$A227&amp;"'!O13")
+ INDIRECT("'1"&amp;$A227&amp;"'!O12"))</f>
        <v>2.1752334298491034</v>
      </c>
      <c r="D227" s="118">
        <f ca="1">Table27810[[#This Row],[weighted ERTI of bottom 80]]-Table27810[[#This Row],[weighted ERTI of top 20]]</f>
        <v>0.7230254940326164</v>
      </c>
      <c r="E227" s="120" cm="1">
        <f t="array" aca="1" ref="E227" ca="1">INDIRECT("'1"&amp;$A227&amp;"'!"&amp;E$219)</f>
        <v>1.3566735793159437</v>
      </c>
      <c r="F227" s="41" cm="1">
        <f t="array" aca="1" ref="F227" ca="1" xml:space="preserve"> (INDIRECT("'1"&amp;$A227&amp;"'!O20")*INDIRECT("'1"&amp;$A227&amp;"'!W20")
+ INDIRECT("'1"&amp;$A227&amp;"'!O19")*INDIRECT("'1"&amp;$A227&amp;"'!W19")
+ INDIRECT("'1"&amp;$A227&amp;"'!O18")*INDIRECT("'1"&amp;$A227&amp;"'!W18")
+ INDIRECT("'1"&amp;$A227&amp;"'!O17")*INDIRECT("'1"&amp;$A227&amp;"'!W17")
+ INDIRECT("'1"&amp;$A227&amp;"'!O16")*INDIRECT("'1"&amp;$A227&amp;"'!W16")
+ INDIRECT("'1"&amp;$A227&amp;"'!O15")*INDIRECT("'1"&amp;$A227&amp;"'!W15")
+ INDIRECT("'1"&amp;$A227&amp;"'!O14")*INDIRECT("'1"&amp;$A227&amp;"'!W14")
+ INDIRECT("'1"&amp;$A227&amp;"'!O13")*INDIRECT("'1"&amp;$A227&amp;"'!W13")
+ INDIRECT("'1"&amp;$A227&amp;"'!O12")*INDIRECT("'1"&amp;$A227&amp;"'!W12"))
/
(INDIRECT("'1"&amp;$A227&amp;"'!O20")
+ INDIRECT("'1"&amp;$A227&amp;"'!O19")
+ INDIRECT("'1"&amp;$A227&amp;"'!O18")
+ INDIRECT("'1"&amp;$A227&amp;"'!O17")
+ INDIRECT("'1"&amp;$A227&amp;"'!O16")
+ INDIRECT("'1"&amp;$A227&amp;"'!O15")
+ INDIRECT("'1"&amp;$A227&amp;"'!O14")
+ INDIRECT("'1"&amp;$A227&amp;"'!O13")
+ INDIRECT("'1"&amp;$A227&amp;"'!O12"))</f>
        <v>2.0156390761719098</v>
      </c>
      <c r="G227" s="41">
        <f ca="1">Table27810[[#This Row],[weighted ERTI of bottom 90]]-Table27810[[#This Row],[ERTI top 10]]</f>
        <v>0.65896549685596617</v>
      </c>
      <c r="O227" s="89"/>
      <c r="P227" s="96"/>
      <c r="Q227" s="86"/>
      <c r="R227" s="96"/>
    </row>
    <row r="228" spans="1:18" s="1" customFormat="1" x14ac:dyDescent="0.3">
      <c r="A228" s="1" t="s">
        <v>217</v>
      </c>
      <c r="B228" s="118" cm="1">
        <f t="array" aca="1" ref="B228" ca="1">(INDIRECT("'1"&amp;$A228&amp;"'!O21")*INDIRECT("'1"&amp;$A228&amp;"'!W21")+INDIRECT("'1"&amp;$A228&amp;"'!O20")*INDIRECT("'1"&amp;$A228&amp;"'!W20"))/(INDIRECT("'1"&amp;$A228&amp;"'!O21")+INDIRECT("'1"&amp;$A228&amp;"'!O20"))</f>
        <v>1.5637359117673515</v>
      </c>
      <c r="C228" s="118" cm="1">
        <f t="array" aca="1" ref="C228" ca="1" xml:space="preserve"> (INDIRECT("'1"&amp;$A228&amp;"'!O19")*INDIRECT("'1"&amp;$A228&amp;"'!W19")
+ INDIRECT("'1"&amp;$A228&amp;"'!O18")*INDIRECT("'1"&amp;$A228&amp;"'!W18")
+ INDIRECT("'1"&amp;$A228&amp;"'!O17")*INDIRECT("'1"&amp;$A228&amp;"'!W17")
+ INDIRECT("'1"&amp;$A228&amp;"'!O16")*INDIRECT("'1"&amp;$A228&amp;"'!W16")
+ INDIRECT("'1"&amp;$A228&amp;"'!O15")*INDIRECT("'1"&amp;$A228&amp;"'!W15")
+ INDIRECT("'1"&amp;$A228&amp;"'!O14")*INDIRECT("'1"&amp;$A228&amp;"'!W14")
+ INDIRECT("'1"&amp;$A228&amp;"'!O13")*INDIRECT("'1"&amp;$A228&amp;"'!W13")
+ INDIRECT("'1"&amp;$A228&amp;"'!O12")*INDIRECT("'1"&amp;$A228&amp;"'!W12"))
/
(INDIRECT("'1"&amp;$A228&amp;"'!O19")
+ INDIRECT("'1"&amp;$A228&amp;"'!O18")
+ INDIRECT("'1"&amp;$A228&amp;"'!O17")
+ INDIRECT("'1"&amp;$A228&amp;"'!O16")
+ INDIRECT("'1"&amp;$A228&amp;"'!O15")
+ INDIRECT("'1"&amp;$A228&amp;"'!O14")
+ INDIRECT("'1"&amp;$A228&amp;"'!O13")
+ INDIRECT("'1"&amp;$A228&amp;"'!O12"))</f>
        <v>2.3230408862710568</v>
      </c>
      <c r="D228" s="118">
        <f ca="1">Table27810[[#This Row],[weighted ERTI of bottom 80]]-Table27810[[#This Row],[weighted ERTI of top 20]]</f>
        <v>0.75930497450370527</v>
      </c>
      <c r="E228" s="120" cm="1">
        <f t="array" aca="1" ref="E228" ca="1">INDIRECT("'1"&amp;$A228&amp;"'!"&amp;E$219)</f>
        <v>1.4536998987554921</v>
      </c>
      <c r="F228" s="41" cm="1">
        <f t="array" aca="1" ref="F228" ca="1" xml:space="preserve"> (INDIRECT("'1"&amp;$A228&amp;"'!O20")*INDIRECT("'1"&amp;$A228&amp;"'!W20")
+ INDIRECT("'1"&amp;$A228&amp;"'!O19")*INDIRECT("'1"&amp;$A228&amp;"'!W19")
+ INDIRECT("'1"&amp;$A228&amp;"'!O18")*INDIRECT("'1"&amp;$A228&amp;"'!W18")
+ INDIRECT("'1"&amp;$A228&amp;"'!O17")*INDIRECT("'1"&amp;$A228&amp;"'!W17")
+ INDIRECT("'1"&amp;$A228&amp;"'!O16")*INDIRECT("'1"&amp;$A228&amp;"'!W16")
+ INDIRECT("'1"&amp;$A228&amp;"'!O15")*INDIRECT("'1"&amp;$A228&amp;"'!W15")
+ INDIRECT("'1"&amp;$A228&amp;"'!O14")*INDIRECT("'1"&amp;$A228&amp;"'!W14")
+ INDIRECT("'1"&amp;$A228&amp;"'!O13")*INDIRECT("'1"&amp;$A228&amp;"'!W13")
+ INDIRECT("'1"&amp;$A228&amp;"'!O12")*INDIRECT("'1"&amp;$A228&amp;"'!W12"))
/
(INDIRECT("'1"&amp;$A228&amp;"'!O20")
+ INDIRECT("'1"&amp;$A228&amp;"'!O19")
+ INDIRECT("'1"&amp;$A228&amp;"'!O18")
+ INDIRECT("'1"&amp;$A228&amp;"'!O17")
+ INDIRECT("'1"&amp;$A228&amp;"'!O16")
+ INDIRECT("'1"&amp;$A228&amp;"'!O15")
+ INDIRECT("'1"&amp;$A228&amp;"'!O14")
+ INDIRECT("'1"&amp;$A228&amp;"'!O13")
+ INDIRECT("'1"&amp;$A228&amp;"'!O12"))</f>
        <v>2.2050899676710012</v>
      </c>
      <c r="G228" s="41">
        <f ca="1">Table27810[[#This Row],[weighted ERTI of bottom 90]]-Table27810[[#This Row],[ERTI top 10]]</f>
        <v>0.75139006891550908</v>
      </c>
      <c r="O228" s="88"/>
      <c r="P228" s="94"/>
      <c r="R228" s="94"/>
    </row>
    <row r="229" spans="1:18" s="1" customFormat="1" x14ac:dyDescent="0.3">
      <c r="A229" s="1" t="s">
        <v>252</v>
      </c>
      <c r="B229" s="118" cm="1">
        <f t="array" aca="1" ref="B229" ca="1">(INDIRECT("'1"&amp;$A229&amp;"'!O21")*INDIRECT("'1"&amp;$A229&amp;"'!W21")+INDIRECT("'1"&amp;$A229&amp;"'!O20")*INDIRECT("'1"&amp;$A229&amp;"'!W20"))/(INDIRECT("'1"&amp;$A229&amp;"'!O21")+INDIRECT("'1"&amp;$A229&amp;"'!O20"))</f>
        <v>1.555491151582997</v>
      </c>
      <c r="C229" s="118" cm="1">
        <f t="array" aca="1" ref="C229" ca="1" xml:space="preserve"> (INDIRECT("'1"&amp;$A229&amp;"'!O19")*INDIRECT("'1"&amp;$A229&amp;"'!W19")
+ INDIRECT("'1"&amp;$A229&amp;"'!O18")*INDIRECT("'1"&amp;$A229&amp;"'!W18")
+ INDIRECT("'1"&amp;$A229&amp;"'!O17")*INDIRECT("'1"&amp;$A229&amp;"'!W17")
+ INDIRECT("'1"&amp;$A229&amp;"'!O16")*INDIRECT("'1"&amp;$A229&amp;"'!W16")
+ INDIRECT("'1"&amp;$A229&amp;"'!O15")*INDIRECT("'1"&amp;$A229&amp;"'!W15")
+ INDIRECT("'1"&amp;$A229&amp;"'!O14")*INDIRECT("'1"&amp;$A229&amp;"'!W14")
+ INDIRECT("'1"&amp;$A229&amp;"'!O13")*INDIRECT("'1"&amp;$A229&amp;"'!W13")
+ INDIRECT("'1"&amp;$A229&amp;"'!O12")*INDIRECT("'1"&amp;$A229&amp;"'!W12"))
/
(INDIRECT("'1"&amp;$A229&amp;"'!O19")
+ INDIRECT("'1"&amp;$A229&amp;"'!O18")
+ INDIRECT("'1"&amp;$A229&amp;"'!O17")
+ INDIRECT("'1"&amp;$A229&amp;"'!O16")
+ INDIRECT("'1"&amp;$A229&amp;"'!O15")
+ INDIRECT("'1"&amp;$A229&amp;"'!O14")
+ INDIRECT("'1"&amp;$A229&amp;"'!O13")
+ INDIRECT("'1"&amp;$A229&amp;"'!O12"))</f>
        <v>2.3769492923721516</v>
      </c>
      <c r="D229" s="118">
        <f ca="1">Table27810[[#This Row],[weighted ERTI of bottom 80]]-Table27810[[#This Row],[weighted ERTI of top 20]]</f>
        <v>0.82145814078915458</v>
      </c>
      <c r="E229" s="118" cm="1">
        <f t="array" aca="1" ref="E229" ca="1">INDIRECT("'1"&amp;$A229&amp;"'!"&amp;E$219)</f>
        <v>1.4772305004703854</v>
      </c>
      <c r="F229" s="41" cm="1">
        <f t="array" aca="1" ref="F229" ca="1" xml:space="preserve"> (INDIRECT("'1"&amp;$A229&amp;"'!O20")*INDIRECT("'1"&amp;$A229&amp;"'!W20")
+ INDIRECT("'1"&amp;$A229&amp;"'!O19")*INDIRECT("'1"&amp;$A229&amp;"'!W19")
+ INDIRECT("'1"&amp;$A229&amp;"'!O18")*INDIRECT("'1"&amp;$A229&amp;"'!W18")
+ INDIRECT("'1"&amp;$A229&amp;"'!O17")*INDIRECT("'1"&amp;$A229&amp;"'!W17")
+ INDIRECT("'1"&amp;$A229&amp;"'!O16")*INDIRECT("'1"&amp;$A229&amp;"'!W16")
+ INDIRECT("'1"&amp;$A229&amp;"'!O15")*INDIRECT("'1"&amp;$A229&amp;"'!W15")
+ INDIRECT("'1"&amp;$A229&amp;"'!O14")*INDIRECT("'1"&amp;$A229&amp;"'!W14")
+ INDIRECT("'1"&amp;$A229&amp;"'!O13")*INDIRECT("'1"&amp;$A229&amp;"'!W13")
+ INDIRECT("'1"&amp;$A229&amp;"'!O12")*INDIRECT("'1"&amp;$A229&amp;"'!W12"))
/
(INDIRECT("'1"&amp;$A229&amp;"'!O20")
+ INDIRECT("'1"&amp;$A229&amp;"'!O19")
+ INDIRECT("'1"&amp;$A229&amp;"'!O18")
+ INDIRECT("'1"&amp;$A229&amp;"'!O17")
+ INDIRECT("'1"&amp;$A229&amp;"'!O16")
+ INDIRECT("'1"&amp;$A229&amp;"'!O15")
+ INDIRECT("'1"&amp;$A229&amp;"'!O14")
+ INDIRECT("'1"&amp;$A229&amp;"'!O13")
+ INDIRECT("'1"&amp;$A229&amp;"'!O12"))</f>
        <v>2.1779360015417928</v>
      </c>
      <c r="G229" s="41">
        <f ca="1">Table27810[[#This Row],[weighted ERTI of bottom 90]]-Table27810[[#This Row],[ERTI top 10]]</f>
        <v>0.70070550107140739</v>
      </c>
      <c r="O229" s="88"/>
      <c r="P229" s="94"/>
      <c r="R229" s="94"/>
    </row>
    <row r="230" spans="1:18" s="1" customFormat="1" x14ac:dyDescent="0.3">
      <c r="A230" s="1" t="s">
        <v>234</v>
      </c>
      <c r="B230" s="118" cm="1">
        <f t="array" aca="1" ref="B230" ca="1">(INDIRECT("'1"&amp;$A230&amp;"'!O21")*INDIRECT("'1"&amp;$A230&amp;"'!W21")+INDIRECT("'1"&amp;$A230&amp;"'!O20")*INDIRECT("'1"&amp;$A230&amp;"'!W20"))/(INDIRECT("'1"&amp;$A230&amp;"'!O21")+INDIRECT("'1"&amp;$A230&amp;"'!O20"))</f>
        <v>1.5046107805277507</v>
      </c>
      <c r="C230" s="118" cm="1">
        <f t="array" aca="1" ref="C230" ca="1" xml:space="preserve"> (INDIRECT("'1"&amp;$A230&amp;"'!O19")*INDIRECT("'1"&amp;$A230&amp;"'!W19")
+ INDIRECT("'1"&amp;$A230&amp;"'!O18")*INDIRECT("'1"&amp;$A230&amp;"'!W18")
+ INDIRECT("'1"&amp;$A230&amp;"'!O17")*INDIRECT("'1"&amp;$A230&amp;"'!W17")
+ INDIRECT("'1"&amp;$A230&amp;"'!O16")*INDIRECT("'1"&amp;$A230&amp;"'!W16")
+ INDIRECT("'1"&amp;$A230&amp;"'!O15")*INDIRECT("'1"&amp;$A230&amp;"'!W15")
+ INDIRECT("'1"&amp;$A230&amp;"'!O14")*INDIRECT("'1"&amp;$A230&amp;"'!W14")
+ INDIRECT("'1"&amp;$A230&amp;"'!O13")*INDIRECT("'1"&amp;$A230&amp;"'!W13")
+ INDIRECT("'1"&amp;$A230&amp;"'!O12")*INDIRECT("'1"&amp;$A230&amp;"'!W12"))
/
(INDIRECT("'1"&amp;$A230&amp;"'!O19")
+ INDIRECT("'1"&amp;$A230&amp;"'!O18")
+ INDIRECT("'1"&amp;$A230&amp;"'!O17")
+ INDIRECT("'1"&amp;$A230&amp;"'!O16")
+ INDIRECT("'1"&amp;$A230&amp;"'!O15")
+ INDIRECT("'1"&amp;$A230&amp;"'!O14")
+ INDIRECT("'1"&amp;$A230&amp;"'!O13")
+ INDIRECT("'1"&amp;$A230&amp;"'!O12"))</f>
        <v>2.3570719423565021</v>
      </c>
      <c r="D230" s="118">
        <f ca="1">Table27810[[#This Row],[weighted ERTI of bottom 80]]-Table27810[[#This Row],[weighted ERTI of top 20]]</f>
        <v>0.85246116182875142</v>
      </c>
      <c r="E230" s="120" cm="1">
        <f t="array" aca="1" ref="E230" ca="1">INDIRECT("'1"&amp;$A230&amp;"'!"&amp;E$219)</f>
        <v>1.3729934990390535</v>
      </c>
      <c r="F230" s="41" cm="1">
        <f t="array" aca="1" ref="F230" ca="1" xml:space="preserve"> (INDIRECT("'1"&amp;$A230&amp;"'!O20")*INDIRECT("'1"&amp;$A230&amp;"'!W20")
+ INDIRECT("'1"&amp;$A230&amp;"'!O19")*INDIRECT("'1"&amp;$A230&amp;"'!W19")
+ INDIRECT("'1"&amp;$A230&amp;"'!O18")*INDIRECT("'1"&amp;$A230&amp;"'!W18")
+ INDIRECT("'1"&amp;$A230&amp;"'!O17")*INDIRECT("'1"&amp;$A230&amp;"'!W17")
+ INDIRECT("'1"&amp;$A230&amp;"'!O16")*INDIRECT("'1"&amp;$A230&amp;"'!W16")
+ INDIRECT("'1"&amp;$A230&amp;"'!O15")*INDIRECT("'1"&amp;$A230&amp;"'!W15")
+ INDIRECT("'1"&amp;$A230&amp;"'!O14")*INDIRECT("'1"&amp;$A230&amp;"'!W14")
+ INDIRECT("'1"&amp;$A230&amp;"'!O13")*INDIRECT("'1"&amp;$A230&amp;"'!W13")
+ INDIRECT("'1"&amp;$A230&amp;"'!O12")*INDIRECT("'1"&amp;$A230&amp;"'!W12"))
/
(INDIRECT("'1"&amp;$A230&amp;"'!O20")
+ INDIRECT("'1"&amp;$A230&amp;"'!O19")
+ INDIRECT("'1"&amp;$A230&amp;"'!O18")
+ INDIRECT("'1"&amp;$A230&amp;"'!O17")
+ INDIRECT("'1"&amp;$A230&amp;"'!O16")
+ INDIRECT("'1"&amp;$A230&amp;"'!O15")
+ INDIRECT("'1"&amp;$A230&amp;"'!O14")
+ INDIRECT("'1"&amp;$A230&amp;"'!O13")
+ INDIRECT("'1"&amp;$A230&amp;"'!O12"))</f>
        <v>2.1806153077607302</v>
      </c>
      <c r="G230" s="41">
        <f ca="1">Table27810[[#This Row],[weighted ERTI of bottom 90]]-Table27810[[#This Row],[ERTI top 10]]</f>
        <v>0.80762180872167666</v>
      </c>
      <c r="O230" s="88"/>
      <c r="P230" s="94"/>
      <c r="R230" s="94"/>
    </row>
    <row r="231" spans="1:18" s="1" customFormat="1" x14ac:dyDescent="0.3">
      <c r="A231" s="1" t="s">
        <v>233</v>
      </c>
      <c r="B231" s="118" cm="1">
        <f t="array" aca="1" ref="B231" ca="1">(INDIRECT("'1"&amp;$A231&amp;"'!O21")*INDIRECT("'1"&amp;$A231&amp;"'!W21")+INDIRECT("'1"&amp;$A231&amp;"'!O20")*INDIRECT("'1"&amp;$A231&amp;"'!W20"))/(INDIRECT("'1"&amp;$A231&amp;"'!O21")+INDIRECT("'1"&amp;$A231&amp;"'!O20"))</f>
        <v>1.5426501495327403</v>
      </c>
      <c r="C231" s="118" cm="1">
        <f t="array" aca="1" ref="C231" ca="1" xml:space="preserve"> (INDIRECT("'1"&amp;$A231&amp;"'!O19")*INDIRECT("'1"&amp;$A231&amp;"'!W19")
+ INDIRECT("'1"&amp;$A231&amp;"'!O18")*INDIRECT("'1"&amp;$A231&amp;"'!W18")
+ INDIRECT("'1"&amp;$A231&amp;"'!O17")*INDIRECT("'1"&amp;$A231&amp;"'!W17")
+ INDIRECT("'1"&amp;$A231&amp;"'!O16")*INDIRECT("'1"&amp;$A231&amp;"'!W16")
+ INDIRECT("'1"&amp;$A231&amp;"'!O15")*INDIRECT("'1"&amp;$A231&amp;"'!W15")
+ INDIRECT("'1"&amp;$A231&amp;"'!O14")*INDIRECT("'1"&amp;$A231&amp;"'!W14")
+ INDIRECT("'1"&amp;$A231&amp;"'!O13")*INDIRECT("'1"&amp;$A231&amp;"'!W13")
+ INDIRECT("'1"&amp;$A231&amp;"'!O12")*INDIRECT("'1"&amp;$A231&amp;"'!W12"))
/
(INDIRECT("'1"&amp;$A231&amp;"'!O19")
+ INDIRECT("'1"&amp;$A231&amp;"'!O18")
+ INDIRECT("'1"&amp;$A231&amp;"'!O17")
+ INDIRECT("'1"&amp;$A231&amp;"'!O16")
+ INDIRECT("'1"&amp;$A231&amp;"'!O15")
+ INDIRECT("'1"&amp;$A231&amp;"'!O14")
+ INDIRECT("'1"&amp;$A231&amp;"'!O13")
+ INDIRECT("'1"&amp;$A231&amp;"'!O12"))</f>
        <v>2.4033972619236108</v>
      </c>
      <c r="D231" s="118">
        <f ca="1">Table27810[[#This Row],[weighted ERTI of bottom 80]]-Table27810[[#This Row],[weighted ERTI of top 20]]</f>
        <v>0.86074711239087054</v>
      </c>
      <c r="E231" s="118" cm="1">
        <f t="array" aca="1" ref="E231" ca="1">INDIRECT("'1"&amp;$A231&amp;"'!"&amp;E$219)</f>
        <v>1.4133856559588167</v>
      </c>
      <c r="F231" s="41" cm="1">
        <f t="array" aca="1" ref="F231" ca="1" xml:space="preserve"> (INDIRECT("'1"&amp;$A231&amp;"'!O20")*INDIRECT("'1"&amp;$A231&amp;"'!W20")
+ INDIRECT("'1"&amp;$A231&amp;"'!O19")*INDIRECT("'1"&amp;$A231&amp;"'!W19")
+ INDIRECT("'1"&amp;$A231&amp;"'!O18")*INDIRECT("'1"&amp;$A231&amp;"'!W18")
+ INDIRECT("'1"&amp;$A231&amp;"'!O17")*INDIRECT("'1"&amp;$A231&amp;"'!W17")
+ INDIRECT("'1"&amp;$A231&amp;"'!O16")*INDIRECT("'1"&amp;$A231&amp;"'!W16")
+ INDIRECT("'1"&amp;$A231&amp;"'!O15")*INDIRECT("'1"&amp;$A231&amp;"'!W15")
+ INDIRECT("'1"&amp;$A231&amp;"'!O14")*INDIRECT("'1"&amp;$A231&amp;"'!W14")
+ INDIRECT("'1"&amp;$A231&amp;"'!O13")*INDIRECT("'1"&amp;$A231&amp;"'!W13")
+ INDIRECT("'1"&amp;$A231&amp;"'!O12")*INDIRECT("'1"&amp;$A231&amp;"'!W12"))
/
(INDIRECT("'1"&amp;$A231&amp;"'!O20")
+ INDIRECT("'1"&amp;$A231&amp;"'!O19")
+ INDIRECT("'1"&amp;$A231&amp;"'!O18")
+ INDIRECT("'1"&amp;$A231&amp;"'!O17")
+ INDIRECT("'1"&amp;$A231&amp;"'!O16")
+ INDIRECT("'1"&amp;$A231&amp;"'!O15")
+ INDIRECT("'1"&amp;$A231&amp;"'!O14")
+ INDIRECT("'1"&amp;$A231&amp;"'!O13")
+ INDIRECT("'1"&amp;$A231&amp;"'!O12"))</f>
        <v>2.1943914327167482</v>
      </c>
      <c r="G231" s="41">
        <f ca="1">Table27810[[#This Row],[weighted ERTI of bottom 90]]-Table27810[[#This Row],[ERTI top 10]]</f>
        <v>0.78100577675793148</v>
      </c>
      <c r="O231" s="89"/>
      <c r="P231" s="96"/>
      <c r="Q231" s="86"/>
      <c r="R231" s="96"/>
    </row>
    <row r="232" spans="1:18" s="1" customFormat="1" x14ac:dyDescent="0.3">
      <c r="A232" s="1" t="s">
        <v>245</v>
      </c>
      <c r="B232" s="118" cm="1">
        <f t="array" aca="1" ref="B232" ca="1">(INDIRECT("'1"&amp;$A232&amp;"'!O21")*INDIRECT("'1"&amp;$A232&amp;"'!W21")+INDIRECT("'1"&amp;$A232&amp;"'!O20")*INDIRECT("'1"&amp;$A232&amp;"'!W20"))/(INDIRECT("'1"&amp;$A232&amp;"'!O21")+INDIRECT("'1"&amp;$A232&amp;"'!O20"))</f>
        <v>1.4824677663637393</v>
      </c>
      <c r="C232" s="118" cm="1">
        <f t="array" aca="1" ref="C232" ca="1" xml:space="preserve"> (INDIRECT("'1"&amp;$A232&amp;"'!O19")*INDIRECT("'1"&amp;$A232&amp;"'!W19")
+ INDIRECT("'1"&amp;$A232&amp;"'!O18")*INDIRECT("'1"&amp;$A232&amp;"'!W18")
+ INDIRECT("'1"&amp;$A232&amp;"'!O17")*INDIRECT("'1"&amp;$A232&amp;"'!W17")
+ INDIRECT("'1"&amp;$A232&amp;"'!O16")*INDIRECT("'1"&amp;$A232&amp;"'!W16")
+ INDIRECT("'1"&amp;$A232&amp;"'!O15")*INDIRECT("'1"&amp;$A232&amp;"'!W15")
+ INDIRECT("'1"&amp;$A232&amp;"'!O14")*INDIRECT("'1"&amp;$A232&amp;"'!W14")
+ INDIRECT("'1"&amp;$A232&amp;"'!O13")*INDIRECT("'1"&amp;$A232&amp;"'!W13")
+ INDIRECT("'1"&amp;$A232&amp;"'!O12")*INDIRECT("'1"&amp;$A232&amp;"'!W12"))
/
(INDIRECT("'1"&amp;$A232&amp;"'!O19")
+ INDIRECT("'1"&amp;$A232&amp;"'!O18")
+ INDIRECT("'1"&amp;$A232&amp;"'!O17")
+ INDIRECT("'1"&amp;$A232&amp;"'!O16")
+ INDIRECT("'1"&amp;$A232&amp;"'!O15")
+ INDIRECT("'1"&amp;$A232&amp;"'!O14")
+ INDIRECT("'1"&amp;$A232&amp;"'!O13")
+ INDIRECT("'1"&amp;$A232&amp;"'!O12"))</f>
        <v>2.4307138765174057</v>
      </c>
      <c r="D232" s="118">
        <f ca="1">Table27810[[#This Row],[weighted ERTI of bottom 80]]-Table27810[[#This Row],[weighted ERTI of top 20]]</f>
        <v>0.94824611015366633</v>
      </c>
      <c r="E232" s="118" cm="1">
        <f t="array" aca="1" ref="E232" ca="1">INDIRECT("'1"&amp;$A232&amp;"'!"&amp;E$219)</f>
        <v>1.4008950344555744</v>
      </c>
      <c r="F232" s="41" cm="1">
        <f t="array" aca="1" ref="F232" ca="1" xml:space="preserve"> (INDIRECT("'1"&amp;$A232&amp;"'!O20")*INDIRECT("'1"&amp;$A232&amp;"'!W20")
+ INDIRECT("'1"&amp;$A232&amp;"'!O19")*INDIRECT("'1"&amp;$A232&amp;"'!W19")
+ INDIRECT("'1"&amp;$A232&amp;"'!O18")*INDIRECT("'1"&amp;$A232&amp;"'!W18")
+ INDIRECT("'1"&amp;$A232&amp;"'!O17")*INDIRECT("'1"&amp;$A232&amp;"'!W17")
+ INDIRECT("'1"&amp;$A232&amp;"'!O16")*INDIRECT("'1"&amp;$A232&amp;"'!W16")
+ INDIRECT("'1"&amp;$A232&amp;"'!O15")*INDIRECT("'1"&amp;$A232&amp;"'!W15")
+ INDIRECT("'1"&amp;$A232&amp;"'!O14")*INDIRECT("'1"&amp;$A232&amp;"'!W14")
+ INDIRECT("'1"&amp;$A232&amp;"'!O13")*INDIRECT("'1"&amp;$A232&amp;"'!W13")
+ INDIRECT("'1"&amp;$A232&amp;"'!O12")*INDIRECT("'1"&amp;$A232&amp;"'!W12"))
/
(INDIRECT("'1"&amp;$A232&amp;"'!O20")
+ INDIRECT("'1"&amp;$A232&amp;"'!O19")
+ INDIRECT("'1"&amp;$A232&amp;"'!O18")
+ INDIRECT("'1"&amp;$A232&amp;"'!O17")
+ INDIRECT("'1"&amp;$A232&amp;"'!O16")
+ INDIRECT("'1"&amp;$A232&amp;"'!O15")
+ INDIRECT("'1"&amp;$A232&amp;"'!O14")
+ INDIRECT("'1"&amp;$A232&amp;"'!O13")
+ INDIRECT("'1"&amp;$A232&amp;"'!O12"))</f>
        <v>2.1721410264479659</v>
      </c>
      <c r="G232" s="41">
        <f ca="1">Table27810[[#This Row],[weighted ERTI of bottom 90]]-Table27810[[#This Row],[ERTI top 10]]</f>
        <v>0.77124599199239152</v>
      </c>
      <c r="O232" s="89"/>
      <c r="P232" s="96"/>
      <c r="Q232" s="86"/>
      <c r="R232" s="96"/>
    </row>
    <row r="233" spans="1:18" s="1" customFormat="1" x14ac:dyDescent="0.3">
      <c r="A233" s="1" t="s">
        <v>214</v>
      </c>
      <c r="B233" s="118" cm="1">
        <f t="array" aca="1" ref="B233" ca="1">(INDIRECT("'1"&amp;$A233&amp;"'!O21")*INDIRECT("'1"&amp;$A233&amp;"'!W21")+INDIRECT("'1"&amp;$A233&amp;"'!O20")*INDIRECT("'1"&amp;$A233&amp;"'!W20"))/(INDIRECT("'1"&amp;$A233&amp;"'!O21")+INDIRECT("'1"&amp;$A233&amp;"'!O20"))</f>
        <v>1.2467964139465872</v>
      </c>
      <c r="C233" s="118" cm="1">
        <f t="array" aca="1" ref="C233" ca="1" xml:space="preserve"> (INDIRECT("'1"&amp;$A233&amp;"'!O19")*INDIRECT("'1"&amp;$A233&amp;"'!W19")
+ INDIRECT("'1"&amp;$A233&amp;"'!O18")*INDIRECT("'1"&amp;$A233&amp;"'!W18")
+ INDIRECT("'1"&amp;$A233&amp;"'!O17")*INDIRECT("'1"&amp;$A233&amp;"'!W17")
+ INDIRECT("'1"&amp;$A233&amp;"'!O16")*INDIRECT("'1"&amp;$A233&amp;"'!W16")
+ INDIRECT("'1"&amp;$A233&amp;"'!O15")*INDIRECT("'1"&amp;$A233&amp;"'!W15")
+ INDIRECT("'1"&amp;$A233&amp;"'!O14")*INDIRECT("'1"&amp;$A233&amp;"'!W14")
+ INDIRECT("'1"&amp;$A233&amp;"'!O13")*INDIRECT("'1"&amp;$A233&amp;"'!W13")
+ INDIRECT("'1"&amp;$A233&amp;"'!O12")*INDIRECT("'1"&amp;$A233&amp;"'!W12"))
/
(INDIRECT("'1"&amp;$A233&amp;"'!O19")
+ INDIRECT("'1"&amp;$A233&amp;"'!O18")
+ INDIRECT("'1"&amp;$A233&amp;"'!O17")
+ INDIRECT("'1"&amp;$A233&amp;"'!O16")
+ INDIRECT("'1"&amp;$A233&amp;"'!O15")
+ INDIRECT("'1"&amp;$A233&amp;"'!O14")
+ INDIRECT("'1"&amp;$A233&amp;"'!O13")
+ INDIRECT("'1"&amp;$A233&amp;"'!O12"))</f>
        <v>2.2231500927455361</v>
      </c>
      <c r="D233" s="118">
        <f ca="1">Table27810[[#This Row],[weighted ERTI of bottom 80]]-Table27810[[#This Row],[weighted ERTI of top 20]]</f>
        <v>0.97635367879894885</v>
      </c>
      <c r="E233" s="118" cm="1">
        <f t="array" aca="1" ref="E233" ca="1">INDIRECT("'1"&amp;$A233&amp;"'!"&amp;E$219)</f>
        <v>1.1238414002702861</v>
      </c>
      <c r="F233" s="41" cm="1">
        <f t="array" aca="1" ref="F233" ca="1" xml:space="preserve"> (INDIRECT("'1"&amp;$A233&amp;"'!O20")*INDIRECT("'1"&amp;$A233&amp;"'!W20")
+ INDIRECT("'1"&amp;$A233&amp;"'!O19")*INDIRECT("'1"&amp;$A233&amp;"'!W19")
+ INDIRECT("'1"&amp;$A233&amp;"'!O18")*INDIRECT("'1"&amp;$A233&amp;"'!W18")
+ INDIRECT("'1"&amp;$A233&amp;"'!O17")*INDIRECT("'1"&amp;$A233&amp;"'!W17")
+ INDIRECT("'1"&amp;$A233&amp;"'!O16")*INDIRECT("'1"&amp;$A233&amp;"'!W16")
+ INDIRECT("'1"&amp;$A233&amp;"'!O15")*INDIRECT("'1"&amp;$A233&amp;"'!W15")
+ INDIRECT("'1"&amp;$A233&amp;"'!O14")*INDIRECT("'1"&amp;$A233&amp;"'!W14")
+ INDIRECT("'1"&amp;$A233&amp;"'!O13")*INDIRECT("'1"&amp;$A233&amp;"'!W13")
+ INDIRECT("'1"&amp;$A233&amp;"'!O12")*INDIRECT("'1"&amp;$A233&amp;"'!W12"))
/
(INDIRECT("'1"&amp;$A233&amp;"'!O20")
+ INDIRECT("'1"&amp;$A233&amp;"'!O19")
+ INDIRECT("'1"&amp;$A233&amp;"'!O18")
+ INDIRECT("'1"&amp;$A233&amp;"'!O17")
+ INDIRECT("'1"&amp;$A233&amp;"'!O16")
+ INDIRECT("'1"&amp;$A233&amp;"'!O15")
+ INDIRECT("'1"&amp;$A233&amp;"'!O14")
+ INDIRECT("'1"&amp;$A233&amp;"'!O13")
+ INDIRECT("'1"&amp;$A233&amp;"'!O12"))</f>
        <v>1.9779443491920987</v>
      </c>
      <c r="G233" s="41">
        <f ca="1">Table27810[[#This Row],[weighted ERTI of bottom 90]]-Table27810[[#This Row],[ERTI top 10]]</f>
        <v>0.8541029489218126</v>
      </c>
      <c r="O233" s="88"/>
      <c r="P233" s="94"/>
      <c r="R233" s="94"/>
    </row>
    <row r="234" spans="1:18" s="1" customFormat="1" x14ac:dyDescent="0.3">
      <c r="A234" s="1" t="s">
        <v>3</v>
      </c>
      <c r="B234" s="118" cm="1">
        <f t="array" aca="1" ref="B234" ca="1">(INDIRECT("'1"&amp;$A234&amp;"'!O21")*INDIRECT("'1"&amp;$A234&amp;"'!W21")+INDIRECT("'1"&amp;$A234&amp;"'!O20")*INDIRECT("'1"&amp;$A234&amp;"'!W20"))/(INDIRECT("'1"&amp;$A234&amp;"'!O21")+INDIRECT("'1"&amp;$A234&amp;"'!O20"))</f>
        <v>1.5052934385440477</v>
      </c>
      <c r="C234" s="118" cm="1">
        <f t="array" aca="1" ref="C234" ca="1" xml:space="preserve"> (INDIRECT("'1"&amp;$A234&amp;"'!O19")*INDIRECT("'1"&amp;$A234&amp;"'!W19")
+ INDIRECT("'1"&amp;$A234&amp;"'!O18")*INDIRECT("'1"&amp;$A234&amp;"'!W18")
+ INDIRECT("'1"&amp;$A234&amp;"'!O17")*INDIRECT("'1"&amp;$A234&amp;"'!W17")
+ INDIRECT("'1"&amp;$A234&amp;"'!O16")*INDIRECT("'1"&amp;$A234&amp;"'!W16")
+ INDIRECT("'1"&amp;$A234&amp;"'!O15")*INDIRECT("'1"&amp;$A234&amp;"'!W15")
+ INDIRECT("'1"&amp;$A234&amp;"'!O14")*INDIRECT("'1"&amp;$A234&amp;"'!W14")
+ INDIRECT("'1"&amp;$A234&amp;"'!O13")*INDIRECT("'1"&amp;$A234&amp;"'!W13")
+ INDIRECT("'1"&amp;$A234&amp;"'!O12")*INDIRECT("'1"&amp;$A234&amp;"'!W12"))
/
(INDIRECT("'1"&amp;$A234&amp;"'!O19")
+ INDIRECT("'1"&amp;$A234&amp;"'!O18")
+ INDIRECT("'1"&amp;$A234&amp;"'!O17")
+ INDIRECT("'1"&amp;$A234&amp;"'!O16")
+ INDIRECT("'1"&amp;$A234&amp;"'!O15")
+ INDIRECT("'1"&amp;$A234&amp;"'!O14")
+ INDIRECT("'1"&amp;$A234&amp;"'!O13")
+ INDIRECT("'1"&amp;$A234&amp;"'!O12"))</f>
        <v>2.5568240134382885</v>
      </c>
      <c r="D234" s="118">
        <f ca="1">Table27810[[#This Row],[weighted ERTI of bottom 80]]-Table27810[[#This Row],[weighted ERTI of top 20]]</f>
        <v>1.0515305748942407</v>
      </c>
      <c r="E234" s="118" cm="1">
        <f t="array" aca="1" ref="E234" ca="1">INDIRECT("'1"&amp;$A234&amp;"'!"&amp;E$219)</f>
        <v>1.4049841818569087</v>
      </c>
      <c r="F234" s="41" cm="1">
        <f t="array" aca="1" ref="F234" ca="1" xml:space="preserve"> (INDIRECT("'1"&amp;$A234&amp;"'!O20")*INDIRECT("'1"&amp;$A234&amp;"'!W20")
+ INDIRECT("'1"&amp;$A234&amp;"'!O19")*INDIRECT("'1"&amp;$A234&amp;"'!W19")
+ INDIRECT("'1"&amp;$A234&amp;"'!O18")*INDIRECT("'1"&amp;$A234&amp;"'!W18")
+ INDIRECT("'1"&amp;$A234&amp;"'!O17")*INDIRECT("'1"&amp;$A234&amp;"'!W17")
+ INDIRECT("'1"&amp;$A234&amp;"'!O16")*INDIRECT("'1"&amp;$A234&amp;"'!W16")
+ INDIRECT("'1"&amp;$A234&amp;"'!O15")*INDIRECT("'1"&amp;$A234&amp;"'!W15")
+ INDIRECT("'1"&amp;$A234&amp;"'!O14")*INDIRECT("'1"&amp;$A234&amp;"'!W14")
+ INDIRECT("'1"&amp;$A234&amp;"'!O13")*INDIRECT("'1"&amp;$A234&amp;"'!W13")
+ INDIRECT("'1"&amp;$A234&amp;"'!O12")*INDIRECT("'1"&amp;$A234&amp;"'!W12"))
/
(INDIRECT("'1"&amp;$A234&amp;"'!O20")
+ INDIRECT("'1"&amp;$A234&amp;"'!O19")
+ INDIRECT("'1"&amp;$A234&amp;"'!O18")
+ INDIRECT("'1"&amp;$A234&amp;"'!O17")
+ INDIRECT("'1"&amp;$A234&amp;"'!O16")
+ INDIRECT("'1"&amp;$A234&amp;"'!O15")
+ INDIRECT("'1"&amp;$A234&amp;"'!O14")
+ INDIRECT("'1"&amp;$A234&amp;"'!O13")
+ INDIRECT("'1"&amp;$A234&amp;"'!O12"))</f>
        <v>2.2848716963877855</v>
      </c>
      <c r="G234" s="41">
        <f ca="1">Table27810[[#This Row],[weighted ERTI of bottom 90]]-Table27810[[#This Row],[ERTI top 10]]</f>
        <v>0.87988751453087688</v>
      </c>
      <c r="O234" s="88"/>
      <c r="P234" s="94"/>
      <c r="R234" s="94"/>
    </row>
    <row r="235" spans="1:18" s="1" customFormat="1" x14ac:dyDescent="0.3">
      <c r="A235" s="1" t="s">
        <v>204</v>
      </c>
      <c r="B235" s="118" cm="1">
        <f t="array" aca="1" ref="B235" ca="1">(INDIRECT("'1"&amp;$A235&amp;"'!O21")*INDIRECT("'1"&amp;$A235&amp;"'!W21")+INDIRECT("'1"&amp;$A235&amp;"'!O20")*INDIRECT("'1"&amp;$A235&amp;"'!W20"))/(INDIRECT("'1"&amp;$A235&amp;"'!O21")+INDIRECT("'1"&amp;$A235&amp;"'!O20"))</f>
        <v>1.5120721580101899</v>
      </c>
      <c r="C235" s="118" cm="1">
        <f t="array" aca="1" ref="C235" ca="1" xml:space="preserve"> (INDIRECT("'1"&amp;$A235&amp;"'!O19")*INDIRECT("'1"&amp;$A235&amp;"'!W19")
+ INDIRECT("'1"&amp;$A235&amp;"'!O18")*INDIRECT("'1"&amp;$A235&amp;"'!W18")
+ INDIRECT("'1"&amp;$A235&amp;"'!O17")*INDIRECT("'1"&amp;$A235&amp;"'!W17")
+ INDIRECT("'1"&amp;$A235&amp;"'!O16")*INDIRECT("'1"&amp;$A235&amp;"'!W16")
+ INDIRECT("'1"&amp;$A235&amp;"'!O15")*INDIRECT("'1"&amp;$A235&amp;"'!W15")
+ INDIRECT("'1"&amp;$A235&amp;"'!O14")*INDIRECT("'1"&amp;$A235&amp;"'!W14")
+ INDIRECT("'1"&amp;$A235&amp;"'!O13")*INDIRECT("'1"&amp;$A235&amp;"'!W13")
+ INDIRECT("'1"&amp;$A235&amp;"'!O12")*INDIRECT("'1"&amp;$A235&amp;"'!W12"))
/
(INDIRECT("'1"&amp;$A235&amp;"'!O19")
+ INDIRECT("'1"&amp;$A235&amp;"'!O18")
+ INDIRECT("'1"&amp;$A235&amp;"'!O17")
+ INDIRECT("'1"&amp;$A235&amp;"'!O16")
+ INDIRECT("'1"&amp;$A235&amp;"'!O15")
+ INDIRECT("'1"&amp;$A235&amp;"'!O14")
+ INDIRECT("'1"&amp;$A235&amp;"'!O13")
+ INDIRECT("'1"&amp;$A235&amp;"'!O12"))</f>
        <v>2.5909401557805567</v>
      </c>
      <c r="D235" s="118">
        <f ca="1">Table27810[[#This Row],[weighted ERTI of bottom 80]]-Table27810[[#This Row],[weighted ERTI of top 20]]</f>
        <v>1.0788679977703668</v>
      </c>
      <c r="E235" s="118" cm="1">
        <f t="array" aca="1" ref="E235" ca="1">INDIRECT("'1"&amp;$A235&amp;"'!"&amp;E$219)</f>
        <v>1.3992366666065328</v>
      </c>
      <c r="F235" s="41" cm="1">
        <f t="array" aca="1" ref="F235" ca="1" xml:space="preserve"> (INDIRECT("'1"&amp;$A235&amp;"'!O20")*INDIRECT("'1"&amp;$A235&amp;"'!W20")
+ INDIRECT("'1"&amp;$A235&amp;"'!O19")*INDIRECT("'1"&amp;$A235&amp;"'!W19")
+ INDIRECT("'1"&amp;$A235&amp;"'!O18")*INDIRECT("'1"&amp;$A235&amp;"'!W18")
+ INDIRECT("'1"&amp;$A235&amp;"'!O17")*INDIRECT("'1"&amp;$A235&amp;"'!W17")
+ INDIRECT("'1"&amp;$A235&amp;"'!O16")*INDIRECT("'1"&amp;$A235&amp;"'!W16")
+ INDIRECT("'1"&amp;$A235&amp;"'!O15")*INDIRECT("'1"&amp;$A235&amp;"'!W15")
+ INDIRECT("'1"&amp;$A235&amp;"'!O14")*INDIRECT("'1"&amp;$A235&amp;"'!W14")
+ INDIRECT("'1"&amp;$A235&amp;"'!O13")*INDIRECT("'1"&amp;$A235&amp;"'!W13")
+ INDIRECT("'1"&amp;$A235&amp;"'!O12")*INDIRECT("'1"&amp;$A235&amp;"'!W12"))
/
(INDIRECT("'1"&amp;$A235&amp;"'!O20")
+ INDIRECT("'1"&amp;$A235&amp;"'!O19")
+ INDIRECT("'1"&amp;$A235&amp;"'!O18")
+ INDIRECT("'1"&amp;$A235&amp;"'!O17")
+ INDIRECT("'1"&amp;$A235&amp;"'!O16")
+ INDIRECT("'1"&amp;$A235&amp;"'!O15")
+ INDIRECT("'1"&amp;$A235&amp;"'!O14")
+ INDIRECT("'1"&amp;$A235&amp;"'!O13")
+ INDIRECT("'1"&amp;$A235&amp;"'!O12"))</f>
        <v>2.3214831484492828</v>
      </c>
      <c r="G235" s="41">
        <f ca="1">Table27810[[#This Row],[weighted ERTI of bottom 90]]-Table27810[[#This Row],[ERTI top 10]]</f>
        <v>0.92224648184275004</v>
      </c>
      <c r="O235" s="88"/>
      <c r="P235" s="94"/>
      <c r="R235" s="94"/>
    </row>
    <row r="236" spans="1:18" s="1" customFormat="1" x14ac:dyDescent="0.3">
      <c r="A236" s="1" t="s">
        <v>240</v>
      </c>
      <c r="B236" s="118" cm="1">
        <f t="array" aca="1" ref="B236" ca="1">(INDIRECT("'1"&amp;$A236&amp;"'!O21")*INDIRECT("'1"&amp;$A236&amp;"'!W21")+INDIRECT("'1"&amp;$A236&amp;"'!O20")*INDIRECT("'1"&amp;$A236&amp;"'!W20"))/(INDIRECT("'1"&amp;$A236&amp;"'!O21")+INDIRECT("'1"&amp;$A236&amp;"'!O20"))</f>
        <v>1.4741824429854129</v>
      </c>
      <c r="C236" s="118" cm="1">
        <f t="array" aca="1" ref="C236" ca="1" xml:space="preserve"> (INDIRECT("'1"&amp;$A236&amp;"'!O19")*INDIRECT("'1"&amp;$A236&amp;"'!W19")
+ INDIRECT("'1"&amp;$A236&amp;"'!O18")*INDIRECT("'1"&amp;$A236&amp;"'!W18")
+ INDIRECT("'1"&amp;$A236&amp;"'!O17")*INDIRECT("'1"&amp;$A236&amp;"'!W17")
+ INDIRECT("'1"&amp;$A236&amp;"'!O16")*INDIRECT("'1"&amp;$A236&amp;"'!W16")
+ INDIRECT("'1"&amp;$A236&amp;"'!O15")*INDIRECT("'1"&amp;$A236&amp;"'!W15")
+ INDIRECT("'1"&amp;$A236&amp;"'!O14")*INDIRECT("'1"&amp;$A236&amp;"'!W14")
+ INDIRECT("'1"&amp;$A236&amp;"'!O13")*INDIRECT("'1"&amp;$A236&amp;"'!W13")
+ INDIRECT("'1"&amp;$A236&amp;"'!O12")*INDIRECT("'1"&amp;$A236&amp;"'!W12"))
/
(INDIRECT("'1"&amp;$A236&amp;"'!O19")
+ INDIRECT("'1"&amp;$A236&amp;"'!O18")
+ INDIRECT("'1"&amp;$A236&amp;"'!O17")
+ INDIRECT("'1"&amp;$A236&amp;"'!O16")
+ INDIRECT("'1"&amp;$A236&amp;"'!O15")
+ INDIRECT("'1"&amp;$A236&amp;"'!O14")
+ INDIRECT("'1"&amp;$A236&amp;"'!O13")
+ INDIRECT("'1"&amp;$A236&amp;"'!O12"))</f>
        <v>2.5764060564678823</v>
      </c>
      <c r="D236" s="118">
        <f ca="1">Table27810[[#This Row],[weighted ERTI of bottom 80]]-Table27810[[#This Row],[weighted ERTI of top 20]]</f>
        <v>1.1022236134824694</v>
      </c>
      <c r="E236" s="118" cm="1">
        <f t="array" aca="1" ref="E236" ca="1">INDIRECT("'1"&amp;$A236&amp;"'!"&amp;E$219)</f>
        <v>1.3633281779389856</v>
      </c>
      <c r="F236" s="41" cm="1">
        <f t="array" aca="1" ref="F236" ca="1" xml:space="preserve"> (INDIRECT("'1"&amp;$A236&amp;"'!O20")*INDIRECT("'1"&amp;$A236&amp;"'!W20")
+ INDIRECT("'1"&amp;$A236&amp;"'!O19")*INDIRECT("'1"&amp;$A236&amp;"'!W19")
+ INDIRECT("'1"&amp;$A236&amp;"'!O18")*INDIRECT("'1"&amp;$A236&amp;"'!W18")
+ INDIRECT("'1"&amp;$A236&amp;"'!O17")*INDIRECT("'1"&amp;$A236&amp;"'!W17")
+ INDIRECT("'1"&amp;$A236&amp;"'!O16")*INDIRECT("'1"&amp;$A236&amp;"'!W16")
+ INDIRECT("'1"&amp;$A236&amp;"'!O15")*INDIRECT("'1"&amp;$A236&amp;"'!W15")
+ INDIRECT("'1"&amp;$A236&amp;"'!O14")*INDIRECT("'1"&amp;$A236&amp;"'!W14")
+ INDIRECT("'1"&amp;$A236&amp;"'!O13")*INDIRECT("'1"&amp;$A236&amp;"'!W13")
+ INDIRECT("'1"&amp;$A236&amp;"'!O12")*INDIRECT("'1"&amp;$A236&amp;"'!W12"))
/
(INDIRECT("'1"&amp;$A236&amp;"'!O20")
+ INDIRECT("'1"&amp;$A236&amp;"'!O19")
+ INDIRECT("'1"&amp;$A236&amp;"'!O18")
+ INDIRECT("'1"&amp;$A236&amp;"'!O17")
+ INDIRECT("'1"&amp;$A236&amp;"'!O16")
+ INDIRECT("'1"&amp;$A236&amp;"'!O15")
+ INDIRECT("'1"&amp;$A236&amp;"'!O14")
+ INDIRECT("'1"&amp;$A236&amp;"'!O13")
+ INDIRECT("'1"&amp;$A236&amp;"'!O12"))</f>
        <v>2.2811684818504001</v>
      </c>
      <c r="G236" s="41">
        <f ca="1">Table27810[[#This Row],[weighted ERTI of bottom 90]]-Table27810[[#This Row],[ERTI top 10]]</f>
        <v>0.91784030391141447</v>
      </c>
      <c r="O236" s="91"/>
      <c r="P236" s="95"/>
      <c r="Q236" s="92"/>
      <c r="R236" s="95"/>
    </row>
    <row r="237" spans="1:18" s="1" customFormat="1" x14ac:dyDescent="0.3">
      <c r="A237" s="1" t="s">
        <v>218</v>
      </c>
      <c r="B237" s="118" cm="1">
        <f t="array" aca="1" ref="B237" ca="1">(INDIRECT("'1"&amp;$A237&amp;"'!O21")*INDIRECT("'1"&amp;$A237&amp;"'!W21")+INDIRECT("'1"&amp;$A237&amp;"'!O20")*INDIRECT("'1"&amp;$A237&amp;"'!W20"))/(INDIRECT("'1"&amp;$A237&amp;"'!O21")+INDIRECT("'1"&amp;$A237&amp;"'!O20"))</f>
        <v>1.6463386727359</v>
      </c>
      <c r="C237" s="118" cm="1">
        <f t="array" aca="1" ref="C237" ca="1" xml:space="preserve"> (INDIRECT("'1"&amp;$A237&amp;"'!O19")*INDIRECT("'1"&amp;$A237&amp;"'!W19")
+ INDIRECT("'1"&amp;$A237&amp;"'!O18")*INDIRECT("'1"&amp;$A237&amp;"'!W18")
+ INDIRECT("'1"&amp;$A237&amp;"'!O17")*INDIRECT("'1"&amp;$A237&amp;"'!W17")
+ INDIRECT("'1"&amp;$A237&amp;"'!O16")*INDIRECT("'1"&amp;$A237&amp;"'!W16")
+ INDIRECT("'1"&amp;$A237&amp;"'!O15")*INDIRECT("'1"&amp;$A237&amp;"'!W15")
+ INDIRECT("'1"&amp;$A237&amp;"'!O14")*INDIRECT("'1"&amp;$A237&amp;"'!W14")
+ INDIRECT("'1"&amp;$A237&amp;"'!O13")*INDIRECT("'1"&amp;$A237&amp;"'!W13")
+ INDIRECT("'1"&amp;$A237&amp;"'!O12")*INDIRECT("'1"&amp;$A237&amp;"'!W12"))
/
(INDIRECT("'1"&amp;$A237&amp;"'!O19")
+ INDIRECT("'1"&amp;$A237&amp;"'!O18")
+ INDIRECT("'1"&amp;$A237&amp;"'!O17")
+ INDIRECT("'1"&amp;$A237&amp;"'!O16")
+ INDIRECT("'1"&amp;$A237&amp;"'!O15")
+ INDIRECT("'1"&amp;$A237&amp;"'!O14")
+ INDIRECT("'1"&amp;$A237&amp;"'!O13")
+ INDIRECT("'1"&amp;$A237&amp;"'!O12"))</f>
        <v>2.7536701835030746</v>
      </c>
      <c r="D237" s="118">
        <f ca="1">Table27810[[#This Row],[weighted ERTI of bottom 80]]-Table27810[[#This Row],[weighted ERTI of top 20]]</f>
        <v>1.1073315107671746</v>
      </c>
      <c r="E237" s="118" cm="1">
        <f t="array" aca="1" ref="E237" ca="1">INDIRECT("'1"&amp;$A237&amp;"'!"&amp;E$219)</f>
        <v>1.5540696096411757</v>
      </c>
      <c r="F237" s="41" cm="1">
        <f t="array" aca="1" ref="F237" ca="1" xml:space="preserve"> (INDIRECT("'1"&amp;$A237&amp;"'!O20")*INDIRECT("'1"&amp;$A237&amp;"'!W20")
+ INDIRECT("'1"&amp;$A237&amp;"'!O19")*INDIRECT("'1"&amp;$A237&amp;"'!W19")
+ INDIRECT("'1"&amp;$A237&amp;"'!O18")*INDIRECT("'1"&amp;$A237&amp;"'!W18")
+ INDIRECT("'1"&amp;$A237&amp;"'!O17")*INDIRECT("'1"&amp;$A237&amp;"'!W17")
+ INDIRECT("'1"&amp;$A237&amp;"'!O16")*INDIRECT("'1"&amp;$A237&amp;"'!W16")
+ INDIRECT("'1"&amp;$A237&amp;"'!O15")*INDIRECT("'1"&amp;$A237&amp;"'!W15")
+ INDIRECT("'1"&amp;$A237&amp;"'!O14")*INDIRECT("'1"&amp;$A237&amp;"'!W14")
+ INDIRECT("'1"&amp;$A237&amp;"'!O13")*INDIRECT("'1"&amp;$A237&amp;"'!W13")
+ INDIRECT("'1"&amp;$A237&amp;"'!O12")*INDIRECT("'1"&amp;$A237&amp;"'!W12"))
/
(INDIRECT("'1"&amp;$A237&amp;"'!O20")
+ INDIRECT("'1"&amp;$A237&amp;"'!O19")
+ INDIRECT("'1"&amp;$A237&amp;"'!O18")
+ INDIRECT("'1"&amp;$A237&amp;"'!O17")
+ INDIRECT("'1"&amp;$A237&amp;"'!O16")
+ INDIRECT("'1"&amp;$A237&amp;"'!O15")
+ INDIRECT("'1"&amp;$A237&amp;"'!O14")
+ INDIRECT("'1"&amp;$A237&amp;"'!O13")
+ INDIRECT("'1"&amp;$A237&amp;"'!O12"))</f>
        <v>2.4176337383613777</v>
      </c>
      <c r="G237" s="41">
        <f ca="1">Table27810[[#This Row],[weighted ERTI of bottom 90]]-Table27810[[#This Row],[ERTI top 10]]</f>
        <v>0.86356412872020205</v>
      </c>
      <c r="O237" s="88"/>
      <c r="P237" s="94"/>
      <c r="Q237" s="99"/>
      <c r="R237" s="100"/>
    </row>
    <row r="238" spans="1:18" s="1" customFormat="1" x14ac:dyDescent="0.3">
      <c r="A238" s="1" t="s">
        <v>247</v>
      </c>
      <c r="B238" s="118" cm="1">
        <f t="array" aca="1" ref="B238" ca="1">(INDIRECT("'1"&amp;$A238&amp;"'!O21")*INDIRECT("'1"&amp;$A238&amp;"'!W21")+INDIRECT("'1"&amp;$A238&amp;"'!O20")*INDIRECT("'1"&amp;$A238&amp;"'!W20"))/(INDIRECT("'1"&amp;$A238&amp;"'!O21")+INDIRECT("'1"&amp;$A238&amp;"'!O20"))</f>
        <v>1.7884853149542035</v>
      </c>
      <c r="C238" s="118" cm="1">
        <f t="array" aca="1" ref="C238" ca="1" xml:space="preserve"> (INDIRECT("'1"&amp;$A238&amp;"'!O19")*INDIRECT("'1"&amp;$A238&amp;"'!W19")
+ INDIRECT("'1"&amp;$A238&amp;"'!O18")*INDIRECT("'1"&amp;$A238&amp;"'!W18")
+ INDIRECT("'1"&amp;$A238&amp;"'!O17")*INDIRECT("'1"&amp;$A238&amp;"'!W17")
+ INDIRECT("'1"&amp;$A238&amp;"'!O16")*INDIRECT("'1"&amp;$A238&amp;"'!W16")
+ INDIRECT("'1"&amp;$A238&amp;"'!O15")*INDIRECT("'1"&amp;$A238&amp;"'!W15")
+ INDIRECT("'1"&amp;$A238&amp;"'!O14")*INDIRECT("'1"&amp;$A238&amp;"'!W14")
+ INDIRECT("'1"&amp;$A238&amp;"'!O13")*INDIRECT("'1"&amp;$A238&amp;"'!W13")
+ INDIRECT("'1"&amp;$A238&amp;"'!O12")*INDIRECT("'1"&amp;$A238&amp;"'!W12"))
/
(INDIRECT("'1"&amp;$A238&amp;"'!O19")
+ INDIRECT("'1"&amp;$A238&amp;"'!O18")
+ INDIRECT("'1"&amp;$A238&amp;"'!O17")
+ INDIRECT("'1"&amp;$A238&amp;"'!O16")
+ INDIRECT("'1"&amp;$A238&amp;"'!O15")
+ INDIRECT("'1"&amp;$A238&amp;"'!O14")
+ INDIRECT("'1"&amp;$A238&amp;"'!O13")
+ INDIRECT("'1"&amp;$A238&amp;"'!O12"))</f>
        <v>2.9627136167931396</v>
      </c>
      <c r="D238" s="118">
        <f ca="1">Table27810[[#This Row],[weighted ERTI of bottom 80]]-Table27810[[#This Row],[weighted ERTI of top 20]]</f>
        <v>1.1742283018389361</v>
      </c>
      <c r="E238" s="118" cm="1">
        <f t="array" aca="1" ref="E238" ca="1">INDIRECT("'1"&amp;$A238&amp;"'!"&amp;E$219)</f>
        <v>1.6159404328764455</v>
      </c>
      <c r="F238" s="41" cm="1">
        <f t="array" aca="1" ref="F238" ca="1" xml:space="preserve"> (INDIRECT("'1"&amp;$A238&amp;"'!O20")*INDIRECT("'1"&amp;$A238&amp;"'!W20")
+ INDIRECT("'1"&amp;$A238&amp;"'!O19")*INDIRECT("'1"&amp;$A238&amp;"'!W19")
+ INDIRECT("'1"&amp;$A238&amp;"'!O18")*INDIRECT("'1"&amp;$A238&amp;"'!W18")
+ INDIRECT("'1"&amp;$A238&amp;"'!O17")*INDIRECT("'1"&amp;$A238&amp;"'!W17")
+ INDIRECT("'1"&amp;$A238&amp;"'!O16")*INDIRECT("'1"&amp;$A238&amp;"'!W16")
+ INDIRECT("'1"&amp;$A238&amp;"'!O15")*INDIRECT("'1"&amp;$A238&amp;"'!W15")
+ INDIRECT("'1"&amp;$A238&amp;"'!O14")*INDIRECT("'1"&amp;$A238&amp;"'!W14")
+ INDIRECT("'1"&amp;$A238&amp;"'!O13")*INDIRECT("'1"&amp;$A238&amp;"'!W13")
+ INDIRECT("'1"&amp;$A238&amp;"'!O12")*INDIRECT("'1"&amp;$A238&amp;"'!W12"))
/
(INDIRECT("'1"&amp;$A238&amp;"'!O20")
+ INDIRECT("'1"&amp;$A238&amp;"'!O19")
+ INDIRECT("'1"&amp;$A238&amp;"'!O18")
+ INDIRECT("'1"&amp;$A238&amp;"'!O17")
+ INDIRECT("'1"&amp;$A238&amp;"'!O16")
+ INDIRECT("'1"&amp;$A238&amp;"'!O15")
+ INDIRECT("'1"&amp;$A238&amp;"'!O14")
+ INDIRECT("'1"&amp;$A238&amp;"'!O13")
+ INDIRECT("'1"&amp;$A238&amp;"'!O12"))</f>
        <v>2.728830316126281</v>
      </c>
      <c r="G238" s="41">
        <f ca="1">Table27810[[#This Row],[weighted ERTI of bottom 90]]-Table27810[[#This Row],[ERTI top 10]]</f>
        <v>1.1128898832498355</v>
      </c>
      <c r="O238" s="88"/>
      <c r="P238" s="94"/>
      <c r="Q238" s="88"/>
      <c r="R238" s="94"/>
    </row>
    <row r="239" spans="1:18" s="1" customFormat="1" x14ac:dyDescent="0.3">
      <c r="A239" s="1" t="s">
        <v>249</v>
      </c>
      <c r="B239" s="118" cm="1">
        <f t="array" aca="1" ref="B239" ca="1">(INDIRECT("'1"&amp;$A239&amp;"'!O21")*INDIRECT("'1"&amp;$A239&amp;"'!W21")+INDIRECT("'1"&amp;$A239&amp;"'!O20")*INDIRECT("'1"&amp;$A239&amp;"'!W20"))/(INDIRECT("'1"&amp;$A239&amp;"'!O21")+INDIRECT("'1"&amp;$A239&amp;"'!O20"))</f>
        <v>1.6376719430616529</v>
      </c>
      <c r="C239" s="118" cm="1">
        <f t="array" aca="1" ref="C239" ca="1" xml:space="preserve"> (INDIRECT("'1"&amp;$A239&amp;"'!O19")*INDIRECT("'1"&amp;$A239&amp;"'!W19")
+ INDIRECT("'1"&amp;$A239&amp;"'!O18")*INDIRECT("'1"&amp;$A239&amp;"'!W18")
+ INDIRECT("'1"&amp;$A239&amp;"'!O17")*INDIRECT("'1"&amp;$A239&amp;"'!W17")
+ INDIRECT("'1"&amp;$A239&amp;"'!O16")*INDIRECT("'1"&amp;$A239&amp;"'!W16")
+ INDIRECT("'1"&amp;$A239&amp;"'!O15")*INDIRECT("'1"&amp;$A239&amp;"'!W15")
+ INDIRECT("'1"&amp;$A239&amp;"'!O14")*INDIRECT("'1"&amp;$A239&amp;"'!W14")
+ INDIRECT("'1"&amp;$A239&amp;"'!O13")*INDIRECT("'1"&amp;$A239&amp;"'!W13")
+ INDIRECT("'1"&amp;$A239&amp;"'!O12")*INDIRECT("'1"&amp;$A239&amp;"'!W12"))
/
(INDIRECT("'1"&amp;$A239&amp;"'!O19")
+ INDIRECT("'1"&amp;$A239&amp;"'!O18")
+ INDIRECT("'1"&amp;$A239&amp;"'!O17")
+ INDIRECT("'1"&amp;$A239&amp;"'!O16")
+ INDIRECT("'1"&amp;$A239&amp;"'!O15")
+ INDIRECT("'1"&amp;$A239&amp;"'!O14")
+ INDIRECT("'1"&amp;$A239&amp;"'!O13")
+ INDIRECT("'1"&amp;$A239&amp;"'!O12"))</f>
        <v>3.0383952502974121</v>
      </c>
      <c r="D239" s="118">
        <f ca="1">Table27810[[#This Row],[weighted ERTI of bottom 80]]-Table27810[[#This Row],[weighted ERTI of top 20]]</f>
        <v>1.4007233072357592</v>
      </c>
      <c r="E239" s="118" cm="1">
        <f t="array" aca="1" ref="E239" ca="1">INDIRECT("'1"&amp;$A239&amp;"'!"&amp;E$219)</f>
        <v>1.5292681645742545</v>
      </c>
      <c r="F239" s="41" cm="1">
        <f t="array" aca="1" ref="F239" ca="1" xml:space="preserve"> (INDIRECT("'1"&amp;$A239&amp;"'!O20")*INDIRECT("'1"&amp;$A239&amp;"'!W20")
+ INDIRECT("'1"&amp;$A239&amp;"'!O19")*INDIRECT("'1"&amp;$A239&amp;"'!W19")
+ INDIRECT("'1"&amp;$A239&amp;"'!O18")*INDIRECT("'1"&amp;$A239&amp;"'!W18")
+ INDIRECT("'1"&amp;$A239&amp;"'!O17")*INDIRECT("'1"&amp;$A239&amp;"'!W17")
+ INDIRECT("'1"&amp;$A239&amp;"'!O16")*INDIRECT("'1"&amp;$A239&amp;"'!W16")
+ INDIRECT("'1"&amp;$A239&amp;"'!O15")*INDIRECT("'1"&amp;$A239&amp;"'!W15")
+ INDIRECT("'1"&amp;$A239&amp;"'!O14")*INDIRECT("'1"&amp;$A239&amp;"'!W14")
+ INDIRECT("'1"&amp;$A239&amp;"'!O13")*INDIRECT("'1"&amp;$A239&amp;"'!W13")
+ INDIRECT("'1"&amp;$A239&amp;"'!O12")*INDIRECT("'1"&amp;$A239&amp;"'!W12"))
/
(INDIRECT("'1"&amp;$A239&amp;"'!O20")
+ INDIRECT("'1"&amp;$A239&amp;"'!O19")
+ INDIRECT("'1"&amp;$A239&amp;"'!O18")
+ INDIRECT("'1"&amp;$A239&amp;"'!O17")
+ INDIRECT("'1"&amp;$A239&amp;"'!O16")
+ INDIRECT("'1"&amp;$A239&amp;"'!O15")
+ INDIRECT("'1"&amp;$A239&amp;"'!O14")
+ INDIRECT("'1"&amp;$A239&amp;"'!O13")
+ INDIRECT("'1"&amp;$A239&amp;"'!O12"))</f>
        <v>2.5574243733682054</v>
      </c>
      <c r="G239" s="41">
        <f ca="1">Table27810[[#This Row],[weighted ERTI of bottom 90]]-Table27810[[#This Row],[ERTI top 10]]</f>
        <v>1.0281562087939509</v>
      </c>
      <c r="O239" s="89"/>
      <c r="P239" s="96"/>
      <c r="Q239" s="88"/>
      <c r="R239" s="96"/>
    </row>
    <row r="240" spans="1:18" s="1" customFormat="1" x14ac:dyDescent="0.3">
      <c r="A240" s="1" t="s">
        <v>225</v>
      </c>
      <c r="B240" s="118" cm="1">
        <f t="array" aca="1" ref="B240" ca="1">(INDIRECT("'1"&amp;$A240&amp;"'!O21")*INDIRECT("'1"&amp;$A240&amp;"'!W21")+INDIRECT("'1"&amp;$A240&amp;"'!O20")*INDIRECT("'1"&amp;$A240&amp;"'!W20"))/(INDIRECT("'1"&amp;$A240&amp;"'!O21")+INDIRECT("'1"&amp;$A240&amp;"'!O20"))</f>
        <v>1.9136103680679311</v>
      </c>
      <c r="C240" s="118" cm="1">
        <f t="array" aca="1" ref="C240" ca="1" xml:space="preserve"> (INDIRECT("'1"&amp;$A240&amp;"'!O19")*INDIRECT("'1"&amp;$A240&amp;"'!W19")
+ INDIRECT("'1"&amp;$A240&amp;"'!O18")*INDIRECT("'1"&amp;$A240&amp;"'!W18")
+ INDIRECT("'1"&amp;$A240&amp;"'!O17")*INDIRECT("'1"&amp;$A240&amp;"'!W17")
+ INDIRECT("'1"&amp;$A240&amp;"'!O16")*INDIRECT("'1"&amp;$A240&amp;"'!W16")
+ INDIRECT("'1"&amp;$A240&amp;"'!O15")*INDIRECT("'1"&amp;$A240&amp;"'!W15")
+ INDIRECT("'1"&amp;$A240&amp;"'!O14")*INDIRECT("'1"&amp;$A240&amp;"'!W14")
+ INDIRECT("'1"&amp;$A240&amp;"'!O13")*INDIRECT("'1"&amp;$A240&amp;"'!W13")
+ INDIRECT("'1"&amp;$A240&amp;"'!O12")*INDIRECT("'1"&amp;$A240&amp;"'!W12"))
/
(INDIRECT("'1"&amp;$A240&amp;"'!O19")
+ INDIRECT("'1"&amp;$A240&amp;"'!O18")
+ INDIRECT("'1"&amp;$A240&amp;"'!O17")
+ INDIRECT("'1"&amp;$A240&amp;"'!O16")
+ INDIRECT("'1"&amp;$A240&amp;"'!O15")
+ INDIRECT("'1"&amp;$A240&amp;"'!O14")
+ INDIRECT("'1"&amp;$A240&amp;"'!O13")
+ INDIRECT("'1"&amp;$A240&amp;"'!O12"))</f>
        <v>3.7775009868019107</v>
      </c>
      <c r="D240" s="118">
        <f ca="1">Table27810[[#This Row],[weighted ERTI of bottom 80]]-Table27810[[#This Row],[weighted ERTI of top 20]]</f>
        <v>1.8638906187339797</v>
      </c>
      <c r="E240" s="118" cm="1">
        <f t="array" aca="1" ref="E240" ca="1">INDIRECT("'1"&amp;$A240&amp;"'!"&amp;E$219)</f>
        <v>1.6773312742730913</v>
      </c>
      <c r="F240" s="41" cm="1">
        <f t="array" aca="1" ref="F240" ca="1" xml:space="preserve"> (INDIRECT("'1"&amp;$A240&amp;"'!O20")*INDIRECT("'1"&amp;$A240&amp;"'!W20")
+ INDIRECT("'1"&amp;$A240&amp;"'!O19")*INDIRECT("'1"&amp;$A240&amp;"'!W19")
+ INDIRECT("'1"&amp;$A240&amp;"'!O18")*INDIRECT("'1"&amp;$A240&amp;"'!W18")
+ INDIRECT("'1"&amp;$A240&amp;"'!O17")*INDIRECT("'1"&amp;$A240&amp;"'!W17")
+ INDIRECT("'1"&amp;$A240&amp;"'!O16")*INDIRECT("'1"&amp;$A240&amp;"'!W16")
+ INDIRECT("'1"&amp;$A240&amp;"'!O15")*INDIRECT("'1"&amp;$A240&amp;"'!W15")
+ INDIRECT("'1"&amp;$A240&amp;"'!O14")*INDIRECT("'1"&amp;$A240&amp;"'!W14")
+ INDIRECT("'1"&amp;$A240&amp;"'!O13")*INDIRECT("'1"&amp;$A240&amp;"'!W13")
+ INDIRECT("'1"&amp;$A240&amp;"'!O12")*INDIRECT("'1"&amp;$A240&amp;"'!W12"))
/
(INDIRECT("'1"&amp;$A240&amp;"'!O20")
+ INDIRECT("'1"&amp;$A240&amp;"'!O19")
+ INDIRECT("'1"&amp;$A240&amp;"'!O18")
+ INDIRECT("'1"&amp;$A240&amp;"'!O17")
+ INDIRECT("'1"&amp;$A240&amp;"'!O16")
+ INDIRECT("'1"&amp;$A240&amp;"'!O15")
+ INDIRECT("'1"&amp;$A240&amp;"'!O14")
+ INDIRECT("'1"&amp;$A240&amp;"'!O13")
+ INDIRECT("'1"&amp;$A240&amp;"'!O12"))</f>
        <v>3.1849200275138032</v>
      </c>
      <c r="G240" s="41">
        <f ca="1">Table27810[[#This Row],[weighted ERTI of bottom 90]]-Table27810[[#This Row],[ERTI top 10]]</f>
        <v>1.507588753240712</v>
      </c>
      <c r="O240" s="88"/>
      <c r="P240" s="94"/>
      <c r="Q240" s="88"/>
      <c r="R240" s="94"/>
    </row>
    <row r="241" spans="1:18" s="1" customFormat="1" x14ac:dyDescent="0.3">
      <c r="A241" s="1" t="s">
        <v>208</v>
      </c>
      <c r="B241" s="118" cm="1">
        <f t="array" aca="1" ref="B241" ca="1">(INDIRECT("'1"&amp;$A241&amp;"'!O21")*INDIRECT("'1"&amp;$A241&amp;"'!W21")+INDIRECT("'1"&amp;$A241&amp;"'!O20")*INDIRECT("'1"&amp;$A241&amp;"'!W20"))/(INDIRECT("'1"&amp;$A241&amp;"'!O21")+INDIRECT("'1"&amp;$A241&amp;"'!O20"))</f>
        <v>1.9702606772146842</v>
      </c>
      <c r="C241" s="118" cm="1">
        <f t="array" aca="1" ref="C241" ca="1" xml:space="preserve"> (INDIRECT("'1"&amp;$A241&amp;"'!O19")*INDIRECT("'1"&amp;$A241&amp;"'!W19")
+ INDIRECT("'1"&amp;$A241&amp;"'!O18")*INDIRECT("'1"&amp;$A241&amp;"'!W18")
+ INDIRECT("'1"&amp;$A241&amp;"'!O17")*INDIRECT("'1"&amp;$A241&amp;"'!W17")
+ INDIRECT("'1"&amp;$A241&amp;"'!O16")*INDIRECT("'1"&amp;$A241&amp;"'!W16")
+ INDIRECT("'1"&amp;$A241&amp;"'!O15")*INDIRECT("'1"&amp;$A241&amp;"'!W15")
+ INDIRECT("'1"&amp;$A241&amp;"'!O14")*INDIRECT("'1"&amp;$A241&amp;"'!W14")
+ INDIRECT("'1"&amp;$A241&amp;"'!O13")*INDIRECT("'1"&amp;$A241&amp;"'!W13")
+ INDIRECT("'1"&amp;$A241&amp;"'!O12")*INDIRECT("'1"&amp;$A241&amp;"'!W12"))
/
(INDIRECT("'1"&amp;$A241&amp;"'!O19")
+ INDIRECT("'1"&amp;$A241&amp;"'!O18")
+ INDIRECT("'1"&amp;$A241&amp;"'!O17")
+ INDIRECT("'1"&amp;$A241&amp;"'!O16")
+ INDIRECT("'1"&amp;$A241&amp;"'!O15")
+ INDIRECT("'1"&amp;$A241&amp;"'!O14")
+ INDIRECT("'1"&amp;$A241&amp;"'!O13")
+ INDIRECT("'1"&amp;$A241&amp;"'!O12"))</f>
        <v>3.8654253848668261</v>
      </c>
      <c r="D241" s="118">
        <f ca="1">Table27810[[#This Row],[weighted ERTI of bottom 80]]-Table27810[[#This Row],[weighted ERTI of top 20]]</f>
        <v>1.8951647076521418</v>
      </c>
      <c r="E241" s="118" cm="1">
        <f t="array" aca="1" ref="E241" ca="1">INDIRECT("'1"&amp;$A241&amp;"'!"&amp;E$219)</f>
        <v>1.7703998280948667</v>
      </c>
      <c r="F241" s="41" cm="1">
        <f t="array" aca="1" ref="F241" ca="1" xml:space="preserve"> (INDIRECT("'1"&amp;$A241&amp;"'!O20")*INDIRECT("'1"&amp;$A241&amp;"'!W20")
+ INDIRECT("'1"&amp;$A241&amp;"'!O19")*INDIRECT("'1"&amp;$A241&amp;"'!W19")
+ INDIRECT("'1"&amp;$A241&amp;"'!O18")*INDIRECT("'1"&amp;$A241&amp;"'!W18")
+ INDIRECT("'1"&amp;$A241&amp;"'!O17")*INDIRECT("'1"&amp;$A241&amp;"'!W17")
+ INDIRECT("'1"&amp;$A241&amp;"'!O16")*INDIRECT("'1"&amp;$A241&amp;"'!W16")
+ INDIRECT("'1"&amp;$A241&amp;"'!O15")*INDIRECT("'1"&amp;$A241&amp;"'!W15")
+ INDIRECT("'1"&amp;$A241&amp;"'!O14")*INDIRECT("'1"&amp;$A241&amp;"'!W14")
+ INDIRECT("'1"&amp;$A241&amp;"'!O13")*INDIRECT("'1"&amp;$A241&amp;"'!W13")
+ INDIRECT("'1"&amp;$A241&amp;"'!O12")*INDIRECT("'1"&amp;$A241&amp;"'!W12"))
/
(INDIRECT("'1"&amp;$A241&amp;"'!O20")
+ INDIRECT("'1"&amp;$A241&amp;"'!O19")
+ INDIRECT("'1"&amp;$A241&amp;"'!O18")
+ INDIRECT("'1"&amp;$A241&amp;"'!O17")
+ INDIRECT("'1"&amp;$A241&amp;"'!O16")
+ INDIRECT("'1"&amp;$A241&amp;"'!O15")
+ INDIRECT("'1"&amp;$A241&amp;"'!O14")
+ INDIRECT("'1"&amp;$A241&amp;"'!O13")
+ INDIRECT("'1"&amp;$A241&amp;"'!O12"))</f>
        <v>3.2633755159522204</v>
      </c>
      <c r="G241" s="41">
        <f ca="1">Table27810[[#This Row],[weighted ERTI of bottom 90]]-Table27810[[#This Row],[ERTI top 10]]</f>
        <v>1.4929756878573537</v>
      </c>
      <c r="O241" s="89"/>
      <c r="P241" s="96"/>
      <c r="Q241" s="88"/>
      <c r="R241" s="96"/>
    </row>
    <row r="242" spans="1:18" s="1" customFormat="1" x14ac:dyDescent="0.3">
      <c r="A242" s="86" t="s">
        <v>304</v>
      </c>
      <c r="B242" s="86" t="e" cm="1">
        <f t="array" aca="1" ref="B242" ca="1">(INDIRECT("'1"&amp;$A242&amp;"'!O21")*INDIRECT("'1"&amp;$A242&amp;"'!W21")+INDIRECT("'1"&amp;$A242&amp;"'!O20")*INDIRECT("'1"&amp;$A242&amp;"'!W20"))/(INDIRECT("'1"&amp;$A242&amp;"'!O21")+INDIRECT("'1"&amp;$A242&amp;"'!O20"))</f>
        <v>#REF!</v>
      </c>
      <c r="C242" s="86" t="e" cm="1">
        <f t="array" aca="1" ref="C242" ca="1" xml:space="preserve"> (INDIRECT("'1"&amp;$A242&amp;"'!O19")*INDIRECT("'1"&amp;$A242&amp;"'!W19")
+ INDIRECT("'1"&amp;$A242&amp;"'!O18")*INDIRECT("'1"&amp;$A242&amp;"'!W18")
+ INDIRECT("'1"&amp;$A242&amp;"'!O17")*INDIRECT("'1"&amp;$A242&amp;"'!W17")
+ INDIRECT("'1"&amp;$A242&amp;"'!O16")*INDIRECT("'1"&amp;$A242&amp;"'!W16")
+ INDIRECT("'1"&amp;$A242&amp;"'!O15")*INDIRECT("'1"&amp;$A242&amp;"'!W15")
+ INDIRECT("'1"&amp;$A242&amp;"'!O14")*INDIRECT("'1"&amp;$A242&amp;"'!W14")
+ INDIRECT("'1"&amp;$A242&amp;"'!O13")*INDIRECT("'1"&amp;$A242&amp;"'!W13")
+ INDIRECT("'1"&amp;$A242&amp;"'!O12")*INDIRECT("'1"&amp;$A242&amp;"'!W12"))
/
(INDIRECT("'1"&amp;$A242&amp;"'!O19")
+ INDIRECT("'1"&amp;$A242&amp;"'!O18")
+ INDIRECT("'1"&amp;$A242&amp;"'!O17")
+ INDIRECT("'1"&amp;$A242&amp;"'!O16")
+ INDIRECT("'1"&amp;$A242&amp;"'!O15")
+ INDIRECT("'1"&amp;$A242&amp;"'!O14")
+ INDIRECT("'1"&amp;$A242&amp;"'!O13")
+ INDIRECT("'1"&amp;$A242&amp;"'!O12"))</f>
        <v>#REF!</v>
      </c>
      <c r="D242" s="194" t="e">
        <f ca="1">Table27810[[#This Row],[weighted ERTI of bottom 80]]-Table27810[[#This Row],[weighted ERTI of top 20]]</f>
        <v>#REF!</v>
      </c>
      <c r="E242" s="118" t="e" cm="1">
        <f t="array" aca="1" ref="E242" ca="1">INDIRECT("'1"&amp;$A242&amp;"'!"&amp;E$219)</f>
        <v>#REF!</v>
      </c>
      <c r="F242" s="41" t="e" cm="1">
        <f t="array" aca="1" ref="F242" ca="1" xml:space="preserve"> (INDIRECT("'1"&amp;$A242&amp;"'!O20")*INDIRECT("'1"&amp;$A242&amp;"'!W20")
+ INDIRECT("'1"&amp;$A242&amp;"'!O19")*INDIRECT("'1"&amp;$A242&amp;"'!W19")
+ INDIRECT("'1"&amp;$A242&amp;"'!O18")*INDIRECT("'1"&amp;$A242&amp;"'!W18")
+ INDIRECT("'1"&amp;$A242&amp;"'!O17")*INDIRECT("'1"&amp;$A242&amp;"'!W17")
+ INDIRECT("'1"&amp;$A242&amp;"'!O16")*INDIRECT("'1"&amp;$A242&amp;"'!W16")
+ INDIRECT("'1"&amp;$A242&amp;"'!O15")*INDIRECT("'1"&amp;$A242&amp;"'!W15")
+ INDIRECT("'1"&amp;$A242&amp;"'!O14")*INDIRECT("'1"&amp;$A242&amp;"'!W14")
+ INDIRECT("'1"&amp;$A242&amp;"'!O13")*INDIRECT("'1"&amp;$A242&amp;"'!W13")
+ INDIRECT("'1"&amp;$A242&amp;"'!O12")*INDIRECT("'1"&amp;$A242&amp;"'!W12"))
/
(INDIRECT("'1"&amp;$A242&amp;"'!O20")
+ INDIRECT("'1"&amp;$A242&amp;"'!O19")
+ INDIRECT("'1"&amp;$A242&amp;"'!O18")
+ INDIRECT("'1"&amp;$A242&amp;"'!O17")
+ INDIRECT("'1"&amp;$A242&amp;"'!O16")
+ INDIRECT("'1"&amp;$A242&amp;"'!O15")
+ INDIRECT("'1"&amp;$A242&amp;"'!O14")
+ INDIRECT("'1"&amp;$A242&amp;"'!O13")
+ INDIRECT("'1"&amp;$A242&amp;"'!O12"))</f>
        <v>#REF!</v>
      </c>
      <c r="G242" s="41" t="e">
        <f ca="1">Table27810[[#This Row],[weighted ERTI of bottom 90]]-Table27810[[#This Row],[ERTI top 10]]</f>
        <v>#REF!</v>
      </c>
      <c r="O242" s="88"/>
      <c r="P242" s="94"/>
      <c r="Q242" s="88"/>
      <c r="R242" s="94"/>
    </row>
    <row r="243" spans="1:18" s="1" customFormat="1" x14ac:dyDescent="0.3">
      <c r="A243" s="86" t="s">
        <v>305</v>
      </c>
      <c r="B243" s="86" t="e" cm="1">
        <f t="array" aca="1" ref="B243" ca="1">(INDIRECT("'1"&amp;$A243&amp;"'!O21")*INDIRECT("'1"&amp;$A243&amp;"'!W21")+INDIRECT("'1"&amp;$A243&amp;"'!O20")*INDIRECT("'1"&amp;$A243&amp;"'!W20"))/(INDIRECT("'1"&amp;$A243&amp;"'!O21")+INDIRECT("'1"&amp;$A243&amp;"'!O20"))</f>
        <v>#REF!</v>
      </c>
      <c r="C243" s="86" t="e" cm="1">
        <f t="array" aca="1" ref="C243" ca="1" xml:space="preserve"> (INDIRECT("'1"&amp;$A243&amp;"'!O19")*INDIRECT("'1"&amp;$A243&amp;"'!W19")
+ INDIRECT("'1"&amp;$A243&amp;"'!O18")*INDIRECT("'1"&amp;$A243&amp;"'!W18")
+ INDIRECT("'1"&amp;$A243&amp;"'!O17")*INDIRECT("'1"&amp;$A243&amp;"'!W17")
+ INDIRECT("'1"&amp;$A243&amp;"'!O16")*INDIRECT("'1"&amp;$A243&amp;"'!W16")
+ INDIRECT("'1"&amp;$A243&amp;"'!O15")*INDIRECT("'1"&amp;$A243&amp;"'!W15")
+ INDIRECT("'1"&amp;$A243&amp;"'!O14")*INDIRECT("'1"&amp;$A243&amp;"'!W14")
+ INDIRECT("'1"&amp;$A243&amp;"'!O13")*INDIRECT("'1"&amp;$A243&amp;"'!W13")
+ INDIRECT("'1"&amp;$A243&amp;"'!O12")*INDIRECT("'1"&amp;$A243&amp;"'!W12"))
/
(INDIRECT("'1"&amp;$A243&amp;"'!O19")
+ INDIRECT("'1"&amp;$A243&amp;"'!O18")
+ INDIRECT("'1"&amp;$A243&amp;"'!O17")
+ INDIRECT("'1"&amp;$A243&amp;"'!O16")
+ INDIRECT("'1"&amp;$A243&amp;"'!O15")
+ INDIRECT("'1"&amp;$A243&amp;"'!O14")
+ INDIRECT("'1"&amp;$A243&amp;"'!O13")
+ INDIRECT("'1"&amp;$A243&amp;"'!O12"))</f>
        <v>#REF!</v>
      </c>
      <c r="D243" s="194" t="e">
        <f ca="1">Table27810[[#This Row],[weighted ERTI of bottom 80]]-Table27810[[#This Row],[weighted ERTI of top 20]]</f>
        <v>#REF!</v>
      </c>
      <c r="E243" s="118" t="e" cm="1">
        <f t="array" aca="1" ref="E243" ca="1">INDIRECT("'1"&amp;$A243&amp;"'!"&amp;E$219)</f>
        <v>#REF!</v>
      </c>
      <c r="F243" s="41" t="e" cm="1">
        <f t="array" aca="1" ref="F243" ca="1" xml:space="preserve"> (INDIRECT("'1"&amp;$A243&amp;"'!O20")*INDIRECT("'1"&amp;$A243&amp;"'!W20")
+ INDIRECT("'1"&amp;$A243&amp;"'!O19")*INDIRECT("'1"&amp;$A243&amp;"'!W19")
+ INDIRECT("'1"&amp;$A243&amp;"'!O18")*INDIRECT("'1"&amp;$A243&amp;"'!W18")
+ INDIRECT("'1"&amp;$A243&amp;"'!O17")*INDIRECT("'1"&amp;$A243&amp;"'!W17")
+ INDIRECT("'1"&amp;$A243&amp;"'!O16")*INDIRECT("'1"&amp;$A243&amp;"'!W16")
+ INDIRECT("'1"&amp;$A243&amp;"'!O15")*INDIRECT("'1"&amp;$A243&amp;"'!W15")
+ INDIRECT("'1"&amp;$A243&amp;"'!O14")*INDIRECT("'1"&amp;$A243&amp;"'!W14")
+ INDIRECT("'1"&amp;$A243&amp;"'!O13")*INDIRECT("'1"&amp;$A243&amp;"'!W13")
+ INDIRECT("'1"&amp;$A243&amp;"'!O12")*INDIRECT("'1"&amp;$A243&amp;"'!W12"))
/
(INDIRECT("'1"&amp;$A243&amp;"'!O20")
+ INDIRECT("'1"&amp;$A243&amp;"'!O19")
+ INDIRECT("'1"&amp;$A243&amp;"'!O18")
+ INDIRECT("'1"&amp;$A243&amp;"'!O17")
+ INDIRECT("'1"&amp;$A243&amp;"'!O16")
+ INDIRECT("'1"&amp;$A243&amp;"'!O15")
+ INDIRECT("'1"&amp;$A243&amp;"'!O14")
+ INDIRECT("'1"&amp;$A243&amp;"'!O13")
+ INDIRECT("'1"&amp;$A243&amp;"'!O12"))</f>
        <v>#REF!</v>
      </c>
      <c r="G243" s="41" t="e">
        <f ca="1">Table27810[[#This Row],[weighted ERTI of bottom 90]]-Table27810[[#This Row],[ERTI top 10]]</f>
        <v>#REF!</v>
      </c>
      <c r="O243" s="89"/>
      <c r="P243" s="96"/>
      <c r="Q243" s="88"/>
      <c r="R243" s="96"/>
    </row>
    <row r="244" spans="1:18" s="1" customFormat="1" x14ac:dyDescent="0.3">
      <c r="A244" s="86" t="s">
        <v>306</v>
      </c>
      <c r="B244" s="86" t="e" cm="1">
        <f t="array" aca="1" ref="B244" ca="1">(INDIRECT("'1"&amp;$A244&amp;"'!O21")*INDIRECT("'1"&amp;$A244&amp;"'!W21")+INDIRECT("'1"&amp;$A244&amp;"'!O20")*INDIRECT("'1"&amp;$A244&amp;"'!W20"))/(INDIRECT("'1"&amp;$A244&amp;"'!O21")+INDIRECT("'1"&amp;$A244&amp;"'!O20"))</f>
        <v>#REF!</v>
      </c>
      <c r="C244" s="86" t="e" cm="1">
        <f t="array" aca="1" ref="C244" ca="1" xml:space="preserve"> (INDIRECT("'1"&amp;$A244&amp;"'!O19")*INDIRECT("'1"&amp;$A244&amp;"'!W19")
+ INDIRECT("'1"&amp;$A244&amp;"'!O18")*INDIRECT("'1"&amp;$A244&amp;"'!W18")
+ INDIRECT("'1"&amp;$A244&amp;"'!O17")*INDIRECT("'1"&amp;$A244&amp;"'!W17")
+ INDIRECT("'1"&amp;$A244&amp;"'!O16")*INDIRECT("'1"&amp;$A244&amp;"'!W16")
+ INDIRECT("'1"&amp;$A244&amp;"'!O15")*INDIRECT("'1"&amp;$A244&amp;"'!W15")
+ INDIRECT("'1"&amp;$A244&amp;"'!O14")*INDIRECT("'1"&amp;$A244&amp;"'!W14")
+ INDIRECT("'1"&amp;$A244&amp;"'!O13")*INDIRECT("'1"&amp;$A244&amp;"'!W13")
+ INDIRECT("'1"&amp;$A244&amp;"'!O12")*INDIRECT("'1"&amp;$A244&amp;"'!W12"))
/
(INDIRECT("'1"&amp;$A244&amp;"'!O19")
+ INDIRECT("'1"&amp;$A244&amp;"'!O18")
+ INDIRECT("'1"&amp;$A244&amp;"'!O17")
+ INDIRECT("'1"&amp;$A244&amp;"'!O16")
+ INDIRECT("'1"&amp;$A244&amp;"'!O15")
+ INDIRECT("'1"&amp;$A244&amp;"'!O14")
+ INDIRECT("'1"&amp;$A244&amp;"'!O13")
+ INDIRECT("'1"&amp;$A244&amp;"'!O12"))</f>
        <v>#REF!</v>
      </c>
      <c r="D244" s="194" t="e">
        <f ca="1">Table27810[[#This Row],[weighted ERTI of bottom 80]]-Table27810[[#This Row],[weighted ERTI of top 20]]</f>
        <v>#REF!</v>
      </c>
      <c r="E244" s="120" t="e" cm="1">
        <f t="array" aca="1" ref="E244" ca="1">INDIRECT("'1"&amp;$A244&amp;"'!"&amp;E$219)</f>
        <v>#REF!</v>
      </c>
      <c r="F244" s="41" t="e" cm="1">
        <f t="array" aca="1" ref="F244" ca="1" xml:space="preserve"> (INDIRECT("'1"&amp;$A244&amp;"'!O20")*INDIRECT("'1"&amp;$A244&amp;"'!W20")
+ INDIRECT("'1"&amp;$A244&amp;"'!O19")*INDIRECT("'1"&amp;$A244&amp;"'!W19")
+ INDIRECT("'1"&amp;$A244&amp;"'!O18")*INDIRECT("'1"&amp;$A244&amp;"'!W18")
+ INDIRECT("'1"&amp;$A244&amp;"'!O17")*INDIRECT("'1"&amp;$A244&amp;"'!W17")
+ INDIRECT("'1"&amp;$A244&amp;"'!O16")*INDIRECT("'1"&amp;$A244&amp;"'!W16")
+ INDIRECT("'1"&amp;$A244&amp;"'!O15")*INDIRECT("'1"&amp;$A244&amp;"'!W15")
+ INDIRECT("'1"&amp;$A244&amp;"'!O14")*INDIRECT("'1"&amp;$A244&amp;"'!W14")
+ INDIRECT("'1"&amp;$A244&amp;"'!O13")*INDIRECT("'1"&amp;$A244&amp;"'!W13")
+ INDIRECT("'1"&amp;$A244&amp;"'!O12")*INDIRECT("'1"&amp;$A244&amp;"'!W12"))
/
(INDIRECT("'1"&amp;$A244&amp;"'!O20")
+ INDIRECT("'1"&amp;$A244&amp;"'!O19")
+ INDIRECT("'1"&amp;$A244&amp;"'!O18")
+ INDIRECT("'1"&amp;$A244&amp;"'!O17")
+ INDIRECT("'1"&amp;$A244&amp;"'!O16")
+ INDIRECT("'1"&amp;$A244&amp;"'!O15")
+ INDIRECT("'1"&amp;$A244&amp;"'!O14")
+ INDIRECT("'1"&amp;$A244&amp;"'!O13")
+ INDIRECT("'1"&amp;$A244&amp;"'!O12"))</f>
        <v>#REF!</v>
      </c>
      <c r="G244" s="41" t="e">
        <f ca="1">Table27810[[#This Row],[weighted ERTI of bottom 90]]-Table27810[[#This Row],[ERTI top 10]]</f>
        <v>#REF!</v>
      </c>
      <c r="O244" s="88"/>
      <c r="P244" s="94"/>
      <c r="Q244" s="88"/>
      <c r="R244" s="94"/>
    </row>
    <row r="245" spans="1:18" s="1" customFormat="1" x14ac:dyDescent="0.3">
      <c r="A245" s="86" t="s">
        <v>307</v>
      </c>
      <c r="B245" s="86" t="e" cm="1">
        <f t="array" aca="1" ref="B245" ca="1">(INDIRECT("'1"&amp;$A245&amp;"'!O21")*INDIRECT("'1"&amp;$A245&amp;"'!W21")+INDIRECT("'1"&amp;$A245&amp;"'!O20")*INDIRECT("'1"&amp;$A245&amp;"'!W20"))/(INDIRECT("'1"&amp;$A245&amp;"'!O21")+INDIRECT("'1"&amp;$A245&amp;"'!O20"))</f>
        <v>#REF!</v>
      </c>
      <c r="C245" s="86" t="e" cm="1">
        <f t="array" aca="1" ref="C245" ca="1" xml:space="preserve"> (INDIRECT("'1"&amp;$A245&amp;"'!O19")*INDIRECT("'1"&amp;$A245&amp;"'!W19")
+ INDIRECT("'1"&amp;$A245&amp;"'!O18")*INDIRECT("'1"&amp;$A245&amp;"'!W18")
+ INDIRECT("'1"&amp;$A245&amp;"'!O17")*INDIRECT("'1"&amp;$A245&amp;"'!W17")
+ INDIRECT("'1"&amp;$A245&amp;"'!O16")*INDIRECT("'1"&amp;$A245&amp;"'!W16")
+ INDIRECT("'1"&amp;$A245&amp;"'!O15")*INDIRECT("'1"&amp;$A245&amp;"'!W15")
+ INDIRECT("'1"&amp;$A245&amp;"'!O14")*INDIRECT("'1"&amp;$A245&amp;"'!W14")
+ INDIRECT("'1"&amp;$A245&amp;"'!O13")*INDIRECT("'1"&amp;$A245&amp;"'!W13")
+ INDIRECT("'1"&amp;$A245&amp;"'!O12")*INDIRECT("'1"&amp;$A245&amp;"'!W12"))
/
(INDIRECT("'1"&amp;$A245&amp;"'!O19")
+ INDIRECT("'1"&amp;$A245&amp;"'!O18")
+ INDIRECT("'1"&amp;$A245&amp;"'!O17")
+ INDIRECT("'1"&amp;$A245&amp;"'!O16")
+ INDIRECT("'1"&amp;$A245&amp;"'!O15")
+ INDIRECT("'1"&amp;$A245&amp;"'!O14")
+ INDIRECT("'1"&amp;$A245&amp;"'!O13")
+ INDIRECT("'1"&amp;$A245&amp;"'!O12"))</f>
        <v>#REF!</v>
      </c>
      <c r="D245" s="194" t="e">
        <f ca="1">Table27810[[#This Row],[weighted ERTI of bottom 80]]-Table27810[[#This Row],[weighted ERTI of top 20]]</f>
        <v>#REF!</v>
      </c>
      <c r="E245" s="118" t="e" cm="1">
        <f t="array" aca="1" ref="E245" ca="1">INDIRECT("'1"&amp;$A245&amp;"'!"&amp;E$219)</f>
        <v>#REF!</v>
      </c>
      <c r="F245" s="41" t="e" cm="1">
        <f t="array" aca="1" ref="F245" ca="1" xml:space="preserve"> (INDIRECT("'1"&amp;$A245&amp;"'!O20")*INDIRECT("'1"&amp;$A245&amp;"'!W20")
+ INDIRECT("'1"&amp;$A245&amp;"'!O19")*INDIRECT("'1"&amp;$A245&amp;"'!W19")
+ INDIRECT("'1"&amp;$A245&amp;"'!O18")*INDIRECT("'1"&amp;$A245&amp;"'!W18")
+ INDIRECT("'1"&amp;$A245&amp;"'!O17")*INDIRECT("'1"&amp;$A245&amp;"'!W17")
+ INDIRECT("'1"&amp;$A245&amp;"'!O16")*INDIRECT("'1"&amp;$A245&amp;"'!W16")
+ INDIRECT("'1"&amp;$A245&amp;"'!O15")*INDIRECT("'1"&amp;$A245&amp;"'!W15")
+ INDIRECT("'1"&amp;$A245&amp;"'!O14")*INDIRECT("'1"&amp;$A245&amp;"'!W14")
+ INDIRECT("'1"&amp;$A245&amp;"'!O13")*INDIRECT("'1"&amp;$A245&amp;"'!W13")
+ INDIRECT("'1"&amp;$A245&amp;"'!O12")*INDIRECT("'1"&amp;$A245&amp;"'!W12"))
/
(INDIRECT("'1"&amp;$A245&amp;"'!O20")
+ INDIRECT("'1"&amp;$A245&amp;"'!O19")
+ INDIRECT("'1"&amp;$A245&amp;"'!O18")
+ INDIRECT("'1"&amp;$A245&amp;"'!O17")
+ INDIRECT("'1"&amp;$A245&amp;"'!O16")
+ INDIRECT("'1"&amp;$A245&amp;"'!O15")
+ INDIRECT("'1"&amp;$A245&amp;"'!O14")
+ INDIRECT("'1"&amp;$A245&amp;"'!O13")
+ INDIRECT("'1"&amp;$A245&amp;"'!O12"))</f>
        <v>#REF!</v>
      </c>
      <c r="G245" s="41" t="e">
        <f ca="1">Table27810[[#This Row],[weighted ERTI of bottom 90]]-Table27810[[#This Row],[ERTI top 10]]</f>
        <v>#REF!</v>
      </c>
      <c r="O245" s="88"/>
      <c r="P245" s="94"/>
      <c r="Q245" s="88"/>
      <c r="R245" s="94"/>
    </row>
    <row r="246" spans="1:18" s="1" customFormat="1" x14ac:dyDescent="0.3">
      <c r="A246" s="86" t="s">
        <v>308</v>
      </c>
      <c r="B246" s="86" t="e" cm="1">
        <f t="array" aca="1" ref="B246" ca="1">(INDIRECT("'1"&amp;$A246&amp;"'!O21")*INDIRECT("'1"&amp;$A246&amp;"'!W21")+INDIRECT("'1"&amp;$A246&amp;"'!O20")*INDIRECT("'1"&amp;$A246&amp;"'!W20"))/(INDIRECT("'1"&amp;$A246&amp;"'!O21")+INDIRECT("'1"&amp;$A246&amp;"'!O20"))</f>
        <v>#REF!</v>
      </c>
      <c r="C246" s="86" t="e" cm="1">
        <f t="array" aca="1" ref="C246" ca="1" xml:space="preserve"> (INDIRECT("'1"&amp;$A246&amp;"'!O19")*INDIRECT("'1"&amp;$A246&amp;"'!W19")
+ INDIRECT("'1"&amp;$A246&amp;"'!O18")*INDIRECT("'1"&amp;$A246&amp;"'!W18")
+ INDIRECT("'1"&amp;$A246&amp;"'!O17")*INDIRECT("'1"&amp;$A246&amp;"'!W17")
+ INDIRECT("'1"&amp;$A246&amp;"'!O16")*INDIRECT("'1"&amp;$A246&amp;"'!W16")
+ INDIRECT("'1"&amp;$A246&amp;"'!O15")*INDIRECT("'1"&amp;$A246&amp;"'!W15")
+ INDIRECT("'1"&amp;$A246&amp;"'!O14")*INDIRECT("'1"&amp;$A246&amp;"'!W14")
+ INDIRECT("'1"&amp;$A246&amp;"'!O13")*INDIRECT("'1"&amp;$A246&amp;"'!W13")
+ INDIRECT("'1"&amp;$A246&amp;"'!O12")*INDIRECT("'1"&amp;$A246&amp;"'!W12"))
/
(INDIRECT("'1"&amp;$A246&amp;"'!O19")
+ INDIRECT("'1"&amp;$A246&amp;"'!O18")
+ INDIRECT("'1"&amp;$A246&amp;"'!O17")
+ INDIRECT("'1"&amp;$A246&amp;"'!O16")
+ INDIRECT("'1"&amp;$A246&amp;"'!O15")
+ INDIRECT("'1"&amp;$A246&amp;"'!O14")
+ INDIRECT("'1"&amp;$A246&amp;"'!O13")
+ INDIRECT("'1"&amp;$A246&amp;"'!O12"))</f>
        <v>#REF!</v>
      </c>
      <c r="D246" s="194" t="e">
        <f ca="1">Table27810[[#This Row],[weighted ERTI of bottom 80]]-Table27810[[#This Row],[weighted ERTI of top 20]]</f>
        <v>#REF!</v>
      </c>
      <c r="E246" s="120" t="e" cm="1">
        <f t="array" aca="1" ref="E246" ca="1">INDIRECT("'1"&amp;$A246&amp;"'!"&amp;E$219)</f>
        <v>#REF!</v>
      </c>
      <c r="F246" s="41" t="e" cm="1">
        <f t="array" aca="1" ref="F246" ca="1" xml:space="preserve"> (INDIRECT("'1"&amp;$A246&amp;"'!O20")*INDIRECT("'1"&amp;$A246&amp;"'!W20")
+ INDIRECT("'1"&amp;$A246&amp;"'!O19")*INDIRECT("'1"&amp;$A246&amp;"'!W19")
+ INDIRECT("'1"&amp;$A246&amp;"'!O18")*INDIRECT("'1"&amp;$A246&amp;"'!W18")
+ INDIRECT("'1"&amp;$A246&amp;"'!O17")*INDIRECT("'1"&amp;$A246&amp;"'!W17")
+ INDIRECT("'1"&amp;$A246&amp;"'!O16")*INDIRECT("'1"&amp;$A246&amp;"'!W16")
+ INDIRECT("'1"&amp;$A246&amp;"'!O15")*INDIRECT("'1"&amp;$A246&amp;"'!W15")
+ INDIRECT("'1"&amp;$A246&amp;"'!O14")*INDIRECT("'1"&amp;$A246&amp;"'!W14")
+ INDIRECT("'1"&amp;$A246&amp;"'!O13")*INDIRECT("'1"&amp;$A246&amp;"'!W13")
+ INDIRECT("'1"&amp;$A246&amp;"'!O12")*INDIRECT("'1"&amp;$A246&amp;"'!W12"))
/
(INDIRECT("'1"&amp;$A246&amp;"'!O20")
+ INDIRECT("'1"&amp;$A246&amp;"'!O19")
+ INDIRECT("'1"&amp;$A246&amp;"'!O18")
+ INDIRECT("'1"&amp;$A246&amp;"'!O17")
+ INDIRECT("'1"&amp;$A246&amp;"'!O16")
+ INDIRECT("'1"&amp;$A246&amp;"'!O15")
+ INDIRECT("'1"&amp;$A246&amp;"'!O14")
+ INDIRECT("'1"&amp;$A246&amp;"'!O13")
+ INDIRECT("'1"&amp;$A246&amp;"'!O12"))</f>
        <v>#REF!</v>
      </c>
      <c r="G246" s="41" t="e">
        <f ca="1">Table27810[[#This Row],[weighted ERTI of bottom 90]]-Table27810[[#This Row],[ERTI top 10]]</f>
        <v>#REF!</v>
      </c>
      <c r="O246" s="88"/>
      <c r="P246" s="94"/>
      <c r="Q246" s="88"/>
      <c r="R246" s="94"/>
    </row>
    <row r="247" spans="1:18" s="1" customFormat="1" x14ac:dyDescent="0.3">
      <c r="A247" s="86" t="s">
        <v>309</v>
      </c>
      <c r="B247" s="86" t="e" cm="1">
        <f t="array" aca="1" ref="B247" ca="1">(INDIRECT("'1"&amp;$A247&amp;"'!O21")*INDIRECT("'1"&amp;$A247&amp;"'!W21")+INDIRECT("'1"&amp;$A247&amp;"'!O20")*INDIRECT("'1"&amp;$A247&amp;"'!W20"))/(INDIRECT("'1"&amp;$A247&amp;"'!O21")+INDIRECT("'1"&amp;$A247&amp;"'!O20"))</f>
        <v>#REF!</v>
      </c>
      <c r="C247" s="86" t="e" cm="1">
        <f t="array" aca="1" ref="C247" ca="1" xml:space="preserve"> (INDIRECT("'1"&amp;$A247&amp;"'!O19")*INDIRECT("'1"&amp;$A247&amp;"'!W19")
+ INDIRECT("'1"&amp;$A247&amp;"'!O18")*INDIRECT("'1"&amp;$A247&amp;"'!W18")
+ INDIRECT("'1"&amp;$A247&amp;"'!O17")*INDIRECT("'1"&amp;$A247&amp;"'!W17")
+ INDIRECT("'1"&amp;$A247&amp;"'!O16")*INDIRECT("'1"&amp;$A247&amp;"'!W16")
+ INDIRECT("'1"&amp;$A247&amp;"'!O15")*INDIRECT("'1"&amp;$A247&amp;"'!W15")
+ INDIRECT("'1"&amp;$A247&amp;"'!O14")*INDIRECT("'1"&amp;$A247&amp;"'!W14")
+ INDIRECT("'1"&amp;$A247&amp;"'!O13")*INDIRECT("'1"&amp;$A247&amp;"'!W13")
+ INDIRECT("'1"&amp;$A247&amp;"'!O12")*INDIRECT("'1"&amp;$A247&amp;"'!W12"))
/
(INDIRECT("'1"&amp;$A247&amp;"'!O19")
+ INDIRECT("'1"&amp;$A247&amp;"'!O18")
+ INDIRECT("'1"&amp;$A247&amp;"'!O17")
+ INDIRECT("'1"&amp;$A247&amp;"'!O16")
+ INDIRECT("'1"&amp;$A247&amp;"'!O15")
+ INDIRECT("'1"&amp;$A247&amp;"'!O14")
+ INDIRECT("'1"&amp;$A247&amp;"'!O13")
+ INDIRECT("'1"&amp;$A247&amp;"'!O12"))</f>
        <v>#REF!</v>
      </c>
      <c r="D247" s="194" t="e">
        <f ca="1">Table27810[[#This Row],[weighted ERTI of bottom 80]]-Table27810[[#This Row],[weighted ERTI of top 20]]</f>
        <v>#REF!</v>
      </c>
      <c r="E247" s="120" t="e" cm="1">
        <f t="array" aca="1" ref="E247" ca="1">INDIRECT("'1"&amp;$A247&amp;"'!"&amp;E$219)</f>
        <v>#REF!</v>
      </c>
      <c r="F247" s="41" t="e" cm="1">
        <f t="array" aca="1" ref="F247" ca="1" xml:space="preserve"> (INDIRECT("'1"&amp;$A247&amp;"'!O20")*INDIRECT("'1"&amp;$A247&amp;"'!W20")
+ INDIRECT("'1"&amp;$A247&amp;"'!O19")*INDIRECT("'1"&amp;$A247&amp;"'!W19")
+ INDIRECT("'1"&amp;$A247&amp;"'!O18")*INDIRECT("'1"&amp;$A247&amp;"'!W18")
+ INDIRECT("'1"&amp;$A247&amp;"'!O17")*INDIRECT("'1"&amp;$A247&amp;"'!W17")
+ INDIRECT("'1"&amp;$A247&amp;"'!O16")*INDIRECT("'1"&amp;$A247&amp;"'!W16")
+ INDIRECT("'1"&amp;$A247&amp;"'!O15")*INDIRECT("'1"&amp;$A247&amp;"'!W15")
+ INDIRECT("'1"&amp;$A247&amp;"'!O14")*INDIRECT("'1"&amp;$A247&amp;"'!W14")
+ INDIRECT("'1"&amp;$A247&amp;"'!O13")*INDIRECT("'1"&amp;$A247&amp;"'!W13")
+ INDIRECT("'1"&amp;$A247&amp;"'!O12")*INDIRECT("'1"&amp;$A247&amp;"'!W12"))
/
(INDIRECT("'1"&amp;$A247&amp;"'!O20")
+ INDIRECT("'1"&amp;$A247&amp;"'!O19")
+ INDIRECT("'1"&amp;$A247&amp;"'!O18")
+ INDIRECT("'1"&amp;$A247&amp;"'!O17")
+ INDIRECT("'1"&amp;$A247&amp;"'!O16")
+ INDIRECT("'1"&amp;$A247&amp;"'!O15")
+ INDIRECT("'1"&amp;$A247&amp;"'!O14")
+ INDIRECT("'1"&amp;$A247&amp;"'!O13")
+ INDIRECT("'1"&amp;$A247&amp;"'!O12"))</f>
        <v>#REF!</v>
      </c>
      <c r="G247" s="41" t="e">
        <f ca="1">Table27810[[#This Row],[weighted ERTI of bottom 90]]-Table27810[[#This Row],[ERTI top 10]]</f>
        <v>#REF!</v>
      </c>
      <c r="O247" s="89"/>
      <c r="P247" s="96"/>
      <c r="Q247" s="88"/>
      <c r="R247" s="96"/>
    </row>
    <row r="248" spans="1:18" s="1" customFormat="1" x14ac:dyDescent="0.3">
      <c r="A248" s="86" t="s">
        <v>310</v>
      </c>
      <c r="B248" s="86" t="e" cm="1">
        <f t="array" aca="1" ref="B248" ca="1">(INDIRECT("'1"&amp;$A248&amp;"'!O21")*INDIRECT("'1"&amp;$A248&amp;"'!W21")+INDIRECT("'1"&amp;$A248&amp;"'!O20")*INDIRECT("'1"&amp;$A248&amp;"'!W20"))/(INDIRECT("'1"&amp;$A248&amp;"'!O21")+INDIRECT("'1"&amp;$A248&amp;"'!O20"))</f>
        <v>#REF!</v>
      </c>
      <c r="C248" s="86" t="e" cm="1">
        <f t="array" aca="1" ref="C248" ca="1" xml:space="preserve"> (INDIRECT("'1"&amp;$A248&amp;"'!O19")*INDIRECT("'1"&amp;$A248&amp;"'!W19")
+ INDIRECT("'1"&amp;$A248&amp;"'!O18")*INDIRECT("'1"&amp;$A248&amp;"'!W18")
+ INDIRECT("'1"&amp;$A248&amp;"'!O17")*INDIRECT("'1"&amp;$A248&amp;"'!W17")
+ INDIRECT("'1"&amp;$A248&amp;"'!O16")*INDIRECT("'1"&amp;$A248&amp;"'!W16")
+ INDIRECT("'1"&amp;$A248&amp;"'!O15")*INDIRECT("'1"&amp;$A248&amp;"'!W15")
+ INDIRECT("'1"&amp;$A248&amp;"'!O14")*INDIRECT("'1"&amp;$A248&amp;"'!W14")
+ INDIRECT("'1"&amp;$A248&amp;"'!O13")*INDIRECT("'1"&amp;$A248&amp;"'!W13")
+ INDIRECT("'1"&amp;$A248&amp;"'!O12")*INDIRECT("'1"&amp;$A248&amp;"'!W12"))
/
(INDIRECT("'1"&amp;$A248&amp;"'!O19")
+ INDIRECT("'1"&amp;$A248&amp;"'!O18")
+ INDIRECT("'1"&amp;$A248&amp;"'!O17")
+ INDIRECT("'1"&amp;$A248&amp;"'!O16")
+ INDIRECT("'1"&amp;$A248&amp;"'!O15")
+ INDIRECT("'1"&amp;$A248&amp;"'!O14")
+ INDIRECT("'1"&amp;$A248&amp;"'!O13")
+ INDIRECT("'1"&amp;$A248&amp;"'!O12"))</f>
        <v>#REF!</v>
      </c>
      <c r="D248" s="194" t="e">
        <f ca="1">Table27810[[#This Row],[weighted ERTI of bottom 80]]-Table27810[[#This Row],[weighted ERTI of top 20]]</f>
        <v>#REF!</v>
      </c>
      <c r="E248" s="118" t="e" cm="1">
        <f t="array" aca="1" ref="E248" ca="1">INDIRECT("'1"&amp;$A248&amp;"'!"&amp;E$219)</f>
        <v>#REF!</v>
      </c>
      <c r="F248" s="41" t="e" cm="1">
        <f t="array" aca="1" ref="F248" ca="1" xml:space="preserve"> (INDIRECT("'1"&amp;$A248&amp;"'!O20")*INDIRECT("'1"&amp;$A248&amp;"'!W20")
+ INDIRECT("'1"&amp;$A248&amp;"'!O19")*INDIRECT("'1"&amp;$A248&amp;"'!W19")
+ INDIRECT("'1"&amp;$A248&amp;"'!O18")*INDIRECT("'1"&amp;$A248&amp;"'!W18")
+ INDIRECT("'1"&amp;$A248&amp;"'!O17")*INDIRECT("'1"&amp;$A248&amp;"'!W17")
+ INDIRECT("'1"&amp;$A248&amp;"'!O16")*INDIRECT("'1"&amp;$A248&amp;"'!W16")
+ INDIRECT("'1"&amp;$A248&amp;"'!O15")*INDIRECT("'1"&amp;$A248&amp;"'!W15")
+ INDIRECT("'1"&amp;$A248&amp;"'!O14")*INDIRECT("'1"&amp;$A248&amp;"'!W14")
+ INDIRECT("'1"&amp;$A248&amp;"'!O13")*INDIRECT("'1"&amp;$A248&amp;"'!W13")
+ INDIRECT("'1"&amp;$A248&amp;"'!O12")*INDIRECT("'1"&amp;$A248&amp;"'!W12"))
/
(INDIRECT("'1"&amp;$A248&amp;"'!O20")
+ INDIRECT("'1"&amp;$A248&amp;"'!O19")
+ INDIRECT("'1"&amp;$A248&amp;"'!O18")
+ INDIRECT("'1"&amp;$A248&amp;"'!O17")
+ INDIRECT("'1"&amp;$A248&amp;"'!O16")
+ INDIRECT("'1"&amp;$A248&amp;"'!O15")
+ INDIRECT("'1"&amp;$A248&amp;"'!O14")
+ INDIRECT("'1"&amp;$A248&amp;"'!O13")
+ INDIRECT("'1"&amp;$A248&amp;"'!O12"))</f>
        <v>#REF!</v>
      </c>
      <c r="G248" s="41" t="e">
        <f ca="1">Table27810[[#This Row],[weighted ERTI of bottom 90]]-Table27810[[#This Row],[ERTI top 10]]</f>
        <v>#REF!</v>
      </c>
      <c r="O248" s="89"/>
      <c r="P248" s="96"/>
      <c r="Q248" s="88"/>
      <c r="R248" s="96"/>
    </row>
    <row r="249" spans="1:18" s="1" customFormat="1" x14ac:dyDescent="0.3">
      <c r="A249" s="86" t="s">
        <v>311</v>
      </c>
      <c r="B249" s="86" t="e" cm="1">
        <f t="array" aca="1" ref="B249" ca="1">(INDIRECT("'1"&amp;$A249&amp;"'!O21")*INDIRECT("'1"&amp;$A249&amp;"'!W21")+INDIRECT("'1"&amp;$A249&amp;"'!O20")*INDIRECT("'1"&amp;$A249&amp;"'!W20"))/(INDIRECT("'1"&amp;$A249&amp;"'!O21")+INDIRECT("'1"&amp;$A249&amp;"'!O20"))</f>
        <v>#REF!</v>
      </c>
      <c r="C249" s="86" t="e" cm="1">
        <f t="array" aca="1" ref="C249" ca="1" xml:space="preserve"> (INDIRECT("'1"&amp;$A249&amp;"'!O19")*INDIRECT("'1"&amp;$A249&amp;"'!W19")
+ INDIRECT("'1"&amp;$A249&amp;"'!O18")*INDIRECT("'1"&amp;$A249&amp;"'!W18")
+ INDIRECT("'1"&amp;$A249&amp;"'!O17")*INDIRECT("'1"&amp;$A249&amp;"'!W17")
+ INDIRECT("'1"&amp;$A249&amp;"'!O16")*INDIRECT("'1"&amp;$A249&amp;"'!W16")
+ INDIRECT("'1"&amp;$A249&amp;"'!O15")*INDIRECT("'1"&amp;$A249&amp;"'!W15")
+ INDIRECT("'1"&amp;$A249&amp;"'!O14")*INDIRECT("'1"&amp;$A249&amp;"'!W14")
+ INDIRECT("'1"&amp;$A249&amp;"'!O13")*INDIRECT("'1"&amp;$A249&amp;"'!W13")
+ INDIRECT("'1"&amp;$A249&amp;"'!O12")*INDIRECT("'1"&amp;$A249&amp;"'!W12"))
/
(INDIRECT("'1"&amp;$A249&amp;"'!O19")
+ INDIRECT("'1"&amp;$A249&amp;"'!O18")
+ INDIRECT("'1"&amp;$A249&amp;"'!O17")
+ INDIRECT("'1"&amp;$A249&amp;"'!O16")
+ INDIRECT("'1"&amp;$A249&amp;"'!O15")
+ INDIRECT("'1"&amp;$A249&amp;"'!O14")
+ INDIRECT("'1"&amp;$A249&amp;"'!O13")
+ INDIRECT("'1"&amp;$A249&amp;"'!O12"))</f>
        <v>#REF!</v>
      </c>
      <c r="D249" s="194" t="e">
        <f ca="1">Table27810[[#This Row],[weighted ERTI of bottom 80]]-Table27810[[#This Row],[weighted ERTI of top 20]]</f>
        <v>#REF!</v>
      </c>
      <c r="E249" s="118" t="e" cm="1">
        <f t="array" aca="1" ref="E249" ca="1">INDIRECT("'1"&amp;$A249&amp;"'!"&amp;E$219)</f>
        <v>#REF!</v>
      </c>
      <c r="F249" s="41" t="e" cm="1">
        <f t="array" aca="1" ref="F249" ca="1" xml:space="preserve"> (INDIRECT("'1"&amp;$A249&amp;"'!O20")*INDIRECT("'1"&amp;$A249&amp;"'!W20")
+ INDIRECT("'1"&amp;$A249&amp;"'!O19")*INDIRECT("'1"&amp;$A249&amp;"'!W19")
+ INDIRECT("'1"&amp;$A249&amp;"'!O18")*INDIRECT("'1"&amp;$A249&amp;"'!W18")
+ INDIRECT("'1"&amp;$A249&amp;"'!O17")*INDIRECT("'1"&amp;$A249&amp;"'!W17")
+ INDIRECT("'1"&amp;$A249&amp;"'!O16")*INDIRECT("'1"&amp;$A249&amp;"'!W16")
+ INDIRECT("'1"&amp;$A249&amp;"'!O15")*INDIRECT("'1"&amp;$A249&amp;"'!W15")
+ INDIRECT("'1"&amp;$A249&amp;"'!O14")*INDIRECT("'1"&amp;$A249&amp;"'!W14")
+ INDIRECT("'1"&amp;$A249&amp;"'!O13")*INDIRECT("'1"&amp;$A249&amp;"'!W13")
+ INDIRECT("'1"&amp;$A249&amp;"'!O12")*INDIRECT("'1"&amp;$A249&amp;"'!W12"))
/
(INDIRECT("'1"&amp;$A249&amp;"'!O20")
+ INDIRECT("'1"&amp;$A249&amp;"'!O19")
+ INDIRECT("'1"&amp;$A249&amp;"'!O18")
+ INDIRECT("'1"&amp;$A249&amp;"'!O17")
+ INDIRECT("'1"&amp;$A249&amp;"'!O16")
+ INDIRECT("'1"&amp;$A249&amp;"'!O15")
+ INDIRECT("'1"&amp;$A249&amp;"'!O14")
+ INDIRECT("'1"&amp;$A249&amp;"'!O13")
+ INDIRECT("'1"&amp;$A249&amp;"'!O12"))</f>
        <v>#REF!</v>
      </c>
      <c r="G249" s="41" t="e">
        <f ca="1">Table27810[[#This Row],[weighted ERTI of bottom 90]]-Table27810[[#This Row],[ERTI top 10]]</f>
        <v>#REF!</v>
      </c>
      <c r="O249" s="88"/>
      <c r="P249" s="94"/>
      <c r="Q249" s="88"/>
      <c r="R249" s="94"/>
    </row>
    <row r="250" spans="1:18" s="1" customFormat="1" x14ac:dyDescent="0.3">
      <c r="O250" s="88"/>
      <c r="P250" s="94"/>
      <c r="Q250" s="88"/>
      <c r="R250" s="94"/>
    </row>
    <row r="251" spans="1:18" s="1" customFormat="1" x14ac:dyDescent="0.3">
      <c r="O251" s="88"/>
      <c r="P251" s="94"/>
      <c r="Q251" s="88"/>
      <c r="R251" s="94"/>
    </row>
    <row r="252" spans="1:18" s="1" customFormat="1" x14ac:dyDescent="0.3">
      <c r="O252" s="91"/>
      <c r="P252" s="95"/>
      <c r="Q252" s="91"/>
      <c r="R252" s="95"/>
    </row>
    <row r="253" spans="1:18" s="85" customFormat="1" ht="36.6" customHeight="1" x14ac:dyDescent="0.3">
      <c r="A253" s="183" t="s">
        <v>608</v>
      </c>
      <c r="O253" s="87"/>
      <c r="P253" s="93"/>
      <c r="R253" s="93"/>
    </row>
    <row r="254" spans="1:18" s="1" customFormat="1" x14ac:dyDescent="0.3">
      <c r="O254" s="88"/>
      <c r="P254" s="94"/>
      <c r="R254" s="94"/>
    </row>
    <row r="255" spans="1:18" s="1" customFormat="1" x14ac:dyDescent="0.3">
      <c r="A255" s="1" t="s">
        <v>289</v>
      </c>
      <c r="B255" s="1" t="s">
        <v>290</v>
      </c>
      <c r="C255" s="1" t="s">
        <v>358</v>
      </c>
      <c r="F255" s="1" t="s">
        <v>289</v>
      </c>
      <c r="G255" s="1" t="s">
        <v>290</v>
      </c>
      <c r="H255" s="1" t="s">
        <v>358</v>
      </c>
      <c r="O255" s="88"/>
      <c r="P255" s="94"/>
      <c r="R255" s="94"/>
    </row>
    <row r="256" spans="1:18" s="1" customFormat="1" ht="28.8" x14ac:dyDescent="0.3">
      <c r="A256" s="109" t="s">
        <v>338</v>
      </c>
      <c r="B256" s="119" t="s">
        <v>359</v>
      </c>
      <c r="C256" s="119" t="s">
        <v>360</v>
      </c>
      <c r="D256" s="119" t="s">
        <v>361</v>
      </c>
      <c r="F256" s="109" t="s">
        <v>338</v>
      </c>
      <c r="G256" s="119" t="s">
        <v>359</v>
      </c>
      <c r="H256" s="119" t="s">
        <v>360</v>
      </c>
      <c r="I256" s="119" t="s">
        <v>333</v>
      </c>
      <c r="O256" s="91"/>
      <c r="P256" s="95"/>
      <c r="R256" s="94"/>
    </row>
    <row r="257" spans="1:18" s="1" customFormat="1" x14ac:dyDescent="0.3">
      <c r="A257" s="86" t="s">
        <v>304</v>
      </c>
      <c r="B257" s="194" t="e" cm="1">
        <f t="array" aca="1" ref="B257" ca="1">INDIRECT("'1"&amp;$A257&amp;"'!"&amp;B$255 )</f>
        <v>#REF!</v>
      </c>
      <c r="C257" s="86" t="e" cm="1">
        <f t="array" aca="1" ref="C257" ca="1">IF(INDIRECT("'1"&amp;$A257&amp;"'!"&amp;C$255)&lt;&gt;0,INDIRECT("'1"&amp;$A257&amp;"'!"&amp;C$255 ),-99)</f>
        <v>#REF!</v>
      </c>
      <c r="D257" s="86" t="e" cm="1">
        <f t="array" aca="1" ref="D257" ca="1">IF(INDIRECT("'1"&amp;$A257&amp;"'!EV22")&lt;&gt;0,INDIRECT("'1"&amp;$A257&amp;"'!EV22")-INDIRECT("'1"&amp;$A257&amp;"'!W22"),"")</f>
        <v>#REF!</v>
      </c>
      <c r="E257" s="118"/>
      <c r="F257" s="86" t="s">
        <v>304</v>
      </c>
      <c r="G257" s="194" t="e" cm="1">
        <f t="array" aca="1" ref="G257" ca="1">INDIRECT("'1"&amp;$F257&amp;"'!"&amp;G$255 )</f>
        <v>#REF!</v>
      </c>
      <c r="H257" s="86" t="e" cm="1">
        <f t="array" aca="1" ref="H257" ca="1">IF(INDIRECT("'1"&amp;$F257&amp;"'!"&amp;H$255)&lt;&gt;0,INDIRECT("'1"&amp;$F257&amp;"'!"&amp;H$255 ),-99)</f>
        <v>#REF!</v>
      </c>
      <c r="I257" s="118" t="e">
        <f ca="1">Table278117[[#This Row],[2019 TTB elasticity]]</f>
        <v>#REF!</v>
      </c>
      <c r="O257" s="88"/>
      <c r="P257" s="94"/>
      <c r="R257" s="94"/>
    </row>
    <row r="258" spans="1:18" s="1" customFormat="1" x14ac:dyDescent="0.3">
      <c r="A258" s="86" t="s">
        <v>305</v>
      </c>
      <c r="B258" s="194" t="e" cm="1">
        <f t="array" aca="1" ref="B258" ca="1">INDIRECT("'1"&amp;$A258&amp;"'!"&amp;B$255 )</f>
        <v>#REF!</v>
      </c>
      <c r="C258" s="86" t="e" cm="1">
        <f t="array" aca="1" ref="C258" ca="1">IF(INDIRECT("'1"&amp;$A258&amp;"'!"&amp;C$255)&lt;&gt;0,INDIRECT("'1"&amp;$A258&amp;"'!"&amp;C$255 ),-99)</f>
        <v>#REF!</v>
      </c>
      <c r="D258" s="86" t="e" cm="1">
        <f t="array" aca="1" ref="D258" ca="1">IF(INDIRECT("'1"&amp;$A258&amp;"'!EV22")&lt;&gt;0,INDIRECT("'1"&amp;$A258&amp;"'!EV22")-INDIRECT("'1"&amp;$A258&amp;"'!W22"),"")</f>
        <v>#REF!</v>
      </c>
      <c r="E258" s="118"/>
      <c r="F258" s="86" t="s">
        <v>305</v>
      </c>
      <c r="G258" s="194" t="e" cm="1">
        <f t="array" aca="1" ref="G258" ca="1">INDIRECT("'1"&amp;$F258&amp;"'!"&amp;G$255 )</f>
        <v>#REF!</v>
      </c>
      <c r="H258" s="86" t="e" cm="1">
        <f t="array" aca="1" ref="H258" ca="1">IF(INDIRECT("'1"&amp;$F258&amp;"'!"&amp;H$255)&lt;&gt;0,INDIRECT("'1"&amp;$F258&amp;"'!"&amp;H$255 ),-99)</f>
        <v>#REF!</v>
      </c>
      <c r="I258" s="118" t="e">
        <f ca="1">Table278117[[#This Row],[2019 TTB elasticity]]</f>
        <v>#REF!</v>
      </c>
      <c r="O258" s="88"/>
      <c r="P258" s="94"/>
      <c r="R258" s="94"/>
    </row>
    <row r="259" spans="1:18" s="1" customFormat="1" x14ac:dyDescent="0.3">
      <c r="A259" s="86" t="s">
        <v>306</v>
      </c>
      <c r="B259" s="194" t="e" cm="1">
        <f t="array" aca="1" ref="B259" ca="1">INDIRECT("'1"&amp;$A259&amp;"'!"&amp;B$255 )</f>
        <v>#REF!</v>
      </c>
      <c r="C259" s="86" t="e" cm="1">
        <f t="array" aca="1" ref="C259" ca="1">IF(INDIRECT("'1"&amp;$A259&amp;"'!"&amp;C$255)&lt;&gt;0,INDIRECT("'1"&amp;$A259&amp;"'!"&amp;C$255 ),-99)</f>
        <v>#REF!</v>
      </c>
      <c r="D259" s="86" t="e" cm="1">
        <f t="array" aca="1" ref="D259" ca="1">IF(INDIRECT("'1"&amp;$A259&amp;"'!EV22")&lt;&gt;0,INDIRECT("'1"&amp;$A259&amp;"'!EV22")-INDIRECT("'1"&amp;$A259&amp;"'!W22"),"")</f>
        <v>#REF!</v>
      </c>
      <c r="E259" s="120"/>
      <c r="F259" s="86" t="s">
        <v>306</v>
      </c>
      <c r="G259" s="194" t="e" cm="1">
        <f t="array" aca="1" ref="G259" ca="1">INDIRECT("'1"&amp;$F259&amp;"'!"&amp;G$255 )</f>
        <v>#REF!</v>
      </c>
      <c r="H259" s="86" t="e" cm="1">
        <f t="array" aca="1" ref="H259" ca="1">IF(INDIRECT("'1"&amp;$F259&amp;"'!"&amp;H$255)&lt;&gt;0,INDIRECT("'1"&amp;$F259&amp;"'!"&amp;H$255 ),-99)</f>
        <v>#REF!</v>
      </c>
      <c r="I259" s="118" t="e">
        <f ca="1">Table278117[[#This Row],[2019 TTB elasticity]]</f>
        <v>#REF!</v>
      </c>
      <c r="O259" s="89"/>
      <c r="P259" s="96"/>
      <c r="Q259" s="86"/>
      <c r="R259" s="96"/>
    </row>
    <row r="260" spans="1:18" s="1" customFormat="1" x14ac:dyDescent="0.3">
      <c r="A260" s="86" t="s">
        <v>307</v>
      </c>
      <c r="B260" s="194" t="e" cm="1">
        <f t="array" aca="1" ref="B260" ca="1">INDIRECT("'1"&amp;$A260&amp;"'!"&amp;B$255 )</f>
        <v>#REF!</v>
      </c>
      <c r="C260" s="86" t="e" cm="1">
        <f t="array" aca="1" ref="C260" ca="1">IF(INDIRECT("'1"&amp;$A260&amp;"'!"&amp;C$255)&lt;&gt;0,INDIRECT("'1"&amp;$A260&amp;"'!"&amp;C$255 ),-99)</f>
        <v>#REF!</v>
      </c>
      <c r="D260" s="86" t="e" cm="1">
        <f t="array" aca="1" ref="D260" ca="1">IF(INDIRECT("'1"&amp;$A260&amp;"'!EV22")&lt;&gt;0,INDIRECT("'1"&amp;$A260&amp;"'!EV22")-INDIRECT("'1"&amp;$A260&amp;"'!W22"),"")</f>
        <v>#REF!</v>
      </c>
      <c r="E260" s="118"/>
      <c r="F260" s="86" t="s">
        <v>307</v>
      </c>
      <c r="G260" s="194" t="e" cm="1">
        <f t="array" aca="1" ref="G260" ca="1">INDIRECT("'1"&amp;$F260&amp;"'!"&amp;G$255 )</f>
        <v>#REF!</v>
      </c>
      <c r="H260" s="86" t="e" cm="1">
        <f t="array" aca="1" ref="H260" ca="1">IF(INDIRECT("'1"&amp;$F260&amp;"'!"&amp;H$255)&lt;&gt;0,INDIRECT("'1"&amp;$F260&amp;"'!"&amp;H$255 ),-99)</f>
        <v>#REF!</v>
      </c>
      <c r="I260" s="118" t="e">
        <f ca="1">Table278117[[#This Row],[2019 TTB elasticity]]</f>
        <v>#REF!</v>
      </c>
      <c r="O260" s="88"/>
      <c r="P260" s="94"/>
      <c r="R260" s="94"/>
    </row>
    <row r="261" spans="1:18" s="1" customFormat="1" x14ac:dyDescent="0.3">
      <c r="A261" s="86" t="s">
        <v>308</v>
      </c>
      <c r="B261" s="194" t="e" cm="1">
        <f t="array" aca="1" ref="B261" ca="1">INDIRECT("'1"&amp;$A261&amp;"'!"&amp;B$255 )</f>
        <v>#REF!</v>
      </c>
      <c r="C261" s="86" t="e" cm="1">
        <f t="array" aca="1" ref="C261" ca="1">IF(INDIRECT("'1"&amp;$A261&amp;"'!"&amp;C$255)&lt;&gt;0,INDIRECT("'1"&amp;$A261&amp;"'!"&amp;C$255 ),-99)</f>
        <v>#REF!</v>
      </c>
      <c r="D261" s="86" t="e" cm="1">
        <f t="array" aca="1" ref="D261" ca="1">IF(INDIRECT("'1"&amp;$A261&amp;"'!EV22")&lt;&gt;0,INDIRECT("'1"&amp;$A261&amp;"'!EV22")-INDIRECT("'1"&amp;$A261&amp;"'!W22"),"")</f>
        <v>#REF!</v>
      </c>
      <c r="E261" s="120"/>
      <c r="F261" s="86" t="s">
        <v>308</v>
      </c>
      <c r="G261" s="194" t="e" cm="1">
        <f t="array" aca="1" ref="G261" ca="1">INDIRECT("'1"&amp;$F261&amp;"'!"&amp;G$255 )</f>
        <v>#REF!</v>
      </c>
      <c r="H261" s="86" t="e" cm="1">
        <f t="array" aca="1" ref="H261" ca="1">IF(INDIRECT("'1"&amp;$F261&amp;"'!"&amp;H$255)&lt;&gt;0,INDIRECT("'1"&amp;$F261&amp;"'!"&amp;H$255 ),-99)</f>
        <v>#REF!</v>
      </c>
      <c r="I261" s="118" t="e">
        <f ca="1">Table278117[[#This Row],[2019 TTB elasticity]]</f>
        <v>#REF!</v>
      </c>
      <c r="O261" s="89"/>
      <c r="P261" s="96"/>
      <c r="Q261" s="86"/>
      <c r="R261" s="96"/>
    </row>
    <row r="262" spans="1:18" s="1" customFormat="1" x14ac:dyDescent="0.3">
      <c r="A262" s="86" t="s">
        <v>309</v>
      </c>
      <c r="B262" s="194" t="e" cm="1">
        <f t="array" aca="1" ref="B262" ca="1">INDIRECT("'1"&amp;$A262&amp;"'!"&amp;B$255 )</f>
        <v>#REF!</v>
      </c>
      <c r="C262" s="86" t="e" cm="1">
        <f t="array" aca="1" ref="C262" ca="1">IF(INDIRECT("'1"&amp;$A262&amp;"'!"&amp;C$255)&lt;&gt;0,INDIRECT("'1"&amp;$A262&amp;"'!"&amp;C$255 ),-99)</f>
        <v>#REF!</v>
      </c>
      <c r="D262" s="86" t="e" cm="1">
        <f t="array" aca="1" ref="D262" ca="1">IF(INDIRECT("'1"&amp;$A262&amp;"'!EV22")&lt;&gt;0,INDIRECT("'1"&amp;$A262&amp;"'!EV22")-INDIRECT("'1"&amp;$A262&amp;"'!W22"),"")</f>
        <v>#REF!</v>
      </c>
      <c r="E262" s="118"/>
      <c r="F262" s="86" t="s">
        <v>309</v>
      </c>
      <c r="G262" s="194" t="e" cm="1">
        <f t="array" aca="1" ref="G262" ca="1">INDIRECT("'1"&amp;$F262&amp;"'!"&amp;G$255 )</f>
        <v>#REF!</v>
      </c>
      <c r="H262" s="86" t="e" cm="1">
        <f t="array" aca="1" ref="H262" ca="1">IF(INDIRECT("'1"&amp;$F262&amp;"'!"&amp;H$255)&lt;&gt;0,INDIRECT("'1"&amp;$F262&amp;"'!"&amp;H$255 ),-99)</f>
        <v>#REF!</v>
      </c>
      <c r="I262" s="118" t="e">
        <f ca="1">Table278117[[#This Row],[2019 TTB elasticity]]</f>
        <v>#REF!</v>
      </c>
      <c r="O262" s="88"/>
      <c r="P262" s="94"/>
      <c r="R262" s="94"/>
    </row>
    <row r="263" spans="1:18" s="1" customFormat="1" x14ac:dyDescent="0.3">
      <c r="A263" s="86" t="s">
        <v>310</v>
      </c>
      <c r="B263" s="194" t="e" cm="1">
        <f t="array" aca="1" ref="B263" ca="1">INDIRECT("'1"&amp;$A263&amp;"'!"&amp;B$255 )</f>
        <v>#REF!</v>
      </c>
      <c r="C263" s="86" t="e" cm="1">
        <f t="array" aca="1" ref="C263" ca="1">IF(INDIRECT("'1"&amp;$A263&amp;"'!"&amp;C$255)&lt;&gt;0,INDIRECT("'1"&amp;$A263&amp;"'!"&amp;C$255 ),-99)</f>
        <v>#REF!</v>
      </c>
      <c r="D263" s="86" t="e" cm="1">
        <f t="array" aca="1" ref="D263" ca="1">IF(INDIRECT("'1"&amp;$A263&amp;"'!EV22")&lt;&gt;0,INDIRECT("'1"&amp;$A263&amp;"'!EV22")-INDIRECT("'1"&amp;$A263&amp;"'!W22"),"")</f>
        <v>#REF!</v>
      </c>
      <c r="E263" s="120"/>
      <c r="F263" s="86" t="s">
        <v>310</v>
      </c>
      <c r="G263" s="194" t="e" cm="1">
        <f t="array" aca="1" ref="G263" ca="1">INDIRECT("'1"&amp;$F263&amp;"'!"&amp;G$255 )</f>
        <v>#REF!</v>
      </c>
      <c r="H263" s="86" t="e" cm="1">
        <f t="array" aca="1" ref="H263" ca="1">IF(INDIRECT("'1"&amp;$F263&amp;"'!"&amp;H$255)&lt;&gt;0,INDIRECT("'1"&amp;$F263&amp;"'!"&amp;H$255 ),-99)</f>
        <v>#REF!</v>
      </c>
      <c r="I263" s="118" t="e">
        <f ca="1">Table278117[[#This Row],[2019 TTB elasticity]]</f>
        <v>#REF!</v>
      </c>
      <c r="O263" s="89"/>
      <c r="P263" s="96"/>
      <c r="Q263" s="86"/>
      <c r="R263" s="96"/>
    </row>
    <row r="264" spans="1:18" s="1" customFormat="1" x14ac:dyDescent="0.3">
      <c r="A264" s="86" t="s">
        <v>311</v>
      </c>
      <c r="B264" s="194" t="e" cm="1">
        <f t="array" aca="1" ref="B264" ca="1">INDIRECT("'1"&amp;$A264&amp;"'!"&amp;B$255 )</f>
        <v>#REF!</v>
      </c>
      <c r="C264" s="86" t="e" cm="1">
        <f t="array" aca="1" ref="C264" ca="1">IF(INDIRECT("'1"&amp;$A264&amp;"'!"&amp;C$255)&lt;&gt;0,INDIRECT("'1"&amp;$A264&amp;"'!"&amp;C$255 ),-99)</f>
        <v>#REF!</v>
      </c>
      <c r="D264" s="86" t="e" cm="1">
        <f t="array" aca="1" ref="D264" ca="1">IF(INDIRECT("'1"&amp;$A264&amp;"'!EV22")&lt;&gt;0,INDIRECT("'1"&amp;$A264&amp;"'!EV22")-INDIRECT("'1"&amp;$A264&amp;"'!W22"),"")</f>
        <v>#REF!</v>
      </c>
      <c r="E264" s="120"/>
      <c r="F264" s="86" t="s">
        <v>311</v>
      </c>
      <c r="G264" s="194" t="e" cm="1">
        <f t="array" aca="1" ref="G264" ca="1">INDIRECT("'1"&amp;$F264&amp;"'!"&amp;G$255 )</f>
        <v>#REF!</v>
      </c>
      <c r="H264" s="86" t="e" cm="1">
        <f t="array" aca="1" ref="H264" ca="1">IF(INDIRECT("'1"&amp;$F264&amp;"'!"&amp;H$255)&lt;&gt;0,INDIRECT("'1"&amp;$F264&amp;"'!"&amp;H$255 ),-99)</f>
        <v>#REF!</v>
      </c>
      <c r="I264" s="118" t="e">
        <f ca="1">Table278117[[#This Row],[2019 TTB elasticity]]</f>
        <v>#REF!</v>
      </c>
      <c r="O264" s="88"/>
      <c r="P264" s="94"/>
      <c r="R264" s="94"/>
    </row>
    <row r="265" spans="1:18" s="1" customFormat="1" x14ac:dyDescent="0.3">
      <c r="A265" s="1" t="s">
        <v>225</v>
      </c>
      <c r="B265" s="118" cm="1">
        <f t="array" aca="1" ref="B265" ca="1">INDIRECT("'1"&amp;$A265&amp;"'!"&amp;B$255 )</f>
        <v>2.355007449589813</v>
      </c>
      <c r="C265" s="118" cm="1">
        <f t="array" aca="1" ref="C265" ca="1">IF(INDIRECT("'1"&amp;$A265&amp;"'!"&amp;C$255)&lt;&gt;0,INDIRECT("'1"&amp;$A265&amp;"'!"&amp;C$255 ),-99)</f>
        <v>2.1197758316458399</v>
      </c>
      <c r="D265" s="118" cm="1">
        <f t="array" aca="1" ref="D265" ca="1">IF(INDIRECT("'1"&amp;$A265&amp;"'!EV22")&lt;&gt;0,INDIRECT("'1"&amp;$A265&amp;"'!EV22")-INDIRECT("'1"&amp;$A265&amp;"'!W22"),"")</f>
        <v>-0.23523161794397307</v>
      </c>
      <c r="E265" s="120"/>
      <c r="F265" s="1" t="s">
        <v>225</v>
      </c>
      <c r="G265" s="118" cm="1">
        <f t="array" aca="1" ref="G265" ca="1">INDIRECT("'1"&amp;$F265&amp;"'!"&amp;G$255 )</f>
        <v>2.355007449589813</v>
      </c>
      <c r="H265" s="118" cm="1">
        <f t="array" aca="1" ref="H265" ca="1">IF(INDIRECT("'1"&amp;$F265&amp;"'!"&amp;H$255)&lt;&gt;0,INDIRECT("'1"&amp;$F265&amp;"'!"&amp;H$255 ),-99)</f>
        <v>2.1197758316458399</v>
      </c>
      <c r="I265" s="118">
        <f ca="1">Table278117[[#This Row],[2019 TTB elasticity]]</f>
        <v>2.355007449589813</v>
      </c>
      <c r="O265" s="88"/>
      <c r="P265" s="94"/>
      <c r="R265" s="94"/>
    </row>
    <row r="266" spans="1:18" s="1" customFormat="1" x14ac:dyDescent="0.3">
      <c r="A266" s="1" t="s">
        <v>208</v>
      </c>
      <c r="B266" s="118" cm="1">
        <f t="array" aca="1" ref="B266" ca="1">INDIRECT("'1"&amp;$A266&amp;"'!"&amp;B$255 )</f>
        <v>2.2980633345266068</v>
      </c>
      <c r="C266" s="118" cm="1">
        <f t="array" aca="1" ref="C266" ca="1">IF(INDIRECT("'1"&amp;$A266&amp;"'!"&amp;C$255)&lt;&gt;0,INDIRECT("'1"&amp;$A266&amp;"'!"&amp;C$255 ),-99)</f>
        <v>2.2104423872692003</v>
      </c>
      <c r="D266" s="118" cm="1">
        <f t="array" aca="1" ref="D266" ca="1">IF(INDIRECT("'1"&amp;$A266&amp;"'!EV22")&lt;&gt;0,INDIRECT("'1"&amp;$A266&amp;"'!EV22")-INDIRECT("'1"&amp;$A266&amp;"'!W22"),"")</f>
        <v>-8.7620947257406545E-2</v>
      </c>
      <c r="E266" s="118"/>
      <c r="F266" s="1" t="s">
        <v>208</v>
      </c>
      <c r="G266" s="118" cm="1">
        <f t="array" aca="1" ref="G266" ca="1">INDIRECT("'1"&amp;$F266&amp;"'!"&amp;G$255 )</f>
        <v>2.2980633345266068</v>
      </c>
      <c r="H266" s="118" cm="1">
        <f t="array" aca="1" ref="H266" ca="1">IF(INDIRECT("'1"&amp;$F266&amp;"'!"&amp;H$255)&lt;&gt;0,INDIRECT("'1"&amp;$F266&amp;"'!"&amp;H$255 ),-99)</f>
        <v>2.2104423872692003</v>
      </c>
      <c r="I266" s="118">
        <f ca="1">Table278117[[#This Row],[2019 TTB elasticity]]</f>
        <v>2.2980633345266068</v>
      </c>
      <c r="O266" s="88"/>
      <c r="P266" s="94"/>
      <c r="R266" s="94"/>
    </row>
    <row r="267" spans="1:18" s="1" customFormat="1" x14ac:dyDescent="0.3">
      <c r="A267" s="1" t="s">
        <v>247</v>
      </c>
      <c r="B267" s="118" cm="1">
        <f t="array" aca="1" ref="B267" ca="1">INDIRECT("'1"&amp;$A267&amp;"'!"&amp;B$255 )</f>
        <v>2.1811011429483584</v>
      </c>
      <c r="C267" s="118" cm="1">
        <f t="array" aca="1" ref="C267" ca="1">IF(INDIRECT("'1"&amp;$A267&amp;"'!"&amp;C$255)&lt;&gt;0,INDIRECT("'1"&amp;$A267&amp;"'!"&amp;C$255 ),-99)</f>
        <v>2.1862725625625448</v>
      </c>
      <c r="D267" s="118" cm="1">
        <f t="array" aca="1" ref="D267" ca="1">IF(INDIRECT("'1"&amp;$A267&amp;"'!EV22")&lt;&gt;0,INDIRECT("'1"&amp;$A267&amp;"'!EV22")-INDIRECT("'1"&amp;$A267&amp;"'!W22"),"")</f>
        <v>5.1714196141863233E-3</v>
      </c>
      <c r="E267" s="118"/>
      <c r="F267" s="1" t="s">
        <v>247</v>
      </c>
      <c r="G267" s="118" cm="1">
        <f t="array" aca="1" ref="G267" ca="1">INDIRECT("'1"&amp;$F267&amp;"'!"&amp;G$255 )</f>
        <v>2.1811011429483584</v>
      </c>
      <c r="H267" s="118" cm="1">
        <f t="array" aca="1" ref="H267" ca="1">IF(INDIRECT("'1"&amp;$F267&amp;"'!"&amp;H$255)&lt;&gt;0,INDIRECT("'1"&amp;$F267&amp;"'!"&amp;H$255 ),-99)</f>
        <v>2.1862725625625448</v>
      </c>
      <c r="I267" s="118">
        <f ca="1">Table278117[[#This Row],[2019 TTB elasticity]]</f>
        <v>2.1811011429483584</v>
      </c>
      <c r="O267" s="89"/>
      <c r="P267" s="96"/>
      <c r="Q267" s="86"/>
      <c r="R267" s="96"/>
    </row>
    <row r="268" spans="1:18" s="1" customFormat="1" x14ac:dyDescent="0.3">
      <c r="A268" s="1" t="s">
        <v>218</v>
      </c>
      <c r="B268" s="118" cm="1">
        <f t="array" aca="1" ref="B268" ca="1">INDIRECT("'1"&amp;$A268&amp;"'!"&amp;B$255 )</f>
        <v>2.0191248605309946</v>
      </c>
      <c r="C268" s="118" cm="1">
        <f t="array" aca="1" ref="C268" ca="1">IF(INDIRECT("'1"&amp;$A268&amp;"'!"&amp;C$255)&lt;&gt;0,INDIRECT("'1"&amp;$A268&amp;"'!"&amp;C$255 ),-99)</f>
        <v>1.9786716903751562</v>
      </c>
      <c r="D268" s="118" cm="1">
        <f t="array" aca="1" ref="D268" ca="1">IF(INDIRECT("'1"&amp;$A268&amp;"'!EV22")&lt;&gt;0,INDIRECT("'1"&amp;$A268&amp;"'!EV22")-INDIRECT("'1"&amp;$A268&amp;"'!W22"),"")</f>
        <v>-4.045317015583838E-2</v>
      </c>
      <c r="E268" s="118"/>
      <c r="F268" s="1" t="s">
        <v>218</v>
      </c>
      <c r="G268" s="118" cm="1">
        <f t="array" aca="1" ref="G268" ca="1">INDIRECT("'1"&amp;$F268&amp;"'!"&amp;G$255 )</f>
        <v>2.0191248605309946</v>
      </c>
      <c r="H268" s="118" cm="1">
        <f t="array" aca="1" ref="H268" ca="1">IF(INDIRECT("'1"&amp;$F268&amp;"'!"&amp;H$255)&lt;&gt;0,INDIRECT("'1"&amp;$F268&amp;"'!"&amp;H$255 ),-99)</f>
        <v>1.9786716903751562</v>
      </c>
      <c r="I268" s="118">
        <f ca="1">Table278117[[#This Row],[2019 TTB elasticity]]</f>
        <v>2.0191248605309946</v>
      </c>
      <c r="O268" s="89"/>
      <c r="P268" s="96"/>
      <c r="Q268" s="86"/>
      <c r="R268" s="96"/>
    </row>
    <row r="269" spans="1:18" s="1" customFormat="1" x14ac:dyDescent="0.3">
      <c r="A269" s="1" t="s">
        <v>249</v>
      </c>
      <c r="B269" s="118" cm="1">
        <f t="array" aca="1" ref="B269" ca="1">INDIRECT("'1"&amp;$A269&amp;"'!"&amp;B$255 )</f>
        <v>1.9912797248057028</v>
      </c>
      <c r="C269" s="118" cm="1">
        <f t="array" aca="1" ref="C269" ca="1">IF(INDIRECT("'1"&amp;$A269&amp;"'!"&amp;C$255)&lt;&gt;0,INDIRECT("'1"&amp;$A269&amp;"'!"&amp;C$255 ),-99)</f>
        <v>1.9838769755472168</v>
      </c>
      <c r="D269" s="118" cm="1">
        <f t="array" aca="1" ref="D269" ca="1">IF(INDIRECT("'1"&amp;$A269&amp;"'!EV22")&lt;&gt;0,INDIRECT("'1"&amp;$A269&amp;"'!EV22")-INDIRECT("'1"&amp;$A269&amp;"'!W22"),"")</f>
        <v>-7.4027492584860521E-3</v>
      </c>
      <c r="E269" s="118"/>
      <c r="F269" s="1" t="s">
        <v>249</v>
      </c>
      <c r="G269" s="118" cm="1">
        <f t="array" aca="1" ref="G269" ca="1">INDIRECT("'1"&amp;$F269&amp;"'!"&amp;G$255 )</f>
        <v>1.9912797248057028</v>
      </c>
      <c r="H269" s="118" cm="1">
        <f t="array" aca="1" ref="H269" ca="1">IF(INDIRECT("'1"&amp;$F269&amp;"'!"&amp;H$255)&lt;&gt;0,INDIRECT("'1"&amp;$F269&amp;"'!"&amp;H$255 ),-99)</f>
        <v>1.9838769755472168</v>
      </c>
      <c r="I269" s="118">
        <f ca="1">Table278117[[#This Row],[2019 TTB elasticity]]</f>
        <v>1.9912797248057028</v>
      </c>
      <c r="O269" s="88"/>
      <c r="P269" s="94"/>
      <c r="R269" s="94"/>
    </row>
    <row r="270" spans="1:18" s="1" customFormat="1" x14ac:dyDescent="0.3">
      <c r="A270" s="1" t="s">
        <v>204</v>
      </c>
      <c r="B270" s="118" cm="1">
        <f t="array" aca="1" ref="B270" ca="1">INDIRECT("'1"&amp;$A270&amp;"'!"&amp;B$255 )</f>
        <v>1.966454320802733</v>
      </c>
      <c r="C270" s="118" cm="1">
        <f t="array" aca="1" ref="C270" ca="1">IF(INDIRECT("'1"&amp;$A270&amp;"'!"&amp;C$255)&lt;&gt;0,INDIRECT("'1"&amp;$A270&amp;"'!"&amp;C$255 ),-99)</f>
        <v>1.8995893777832062</v>
      </c>
      <c r="D270" s="118" cm="1">
        <f t="array" aca="1" ref="D270" ca="1">IF(INDIRECT("'1"&amp;$A270&amp;"'!EV22")&lt;&gt;0,INDIRECT("'1"&amp;$A270&amp;"'!EV22")-INDIRECT("'1"&amp;$A270&amp;"'!W22"),"")</f>
        <v>-6.6864943019526724E-2</v>
      </c>
      <c r="E270" s="118"/>
      <c r="F270" s="1" t="s">
        <v>204</v>
      </c>
      <c r="G270" s="118" cm="1">
        <f t="array" aca="1" ref="G270" ca="1">INDIRECT("'1"&amp;$F270&amp;"'!"&amp;G$255 )</f>
        <v>1.966454320802733</v>
      </c>
      <c r="H270" s="118" cm="1">
        <f t="array" aca="1" ref="H270" ca="1">IF(INDIRECT("'1"&amp;$F270&amp;"'!"&amp;H$255)&lt;&gt;0,INDIRECT("'1"&amp;$F270&amp;"'!"&amp;H$255 ),-99)</f>
        <v>1.8995893777832062</v>
      </c>
      <c r="I270" s="118">
        <f ca="1">Table278117[[#This Row],[2019 TTB elasticity]]</f>
        <v>1.966454320802733</v>
      </c>
      <c r="O270" s="88"/>
      <c r="P270" s="94"/>
      <c r="R270" s="94"/>
    </row>
    <row r="271" spans="1:18" s="1" customFormat="1" x14ac:dyDescent="0.3">
      <c r="A271" s="1" t="s">
        <v>3</v>
      </c>
      <c r="B271" s="118" cm="1">
        <f t="array" aca="1" ref="B271" ca="1">INDIRECT("'1"&amp;$A271&amp;"'!"&amp;B$255 )</f>
        <v>1.8866256424887944</v>
      </c>
      <c r="C271" s="118" cm="1">
        <f t="array" aca="1" ref="C271" ca="1">IF(INDIRECT("'1"&amp;$A271&amp;"'!"&amp;C$255)&lt;&gt;0,INDIRECT("'1"&amp;$A271&amp;"'!"&amp;C$255 ),-99)</f>
        <v>1.9899027707242172</v>
      </c>
      <c r="D271" s="118" cm="1">
        <f t="array" aca="1" ref="D271" ca="1">IF(INDIRECT("'1"&amp;$A271&amp;"'!EV22")&lt;&gt;0,INDIRECT("'1"&amp;$A271&amp;"'!EV22")-INDIRECT("'1"&amp;$A271&amp;"'!W22"),"")</f>
        <v>0.10327712823542279</v>
      </c>
      <c r="E271" s="118"/>
      <c r="F271" s="1" t="s">
        <v>252</v>
      </c>
      <c r="G271" s="118" cm="1">
        <f t="array" aca="1" ref="G271" ca="1">INDIRECT("'1"&amp;$F271&amp;"'!"&amp;G$255 )</f>
        <v>1.8863476683839748</v>
      </c>
      <c r="H271" s="118" cm="1">
        <f t="array" aca="1" ref="H271" ca="1">IF(INDIRECT("'1"&amp;$F271&amp;"'!"&amp;H$255)&lt;&gt;0,INDIRECT("'1"&amp;$F271&amp;"'!"&amp;H$255 ),-99)</f>
        <v>1.850006514498143</v>
      </c>
      <c r="I271" s="118">
        <f ca="1">Table278117[[#This Row],[2019 TTB elasticity]]</f>
        <v>1.8863476683839748</v>
      </c>
      <c r="O271" s="88"/>
      <c r="P271" s="94"/>
      <c r="R271" s="94"/>
    </row>
    <row r="272" spans="1:18" s="1" customFormat="1" x14ac:dyDescent="0.3">
      <c r="A272" s="1" t="s">
        <v>252</v>
      </c>
      <c r="B272" s="118" cm="1">
        <f t="array" aca="1" ref="B272" ca="1">INDIRECT("'1"&amp;$A272&amp;"'!"&amp;B$255 )</f>
        <v>1.8863476683839748</v>
      </c>
      <c r="C272" s="118" cm="1">
        <f t="array" aca="1" ref="C272" ca="1">IF(INDIRECT("'1"&amp;$A272&amp;"'!"&amp;C$255)&lt;&gt;0,INDIRECT("'1"&amp;$A272&amp;"'!"&amp;C$255 ),-99)</f>
        <v>1.850006514498143</v>
      </c>
      <c r="D272" s="118" cm="1">
        <f t="array" aca="1" ref="D272" ca="1">IF(INDIRECT("'1"&amp;$A272&amp;"'!EV22")&lt;&gt;0,INDIRECT("'1"&amp;$A272&amp;"'!EV22")-INDIRECT("'1"&amp;$A272&amp;"'!W22"),"")</f>
        <v>-3.6341153885831812E-2</v>
      </c>
      <c r="E272" s="118"/>
      <c r="F272" s="1" t="s">
        <v>240</v>
      </c>
      <c r="G272" s="118" cm="1">
        <f t="array" aca="1" ref="G272" ca="1">INDIRECT("'1"&amp;$F272&amp;"'!"&amp;G$255 )</f>
        <v>1.8727964639724985</v>
      </c>
      <c r="H272" s="118" cm="1">
        <f t="array" aca="1" ref="H272" ca="1">IF(INDIRECT("'1"&amp;$F272&amp;"'!"&amp;H$255)&lt;&gt;0,INDIRECT("'1"&amp;$F272&amp;"'!"&amp;H$255 ),-99)</f>
        <v>1.9733745399896396</v>
      </c>
      <c r="I272" s="118">
        <f ca="1">Table278117[[#This Row],[2019 TTB elasticity]]</f>
        <v>1.8727964639724985</v>
      </c>
      <c r="O272" s="91"/>
      <c r="P272" s="95"/>
      <c r="Q272" s="92"/>
      <c r="R272" s="95"/>
    </row>
    <row r="273" spans="1:18" s="1" customFormat="1" x14ac:dyDescent="0.3">
      <c r="A273" s="1" t="s">
        <v>240</v>
      </c>
      <c r="B273" s="118" cm="1">
        <f t="array" aca="1" ref="B273" ca="1">INDIRECT("'1"&amp;$A273&amp;"'!"&amp;B$255 )</f>
        <v>1.8727964639724985</v>
      </c>
      <c r="C273" s="118" cm="1">
        <f t="array" aca="1" ref="C273" ca="1">IF(INDIRECT("'1"&amp;$A273&amp;"'!"&amp;C$255)&lt;&gt;0,INDIRECT("'1"&amp;$A273&amp;"'!"&amp;C$255 ),-99)</f>
        <v>1.9733745399896396</v>
      </c>
      <c r="D273" s="118" cm="1">
        <f t="array" aca="1" ref="D273" ca="1">IF(INDIRECT("'1"&amp;$A273&amp;"'!EV22")&lt;&gt;0,INDIRECT("'1"&amp;$A273&amp;"'!EV22")-INDIRECT("'1"&amp;$A273&amp;"'!W22"),"")</f>
        <v>0.10057807601714108</v>
      </c>
      <c r="E273" s="118"/>
      <c r="F273" s="1" t="s">
        <v>234</v>
      </c>
      <c r="G273" s="118" cm="1">
        <f t="array" aca="1" ref="G273" ca="1">INDIRECT("'1"&amp;$F273&amp;"'!"&amp;G$255 )</f>
        <v>1.8551616744290942</v>
      </c>
      <c r="H273" s="118" cm="1">
        <f t="array" aca="1" ref="H273" ca="1">IF(INDIRECT("'1"&amp;$F273&amp;"'!"&amp;H$255)&lt;&gt;0,INDIRECT("'1"&amp;$F273&amp;"'!"&amp;H$255 ),-99)</f>
        <v>1.8069585062535263</v>
      </c>
      <c r="I273" s="118">
        <f ca="1">Table278117[[#This Row],[2019 TTB elasticity]]</f>
        <v>1.8551616744290942</v>
      </c>
      <c r="O273" s="88"/>
      <c r="P273" s="94"/>
      <c r="Q273" s="99"/>
      <c r="R273" s="100"/>
    </row>
    <row r="274" spans="1:18" s="1" customFormat="1" x14ac:dyDescent="0.3">
      <c r="A274" s="1" t="s">
        <v>234</v>
      </c>
      <c r="B274" s="118" cm="1">
        <f t="array" aca="1" ref="B274" ca="1">INDIRECT("'1"&amp;$A274&amp;"'!"&amp;B$255 )</f>
        <v>1.8551616744290942</v>
      </c>
      <c r="C274" s="118" cm="1">
        <f t="array" aca="1" ref="C274" ca="1">IF(INDIRECT("'1"&amp;$A274&amp;"'!"&amp;C$255)&lt;&gt;0,INDIRECT("'1"&amp;$A274&amp;"'!"&amp;C$255 ),-99)</f>
        <v>1.8069585062535263</v>
      </c>
      <c r="D274" s="118" cm="1">
        <f t="array" aca="1" ref="D274" ca="1">IF(INDIRECT("'1"&amp;$A274&amp;"'!EV22")&lt;&gt;0,INDIRECT("'1"&amp;$A274&amp;"'!EV22")-INDIRECT("'1"&amp;$A274&amp;"'!W22"),"")</f>
        <v>-4.8203168175567912E-2</v>
      </c>
      <c r="E274" s="118"/>
      <c r="F274" s="1" t="s">
        <v>3</v>
      </c>
      <c r="G274" s="118" cm="1">
        <f t="array" aca="1" ref="G274" ca="1">INDIRECT("'1"&amp;$F274&amp;"'!"&amp;G$255 )</f>
        <v>1.8866256424887944</v>
      </c>
      <c r="H274" s="118" cm="1">
        <f t="array" aca="1" ref="H274" ca="1">IF(INDIRECT("'1"&amp;$F274&amp;"'!"&amp;H$255)&lt;&gt;0,INDIRECT("'1"&amp;$F274&amp;"'!"&amp;H$255 ),-99)</f>
        <v>1.9899027707242172</v>
      </c>
      <c r="I274" s="118">
        <f ca="1">Table278117[[#This Row],[2019 TTB elasticity]]</f>
        <v>1.8866256424887944</v>
      </c>
      <c r="O274" s="88"/>
      <c r="P274" s="94"/>
      <c r="Q274" s="88"/>
      <c r="R274" s="94"/>
    </row>
    <row r="275" spans="1:18" s="1" customFormat="1" x14ac:dyDescent="0.3">
      <c r="A275" s="1" t="s">
        <v>254</v>
      </c>
      <c r="B275" s="118" cm="1">
        <f t="array" aca="1" ref="B275" ca="1">INDIRECT("'1"&amp;$A275&amp;"'!"&amp;B$255 )</f>
        <v>1.8516723283112846</v>
      </c>
      <c r="C275" s="118" cm="1">
        <f t="array" aca="1" ref="C275" ca="1">IF(INDIRECT("'1"&amp;$A275&amp;"'!"&amp;C$255)&lt;&gt;0,INDIRECT("'1"&amp;$A275&amp;"'!"&amp;C$255 ),-99)</f>
        <v>1.9155745818842449</v>
      </c>
      <c r="D275" s="118" cm="1">
        <f t="array" aca="1" ref="D275" ca="1">IF(INDIRECT("'1"&amp;$A275&amp;"'!EV22")&lt;&gt;0,INDIRECT("'1"&amp;$A275&amp;"'!EV22")-INDIRECT("'1"&amp;$A275&amp;"'!W22"),"")</f>
        <v>6.390225357296031E-2</v>
      </c>
      <c r="E275" s="118"/>
      <c r="F275" s="1" t="s">
        <v>254</v>
      </c>
      <c r="G275" s="118" cm="1">
        <f t="array" aca="1" ref="G275" ca="1">INDIRECT("'1"&amp;$F275&amp;"'!"&amp;G$255 )</f>
        <v>1.8516723283112846</v>
      </c>
      <c r="H275" s="118" cm="1">
        <f t="array" aca="1" ref="H275" ca="1">IF(INDIRECT("'1"&amp;$F275&amp;"'!"&amp;H$255)&lt;&gt;0,INDIRECT("'1"&amp;$F275&amp;"'!"&amp;H$255 ),-99)</f>
        <v>1.9155745818842449</v>
      </c>
      <c r="I275" s="118">
        <f ca="1">Table278117[[#This Row],[2019 TTB elasticity]]</f>
        <v>1.8516723283112846</v>
      </c>
      <c r="O275" s="89"/>
      <c r="P275" s="96"/>
      <c r="Q275" s="88"/>
      <c r="R275" s="96"/>
    </row>
    <row r="276" spans="1:18" s="1" customFormat="1" x14ac:dyDescent="0.3">
      <c r="A276" s="1" t="s">
        <v>233</v>
      </c>
      <c r="B276" s="118" cm="1">
        <f t="array" aca="1" ref="B276" ca="1">INDIRECT("'1"&amp;$A276&amp;"'!"&amp;B$255 )</f>
        <v>1.8138953207581621</v>
      </c>
      <c r="C276" s="118" cm="1">
        <f t="array" aca="1" ref="C276" ca="1">IF(INDIRECT("'1"&amp;$A276&amp;"'!"&amp;C$255)&lt;&gt;0,INDIRECT("'1"&amp;$A276&amp;"'!"&amp;C$255 ),-99)</f>
        <v>1.7898077272934112</v>
      </c>
      <c r="D276" s="118" cm="1">
        <f t="array" aca="1" ref="D276" ca="1">IF(INDIRECT("'1"&amp;$A276&amp;"'!EV22")&lt;&gt;0,INDIRECT("'1"&amp;$A276&amp;"'!EV22")-INDIRECT("'1"&amp;$A276&amp;"'!W22"),"")</f>
        <v>-2.4087593464750867E-2</v>
      </c>
      <c r="E276" s="118"/>
      <c r="F276" s="1" t="s">
        <v>217</v>
      </c>
      <c r="G276" s="118" cm="1">
        <f t="array" aca="1" ref="G276" ca="1">INDIRECT("'1"&amp;$F276&amp;"'!"&amp;G$255 )</f>
        <v>1.8032111978204031</v>
      </c>
      <c r="H276" s="118" cm="1">
        <f t="array" aca="1" ref="H276" ca="1">IF(INDIRECT("'1"&amp;$F276&amp;"'!"&amp;H$255)&lt;&gt;0,INDIRECT("'1"&amp;$F276&amp;"'!"&amp;H$255 ),-99)</f>
        <v>1.9909439243321063</v>
      </c>
      <c r="I276" s="118">
        <f ca="1">Table278117[[#This Row],[2019 TTB elasticity]]</f>
        <v>1.8032111978204031</v>
      </c>
      <c r="O276" s="88"/>
      <c r="P276" s="94"/>
      <c r="Q276" s="88"/>
      <c r="R276" s="94"/>
    </row>
    <row r="277" spans="1:18" s="1" customFormat="1" x14ac:dyDescent="0.3">
      <c r="A277" s="1" t="s">
        <v>245</v>
      </c>
      <c r="B277" s="118" cm="1">
        <f t="array" aca="1" ref="B277" ca="1">INDIRECT("'1"&amp;$A277&amp;"'!"&amp;B$255 )</f>
        <v>1.8138346754056838</v>
      </c>
      <c r="C277" s="118" cm="1">
        <f t="array" aca="1" ref="C277" ca="1">IF(INDIRECT("'1"&amp;$A277&amp;"'!"&amp;C$255)&lt;&gt;0,INDIRECT("'1"&amp;$A277&amp;"'!"&amp;C$255 ),-99)</f>
        <v>1.736887552963867</v>
      </c>
      <c r="D277" s="118" cm="1">
        <f t="array" aca="1" ref="D277" ca="1">IF(INDIRECT("'1"&amp;$A277&amp;"'!EV22")&lt;&gt;0,INDIRECT("'1"&amp;$A277&amp;"'!EV22")-INDIRECT("'1"&amp;$A277&amp;"'!W22"),"")</f>
        <v>-7.6947122441816784E-2</v>
      </c>
      <c r="E277" s="118"/>
      <c r="F277" s="1" t="s">
        <v>245</v>
      </c>
      <c r="G277" s="118" cm="1">
        <f t="array" aca="1" ref="G277" ca="1">INDIRECT("'1"&amp;$F277&amp;"'!"&amp;G$255 )</f>
        <v>1.8138346754056838</v>
      </c>
      <c r="H277" s="118" cm="1">
        <f t="array" aca="1" ref="H277" ca="1">IF(INDIRECT("'1"&amp;$F277&amp;"'!"&amp;H$255)&lt;&gt;0,INDIRECT("'1"&amp;$F277&amp;"'!"&amp;H$255 ),-99)</f>
        <v>1.736887552963867</v>
      </c>
      <c r="I277" s="118">
        <f ca="1">Table278117[[#This Row],[2019 TTB elasticity]]</f>
        <v>1.8138346754056838</v>
      </c>
      <c r="O277" s="89"/>
      <c r="P277" s="96"/>
      <c r="Q277" s="88"/>
      <c r="R277" s="96"/>
    </row>
    <row r="278" spans="1:18" s="1" customFormat="1" x14ac:dyDescent="0.3">
      <c r="A278" s="1" t="s">
        <v>217</v>
      </c>
      <c r="B278" s="118" cm="1">
        <f t="array" aca="1" ref="B278" ca="1">INDIRECT("'1"&amp;$A278&amp;"'!"&amp;B$255 )</f>
        <v>1.8032111978204031</v>
      </c>
      <c r="C278" s="118" cm="1">
        <f t="array" aca="1" ref="C278" ca="1">IF(INDIRECT("'1"&amp;$A278&amp;"'!"&amp;C$255)&lt;&gt;0,INDIRECT("'1"&amp;$A278&amp;"'!"&amp;C$255 ),-99)</f>
        <v>1.9909439243321063</v>
      </c>
      <c r="D278" s="118" cm="1">
        <f t="array" aca="1" ref="D278" ca="1">IF(INDIRECT("'1"&amp;$A278&amp;"'!EV22")&lt;&gt;0,INDIRECT("'1"&amp;$A278&amp;"'!EV22")-INDIRECT("'1"&amp;$A278&amp;"'!W22"),"")</f>
        <v>0.18773272651170325</v>
      </c>
      <c r="E278" s="118"/>
      <c r="F278" s="1" t="s">
        <v>233</v>
      </c>
      <c r="G278" s="118" cm="1">
        <f t="array" aca="1" ref="G278" ca="1">INDIRECT("'1"&amp;$F278&amp;"'!"&amp;G$255 )</f>
        <v>1.8138953207581621</v>
      </c>
      <c r="H278" s="118" cm="1">
        <f t="array" aca="1" ref="H278" ca="1">IF(INDIRECT("'1"&amp;$F278&amp;"'!"&amp;H$255)&lt;&gt;0,INDIRECT("'1"&amp;$F278&amp;"'!"&amp;H$255 ),-99)</f>
        <v>1.7898077272934112</v>
      </c>
      <c r="I278" s="118">
        <f ca="1">Table278117[[#This Row],[2019 TTB elasticity]]</f>
        <v>1.8138953207581621</v>
      </c>
      <c r="O278" s="88"/>
      <c r="P278" s="94"/>
      <c r="Q278" s="88"/>
      <c r="R278" s="94"/>
    </row>
    <row r="279" spans="1:18" s="1" customFormat="1" x14ac:dyDescent="0.3">
      <c r="A279" s="1" t="s">
        <v>222</v>
      </c>
      <c r="B279" s="118" cm="1">
        <f t="array" aca="1" ref="B279" ca="1">INDIRECT("'1"&amp;$A279&amp;"'!"&amp;B$255 )</f>
        <v>1.7423543356823485</v>
      </c>
      <c r="C279" s="118" cm="1">
        <f t="array" aca="1" ref="C279" ca="1">IF(INDIRECT("'1"&amp;$A279&amp;"'!"&amp;C$255)&lt;&gt;0,INDIRECT("'1"&amp;$A279&amp;"'!"&amp;C$255 ),-99)</f>
        <v>1.7851721953842885</v>
      </c>
      <c r="D279" s="118" cm="1">
        <f t="array" aca="1" ref="D279" ca="1">IF(INDIRECT("'1"&amp;$A279&amp;"'!EV22")&lt;&gt;0,INDIRECT("'1"&amp;$A279&amp;"'!EV22")-INDIRECT("'1"&amp;$A279&amp;"'!W22"),"")</f>
        <v>4.2817859701939964E-2</v>
      </c>
      <c r="E279" s="118"/>
      <c r="F279" s="1" t="s">
        <v>210</v>
      </c>
      <c r="G279" s="118" cm="1">
        <f t="array" aca="1" ref="G279" ca="1">INDIRECT("'1"&amp;$F279&amp;"'!"&amp;G$255 )</f>
        <v>1.7103139797998415</v>
      </c>
      <c r="H279" s="118" cm="1">
        <f t="array" aca="1" ref="H279" ca="1">IF(INDIRECT("'1"&amp;$F279&amp;"'!"&amp;H$255)&lt;&gt;0,INDIRECT("'1"&amp;$F279&amp;"'!"&amp;H$255 ),-99)</f>
        <v>1.6290295714042031</v>
      </c>
      <c r="I279" s="118">
        <f ca="1">Table278117[[#This Row],[2019 TTB elasticity]]</f>
        <v>1.7103139797998415</v>
      </c>
      <c r="O279" s="89"/>
      <c r="P279" s="96"/>
      <c r="Q279" s="88"/>
      <c r="R279" s="96"/>
    </row>
    <row r="280" spans="1:18" s="1" customFormat="1" x14ac:dyDescent="0.3">
      <c r="A280" s="1" t="s">
        <v>210</v>
      </c>
      <c r="B280" s="118" cm="1">
        <f t="array" aca="1" ref="B280" ca="1">INDIRECT("'1"&amp;$A280&amp;"'!"&amp;B$255 )</f>
        <v>1.7103139797998415</v>
      </c>
      <c r="C280" s="118" cm="1">
        <f t="array" aca="1" ref="C280" ca="1">IF(INDIRECT("'1"&amp;$A280&amp;"'!"&amp;C$255)&lt;&gt;0,INDIRECT("'1"&amp;$A280&amp;"'!"&amp;C$255 ),-99)</f>
        <v>1.6290295714042031</v>
      </c>
      <c r="D280" s="118" cm="1">
        <f t="array" aca="1" ref="D280" ca="1">IF(INDIRECT("'1"&amp;$A280&amp;"'!EV22")&lt;&gt;0,INDIRECT("'1"&amp;$A280&amp;"'!EV22")-INDIRECT("'1"&amp;$A280&amp;"'!W22"),"")</f>
        <v>-8.128440839563833E-2</v>
      </c>
      <c r="E280" s="120"/>
      <c r="F280" s="1" t="s">
        <v>222</v>
      </c>
      <c r="G280" s="118" cm="1">
        <f t="array" aca="1" ref="G280" ca="1">INDIRECT("'1"&amp;$F280&amp;"'!"&amp;G$255 )</f>
        <v>1.7423543356823485</v>
      </c>
      <c r="H280" s="118" cm="1">
        <f t="array" aca="1" ref="H280" ca="1">IF(INDIRECT("'1"&amp;$F280&amp;"'!"&amp;H$255)&lt;&gt;0,INDIRECT("'1"&amp;$F280&amp;"'!"&amp;H$255 ),-99)</f>
        <v>1.7851721953842885</v>
      </c>
      <c r="I280" s="118">
        <f ca="1">Table278117[[#This Row],[2019 TTB elasticity]]</f>
        <v>1.7423543356823485</v>
      </c>
      <c r="O280" s="88"/>
      <c r="P280" s="94"/>
      <c r="Q280" s="88"/>
      <c r="R280" s="94"/>
    </row>
    <row r="281" spans="1:18" s="1" customFormat="1" x14ac:dyDescent="0.3">
      <c r="A281" s="1" t="s">
        <v>214</v>
      </c>
      <c r="B281" s="118" cm="1">
        <f t="array" aca="1" ref="B281" ca="1">INDIRECT("'1"&amp;$A281&amp;"'!"&amp;B$255 )</f>
        <v>1.6590608942486251</v>
      </c>
      <c r="C281" s="118" cm="1">
        <f t="array" aca="1" ref="C281" ca="1">IF(INDIRECT("'1"&amp;$A281&amp;"'!"&amp;C$255)&lt;&gt;0,INDIRECT("'1"&amp;$A281&amp;"'!"&amp;C$255 ),-99)</f>
        <v>1.4994514856426371</v>
      </c>
      <c r="D281" s="118" cm="1">
        <f t="array" aca="1" ref="D281" ca="1">IF(INDIRECT("'1"&amp;$A281&amp;"'!EV22")&lt;&gt;0,INDIRECT("'1"&amp;$A281&amp;"'!EV22")-INDIRECT("'1"&amp;$A281&amp;"'!W22"),"")</f>
        <v>-0.15960940860598805</v>
      </c>
      <c r="E281" s="118"/>
      <c r="F281" s="1" t="s">
        <v>214</v>
      </c>
      <c r="G281" s="118" cm="1">
        <f t="array" aca="1" ref="G281" ca="1">INDIRECT("'1"&amp;$F281&amp;"'!"&amp;G$255 )</f>
        <v>1.6590608942486251</v>
      </c>
      <c r="H281" s="118" cm="1">
        <f t="array" aca="1" ref="H281" ca="1">IF(INDIRECT("'1"&amp;$F281&amp;"'!"&amp;H$255)&lt;&gt;0,INDIRECT("'1"&amp;$F281&amp;"'!"&amp;H$255 ),-99)</f>
        <v>1.4994514856426371</v>
      </c>
      <c r="I281" s="118">
        <f ca="1">Table278117[[#This Row],[2019 TTB elasticity]]</f>
        <v>1.6590608942486251</v>
      </c>
      <c r="O281" s="88"/>
      <c r="P281" s="94"/>
      <c r="Q281" s="88"/>
      <c r="R281" s="94"/>
    </row>
    <row r="282" spans="1:18" s="1" customFormat="1" x14ac:dyDescent="0.3">
      <c r="A282" s="1" t="s">
        <v>223</v>
      </c>
      <c r="B282" s="118" cm="1">
        <f t="array" aca="1" ref="B282" ca="1">INDIRECT("'1"&amp;$A282&amp;"'!"&amp;B$255 )</f>
        <v>1.5415702152840249</v>
      </c>
      <c r="C282" s="118" cm="1">
        <f t="array" aca="1" ref="C282" ca="1">IF(INDIRECT("'1"&amp;$A282&amp;"'!"&amp;C$255)&lt;&gt;0,INDIRECT("'1"&amp;$A282&amp;"'!"&amp;C$255 ),-99)</f>
        <v>1.52979171701526</v>
      </c>
      <c r="D282" s="118" cm="1">
        <f t="array" aca="1" ref="D282" ca="1">IF(INDIRECT("'1"&amp;$A282&amp;"'!EV22")&lt;&gt;0,INDIRECT("'1"&amp;$A282&amp;"'!EV22")-INDIRECT("'1"&amp;$A282&amp;"'!W22"),"")</f>
        <v>-1.1778498268764981E-2</v>
      </c>
      <c r="E282" s="120"/>
      <c r="F282" s="1" t="s">
        <v>223</v>
      </c>
      <c r="G282" s="118" cm="1">
        <f t="array" aca="1" ref="G282" ca="1">INDIRECT("'1"&amp;$F282&amp;"'!"&amp;G$255 )</f>
        <v>1.5415702152840249</v>
      </c>
      <c r="H282" s="118" cm="1">
        <f t="array" aca="1" ref="H282" ca="1">IF(INDIRECT("'1"&amp;$F282&amp;"'!"&amp;H$255)&lt;&gt;0,INDIRECT("'1"&amp;$F282&amp;"'!"&amp;H$255 ),-99)</f>
        <v>1.52979171701526</v>
      </c>
      <c r="I282" s="118">
        <f ca="1">Table278117[[#This Row],[2019 TTB elasticity]]</f>
        <v>1.5415702152840249</v>
      </c>
      <c r="O282" s="88"/>
      <c r="P282" s="94"/>
      <c r="Q282" s="88"/>
      <c r="R282" s="94"/>
    </row>
    <row r="283" spans="1:18" s="1" customFormat="1" x14ac:dyDescent="0.3">
      <c r="A283" s="1" t="s">
        <v>242</v>
      </c>
      <c r="B283" s="118" cm="1">
        <f t="array" aca="1" ref="B283" ca="1">INDIRECT("'1"&amp;$A283&amp;"'!"&amp;B$255 )</f>
        <v>1.439871427179074</v>
      </c>
      <c r="C283" s="118" cm="1">
        <f t="array" aca="1" ref="C283" ca="1">IF(INDIRECT("'1"&amp;$A283&amp;"'!"&amp;C$255)&lt;&gt;0,INDIRECT("'1"&amp;$A283&amp;"'!"&amp;C$255 ),-99)</f>
        <v>1.5520385730066144</v>
      </c>
      <c r="D283" s="118" cm="1">
        <f t="array" aca="1" ref="D283" ca="1">IF(INDIRECT("'1"&amp;$A283&amp;"'!EV22")&lt;&gt;0,INDIRECT("'1"&amp;$A283&amp;"'!EV22")-INDIRECT("'1"&amp;$A283&amp;"'!W22"),"")</f>
        <v>0.11216714582754039</v>
      </c>
      <c r="E283" s="120"/>
      <c r="F283" s="1" t="s">
        <v>242</v>
      </c>
      <c r="G283" s="118" cm="1">
        <f t="array" aca="1" ref="G283" ca="1">INDIRECT("'1"&amp;$F283&amp;"'!"&amp;G$255 )</f>
        <v>1.439871427179074</v>
      </c>
      <c r="H283" s="118" cm="1">
        <f t="array" aca="1" ref="H283" ca="1">IF(INDIRECT("'1"&amp;$F283&amp;"'!"&amp;H$255)&lt;&gt;0,INDIRECT("'1"&amp;$F283&amp;"'!"&amp;H$255 ),-99)</f>
        <v>1.5520385730066144</v>
      </c>
      <c r="I283" s="118">
        <f ca="1">Table278117[[#This Row],[2019 TTB elasticity]]</f>
        <v>1.439871427179074</v>
      </c>
      <c r="O283" s="89"/>
      <c r="P283" s="96"/>
      <c r="Q283" s="88"/>
      <c r="R283" s="96"/>
    </row>
    <row r="284" spans="1:18" s="1" customFormat="1" x14ac:dyDescent="0.3">
      <c r="A284" s="1" t="s">
        <v>238</v>
      </c>
      <c r="B284" s="118" cm="1">
        <f t="array" aca="1" ref="B284" ca="1">INDIRECT("'1"&amp;$A284&amp;"'!"&amp;B$255 )</f>
        <v>1.3144652982741332</v>
      </c>
      <c r="C284" s="118" cm="1">
        <f t="array" aca="1" ref="C284" ca="1">IF(INDIRECT("'1"&amp;$A284&amp;"'!"&amp;C$255)&lt;&gt;0,INDIRECT("'1"&amp;$A284&amp;"'!"&amp;C$255 ),-99)</f>
        <v>1.4019447385138655</v>
      </c>
      <c r="D284" s="118" cm="1">
        <f t="array" aca="1" ref="D284" ca="1">IF(INDIRECT("'1"&amp;$A284&amp;"'!EV22")&lt;&gt;0,INDIRECT("'1"&amp;$A284&amp;"'!EV22")-INDIRECT("'1"&amp;$A284&amp;"'!W22"),"")</f>
        <v>8.7479440239732309E-2</v>
      </c>
      <c r="E284" s="118"/>
      <c r="F284" s="1" t="s">
        <v>238</v>
      </c>
      <c r="G284" s="118" cm="1">
        <f t="array" aca="1" ref="G284" ca="1">INDIRECT("'1"&amp;$F284&amp;"'!"&amp;G$255 )</f>
        <v>1.3144652982741332</v>
      </c>
      <c r="H284" s="118" cm="1">
        <f t="array" aca="1" ref="H284" ca="1">IF(INDIRECT("'1"&amp;$F284&amp;"'!"&amp;H$255)&lt;&gt;0,INDIRECT("'1"&amp;$F284&amp;"'!"&amp;H$255 ),-99)</f>
        <v>1.4019447385138655</v>
      </c>
      <c r="I284" s="118">
        <f ca="1">Table278117[[#This Row],[2019 TTB elasticity]]</f>
        <v>1.3144652982741332</v>
      </c>
      <c r="O284" s="89"/>
      <c r="P284" s="96"/>
      <c r="Q284" s="88"/>
      <c r="R284" s="96"/>
    </row>
    <row r="285" spans="1:18" s="1" customFormat="1" x14ac:dyDescent="0.3">
      <c r="A285" s="1" t="s">
        <v>227</v>
      </c>
      <c r="B285" s="118" cm="1">
        <f t="array" aca="1" ref="B285" ca="1">INDIRECT("'1"&amp;$A285&amp;"'!"&amp;B$255 )</f>
        <v>1.0958061555302958</v>
      </c>
      <c r="C285" s="118" cm="1">
        <f t="array" aca="1" ref="C285" ca="1">IF(INDIRECT("'1"&amp;$A285&amp;"'!"&amp;C$255)&lt;&gt;0,INDIRECT("'1"&amp;$A285&amp;"'!"&amp;C$255 ),-99)</f>
        <v>1.0874497494580651</v>
      </c>
      <c r="D285" s="118" cm="1">
        <f t="array" aca="1" ref="D285" ca="1">IF(INDIRECT("'1"&amp;$A285&amp;"'!EV22")&lt;&gt;0,INDIRECT("'1"&amp;$A285&amp;"'!EV22")-INDIRECT("'1"&amp;$A285&amp;"'!W22"),"")</f>
        <v>-8.3564060722307598E-3</v>
      </c>
      <c r="E285" s="118"/>
      <c r="F285" s="1" t="s">
        <v>227</v>
      </c>
      <c r="G285" s="118" cm="1">
        <f t="array" aca="1" ref="G285" ca="1">INDIRECT("'1"&amp;$F285&amp;"'!"&amp;G$255 )</f>
        <v>1.0958061555302958</v>
      </c>
      <c r="H285" s="118" cm="1">
        <f t="array" aca="1" ref="H285" ca="1">IF(INDIRECT("'1"&amp;$F285&amp;"'!"&amp;H$255)&lt;&gt;0,INDIRECT("'1"&amp;$F285&amp;"'!"&amp;H$255 ),-99)</f>
        <v>1.0874497494580651</v>
      </c>
      <c r="I285" s="118">
        <f ca="1">Table278117[[#This Row],[2019 TTB elasticity]]</f>
        <v>1.0958061555302958</v>
      </c>
      <c r="O285" s="88"/>
      <c r="P285" s="94"/>
      <c r="Q285" s="88"/>
      <c r="R285" s="94"/>
    </row>
    <row r="286" spans="1:18" s="1" customFormat="1" x14ac:dyDescent="0.3">
      <c r="O286" s="88"/>
      <c r="P286" s="94"/>
      <c r="Q286" s="88"/>
      <c r="R286" s="94"/>
    </row>
    <row r="287" spans="1:18" s="1" customFormat="1" x14ac:dyDescent="0.3">
      <c r="O287" s="88"/>
      <c r="P287" s="94"/>
      <c r="Q287" s="88"/>
      <c r="R287" s="94"/>
    </row>
    <row r="288" spans="1:18" s="1" customFormat="1" x14ac:dyDescent="0.3">
      <c r="O288" s="91"/>
      <c r="P288" s="95"/>
      <c r="Q288" s="91"/>
      <c r="R288" s="95"/>
    </row>
    <row r="289" spans="1:18" s="85" customFormat="1" ht="36.6" customHeight="1" x14ac:dyDescent="0.3">
      <c r="A289" s="553" t="s">
        <v>602</v>
      </c>
      <c r="C289" s="182"/>
      <c r="O289" s="87"/>
      <c r="P289" s="93"/>
      <c r="R289" s="93"/>
    </row>
    <row r="290" spans="1:18" s="1" customFormat="1" x14ac:dyDescent="0.3">
      <c r="O290" s="88"/>
      <c r="P290" s="94"/>
      <c r="R290" s="94"/>
    </row>
    <row r="291" spans="1:18" s="1" customFormat="1" x14ac:dyDescent="0.3">
      <c r="A291" s="1" t="s">
        <v>289</v>
      </c>
      <c r="B291" s="1" t="s">
        <v>362</v>
      </c>
      <c r="C291" s="1" t="s">
        <v>363</v>
      </c>
      <c r="D291" s="1" t="s">
        <v>364</v>
      </c>
      <c r="E291" s="1" t="s">
        <v>365</v>
      </c>
      <c r="F291" s="1" t="s">
        <v>366</v>
      </c>
      <c r="O291" s="88"/>
      <c r="P291" s="94"/>
      <c r="R291" s="94"/>
    </row>
    <row r="292" spans="1:18" s="1" customFormat="1" ht="28.8" x14ac:dyDescent="0.3">
      <c r="A292" s="109" t="s">
        <v>338</v>
      </c>
      <c r="B292" s="119" t="s">
        <v>367</v>
      </c>
      <c r="C292" s="185" t="s">
        <v>368</v>
      </c>
      <c r="D292" s="185" t="s">
        <v>369</v>
      </c>
      <c r="E292" s="185" t="s">
        <v>370</v>
      </c>
      <c r="F292" s="119" t="s">
        <v>371</v>
      </c>
      <c r="G292" s="119" t="s">
        <v>372</v>
      </c>
      <c r="O292" s="91"/>
      <c r="P292" s="95"/>
      <c r="R292" s="94"/>
    </row>
    <row r="293" spans="1:18" s="1" customFormat="1" x14ac:dyDescent="0.3">
      <c r="A293" s="86" t="s">
        <v>304</v>
      </c>
      <c r="B293" s="208" t="e" cm="1">
        <f t="array" aca="1" ref="B293" ca="1">INDIRECT("'1"&amp;$A293&amp;"'!"&amp;B$291 )</f>
        <v>#REF!</v>
      </c>
      <c r="C293" s="207" t="e" cm="1">
        <f t="array" aca="1" ref="C293" ca="1">INDIRECT("'1"&amp;$A293&amp;"'!"&amp;C$291 )</f>
        <v>#REF!</v>
      </c>
      <c r="D293" s="207" t="e" cm="1">
        <f t="array" aca="1" ref="D293" ca="1">INDIRECT("'1"&amp;$A293&amp;"'!"&amp;D$291 )</f>
        <v>#REF!</v>
      </c>
      <c r="E293" s="207" t="e" cm="1">
        <f t="array" aca="1" ref="E293" ca="1">INDIRECT("'1"&amp;$A293&amp;"'!"&amp;E$291 )</f>
        <v>#REF!</v>
      </c>
      <c r="F293" s="207" t="e" cm="1">
        <f t="array" aca="1" ref="F293" ca="1">INDIRECT("'1"&amp;$A293&amp;"'!"&amp;F$291 )</f>
        <v>#REF!</v>
      </c>
      <c r="G293" s="207" t="e">
        <f ca="1">SUM(Table278112[[#This Row],[in decile 1]:[in decile 4]])</f>
        <v>#REF!</v>
      </c>
      <c r="O293" s="88"/>
      <c r="P293" s="94"/>
      <c r="R293" s="94"/>
    </row>
    <row r="294" spans="1:18" s="1" customFormat="1" x14ac:dyDescent="0.3">
      <c r="A294" s="86" t="s">
        <v>305</v>
      </c>
      <c r="B294" s="208" t="e" cm="1">
        <f t="array" aca="1" ref="B294" ca="1">INDIRECT("'1"&amp;$A294&amp;"'!"&amp;B$291 )</f>
        <v>#REF!</v>
      </c>
      <c r="C294" s="207" t="e" cm="1">
        <f t="array" aca="1" ref="C294" ca="1">INDIRECT("'1"&amp;$A294&amp;"'!"&amp;C$291 )</f>
        <v>#REF!</v>
      </c>
      <c r="D294" s="207" t="e" cm="1">
        <f t="array" aca="1" ref="D294" ca="1">INDIRECT("'1"&amp;$A294&amp;"'!"&amp;D$291 )</f>
        <v>#REF!</v>
      </c>
      <c r="E294" s="207" t="e" cm="1">
        <f t="array" aca="1" ref="E294" ca="1">INDIRECT("'1"&amp;$A294&amp;"'!"&amp;E$291 )</f>
        <v>#REF!</v>
      </c>
      <c r="F294" s="207" t="e" cm="1">
        <f t="array" aca="1" ref="F294" ca="1">INDIRECT("'1"&amp;$A294&amp;"'!"&amp;F$291 )</f>
        <v>#REF!</v>
      </c>
      <c r="G294" s="207" t="e">
        <f ca="1">SUM(Table278112[[#This Row],[in decile 1]:[in decile 4]])</f>
        <v>#REF!</v>
      </c>
      <c r="O294" s="88"/>
      <c r="P294" s="94"/>
      <c r="R294" s="94"/>
    </row>
    <row r="295" spans="1:18" s="1" customFormat="1" x14ac:dyDescent="0.3">
      <c r="A295" s="86" t="s">
        <v>306</v>
      </c>
      <c r="B295" s="208" t="e" cm="1">
        <f t="array" aca="1" ref="B295" ca="1">INDIRECT("'1"&amp;$A295&amp;"'!"&amp;B$291 )</f>
        <v>#REF!</v>
      </c>
      <c r="C295" s="207" t="e" cm="1">
        <f t="array" aca="1" ref="C295" ca="1">INDIRECT("'1"&amp;$A295&amp;"'!"&amp;C$291 )</f>
        <v>#REF!</v>
      </c>
      <c r="D295" s="207" t="e" cm="1">
        <f t="array" aca="1" ref="D295" ca="1">INDIRECT("'1"&amp;$A295&amp;"'!"&amp;D$291 )</f>
        <v>#REF!</v>
      </c>
      <c r="E295" s="207" t="e" cm="1">
        <f t="array" aca="1" ref="E295" ca="1">INDIRECT("'1"&amp;$A295&amp;"'!"&amp;E$291 )</f>
        <v>#REF!</v>
      </c>
      <c r="F295" s="207" t="e" cm="1">
        <f t="array" aca="1" ref="F295" ca="1">INDIRECT("'1"&amp;$A295&amp;"'!"&amp;F$291 )</f>
        <v>#REF!</v>
      </c>
      <c r="G295" s="207" t="e">
        <f ca="1">SUM(Table278112[[#This Row],[in decile 1]:[in decile 4]])</f>
        <v>#REF!</v>
      </c>
      <c r="O295" s="89"/>
      <c r="P295" s="96"/>
      <c r="Q295" s="86"/>
      <c r="R295" s="96"/>
    </row>
    <row r="296" spans="1:18" s="1" customFormat="1" x14ac:dyDescent="0.3">
      <c r="A296" s="86" t="s">
        <v>307</v>
      </c>
      <c r="B296" s="208" t="e" cm="1">
        <f t="array" aca="1" ref="B296" ca="1">INDIRECT("'1"&amp;$A296&amp;"'!"&amp;B$291 )</f>
        <v>#REF!</v>
      </c>
      <c r="C296" s="207" t="e" cm="1">
        <f t="array" aca="1" ref="C296" ca="1">INDIRECT("'1"&amp;$A296&amp;"'!"&amp;C$291 )</f>
        <v>#REF!</v>
      </c>
      <c r="D296" s="207" t="e" cm="1">
        <f t="array" aca="1" ref="D296" ca="1">INDIRECT("'1"&amp;$A296&amp;"'!"&amp;D$291 )</f>
        <v>#REF!</v>
      </c>
      <c r="E296" s="207" t="e" cm="1">
        <f t="array" aca="1" ref="E296" ca="1">INDIRECT("'1"&amp;$A296&amp;"'!"&amp;E$291 )</f>
        <v>#REF!</v>
      </c>
      <c r="F296" s="207" t="e" cm="1">
        <f t="array" aca="1" ref="F296" ca="1">INDIRECT("'1"&amp;$A296&amp;"'!"&amp;F$291 )</f>
        <v>#REF!</v>
      </c>
      <c r="G296" s="207" t="e">
        <f ca="1">SUM(Table278112[[#This Row],[in decile 1]:[in decile 4]])</f>
        <v>#REF!</v>
      </c>
      <c r="O296" s="88"/>
      <c r="P296" s="94"/>
      <c r="R296" s="94"/>
    </row>
    <row r="297" spans="1:18" s="1" customFormat="1" x14ac:dyDescent="0.3">
      <c r="A297" s="86" t="s">
        <v>308</v>
      </c>
      <c r="B297" s="208" t="e" cm="1">
        <f t="array" aca="1" ref="B297" ca="1">INDIRECT("'1"&amp;$A297&amp;"'!"&amp;B$291 )</f>
        <v>#REF!</v>
      </c>
      <c r="C297" s="207" t="e" cm="1">
        <f t="array" aca="1" ref="C297" ca="1">INDIRECT("'1"&amp;$A297&amp;"'!"&amp;C$291 )</f>
        <v>#REF!</v>
      </c>
      <c r="D297" s="207" t="e" cm="1">
        <f t="array" aca="1" ref="D297" ca="1">INDIRECT("'1"&amp;$A297&amp;"'!"&amp;D$291 )</f>
        <v>#REF!</v>
      </c>
      <c r="E297" s="207" t="e" cm="1">
        <f t="array" aca="1" ref="E297" ca="1">INDIRECT("'1"&amp;$A297&amp;"'!"&amp;E$291 )</f>
        <v>#REF!</v>
      </c>
      <c r="F297" s="207" t="e" cm="1">
        <f t="array" aca="1" ref="F297" ca="1">INDIRECT("'1"&amp;$A297&amp;"'!"&amp;F$291 )</f>
        <v>#REF!</v>
      </c>
      <c r="G297" s="207" t="e">
        <f ca="1">SUM(Table278112[[#This Row],[in decile 1]:[in decile 4]])</f>
        <v>#REF!</v>
      </c>
      <c r="O297" s="89"/>
      <c r="P297" s="96"/>
      <c r="Q297" s="86"/>
      <c r="R297" s="96"/>
    </row>
    <row r="298" spans="1:18" s="1" customFormat="1" x14ac:dyDescent="0.3">
      <c r="A298" s="86" t="s">
        <v>309</v>
      </c>
      <c r="B298" s="208" t="e" cm="1">
        <f t="array" aca="1" ref="B298" ca="1">INDIRECT("'1"&amp;$A298&amp;"'!"&amp;B$291 )</f>
        <v>#REF!</v>
      </c>
      <c r="C298" s="207" t="e" cm="1">
        <f t="array" aca="1" ref="C298" ca="1">INDIRECT("'1"&amp;$A298&amp;"'!"&amp;C$291 )</f>
        <v>#REF!</v>
      </c>
      <c r="D298" s="207" t="e" cm="1">
        <f t="array" aca="1" ref="D298" ca="1">INDIRECT("'1"&amp;$A298&amp;"'!"&amp;D$291 )</f>
        <v>#REF!</v>
      </c>
      <c r="E298" s="207" t="e" cm="1">
        <f t="array" aca="1" ref="E298" ca="1">INDIRECT("'1"&amp;$A298&amp;"'!"&amp;E$291 )</f>
        <v>#REF!</v>
      </c>
      <c r="F298" s="207" t="e" cm="1">
        <f t="array" aca="1" ref="F298" ca="1">INDIRECT("'1"&amp;$A298&amp;"'!"&amp;F$291 )</f>
        <v>#REF!</v>
      </c>
      <c r="G298" s="207" t="e">
        <f ca="1">SUM(Table278112[[#This Row],[in decile 1]:[in decile 4]])</f>
        <v>#REF!</v>
      </c>
      <c r="O298" s="88"/>
      <c r="P298" s="94"/>
      <c r="R298" s="94"/>
    </row>
    <row r="299" spans="1:18" s="1" customFormat="1" x14ac:dyDescent="0.3">
      <c r="A299" s="86" t="s">
        <v>310</v>
      </c>
      <c r="B299" s="208" t="e" cm="1">
        <f t="array" aca="1" ref="B299" ca="1">INDIRECT("'1"&amp;$A299&amp;"'!"&amp;B$291 )</f>
        <v>#REF!</v>
      </c>
      <c r="C299" s="207" t="e" cm="1">
        <f t="array" aca="1" ref="C299" ca="1">INDIRECT("'1"&amp;$A299&amp;"'!"&amp;C$291 )</f>
        <v>#REF!</v>
      </c>
      <c r="D299" s="207" t="e" cm="1">
        <f t="array" aca="1" ref="D299" ca="1">INDIRECT("'1"&amp;$A299&amp;"'!"&amp;D$291 )</f>
        <v>#REF!</v>
      </c>
      <c r="E299" s="207" t="e" cm="1">
        <f t="array" aca="1" ref="E299" ca="1">INDIRECT("'1"&amp;$A299&amp;"'!"&amp;E$291 )</f>
        <v>#REF!</v>
      </c>
      <c r="F299" s="207" t="e" cm="1">
        <f t="array" aca="1" ref="F299" ca="1">INDIRECT("'1"&amp;$A299&amp;"'!"&amp;F$291 )</f>
        <v>#REF!</v>
      </c>
      <c r="G299" s="207" t="e">
        <f ca="1">SUM(Table278112[[#This Row],[in decile 1]:[in decile 4]])</f>
        <v>#REF!</v>
      </c>
      <c r="O299" s="89"/>
      <c r="P299" s="96"/>
      <c r="Q299" s="86"/>
      <c r="R299" s="96"/>
    </row>
    <row r="300" spans="1:18" s="1" customFormat="1" x14ac:dyDescent="0.3">
      <c r="A300" s="86" t="s">
        <v>311</v>
      </c>
      <c r="B300" s="208" t="e" cm="1">
        <f t="array" aca="1" ref="B300" ca="1">INDIRECT("'1"&amp;$A300&amp;"'!"&amp;B$291 )</f>
        <v>#REF!</v>
      </c>
      <c r="C300" s="207" t="e" cm="1">
        <f t="array" aca="1" ref="C300" ca="1">INDIRECT("'1"&amp;$A300&amp;"'!"&amp;C$291 )</f>
        <v>#REF!</v>
      </c>
      <c r="D300" s="207" t="e" cm="1">
        <f t="array" aca="1" ref="D300" ca="1">INDIRECT("'1"&amp;$A300&amp;"'!"&amp;D$291 )</f>
        <v>#REF!</v>
      </c>
      <c r="E300" s="207" t="e" cm="1">
        <f t="array" aca="1" ref="E300" ca="1">INDIRECT("'1"&amp;$A300&amp;"'!"&amp;E$291 )</f>
        <v>#REF!</v>
      </c>
      <c r="F300" s="207" t="e" cm="1">
        <f t="array" aca="1" ref="F300" ca="1">INDIRECT("'1"&amp;$A300&amp;"'!"&amp;F$291 )</f>
        <v>#REF!</v>
      </c>
      <c r="G300" s="207" t="e">
        <f ca="1">SUM(Table278112[[#This Row],[in decile 1]:[in decile 4]])</f>
        <v>#REF!</v>
      </c>
      <c r="O300" s="88"/>
      <c r="P300" s="94"/>
      <c r="R300" s="94"/>
    </row>
    <row r="301" spans="1:18" s="1" customFormat="1" x14ac:dyDescent="0.3">
      <c r="A301" s="1" t="s">
        <v>208</v>
      </c>
      <c r="B301" s="207" cm="1">
        <f t="array" aca="1" ref="B301" ca="1">INDIRECT("'1"&amp;$A301&amp;"'!"&amp;B$291 )</f>
        <v>54.508321169159402</v>
      </c>
      <c r="C301" s="207" cm="1">
        <f t="array" aca="1" ref="C301" ca="1">INDIRECT("'1"&amp;$A301&amp;"'!"&amp;C$291 )</f>
        <v>100</v>
      </c>
      <c r="D301" s="207" cm="1">
        <f t="array" aca="1" ref="D301" ca="1">INDIRECT("'1"&amp;$A301&amp;"'!"&amp;D$291 )</f>
        <v>98.877348588587751</v>
      </c>
      <c r="E301" s="207" cm="1">
        <f t="array" aca="1" ref="E301" ca="1">INDIRECT("'1"&amp;$A301&amp;"'!"&amp;E$291 )</f>
        <v>88.585854380312455</v>
      </c>
      <c r="F301" s="207" cm="1">
        <f t="array" aca="1" ref="F301" ca="1">INDIRECT("'1"&amp;$A301&amp;"'!"&amp;F$291 )</f>
        <v>81.084071773758936</v>
      </c>
      <c r="G301" s="207">
        <f ca="1">SUM(Table278112[[#This Row],[in decile 1]:[in decile 4]])</f>
        <v>368.54727474265911</v>
      </c>
      <c r="O301" s="88"/>
      <c r="P301" s="94"/>
      <c r="R301" s="94"/>
    </row>
    <row r="302" spans="1:18" s="1" customFormat="1" x14ac:dyDescent="0.3">
      <c r="A302" s="1" t="s">
        <v>225</v>
      </c>
      <c r="B302" s="207" cm="1">
        <f t="array" aca="1" ref="B302" ca="1">INDIRECT("'1"&amp;$A302&amp;"'!"&amp;B$291 )</f>
        <v>47.145768259479496</v>
      </c>
      <c r="C302" s="207" cm="1">
        <f t="array" aca="1" ref="C302" ca="1">INDIRECT("'1"&amp;$A302&amp;"'!"&amp;C$291 )</f>
        <v>95.202521653496632</v>
      </c>
      <c r="D302" s="207" cm="1">
        <f t="array" aca="1" ref="D302" ca="1">INDIRECT("'1"&amp;$A302&amp;"'!"&amp;D$291 )</f>
        <v>93.988284201175873</v>
      </c>
      <c r="E302" s="207" cm="1">
        <f t="array" aca="1" ref="E302" ca="1">INDIRECT("'1"&amp;$A302&amp;"'!"&amp;E$291 )</f>
        <v>89.215765183956009</v>
      </c>
      <c r="F302" s="207" cm="1">
        <f t="array" aca="1" ref="F302" ca="1">INDIRECT("'1"&amp;$A302&amp;"'!"&amp;F$291 )</f>
        <v>71.864820406001201</v>
      </c>
      <c r="G302" s="207">
        <f ca="1">SUM(Table278112[[#This Row],[in decile 1]:[in decile 4]])</f>
        <v>350.27139144462967</v>
      </c>
      <c r="O302" s="88"/>
      <c r="P302" s="94"/>
      <c r="R302" s="94"/>
    </row>
    <row r="303" spans="1:18" s="1" customFormat="1" x14ac:dyDescent="0.3">
      <c r="A303" s="1" t="s">
        <v>218</v>
      </c>
      <c r="B303" s="207" cm="1">
        <f t="array" aca="1" ref="B303" ca="1">INDIRECT("'1"&amp;$A303&amp;"'!"&amp;B$291 )</f>
        <v>29.998414501270155</v>
      </c>
      <c r="C303" s="207" cm="1">
        <f t="array" aca="1" ref="C303" ca="1">INDIRECT("'1"&amp;$A303&amp;"'!"&amp;C$291 )</f>
        <v>95.894969974551771</v>
      </c>
      <c r="D303" s="207" cm="1">
        <f t="array" aca="1" ref="D303" ca="1">INDIRECT("'1"&amp;$A303&amp;"'!"&amp;D$291 )</f>
        <v>90.382712327839585</v>
      </c>
      <c r="E303" s="207" cm="1">
        <f t="array" aca="1" ref="E303" ca="1">INDIRECT("'1"&amp;$A303&amp;"'!"&amp;E$291 )</f>
        <v>65.729198738319326</v>
      </c>
      <c r="F303" s="207" cm="1">
        <f t="array" aca="1" ref="F303" ca="1">INDIRECT("'1"&amp;$A303&amp;"'!"&amp;F$291 )</f>
        <v>38.32298938309642</v>
      </c>
      <c r="G303" s="207">
        <f ca="1">SUM(Table278112[[#This Row],[in decile 1]:[in decile 4]])</f>
        <v>290.32987042380711</v>
      </c>
      <c r="O303" s="89"/>
      <c r="P303" s="96"/>
      <c r="Q303" s="86"/>
      <c r="R303" s="96"/>
    </row>
    <row r="304" spans="1:18" s="1" customFormat="1" x14ac:dyDescent="0.3">
      <c r="A304" s="1" t="s">
        <v>217</v>
      </c>
      <c r="B304" s="207" cm="1">
        <f t="array" aca="1" ref="B304" ca="1">INDIRECT("'1"&amp;$A304&amp;"'!"&amp;B$291 )</f>
        <v>32.29242207454184</v>
      </c>
      <c r="C304" s="207" cm="1">
        <f t="array" aca="1" ref="C304" ca="1">INDIRECT("'1"&amp;$A304&amp;"'!"&amp;C$291 )</f>
        <v>87.648248736475608</v>
      </c>
      <c r="D304" s="207" cm="1">
        <f t="array" aca="1" ref="D304" ca="1">INDIRECT("'1"&amp;$A304&amp;"'!"&amp;D$291 )</f>
        <v>76.047527906314627</v>
      </c>
      <c r="E304" s="207" cm="1">
        <f t="array" aca="1" ref="E304" ca="1">INDIRECT("'1"&amp;$A304&amp;"'!"&amp;E$291 )</f>
        <v>58.706880411882899</v>
      </c>
      <c r="F304" s="207" cm="1">
        <f t="array" aca="1" ref="F304" ca="1">INDIRECT("'1"&amp;$A304&amp;"'!"&amp;F$291 )</f>
        <v>54.434081800485544</v>
      </c>
      <c r="G304" s="207">
        <f ca="1">SUM(Table278112[[#This Row],[in decile 1]:[in decile 4]])</f>
        <v>276.83673885515867</v>
      </c>
      <c r="O304" s="89"/>
      <c r="P304" s="96"/>
      <c r="Q304" s="86"/>
      <c r="R304" s="96"/>
    </row>
    <row r="305" spans="1:18" s="1" customFormat="1" x14ac:dyDescent="0.3">
      <c r="A305" s="1" t="s">
        <v>233</v>
      </c>
      <c r="B305" s="207" cm="1">
        <f t="array" aca="1" ref="B305" ca="1">INDIRECT("'1"&amp;$A305&amp;"'!"&amp;B$291 )</f>
        <v>30.883961936994652</v>
      </c>
      <c r="C305" s="207" cm="1">
        <f t="array" aca="1" ref="C305" ca="1">INDIRECT("'1"&amp;$A305&amp;"'!"&amp;C$291 )</f>
        <v>83.76192003752638</v>
      </c>
      <c r="D305" s="207" cm="1">
        <f t="array" aca="1" ref="D305" ca="1">INDIRECT("'1"&amp;$A305&amp;"'!"&amp;D$291 )</f>
        <v>52.988985897209261</v>
      </c>
      <c r="E305" s="207" cm="1">
        <f t="array" aca="1" ref="E305" ca="1">INDIRECT("'1"&amp;$A305&amp;"'!"&amp;E$291 )</f>
        <v>74.562263144815404</v>
      </c>
      <c r="F305" s="207" cm="1">
        <f t="array" aca="1" ref="F305" ca="1">INDIRECT("'1"&amp;$A305&amp;"'!"&amp;F$291 )</f>
        <v>47.018997510327701</v>
      </c>
      <c r="G305" s="207">
        <f ca="1">SUM(Table278112[[#This Row],[in decile 1]:[in decile 4]])</f>
        <v>258.33216658987874</v>
      </c>
      <c r="O305" s="88"/>
      <c r="P305" s="94"/>
      <c r="R305" s="94"/>
    </row>
    <row r="306" spans="1:18" s="1" customFormat="1" x14ac:dyDescent="0.3">
      <c r="A306" s="1" t="s">
        <v>249</v>
      </c>
      <c r="B306" s="207" cm="1">
        <f t="array" aca="1" ref="B306" ca="1">INDIRECT("'1"&amp;$A306&amp;"'!"&amp;B$291 )</f>
        <v>27.892250914839178</v>
      </c>
      <c r="C306" s="207" cm="1">
        <f t="array" aca="1" ref="C306" ca="1">INDIRECT("'1"&amp;$A306&amp;"'!"&amp;C$291 )</f>
        <v>91.479342459440289</v>
      </c>
      <c r="D306" s="207" cm="1">
        <f t="array" aca="1" ref="D306" ca="1">INDIRECT("'1"&amp;$A306&amp;"'!"&amp;D$291 )</f>
        <v>80.439492271305966</v>
      </c>
      <c r="E306" s="207" cm="1">
        <f t="array" aca="1" ref="E306" ca="1">INDIRECT("'1"&amp;$A306&amp;"'!"&amp;E$291 )</f>
        <v>59.214315097127525</v>
      </c>
      <c r="F306" s="207" cm="1">
        <f t="array" aca="1" ref="F306" ca="1">INDIRECT("'1"&amp;$A306&amp;"'!"&amp;F$291 )</f>
        <v>26.152393338805126</v>
      </c>
      <c r="G306" s="207">
        <f ca="1">SUM(Table278112[[#This Row],[in decile 1]:[in decile 4]])</f>
        <v>257.28554316667891</v>
      </c>
      <c r="O306" s="88"/>
      <c r="P306" s="94"/>
      <c r="R306" s="94"/>
    </row>
    <row r="307" spans="1:18" s="1" customFormat="1" x14ac:dyDescent="0.3">
      <c r="A307" s="1" t="s">
        <v>252</v>
      </c>
      <c r="B307" s="207" cm="1">
        <f t="array" aca="1" ref="B307" ca="1">INDIRECT("'1"&amp;$A307&amp;"'!"&amp;B$291 )</f>
        <v>26.271192381372099</v>
      </c>
      <c r="C307" s="207" cm="1">
        <f t="array" aca="1" ref="C307" ca="1">INDIRECT("'1"&amp;$A307&amp;"'!"&amp;C$291 )</f>
        <v>89.125411383940673</v>
      </c>
      <c r="D307" s="207" cm="1">
        <f t="array" aca="1" ref="D307" ca="1">INDIRECT("'1"&amp;$A307&amp;"'!"&amp;D$291 )</f>
        <v>63.91034764409099</v>
      </c>
      <c r="E307" s="207" cm="1">
        <f t="array" aca="1" ref="E307" ca="1">INDIRECT("'1"&amp;$A307&amp;"'!"&amp;E$291 )</f>
        <v>41.23878646103546</v>
      </c>
      <c r="F307" s="207" cm="1">
        <f t="array" aca="1" ref="F307" ca="1">INDIRECT("'1"&amp;$A307&amp;"'!"&amp;F$291 )</f>
        <v>12.973579163134463</v>
      </c>
      <c r="G307" s="207">
        <f ca="1">SUM(Table278112[[#This Row],[in decile 1]:[in decile 4]])</f>
        <v>207.2481246522016</v>
      </c>
      <c r="O307" s="88"/>
      <c r="P307" s="94"/>
      <c r="R307" s="94"/>
    </row>
    <row r="308" spans="1:18" s="1" customFormat="1" x14ac:dyDescent="0.3">
      <c r="A308" s="1" t="s">
        <v>227</v>
      </c>
      <c r="B308" s="207" cm="1">
        <f t="array" aca="1" ref="B308" ca="1">INDIRECT("'1"&amp;$A308&amp;"'!"&amp;B$291 )</f>
        <v>25.1</v>
      </c>
      <c r="C308" s="207" cm="1">
        <f t="array" aca="1" ref="C308" ca="1">INDIRECT("'1"&amp;$A308&amp;"'!"&amp;C$291 )</f>
        <v>63.4</v>
      </c>
      <c r="D308" s="207" cm="1">
        <f t="array" aca="1" ref="D308" ca="1">INDIRECT("'1"&amp;$A308&amp;"'!"&amp;D$291 )</f>
        <v>52.400000000000006</v>
      </c>
      <c r="E308" s="207" cm="1">
        <f t="array" aca="1" ref="E308" ca="1">INDIRECT("'1"&amp;$A308&amp;"'!"&amp;E$291 )</f>
        <v>40.400000000000006</v>
      </c>
      <c r="F308" s="207" cm="1">
        <f t="array" aca="1" ref="F308" ca="1">INDIRECT("'1"&amp;$A308&amp;"'!"&amp;F$291 )</f>
        <v>28.1</v>
      </c>
      <c r="G308" s="207">
        <f ca="1">SUM(Table278112[[#This Row],[in decile 1]:[in decile 4]])</f>
        <v>184.3</v>
      </c>
      <c r="O308" s="91"/>
      <c r="P308" s="95"/>
      <c r="Q308" s="92"/>
      <c r="R308" s="95"/>
    </row>
    <row r="309" spans="1:18" s="1" customFormat="1" x14ac:dyDescent="0.3">
      <c r="A309" s="1" t="s">
        <v>210</v>
      </c>
      <c r="B309" s="207" cm="1">
        <f t="array" aca="1" ref="B309" ca="1">INDIRECT("'1"&amp;$A309&amp;"'!"&amp;B$291 )</f>
        <v>19.426861178228304</v>
      </c>
      <c r="C309" s="207" cm="1">
        <f t="array" aca="1" ref="C309" ca="1">INDIRECT("'1"&amp;$A309&amp;"'!"&amp;C$291 )</f>
        <v>92.635051499048132</v>
      </c>
      <c r="D309" s="207" cm="1">
        <f t="array" aca="1" ref="D309" ca="1">INDIRECT("'1"&amp;$A309&amp;"'!"&amp;D$291 )</f>
        <v>48.212024146275681</v>
      </c>
      <c r="E309" s="207" cm="1">
        <f t="array" aca="1" ref="E309" ca="1">INDIRECT("'1"&amp;$A309&amp;"'!"&amp;E$291 )</f>
        <v>24.600578490341761</v>
      </c>
      <c r="F309" s="207" cm="1">
        <f t="array" aca="1" ref="F309" ca="1">INDIRECT("'1"&amp;$A309&amp;"'!"&amp;F$291 )</f>
        <v>9.7683359491241735</v>
      </c>
      <c r="G309" s="207">
        <f ca="1">SUM(Table278112[[#This Row],[in decile 1]:[in decile 4]])</f>
        <v>175.21599008478975</v>
      </c>
      <c r="O309" s="88"/>
      <c r="P309" s="94"/>
      <c r="Q309" s="99"/>
      <c r="R309" s="100"/>
    </row>
    <row r="310" spans="1:18" s="1" customFormat="1" x14ac:dyDescent="0.3">
      <c r="A310" s="1" t="s">
        <v>254</v>
      </c>
      <c r="B310" s="207" cm="1">
        <f t="array" aca="1" ref="B310" ca="1">INDIRECT("'1"&amp;$A310&amp;"'!"&amp;B$291 )</f>
        <v>25.084805448895874</v>
      </c>
      <c r="C310" s="207" cm="1">
        <f t="array" aca="1" ref="C310" ca="1">INDIRECT("'1"&amp;$A310&amp;"'!"&amp;C$291 )</f>
        <v>100</v>
      </c>
      <c r="D310" s="207" cm="1">
        <f t="array" aca="1" ref="D310" ca="1">INDIRECT("'1"&amp;$A310&amp;"'!"&amp;D$291 )</f>
        <v>28.561958560405277</v>
      </c>
      <c r="E310" s="207" cm="1">
        <f t="array" aca="1" ref="E310" ca="1">INDIRECT("'1"&amp;$A310&amp;"'!"&amp;E$291 )</f>
        <v>28.015526990036033</v>
      </c>
      <c r="F310" s="207" cm="1">
        <f t="array" aca="1" ref="F310" ca="1">INDIRECT("'1"&amp;$A310&amp;"'!"&amp;F$291 )</f>
        <v>10.433451886845679</v>
      </c>
      <c r="G310" s="207">
        <f ca="1">SUM(Table278112[[#This Row],[in decile 1]:[in decile 4]])</f>
        <v>167.010937437287</v>
      </c>
      <c r="O310" s="88"/>
      <c r="P310" s="94"/>
      <c r="Q310" s="88"/>
      <c r="R310" s="94"/>
    </row>
    <row r="311" spans="1:18" s="1" customFormat="1" x14ac:dyDescent="0.3">
      <c r="A311" s="1" t="s">
        <v>234</v>
      </c>
      <c r="B311" s="207" cm="1">
        <f t="array" aca="1" ref="B311" ca="1">INDIRECT("'1"&amp;$A311&amp;"'!"&amp;B$291 )</f>
        <v>16.685444287520568</v>
      </c>
      <c r="C311" s="207" cm="1">
        <f t="array" aca="1" ref="C311" ca="1">INDIRECT("'1"&amp;$A311&amp;"'!"&amp;C$291 )</f>
        <v>97.864119442169155</v>
      </c>
      <c r="D311" s="207" cm="1">
        <f t="array" aca="1" ref="D311" ca="1">INDIRECT("'1"&amp;$A311&amp;"'!"&amp;D$291 )</f>
        <v>59.545615821144573</v>
      </c>
      <c r="E311" s="207" cm="1">
        <f t="array" aca="1" ref="E311" ca="1">INDIRECT("'1"&amp;$A311&amp;"'!"&amp;E$291 )</f>
        <v>8.3612114817762659</v>
      </c>
      <c r="F311" s="207" cm="1">
        <f t="array" aca="1" ref="F311" ca="1">INDIRECT("'1"&amp;$A311&amp;"'!"&amp;F$291 )</f>
        <v>0</v>
      </c>
      <c r="G311" s="207">
        <f ca="1">SUM(Table278112[[#This Row],[in decile 1]:[in decile 4]])</f>
        <v>165.77094674508999</v>
      </c>
      <c r="O311" s="89"/>
      <c r="P311" s="96"/>
      <c r="Q311" s="88"/>
      <c r="R311" s="96"/>
    </row>
    <row r="312" spans="1:18" s="1" customFormat="1" x14ac:dyDescent="0.3">
      <c r="A312" s="1" t="s">
        <v>214</v>
      </c>
      <c r="B312" s="207" cm="1">
        <f t="array" aca="1" ref="B312" ca="1">INDIRECT("'1"&amp;$A312&amp;"'!"&amp;B$291 )</f>
        <v>19.593350209146365</v>
      </c>
      <c r="C312" s="207" cm="1">
        <f t="array" aca="1" ref="C312" ca="1">INDIRECT("'1"&amp;$A312&amp;"'!"&amp;C$291 )</f>
        <v>91.29620516683778</v>
      </c>
      <c r="D312" s="207" cm="1">
        <f t="array" aca="1" ref="D312" ca="1">INDIRECT("'1"&amp;$A312&amp;"'!"&amp;D$291 )</f>
        <v>53.441297485679328</v>
      </c>
      <c r="E312" s="207" cm="1">
        <f t="array" aca="1" ref="E312" ca="1">INDIRECT("'1"&amp;$A312&amp;"'!"&amp;E$291 )</f>
        <v>10.248820903517331</v>
      </c>
      <c r="F312" s="207" cm="1">
        <f t="array" aca="1" ref="F312" ca="1">INDIRECT("'1"&amp;$A312&amp;"'!"&amp;F$291 )</f>
        <v>0</v>
      </c>
      <c r="G312" s="207">
        <f ca="1">SUM(Table278112[[#This Row],[in decile 1]:[in decile 4]])</f>
        <v>154.98632355603442</v>
      </c>
      <c r="O312" s="88"/>
      <c r="P312" s="94"/>
      <c r="Q312" s="88"/>
      <c r="R312" s="94"/>
    </row>
    <row r="313" spans="1:18" s="1" customFormat="1" x14ac:dyDescent="0.3">
      <c r="A313" s="1" t="s">
        <v>238</v>
      </c>
      <c r="B313" s="207" cm="1">
        <f t="array" aca="1" ref="B313" ca="1">INDIRECT("'1"&amp;$A313&amp;"'!"&amp;B$291 )</f>
        <v>25.107140959074147</v>
      </c>
      <c r="C313" s="207" cm="1">
        <f t="array" aca="1" ref="C313" ca="1">INDIRECT("'1"&amp;$A313&amp;"'!"&amp;C$291 )</f>
        <v>100</v>
      </c>
      <c r="D313" s="207" cm="1">
        <f t="array" aca="1" ref="D313" ca="1">INDIRECT("'1"&amp;$A313&amp;"'!"&amp;D$291 )</f>
        <v>24.764460719072812</v>
      </c>
      <c r="E313" s="207" cm="1">
        <f t="array" aca="1" ref="E313" ca="1">INDIRECT("'1"&amp;$A313&amp;"'!"&amp;E$291 )</f>
        <v>12.073208100016863</v>
      </c>
      <c r="F313" s="207" cm="1">
        <f t="array" aca="1" ref="F313" ca="1">INDIRECT("'1"&amp;$A313&amp;"'!"&amp;F$291 )</f>
        <v>0.13232217812521041</v>
      </c>
      <c r="G313" s="207">
        <f ca="1">SUM(Table278112[[#This Row],[in decile 1]:[in decile 4]])</f>
        <v>136.96999099721489</v>
      </c>
      <c r="O313" s="89"/>
      <c r="P313" s="96"/>
      <c r="Q313" s="88"/>
      <c r="R313" s="96"/>
    </row>
    <row r="314" spans="1:18" s="1" customFormat="1" x14ac:dyDescent="0.3">
      <c r="A314" s="1" t="s">
        <v>242</v>
      </c>
      <c r="B314" s="207" cm="1">
        <f t="array" aca="1" ref="B314" ca="1">INDIRECT("'1"&amp;$A314&amp;"'!"&amp;B$291 )</f>
        <v>10.0282920051462</v>
      </c>
      <c r="C314" s="207" cm="1">
        <f t="array" aca="1" ref="C314" ca="1">INDIRECT("'1"&amp;$A314&amp;"'!"&amp;C$291 )</f>
        <v>78.061321424581521</v>
      </c>
      <c r="D314" s="207" cm="1">
        <f t="array" aca="1" ref="D314" ca="1">INDIRECT("'1"&amp;$A314&amp;"'!"&amp;D$291 )</f>
        <v>4.8171153353775757</v>
      </c>
      <c r="E314" s="207" cm="1">
        <f t="array" aca="1" ref="E314" ca="1">INDIRECT("'1"&amp;$A314&amp;"'!"&amp;E$291 )</f>
        <v>0.56804482836023684</v>
      </c>
      <c r="F314" s="207" cm="1">
        <f t="array" aca="1" ref="F314" ca="1">INDIRECT("'1"&amp;$A314&amp;"'!"&amp;F$291 )</f>
        <v>0</v>
      </c>
      <c r="G314" s="207">
        <f ca="1">SUM(Table278112[[#This Row],[in decile 1]:[in decile 4]])</f>
        <v>83.446481588319344</v>
      </c>
      <c r="O314" s="88"/>
      <c r="P314" s="94"/>
      <c r="Q314" s="88"/>
      <c r="R314" s="94"/>
    </row>
    <row r="315" spans="1:18" s="1" customFormat="1" x14ac:dyDescent="0.3">
      <c r="A315" s="1" t="s">
        <v>204</v>
      </c>
      <c r="B315" s="207" cm="1">
        <f t="array" aca="1" ref="B315" ca="1">INDIRECT("'1"&amp;$A315&amp;"'!"&amp;B$291 )</f>
        <v>8.68814883280975</v>
      </c>
      <c r="C315" s="207" cm="1">
        <f t="array" aca="1" ref="C315" ca="1">INDIRECT("'1"&amp;$A315&amp;"'!"&amp;C$291 )</f>
        <v>38.935880688253718</v>
      </c>
      <c r="D315" s="207" cm="1">
        <f t="array" aca="1" ref="D315" ca="1">INDIRECT("'1"&amp;$A315&amp;"'!"&amp;D$291 )</f>
        <v>34.835838819858736</v>
      </c>
      <c r="E315" s="207" cm="1">
        <f t="array" aca="1" ref="E315" ca="1">INDIRECT("'1"&amp;$A315&amp;"'!"&amp;E$291 )</f>
        <v>3.5931418090808243</v>
      </c>
      <c r="F315" s="207" cm="1">
        <f t="array" aca="1" ref="F315" ca="1">INDIRECT("'1"&amp;$A315&amp;"'!"&amp;F$291 )</f>
        <v>0.32938727279874236</v>
      </c>
      <c r="G315" s="207">
        <f ca="1">SUM(Table278112[[#This Row],[in decile 1]:[in decile 4]])</f>
        <v>77.694248589992014</v>
      </c>
      <c r="O315" s="89"/>
      <c r="P315" s="96"/>
      <c r="Q315" s="88"/>
      <c r="R315" s="96"/>
    </row>
    <row r="316" spans="1:18" s="1" customFormat="1" x14ac:dyDescent="0.3">
      <c r="A316" s="1" t="s">
        <v>240</v>
      </c>
      <c r="B316" s="207" cm="1">
        <f t="array" aca="1" ref="B316" ca="1">INDIRECT("'1"&amp;$A316&amp;"'!"&amp;B$291 )</f>
        <v>4.1840421770169449</v>
      </c>
      <c r="C316" s="207" cm="1">
        <f t="array" aca="1" ref="C316" ca="1">INDIRECT("'1"&amp;$A316&amp;"'!"&amp;C$291 )</f>
        <v>37.135708581159989</v>
      </c>
      <c r="D316" s="207" cm="1">
        <f t="array" aca="1" ref="D316" ca="1">INDIRECT("'1"&amp;$A316&amp;"'!"&amp;D$291 )</f>
        <v>4.0351713167629537</v>
      </c>
      <c r="E316" s="207" cm="1">
        <f t="array" aca="1" ref="E316" ca="1">INDIRECT("'1"&amp;$A316&amp;"'!"&amp;E$291 )</f>
        <v>0</v>
      </c>
      <c r="F316" s="207" cm="1">
        <f t="array" aca="1" ref="F316" ca="1">INDIRECT("'1"&amp;$A316&amp;"'!"&amp;F$291 )</f>
        <v>0</v>
      </c>
      <c r="G316" s="207">
        <f ca="1">SUM(Table278112[[#This Row],[in decile 1]:[in decile 4]])</f>
        <v>41.170879897922944</v>
      </c>
      <c r="O316" s="88"/>
      <c r="P316" s="94"/>
      <c r="Q316" s="88"/>
      <c r="R316" s="94"/>
    </row>
    <row r="317" spans="1:18" s="1" customFormat="1" x14ac:dyDescent="0.3">
      <c r="A317" s="1" t="s">
        <v>222</v>
      </c>
      <c r="B317" s="207" cm="1">
        <f t="array" aca="1" ref="B317" ca="1">INDIRECT("'1"&amp;$A317&amp;"'!"&amp;B$291 )</f>
        <v>4.0332719907852699</v>
      </c>
      <c r="C317" s="207" cm="1">
        <f t="array" aca="1" ref="C317" ca="1">INDIRECT("'1"&amp;$A317&amp;"'!"&amp;C$291 )</f>
        <v>28.171680686886745</v>
      </c>
      <c r="D317" s="207" cm="1">
        <f t="array" aca="1" ref="D317" ca="1">INDIRECT("'1"&amp;$A317&amp;"'!"&amp;D$291 )</f>
        <v>3.9017049650940439</v>
      </c>
      <c r="E317" s="207" cm="1">
        <f t="array" aca="1" ref="E317" ca="1">INDIRECT("'1"&amp;$A317&amp;"'!"&amp;E$291 )</f>
        <v>9.9381243954976828E-2</v>
      </c>
      <c r="F317" s="207" cm="1">
        <f t="array" aca="1" ref="F317" ca="1">INDIRECT("'1"&amp;$A317&amp;"'!"&amp;F$291 )</f>
        <v>0</v>
      </c>
      <c r="G317" s="207">
        <f ca="1">SUM(Table278112[[#This Row],[in decile 1]:[in decile 4]])</f>
        <v>32.172766895935766</v>
      </c>
      <c r="O317" s="88"/>
      <c r="P317" s="94"/>
      <c r="Q317" s="88"/>
      <c r="R317" s="94"/>
    </row>
    <row r="318" spans="1:18" s="1" customFormat="1" x14ac:dyDescent="0.3">
      <c r="A318" s="1" t="s">
        <v>3</v>
      </c>
      <c r="B318" s="207" cm="1">
        <f t="array" aca="1" ref="B318" ca="1">INDIRECT("'1"&amp;$A318&amp;"'!"&amp;B$291 )</f>
        <v>3.3936931431305273</v>
      </c>
      <c r="C318" s="207" cm="1">
        <f t="array" aca="1" ref="C318" ca="1">INDIRECT("'1"&amp;$A318&amp;"'!"&amp;C$291 )</f>
        <v>17.164667748349537</v>
      </c>
      <c r="D318" s="207" cm="1">
        <f t="array" aca="1" ref="D318" ca="1">INDIRECT("'1"&amp;$A318&amp;"'!"&amp;D$291 )</f>
        <v>14.776200704358677</v>
      </c>
      <c r="E318" s="207" cm="1">
        <f t="array" aca="1" ref="E318" ca="1">INDIRECT("'1"&amp;$A318&amp;"'!"&amp;E$291 )</f>
        <v>0</v>
      </c>
      <c r="F318" s="207" cm="1">
        <f t="array" aca="1" ref="F318" ca="1">INDIRECT("'1"&amp;$A318&amp;"'!"&amp;F$291 )</f>
        <v>0</v>
      </c>
      <c r="G318" s="207">
        <f ca="1">SUM(Table278112[[#This Row],[in decile 1]:[in decile 4]])</f>
        <v>31.940868452708216</v>
      </c>
      <c r="O318" s="88"/>
      <c r="P318" s="94"/>
      <c r="Q318" s="88"/>
      <c r="R318" s="94"/>
    </row>
    <row r="319" spans="1:18" s="1" customFormat="1" x14ac:dyDescent="0.3">
      <c r="A319" s="1" t="s">
        <v>245</v>
      </c>
      <c r="B319" s="207" cm="1">
        <f t="array" aca="1" ref="B319" ca="1">INDIRECT("'1"&amp;$A319&amp;"'!"&amp;B$291 )</f>
        <v>2.4124533368460876</v>
      </c>
      <c r="C319" s="207" cm="1">
        <f t="array" aca="1" ref="C319" ca="1">INDIRECT("'1"&amp;$A319&amp;"'!"&amp;C$291 )</f>
        <v>17.047520674143644</v>
      </c>
      <c r="D319" s="207" cm="1">
        <f t="array" aca="1" ref="D319" ca="1">INDIRECT("'1"&amp;$A319&amp;"'!"&amp;D$291 )</f>
        <v>2.3691960882763596</v>
      </c>
      <c r="E319" s="207" cm="1">
        <f t="array" aca="1" ref="E319" ca="1">INDIRECT("'1"&amp;$A319&amp;"'!"&amp;E$291 )</f>
        <v>1.3671990050002414</v>
      </c>
      <c r="F319" s="207" cm="1">
        <f t="array" aca="1" ref="F319" ca="1">INDIRECT("'1"&amp;$A319&amp;"'!"&amp;F$291 )</f>
        <v>0</v>
      </c>
      <c r="G319" s="207">
        <f ca="1">SUM(Table278112[[#This Row],[in decile 1]:[in decile 4]])</f>
        <v>20.783915767420247</v>
      </c>
      <c r="O319" s="89"/>
      <c r="P319" s="96"/>
      <c r="Q319" s="88"/>
      <c r="R319" s="96"/>
    </row>
    <row r="320" spans="1:18" s="1" customFormat="1" x14ac:dyDescent="0.3">
      <c r="A320" s="1" t="s">
        <v>247</v>
      </c>
      <c r="B320" s="207" cm="1">
        <f t="array" aca="1" ref="B320" ca="1">INDIRECT("'1"&amp;$A320&amp;"'!"&amp;B$291 )</f>
        <v>0.68093063335666892</v>
      </c>
      <c r="C320" s="207" cm="1">
        <f t="array" aca="1" ref="C320" ca="1">INDIRECT("'1"&amp;$A320&amp;"'!"&amp;C$291 )</f>
        <v>5.4387663520872875</v>
      </c>
      <c r="D320" s="207" cm="1">
        <f t="array" aca="1" ref="D320" ca="1">INDIRECT("'1"&amp;$A320&amp;"'!"&amp;D$291 )</f>
        <v>4.8479981667615135E-2</v>
      </c>
      <c r="E320" s="207" cm="1">
        <f t="array" aca="1" ref="E320" ca="1">INDIRECT("'1"&amp;$A320&amp;"'!"&amp;E$291 )</f>
        <v>0</v>
      </c>
      <c r="F320" s="207" cm="1">
        <f t="array" aca="1" ref="F320" ca="1">INDIRECT("'1"&amp;$A320&amp;"'!"&amp;F$291 )</f>
        <v>0.14839996514711684</v>
      </c>
      <c r="G320" s="207">
        <f ca="1">SUM(Table278112[[#This Row],[in decile 1]:[in decile 4]])</f>
        <v>5.6356462989020191</v>
      </c>
      <c r="O320" s="89"/>
      <c r="P320" s="96"/>
      <c r="Q320" s="88"/>
      <c r="R320" s="96"/>
    </row>
    <row r="321" spans="1:18" s="1" customFormat="1" x14ac:dyDescent="0.3">
      <c r="A321" s="1" t="s">
        <v>223</v>
      </c>
      <c r="B321" s="207" cm="1">
        <f t="array" aca="1" ref="B321" ca="1">INDIRECT("'1"&amp;$A321&amp;"'!"&amp;B$291 )</f>
        <v>0.17765199183533698</v>
      </c>
      <c r="C321" s="207" cm="1">
        <f t="array" aca="1" ref="C321" ca="1">INDIRECT("'1"&amp;$A321&amp;"'!"&amp;C$291 )</f>
        <v>1.8172206719078265</v>
      </c>
      <c r="D321" s="207" cm="1">
        <f t="array" aca="1" ref="D321" ca="1">INDIRECT("'1"&amp;$A321&amp;"'!"&amp;D$291 )</f>
        <v>0</v>
      </c>
      <c r="E321" s="207" cm="1">
        <f t="array" aca="1" ref="E321" ca="1">INDIRECT("'1"&amp;$A321&amp;"'!"&amp;E$291 )</f>
        <v>0</v>
      </c>
      <c r="F321" s="207" cm="1">
        <f t="array" aca="1" ref="F321" ca="1">INDIRECT("'1"&amp;$A321&amp;"'!"&amp;F$291 )</f>
        <v>0</v>
      </c>
      <c r="G321" s="207">
        <f ca="1">SUM(Table278112[[#This Row],[in decile 1]:[in decile 4]])</f>
        <v>1.8172206719078265</v>
      </c>
      <c r="O321" s="88"/>
      <c r="P321" s="94"/>
      <c r="Q321" s="88"/>
      <c r="R321" s="94"/>
    </row>
    <row r="322" spans="1:18" s="1" customFormat="1" x14ac:dyDescent="0.3">
      <c r="O322" s="88"/>
      <c r="P322" s="94"/>
      <c r="Q322" s="88"/>
      <c r="R322" s="94"/>
    </row>
    <row r="323" spans="1:18" s="1" customFormat="1" x14ac:dyDescent="0.3">
      <c r="O323" s="88"/>
      <c r="P323" s="94"/>
      <c r="Q323" s="88"/>
      <c r="R323" s="94"/>
    </row>
    <row r="324" spans="1:18" s="1" customFormat="1" x14ac:dyDescent="0.3">
      <c r="O324" s="91"/>
      <c r="P324" s="95"/>
      <c r="Q324" s="91"/>
      <c r="R324" s="95"/>
    </row>
    <row r="325" spans="1:18" s="85" customFormat="1" ht="36.6" customHeight="1" x14ac:dyDescent="0.3">
      <c r="A325" s="183" t="s">
        <v>603</v>
      </c>
      <c r="B325" s="541"/>
      <c r="C325" s="541"/>
      <c r="D325" s="541"/>
      <c r="E325" s="541"/>
      <c r="F325" s="541"/>
      <c r="G325" s="541"/>
      <c r="H325" s="541"/>
      <c r="O325" s="87"/>
      <c r="P325" s="93"/>
      <c r="R325" s="93"/>
    </row>
    <row r="326" spans="1:18" s="1" customFormat="1" x14ac:dyDescent="0.3">
      <c r="O326" s="88"/>
      <c r="P326" s="94"/>
      <c r="R326" s="94"/>
    </row>
    <row r="327" spans="1:18" s="1" customFormat="1" x14ac:dyDescent="0.3">
      <c r="A327" s="1" t="s">
        <v>289</v>
      </c>
      <c r="B327" s="1" t="s">
        <v>373</v>
      </c>
      <c r="C327" s="1" t="s">
        <v>374</v>
      </c>
      <c r="D327" s="1" t="s">
        <v>375</v>
      </c>
      <c r="E327" s="1" t="s">
        <v>376</v>
      </c>
      <c r="H327" s="1" t="s">
        <v>377</v>
      </c>
      <c r="I327" s="1" t="s">
        <v>378</v>
      </c>
      <c r="O327" s="88"/>
      <c r="P327" s="94"/>
      <c r="R327" s="94"/>
    </row>
    <row r="328" spans="1:18" s="1" customFormat="1" ht="35.25" customHeight="1" x14ac:dyDescent="0.3">
      <c r="A328" s="109" t="s">
        <v>338</v>
      </c>
      <c r="B328" s="27" t="s">
        <v>379</v>
      </c>
      <c r="C328" s="119" t="s">
        <v>380</v>
      </c>
      <c r="D328" s="128" t="s">
        <v>381</v>
      </c>
      <c r="E328" s="119" t="s">
        <v>382</v>
      </c>
      <c r="G328" s="109" t="s">
        <v>338</v>
      </c>
      <c r="H328" s="27" t="s">
        <v>383</v>
      </c>
      <c r="I328" s="27" t="s">
        <v>384</v>
      </c>
      <c r="O328" s="91"/>
      <c r="P328" s="95"/>
      <c r="R328" s="94"/>
    </row>
    <row r="329" spans="1:18" s="1" customFormat="1" x14ac:dyDescent="0.3">
      <c r="A329" s="86" t="s">
        <v>304</v>
      </c>
      <c r="B329" s="118" t="e" cm="1">
        <f t="array" aca="1" ref="B329" ca="1">INDIRECT("'1"&amp;$A329&amp;"'!"&amp;B$327 )</f>
        <v>#REF!</v>
      </c>
      <c r="C329" s="518" t="e" cm="1">
        <f t="array" aca="1" ref="C329" ca="1">INDIRECT("'1"&amp;$A329&amp;"'!"&amp;C$327 )/100</f>
        <v>#REF!</v>
      </c>
      <c r="D329" s="118" t="e" cm="1">
        <f t="array" aca="1" ref="D329" ca="1">INDIRECT("'1"&amp;$A329&amp;"'!"&amp;D$327 )</f>
        <v>#REF!</v>
      </c>
      <c r="E329" s="345" t="e" cm="1">
        <f t="array" aca="1" ref="E329" ca="1">INDIRECT("'1"&amp;$A329&amp;"'!"&amp;E$327 )</f>
        <v>#REF!</v>
      </c>
      <c r="G329" s="86" t="s">
        <v>304</v>
      </c>
      <c r="H329" s="1" t="e" cm="1">
        <f t="array" aca="1" ref="H329" ca="1">INDIRECT("'1"&amp;$G329&amp;"'!"&amp;H$327 )</f>
        <v>#REF!</v>
      </c>
      <c r="I329" s="1" t="e" cm="1">
        <f t="array" aca="1" ref="I329" ca="1">INDIRECT("'1"&amp;$G329&amp;"'!"&amp;I$327 )-INDIRECT("'1"&amp;$G329&amp;"'!"&amp;H$327 )</f>
        <v>#REF!</v>
      </c>
      <c r="O329" s="88"/>
      <c r="P329" s="94"/>
      <c r="R329" s="94"/>
    </row>
    <row r="330" spans="1:18" s="1" customFormat="1" x14ac:dyDescent="0.3">
      <c r="A330" s="86" t="s">
        <v>305</v>
      </c>
      <c r="B330" s="118" t="e" cm="1">
        <f t="array" aca="1" ref="B330" ca="1">INDIRECT("'1"&amp;$A330&amp;"'!"&amp;B$327 )</f>
        <v>#REF!</v>
      </c>
      <c r="C330" s="518" t="e" cm="1">
        <f t="array" aca="1" ref="C330" ca="1">INDIRECT("'1"&amp;$A330&amp;"'!"&amp;C$327 )/100</f>
        <v>#REF!</v>
      </c>
      <c r="D330" s="118" t="e" cm="1">
        <f t="array" aca="1" ref="D330" ca="1">INDIRECT("'1"&amp;$A330&amp;"'!"&amp;D$327 )</f>
        <v>#REF!</v>
      </c>
      <c r="E330" s="345" t="e" cm="1">
        <f t="array" aca="1" ref="E330" ca="1">INDIRECT("'1"&amp;$A330&amp;"'!"&amp;E$327 )</f>
        <v>#REF!</v>
      </c>
      <c r="G330" s="86" t="s">
        <v>305</v>
      </c>
      <c r="H330" s="1" t="e" cm="1">
        <f t="array" aca="1" ref="H330" ca="1">INDIRECT("'1"&amp;$G330&amp;"'!"&amp;H$327 )</f>
        <v>#REF!</v>
      </c>
      <c r="I330" s="1" t="e" cm="1">
        <f t="array" aca="1" ref="I330" ca="1">INDIRECT("'1"&amp;$G330&amp;"'!"&amp;I$327 )-INDIRECT("'1"&amp;$G330&amp;"'!"&amp;H$327 )</f>
        <v>#REF!</v>
      </c>
      <c r="O330" s="88"/>
      <c r="P330" s="94"/>
      <c r="R330" s="94"/>
    </row>
    <row r="331" spans="1:18" s="1" customFormat="1" x14ac:dyDescent="0.3">
      <c r="A331" s="86" t="s">
        <v>306</v>
      </c>
      <c r="B331" s="118" t="e" cm="1">
        <f t="array" aca="1" ref="B331" ca="1">INDIRECT("'1"&amp;$A331&amp;"'!"&amp;B$327 )</f>
        <v>#REF!</v>
      </c>
      <c r="C331" s="518" t="e" cm="1">
        <f t="array" aca="1" ref="C331" ca="1">INDIRECT("'1"&amp;$A331&amp;"'!"&amp;C$327 )/100</f>
        <v>#REF!</v>
      </c>
      <c r="D331" s="118" t="e" cm="1">
        <f t="array" aca="1" ref="D331" ca="1">INDIRECT("'1"&amp;$A331&amp;"'!"&amp;D$327 )</f>
        <v>#REF!</v>
      </c>
      <c r="E331" s="346" t="e" cm="1">
        <f t="array" aca="1" ref="E331" ca="1">INDIRECT("'1"&amp;$A331&amp;"'!"&amp;E$327 )</f>
        <v>#REF!</v>
      </c>
      <c r="G331" s="86" t="s">
        <v>306</v>
      </c>
      <c r="H331" s="1" t="e" cm="1">
        <f t="array" aca="1" ref="H331" ca="1">INDIRECT("'1"&amp;$G331&amp;"'!"&amp;H$327 )</f>
        <v>#REF!</v>
      </c>
      <c r="I331" s="1" t="e" cm="1">
        <f t="array" aca="1" ref="I331" ca="1">INDIRECT("'1"&amp;$G331&amp;"'!"&amp;I$327 )-INDIRECT("'1"&amp;$G331&amp;"'!"&amp;H$327 )</f>
        <v>#REF!</v>
      </c>
      <c r="O331" s="89"/>
      <c r="P331" s="96"/>
      <c r="Q331" s="86"/>
      <c r="R331" s="96"/>
    </row>
    <row r="332" spans="1:18" s="1" customFormat="1" x14ac:dyDescent="0.3">
      <c r="A332" s="86" t="s">
        <v>307</v>
      </c>
      <c r="B332" s="118" t="e" cm="1">
        <f t="array" aca="1" ref="B332" ca="1">INDIRECT("'1"&amp;$A332&amp;"'!"&amp;B$327 )</f>
        <v>#REF!</v>
      </c>
      <c r="C332" s="518" t="e" cm="1">
        <f t="array" aca="1" ref="C332" ca="1">INDIRECT("'1"&amp;$A332&amp;"'!"&amp;C$327 )/100</f>
        <v>#REF!</v>
      </c>
      <c r="D332" s="118" t="e" cm="1">
        <f t="array" aca="1" ref="D332" ca="1">INDIRECT("'1"&amp;$A332&amp;"'!"&amp;D$327 )</f>
        <v>#REF!</v>
      </c>
      <c r="E332" s="345" t="e" cm="1">
        <f t="array" aca="1" ref="E332" ca="1">INDIRECT("'1"&amp;$A332&amp;"'!"&amp;E$327 )</f>
        <v>#REF!</v>
      </c>
      <c r="G332" s="86" t="s">
        <v>307</v>
      </c>
      <c r="H332" s="1" t="e" cm="1">
        <f t="array" aca="1" ref="H332" ca="1">INDIRECT("'1"&amp;$G332&amp;"'!"&amp;H$327 )</f>
        <v>#REF!</v>
      </c>
      <c r="I332" s="1" t="e" cm="1">
        <f t="array" aca="1" ref="I332" ca="1">INDIRECT("'1"&amp;$G332&amp;"'!"&amp;I$327 )-INDIRECT("'1"&amp;$G332&amp;"'!"&amp;H$327 )</f>
        <v>#REF!</v>
      </c>
      <c r="O332" s="88"/>
      <c r="P332" s="94"/>
      <c r="R332" s="94"/>
    </row>
    <row r="333" spans="1:18" s="1" customFormat="1" x14ac:dyDescent="0.3">
      <c r="A333" s="86" t="s">
        <v>308</v>
      </c>
      <c r="B333" s="118" t="e" cm="1">
        <f t="array" aca="1" ref="B333" ca="1">INDIRECT("'1"&amp;$A333&amp;"'!"&amp;B$327 )</f>
        <v>#REF!</v>
      </c>
      <c r="C333" s="518" t="e" cm="1">
        <f t="array" aca="1" ref="C333" ca="1">INDIRECT("'1"&amp;$A333&amp;"'!"&amp;C$327 )/100</f>
        <v>#REF!</v>
      </c>
      <c r="D333" s="118" t="e" cm="1">
        <f t="array" aca="1" ref="D333" ca="1">INDIRECT("'1"&amp;$A333&amp;"'!"&amp;D$327 )</f>
        <v>#REF!</v>
      </c>
      <c r="E333" s="346" t="e" cm="1">
        <f t="array" aca="1" ref="E333" ca="1">INDIRECT("'1"&amp;$A333&amp;"'!"&amp;E$327 )</f>
        <v>#REF!</v>
      </c>
      <c r="G333" s="86" t="s">
        <v>308</v>
      </c>
      <c r="H333" s="1" t="e" cm="1">
        <f t="array" aca="1" ref="H333" ca="1">INDIRECT("'1"&amp;$G333&amp;"'!"&amp;H$327 )</f>
        <v>#REF!</v>
      </c>
      <c r="I333" s="1" t="e" cm="1">
        <f t="array" aca="1" ref="I333" ca="1">INDIRECT("'1"&amp;$G333&amp;"'!"&amp;I$327 )-INDIRECT("'1"&amp;$G333&amp;"'!"&amp;H$327 )</f>
        <v>#REF!</v>
      </c>
      <c r="O333" s="89"/>
      <c r="P333" s="96"/>
      <c r="Q333" s="86"/>
      <c r="R333" s="96"/>
    </row>
    <row r="334" spans="1:18" s="1" customFormat="1" x14ac:dyDescent="0.3">
      <c r="A334" s="86" t="s">
        <v>309</v>
      </c>
      <c r="B334" s="118" t="e" cm="1">
        <f t="array" aca="1" ref="B334" ca="1">INDIRECT("'1"&amp;$A334&amp;"'!"&amp;B$327 )</f>
        <v>#REF!</v>
      </c>
      <c r="C334" s="518" t="e" cm="1">
        <f t="array" aca="1" ref="C334" ca="1">INDIRECT("'1"&amp;$A334&amp;"'!"&amp;C$327 )/100</f>
        <v>#REF!</v>
      </c>
      <c r="D334" s="118" t="e" cm="1">
        <f t="array" aca="1" ref="D334" ca="1">INDIRECT("'1"&amp;$A334&amp;"'!"&amp;D$327 )</f>
        <v>#REF!</v>
      </c>
      <c r="E334" s="345" t="e" cm="1">
        <f t="array" aca="1" ref="E334" ca="1">INDIRECT("'1"&amp;$A334&amp;"'!"&amp;E$327 )</f>
        <v>#REF!</v>
      </c>
      <c r="G334" s="86" t="s">
        <v>309</v>
      </c>
      <c r="H334" s="1" t="e" cm="1">
        <f t="array" aca="1" ref="H334" ca="1">INDIRECT("'1"&amp;$G334&amp;"'!"&amp;H$327 )</f>
        <v>#REF!</v>
      </c>
      <c r="I334" s="1" t="e" cm="1">
        <f t="array" aca="1" ref="I334" ca="1">INDIRECT("'1"&amp;$G334&amp;"'!"&amp;I$327 )-INDIRECT("'1"&amp;$G334&amp;"'!"&amp;H$327 )</f>
        <v>#REF!</v>
      </c>
      <c r="O334" s="88"/>
      <c r="P334" s="94"/>
      <c r="R334" s="94"/>
    </row>
    <row r="335" spans="1:18" s="1" customFormat="1" x14ac:dyDescent="0.3">
      <c r="A335" s="86" t="s">
        <v>310</v>
      </c>
      <c r="B335" s="118" t="e" cm="1">
        <f t="array" aca="1" ref="B335" ca="1">INDIRECT("'1"&amp;$A335&amp;"'!"&amp;B$327 )</f>
        <v>#REF!</v>
      </c>
      <c r="C335" s="518" t="e" cm="1">
        <f t="array" aca="1" ref="C335" ca="1">INDIRECT("'1"&amp;$A335&amp;"'!"&amp;C$327 )/100</f>
        <v>#REF!</v>
      </c>
      <c r="D335" s="118" t="e" cm="1">
        <f t="array" aca="1" ref="D335" ca="1">INDIRECT("'1"&amp;$A335&amp;"'!"&amp;D$327 )</f>
        <v>#REF!</v>
      </c>
      <c r="E335" s="346" t="e" cm="1">
        <f t="array" aca="1" ref="E335" ca="1">INDIRECT("'1"&amp;$A335&amp;"'!"&amp;E$327 )</f>
        <v>#REF!</v>
      </c>
      <c r="G335" s="86" t="s">
        <v>310</v>
      </c>
      <c r="H335" s="1" t="e" cm="1">
        <f t="array" aca="1" ref="H335" ca="1">INDIRECT("'1"&amp;$G335&amp;"'!"&amp;H$327 )</f>
        <v>#REF!</v>
      </c>
      <c r="I335" s="1" t="e" cm="1">
        <f t="array" aca="1" ref="I335" ca="1">INDIRECT("'1"&amp;$G335&amp;"'!"&amp;I$327 )-INDIRECT("'1"&amp;$G335&amp;"'!"&amp;H$327 )</f>
        <v>#REF!</v>
      </c>
      <c r="O335" s="89"/>
      <c r="P335" s="96"/>
      <c r="Q335" s="86"/>
      <c r="R335" s="96"/>
    </row>
    <row r="336" spans="1:18" s="1" customFormat="1" x14ac:dyDescent="0.3">
      <c r="A336" s="86" t="s">
        <v>311</v>
      </c>
      <c r="B336" s="118" t="e" cm="1">
        <f t="array" aca="1" ref="B336" ca="1">INDIRECT("'1"&amp;$A336&amp;"'!"&amp;B$327 )</f>
        <v>#REF!</v>
      </c>
      <c r="C336" s="518" t="e" cm="1">
        <f t="array" aca="1" ref="C336" ca="1">INDIRECT("'1"&amp;$A336&amp;"'!"&amp;C$327 )/100</f>
        <v>#REF!</v>
      </c>
      <c r="D336" s="118" t="e" cm="1">
        <f t="array" aca="1" ref="D336" ca="1">INDIRECT("'1"&amp;$A336&amp;"'!"&amp;D$327 )</f>
        <v>#REF!</v>
      </c>
      <c r="E336" s="346" t="e" cm="1">
        <f t="array" aca="1" ref="E336" ca="1">INDIRECT("'1"&amp;$A336&amp;"'!"&amp;E$327 )</f>
        <v>#REF!</v>
      </c>
      <c r="G336" s="86" t="s">
        <v>311</v>
      </c>
      <c r="H336" s="1" t="e" cm="1">
        <f t="array" aca="1" ref="H336" ca="1">INDIRECT("'1"&amp;$G336&amp;"'!"&amp;H$327 )</f>
        <v>#REF!</v>
      </c>
      <c r="I336" s="1" t="e" cm="1">
        <f t="array" aca="1" ref="I336" ca="1">INDIRECT("'1"&amp;$G336&amp;"'!"&amp;I$327 )-INDIRECT("'1"&amp;$G336&amp;"'!"&amp;H$327 )</f>
        <v>#REF!</v>
      </c>
      <c r="O336" s="88"/>
      <c r="P336" s="94"/>
      <c r="R336" s="94"/>
    </row>
    <row r="337" spans="1:18" s="1" customFormat="1" x14ac:dyDescent="0.3">
      <c r="A337" s="1" t="s">
        <v>208</v>
      </c>
      <c r="B337" s="118" cm="1">
        <f t="array" aca="1" ref="B337" ca="1">INDIRECT("'1"&amp;$A337&amp;"'!"&amp;B$327 )</f>
        <v>5.9112817941989193E-2</v>
      </c>
      <c r="C337" s="345" cm="1">
        <f t="array" aca="1" ref="C337" ca="1">INDIRECT("'1"&amp;$A337&amp;"'!"&amp;C$327 )/100</f>
        <v>-1.0543270809861837E-4</v>
      </c>
      <c r="D337" s="118" cm="1">
        <f t="array" aca="1" ref="D337" ca="1">INDIRECT("'1"&amp;$A337&amp;"'!"&amp;D$327 )</f>
        <v>0.12147677289755243</v>
      </c>
      <c r="E337" s="345" cm="1">
        <f t="array" aca="1" ref="E337" ca="1">INDIRECT("'1"&amp;$A337&amp;"'!"&amp;E$327 )</f>
        <v>-2.2684793425403749E-4</v>
      </c>
      <c r="G337" s="1" t="s">
        <v>227</v>
      </c>
      <c r="H337" s="1" cm="1">
        <f t="array" aca="1" ref="H337" ca="1">INDIRECT("'1"&amp;$G337&amp;"'!"&amp;H$327 )</f>
        <v>0.1118</v>
      </c>
      <c r="I337" s="1" cm="1">
        <f t="array" aca="1" ref="I337" ca="1">INDIRECT("'1"&amp;$G337&amp;"'!"&amp;I$327 )-INDIRECT("'1"&amp;$G337&amp;"'!"&amp;H$327 )</f>
        <v>-2.9999999999999472E-4</v>
      </c>
      <c r="O337" s="88"/>
      <c r="P337" s="94"/>
      <c r="R337" s="94"/>
    </row>
    <row r="338" spans="1:18" s="1" customFormat="1" x14ac:dyDescent="0.3">
      <c r="A338" s="1" t="s">
        <v>247</v>
      </c>
      <c r="B338" s="118" cm="1">
        <f t="array" aca="1" ref="B338" ca="1">INDIRECT("'1"&amp;$A338&amp;"'!"&amp;B$327 )</f>
        <v>5.904339637876066E-2</v>
      </c>
      <c r="C338" s="345" cm="1">
        <f t="array" aca="1" ref="C338" ca="1">INDIRECT("'1"&amp;$A338&amp;"'!"&amp;C$327 )/100</f>
        <v>-9.654122363701667E-5</v>
      </c>
      <c r="D338" s="118" cm="1">
        <f t="array" aca="1" ref="D338" ca="1">INDIRECT("'1"&amp;$A338&amp;"'!"&amp;D$327 )</f>
        <v>0.15233751829978326</v>
      </c>
      <c r="E338" s="345" cm="1">
        <f t="array" aca="1" ref="E338" ca="1">INDIRECT("'1"&amp;$A338&amp;"'!"&amp;E$327 )</f>
        <v>-2.1098699928001619E-4</v>
      </c>
      <c r="G338" s="1" t="s">
        <v>223</v>
      </c>
      <c r="H338" s="1" cm="1">
        <f t="array" aca="1" ref="H338" ca="1">INDIRECT("'1"&amp;$G338&amp;"'!"&amp;H$327 )</f>
        <v>0.18198792337035299</v>
      </c>
      <c r="I338" s="1" cm="1">
        <f t="array" aca="1" ref="I338" ca="1">INDIRECT("'1"&amp;$G338&amp;"'!"&amp;I$327 )-INDIRECT("'1"&amp;$G338&amp;"'!"&amp;H$327 )</f>
        <v>-3.8505620968498633E-4</v>
      </c>
      <c r="O338" s="88"/>
      <c r="P338" s="94"/>
      <c r="R338" s="94"/>
    </row>
    <row r="339" spans="1:18" s="1" customFormat="1" x14ac:dyDescent="0.3">
      <c r="A339" s="1" t="s">
        <v>222</v>
      </c>
      <c r="B339" s="118" cm="1">
        <f t="array" aca="1" ref="B339" ca="1">INDIRECT("'1"&amp;$A339&amp;"'!"&amp;B$327 )</f>
        <v>4.9627475811710176E-2</v>
      </c>
      <c r="C339" s="345" cm="1">
        <f t="array" aca="1" ref="C339" ca="1">INDIRECT("'1"&amp;$A339&amp;"'!"&amp;C$327 )/100</f>
        <v>-2.4434462945546186E-5</v>
      </c>
      <c r="D339" s="118" cm="1">
        <f t="array" aca="1" ref="D339" ca="1">INDIRECT("'1"&amp;$A339&amp;"'!"&amp;D$327 )</f>
        <v>3.7725306705987949E-2</v>
      </c>
      <c r="E339" s="345" cm="1">
        <f t="array" aca="1" ref="E339" ca="1">INDIRECT("'1"&amp;$A339&amp;"'!"&amp;E$327 )</f>
        <v>-1.7231879989004772E-4</v>
      </c>
      <c r="G339" s="1" t="s">
        <v>238</v>
      </c>
      <c r="H339" s="1" cm="1">
        <f t="array" aca="1" ref="H339" ca="1">INDIRECT("'1"&amp;$G339&amp;"'!"&amp;H$327 )</f>
        <v>6.8769748807886E-2</v>
      </c>
      <c r="I339" s="1" cm="1">
        <f t="array" aca="1" ref="I339" ca="1">INDIRECT("'1"&amp;$G339&amp;"'!"&amp;I$327 )-INDIRECT("'1"&amp;$G339&amp;"'!"&amp;H$327 )</f>
        <v>-8.3616766260699582E-4</v>
      </c>
      <c r="O339" s="89"/>
      <c r="P339" s="96"/>
      <c r="Q339" s="86"/>
      <c r="R339" s="96"/>
    </row>
    <row r="340" spans="1:18" s="1" customFormat="1" x14ac:dyDescent="0.3">
      <c r="A340" s="1" t="s">
        <v>225</v>
      </c>
      <c r="B340" s="118" cm="1">
        <f t="array" aca="1" ref="B340" ca="1">INDIRECT("'1"&amp;$A340&amp;"'!"&amp;B$327 )</f>
        <v>4.8108319729633225E-2</v>
      </c>
      <c r="C340" s="345" cm="1">
        <f t="array" aca="1" ref="C340" ca="1">INDIRECT("'1"&amp;$A340&amp;"'!"&amp;C$327 )/100</f>
        <v>-6.0807388084720415E-5</v>
      </c>
      <c r="D340" s="118" cm="1">
        <f t="array" aca="1" ref="D340" ca="1">INDIRECT("'1"&amp;$A340&amp;"'!"&amp;D$327 )</f>
        <v>8.6806967366206966E-2</v>
      </c>
      <c r="E340" s="345" cm="1">
        <f t="array" aca="1" ref="E340" ca="1">INDIRECT("'1"&amp;$A340&amp;"'!"&amp;E$327 )</f>
        <v>-1.6969881827999522E-4</v>
      </c>
      <c r="G340" s="1" t="s">
        <v>254</v>
      </c>
      <c r="H340" s="1" cm="1">
        <f t="array" aca="1" ref="H340" ca="1">INDIRECT("'1"&amp;$G340&amp;"'!"&amp;H$327 )</f>
        <v>0.118107405741447</v>
      </c>
      <c r="I340" s="1" cm="1">
        <f t="array" aca="1" ref="I340" ca="1">INDIRECT("'1"&amp;$G340&amp;"'!"&amp;I$327 )-INDIRECT("'1"&amp;$G340&amp;"'!"&amp;H$327 )</f>
        <v>-1.2886400697579986E-3</v>
      </c>
      <c r="O340" s="89"/>
      <c r="P340" s="96"/>
      <c r="Q340" s="86"/>
      <c r="R340" s="96"/>
    </row>
    <row r="341" spans="1:18" s="1" customFormat="1" x14ac:dyDescent="0.3">
      <c r="A341" s="1" t="s">
        <v>249</v>
      </c>
      <c r="B341" s="118" cm="1">
        <f t="array" aca="1" ref="B341" ca="1">INDIRECT("'1"&amp;$A341&amp;"'!"&amp;B$327 )</f>
        <v>4.6947289584106655E-2</v>
      </c>
      <c r="C341" s="345" cm="1">
        <f t="array" aca="1" ref="C341" ca="1">INDIRECT("'1"&amp;$A341&amp;"'!"&amp;C$327 )/100</f>
        <v>-9.1250334155388305E-5</v>
      </c>
      <c r="D341" s="118" cm="1">
        <f t="array" aca="1" ref="D341" ca="1">INDIRECT("'1"&amp;$A341&amp;"'!"&amp;D$327 )</f>
        <v>0.11555085821740307</v>
      </c>
      <c r="E341" s="345" cm="1">
        <f t="array" aca="1" ref="E341" ca="1">INDIRECT("'1"&amp;$A341&amp;"'!"&amp;E$327 )</f>
        <v>-1.8467097692498324E-4</v>
      </c>
      <c r="G341" s="1" t="s">
        <v>217</v>
      </c>
      <c r="H341" s="1" cm="1">
        <f t="array" aca="1" ref="H341" ca="1">INDIRECT("'1"&amp;$G341&amp;"'!"&amp;H$327 )</f>
        <v>0.27381981053198101</v>
      </c>
      <c r="I341" s="1" cm="1">
        <f t="array" aca="1" ref="I341" ca="1">INDIRECT("'1"&amp;$G341&amp;"'!"&amp;I$327 )-INDIRECT("'1"&amp;$G341&amp;"'!"&amp;H$327 )</f>
        <v>-1.3834535130070047E-3</v>
      </c>
      <c r="O341" s="88"/>
      <c r="P341" s="94"/>
      <c r="R341" s="94"/>
    </row>
    <row r="342" spans="1:18" s="1" customFormat="1" x14ac:dyDescent="0.3">
      <c r="A342" s="1" t="s">
        <v>233</v>
      </c>
      <c r="B342" s="118" cm="1">
        <f t="array" aca="1" ref="B342" ca="1">INDIRECT("'1"&amp;$A342&amp;"'!"&amp;B$327 )</f>
        <v>4.4925802523168579E-2</v>
      </c>
      <c r="C342" s="345" cm="1">
        <f t="array" aca="1" ref="C342" ca="1">INDIRECT("'1"&amp;$A342&amp;"'!"&amp;C$327 )/100</f>
        <v>-1.3210679439451311E-4</v>
      </c>
      <c r="D342" s="118" cm="1">
        <f t="array" aca="1" ref="D342" ca="1">INDIRECT("'1"&amp;$A342&amp;"'!"&amp;D$327 )</f>
        <v>0.11141010483106117</v>
      </c>
      <c r="E342" s="345" cm="1">
        <f t="array" aca="1" ref="E342" ca="1">INDIRECT("'1"&amp;$A342&amp;"'!"&amp;E$327 )</f>
        <v>-1.7813078238398949E-4</v>
      </c>
      <c r="G342" s="1" t="s">
        <v>233</v>
      </c>
      <c r="H342" s="1" cm="1">
        <f t="array" aca="1" ref="H342" ca="1">INDIRECT("'1"&amp;$G342&amp;"'!"&amp;H$327 )</f>
        <v>0.24533964473321601</v>
      </c>
      <c r="I342" s="1" cm="1">
        <f t="array" aca="1" ref="I342" ca="1">INDIRECT("'1"&amp;$G342&amp;"'!"&amp;I$327 )-INDIRECT("'1"&amp;$G342&amp;"'!"&amp;H$327 )</f>
        <v>-1.6282469659590071E-3</v>
      </c>
      <c r="O342" s="88"/>
      <c r="P342" s="94"/>
      <c r="R342" s="94"/>
    </row>
    <row r="343" spans="1:18" s="1" customFormat="1" x14ac:dyDescent="0.3">
      <c r="A343" s="1" t="s">
        <v>218</v>
      </c>
      <c r="B343" s="118" cm="1">
        <f t="array" aca="1" ref="B343" ca="1">INDIRECT("'1"&amp;$A343&amp;"'!"&amp;B$327 )</f>
        <v>3.4605184260179389E-2</v>
      </c>
      <c r="C343" s="345" cm="1">
        <f t="array" aca="1" ref="C343" ca="1">INDIRECT("'1"&amp;$A343&amp;"'!"&amp;C$327 )/100</f>
        <v>-1.0603797160978701E-4</v>
      </c>
      <c r="D343" s="118" cm="1">
        <f t="array" aca="1" ref="D343" ca="1">INDIRECT("'1"&amp;$A343&amp;"'!"&amp;D$327 )</f>
        <v>0.1153383265602409</v>
      </c>
      <c r="E343" s="345" cm="1">
        <f t="array" aca="1" ref="E343" ca="1">INDIRECT("'1"&amp;$A343&amp;"'!"&amp;E$327 )</f>
        <v>-1.3113519657698136E-4</v>
      </c>
      <c r="G343" s="1" t="s">
        <v>210</v>
      </c>
      <c r="H343" s="1" cm="1">
        <f t="array" aca="1" ref="H343" ca="1">INDIRECT("'1"&amp;$G343&amp;"'!"&amp;H$327 )</f>
        <v>0.226593369272481</v>
      </c>
      <c r="I343" s="1" cm="1">
        <f t="array" aca="1" ref="I343" ca="1">INDIRECT("'1"&amp;$G343&amp;"'!"&amp;I$327 )-INDIRECT("'1"&amp;$G343&amp;"'!"&amp;H$327 )</f>
        <v>-1.7069312930330094E-3</v>
      </c>
      <c r="O343" s="88"/>
      <c r="P343" s="94"/>
      <c r="R343" s="94"/>
    </row>
    <row r="344" spans="1:18" s="1" customFormat="1" x14ac:dyDescent="0.3">
      <c r="A344" s="1" t="s">
        <v>223</v>
      </c>
      <c r="B344" s="118" cm="1">
        <f t="array" aca="1" ref="B344" ca="1">INDIRECT("'1"&amp;$A344&amp;"'!"&amp;B$327 )</f>
        <v>3.3683257941399813E-2</v>
      </c>
      <c r="C344" s="345" cm="1">
        <f t="array" aca="1" ref="C344" ca="1">INDIRECT("'1"&amp;$A344&amp;"'!"&amp;C$327 )/100</f>
        <v>-7.3680794276604895E-5</v>
      </c>
      <c r="D344" s="118" cm="1">
        <f t="array" aca="1" ref="D344" ca="1">INDIRECT("'1"&amp;$A344&amp;"'!"&amp;D$327 )</f>
        <v>8.2520802461269471E-2</v>
      </c>
      <c r="E344" s="345" cm="1">
        <f t="array" aca="1" ref="E344" ca="1">INDIRECT("'1"&amp;$A344&amp;"'!"&amp;E$327 )</f>
        <v>-1.2514744433900216E-4</v>
      </c>
      <c r="G344" s="1" t="s">
        <v>242</v>
      </c>
      <c r="H344" s="1" cm="1">
        <f t="array" aca="1" ref="H344" ca="1">INDIRECT("'1"&amp;$G344&amp;"'!"&amp;H$327 )</f>
        <v>0.14990669054889</v>
      </c>
      <c r="I344" s="1" cm="1">
        <f t="array" aca="1" ref="I344" ca="1">INDIRECT("'1"&amp;$G344&amp;"'!"&amp;I$327 )-INDIRECT("'1"&amp;$G344&amp;"'!"&amp;H$327 )</f>
        <v>-1.7754979359100032E-3</v>
      </c>
      <c r="O344" s="91"/>
      <c r="P344" s="95"/>
      <c r="Q344" s="92"/>
      <c r="R344" s="95"/>
    </row>
    <row r="345" spans="1:18" s="1" customFormat="1" x14ac:dyDescent="0.3">
      <c r="A345" s="1" t="s">
        <v>217</v>
      </c>
      <c r="B345" s="118" cm="1">
        <f t="array" aca="1" ref="B345" ca="1">INDIRECT("'1"&amp;$A345&amp;"'!"&amp;B$327 )</f>
        <v>2.5867192149515994E-2</v>
      </c>
      <c r="C345" s="345" cm="1">
        <f t="array" aca="1" ref="C345" ca="1">INDIRECT("'1"&amp;$A345&amp;"'!"&amp;C$327 )/100</f>
        <v>-5.4281859584692783E-5</v>
      </c>
      <c r="D345" s="118" cm="1">
        <f t="array" aca="1" ref="D345" ca="1">INDIRECT("'1"&amp;$A345&amp;"'!"&amp;D$327 )</f>
        <v>6.2538562428704481E-2</v>
      </c>
      <c r="E345" s="345" cm="1">
        <f t="array" aca="1" ref="E345" ca="1">INDIRECT("'1"&amp;$A345&amp;"'!"&amp;E$327 )</f>
        <v>-9.2989205611015979E-5</v>
      </c>
      <c r="G345" s="1" t="s">
        <v>245</v>
      </c>
      <c r="H345" s="1" cm="1">
        <f t="array" aca="1" ref="H345" ca="1">INDIRECT("'1"&amp;$G345&amp;"'!"&amp;H$327 )</f>
        <v>0.26761424504826198</v>
      </c>
      <c r="I345" s="1" cm="1">
        <f t="array" aca="1" ref="I345" ca="1">INDIRECT("'1"&amp;$G345&amp;"'!"&amp;I$327 )-INDIRECT("'1"&amp;$G345&amp;"'!"&amp;H$327 )</f>
        <v>-2.1569431752989643E-3</v>
      </c>
      <c r="O345" s="88"/>
      <c r="P345" s="94"/>
      <c r="Q345" s="99"/>
      <c r="R345" s="100"/>
    </row>
    <row r="346" spans="1:18" s="1" customFormat="1" x14ac:dyDescent="0.3">
      <c r="A346" s="1" t="s">
        <v>240</v>
      </c>
      <c r="B346" s="118" cm="1">
        <f t="array" aca="1" ref="B346" ca="1">INDIRECT("'1"&amp;$A346&amp;"'!"&amp;B$327 )</f>
        <v>2.3555539667213798E-2</v>
      </c>
      <c r="C346" s="345" cm="1">
        <f t="array" aca="1" ref="C346" ca="1">INDIRECT("'1"&amp;$A346&amp;"'!"&amp;C$327 )/100</f>
        <v>-5.892277187702355E-5</v>
      </c>
      <c r="D346" s="118" cm="1">
        <f t="array" aca="1" ref="D346" ca="1">INDIRECT("'1"&amp;$A346&amp;"'!"&amp;D$327 )</f>
        <v>7.6068657084354951E-2</v>
      </c>
      <c r="E346" s="345" cm="1">
        <f t="array" aca="1" ref="E346" ca="1">INDIRECT("'1"&amp;$A346&amp;"'!"&amp;E$327 )</f>
        <v>-8.5064485644992249E-5</v>
      </c>
      <c r="G346" s="1" t="s">
        <v>234</v>
      </c>
      <c r="H346" s="1" cm="1">
        <f t="array" aca="1" ref="H346" ca="1">INDIRECT("'1"&amp;$G346&amp;"'!"&amp;H$327 )</f>
        <v>0.196394354539802</v>
      </c>
      <c r="I346" s="1" cm="1">
        <f t="array" aca="1" ref="I346" ca="1">INDIRECT("'1"&amp;$G346&amp;"'!"&amp;I$327 )-INDIRECT("'1"&amp;$G346&amp;"'!"&amp;H$327 )</f>
        <v>-2.1589638976710068E-3</v>
      </c>
      <c r="O346" s="88"/>
      <c r="P346" s="94"/>
      <c r="Q346" s="88"/>
      <c r="R346" s="94"/>
    </row>
    <row r="347" spans="1:18" s="1" customFormat="1" x14ac:dyDescent="0.3">
      <c r="A347" s="1" t="s">
        <v>252</v>
      </c>
      <c r="B347" s="118" cm="1">
        <f t="array" aca="1" ref="B347" ca="1">INDIRECT("'1"&amp;$A347&amp;"'!"&amp;B$327 )</f>
        <v>1.8284213110265901E-2</v>
      </c>
      <c r="C347" s="345" cm="1">
        <f t="array" aca="1" ref="C347" ca="1">INDIRECT("'1"&amp;$A347&amp;"'!"&amp;C$327 )/100</f>
        <v>-2.5770633431254632E-5</v>
      </c>
      <c r="D347" s="118" cm="1">
        <f t="array" aca="1" ref="D347" ca="1">INDIRECT("'1"&amp;$A347&amp;"'!"&amp;D$327 )</f>
        <v>5.6185967435631867E-2</v>
      </c>
      <c r="E347" s="346" cm="1">
        <f t="array" aca="1" ref="E347" ca="1">INDIRECT("'1"&amp;$A347&amp;"'!"&amp;E$327 )</f>
        <v>-5.6511681108983858E-5</v>
      </c>
      <c r="G347" s="1" t="s">
        <v>252</v>
      </c>
      <c r="H347" s="1" cm="1">
        <f t="array" aca="1" ref="H347" ca="1">INDIRECT("'1"&amp;$G347&amp;"'!"&amp;H$327 )</f>
        <v>0.279900009196414</v>
      </c>
      <c r="I347" s="1" cm="1">
        <f t="array" aca="1" ref="I347" ca="1">INDIRECT("'1"&amp;$G347&amp;"'!"&amp;I$327 )-INDIRECT("'1"&amp;$G347&amp;"'!"&amp;H$327 )</f>
        <v>-2.2098602418850199E-3</v>
      </c>
      <c r="O347" s="89"/>
      <c r="P347" s="96"/>
      <c r="Q347" s="88"/>
      <c r="R347" s="96"/>
    </row>
    <row r="348" spans="1:18" s="1" customFormat="1" x14ac:dyDescent="0.3">
      <c r="A348" s="1" t="s">
        <v>210</v>
      </c>
      <c r="B348" s="118" cm="1">
        <f t="array" aca="1" ref="B348" ca="1">INDIRECT("'1"&amp;$A348&amp;"'!"&amp;B$327 )</f>
        <v>1.1928312840930877E-2</v>
      </c>
      <c r="C348" s="345" cm="1">
        <f t="array" aca="1" ref="C348" ca="1">INDIRECT("'1"&amp;$A348&amp;"'!"&amp;C$327 )/100</f>
        <v>-5.6138366601272692E-5</v>
      </c>
      <c r="D348" s="118" cm="1">
        <f t="array" aca="1" ref="D348" ca="1">INDIRECT("'1"&amp;$A348&amp;"'!"&amp;D$327 )</f>
        <v>5.9918852131513045E-2</v>
      </c>
      <c r="E348" s="345" cm="1">
        <f t="array" aca="1" ref="E348" ca="1">INDIRECT("'1"&amp;$A348&amp;"'!"&amp;E$327 )</f>
        <v>-4.2274493881999664E-5</v>
      </c>
      <c r="G348" s="1" t="s">
        <v>247</v>
      </c>
      <c r="H348" s="1" cm="1">
        <f t="array" aca="1" ref="H348" ca="1">INDIRECT("'1"&amp;$G348&amp;"'!"&amp;H$327 )</f>
        <v>0.27451485472389597</v>
      </c>
      <c r="I348" s="1" cm="1">
        <f t="array" aca="1" ref="I348" ca="1">INDIRECT("'1"&amp;$G348&amp;"'!"&amp;I$327 )-INDIRECT("'1"&amp;$G348&amp;"'!"&amp;H$327 )</f>
        <v>-2.2786245906209479E-3</v>
      </c>
      <c r="O348" s="88"/>
      <c r="P348" s="94"/>
      <c r="Q348" s="88"/>
      <c r="R348" s="94"/>
    </row>
    <row r="349" spans="1:18" s="1" customFormat="1" x14ac:dyDescent="0.3">
      <c r="A349" s="1" t="s">
        <v>245</v>
      </c>
      <c r="B349" s="118" cm="1">
        <f t="array" aca="1" ref="B349" ca="1">INDIRECT("'1"&amp;$A349&amp;"'!"&amp;B$327 )</f>
        <v>1.1483180226798395E-2</v>
      </c>
      <c r="C349" s="345" cm="1">
        <f t="array" aca="1" ref="C349" ca="1">INDIRECT("'1"&amp;$A349&amp;"'!"&amp;C$327 )/100</f>
        <v>-4.1633816920043641E-5</v>
      </c>
      <c r="D349" s="118" cm="1">
        <f t="array" aca="1" ref="D349" ca="1">INDIRECT("'1"&amp;$A349&amp;"'!"&amp;D$327 )</f>
        <v>6.0271378214940552E-2</v>
      </c>
      <c r="E349" s="345" cm="1">
        <f t="array" aca="1" ref="E349" ca="1">INDIRECT("'1"&amp;$A349&amp;"'!"&amp;E$327 )</f>
        <v>-4.2200127900959838E-5</v>
      </c>
      <c r="G349" s="1" t="s">
        <v>225</v>
      </c>
      <c r="H349" s="1" cm="1">
        <f t="array" aca="1" ref="H349" ca="1">INDIRECT("'1"&amp;$G349&amp;"'!"&amp;H$327 )</f>
        <v>0.387572063897832</v>
      </c>
      <c r="I349" s="1" cm="1">
        <f t="array" aca="1" ref="I349" ca="1">INDIRECT("'1"&amp;$G349&amp;"'!"&amp;I$327 )-INDIRECT("'1"&amp;$G349&amp;"'!"&amp;H$327 )</f>
        <v>-2.3232827618610008E-3</v>
      </c>
      <c r="O349" s="89"/>
      <c r="P349" s="96"/>
      <c r="Q349" s="88"/>
      <c r="R349" s="96"/>
    </row>
    <row r="350" spans="1:18" s="1" customFormat="1" x14ac:dyDescent="0.3">
      <c r="A350" s="1" t="s">
        <v>227</v>
      </c>
      <c r="B350" s="118" cm="1">
        <f t="array" aca="1" ref="B350" ca="1">INDIRECT("'1"&amp;$A350&amp;"'!"&amp;B$327 )</f>
        <v>-1.5822696174887241E-3</v>
      </c>
      <c r="C350" s="345" cm="1">
        <f t="array" aca="1" ref="C350" ca="1">INDIRECT("'1"&amp;$A350&amp;"'!"&amp;C$327 )/100</f>
        <v>-2.679928280340249E-6</v>
      </c>
      <c r="D350" s="118" cm="1">
        <f t="array" aca="1" ref="D350" ca="1">INDIRECT("'1"&amp;$A350&amp;"'!"&amp;D$327 )</f>
        <v>3.1823953917389791E-3</v>
      </c>
      <c r="E350" s="345" cm="1">
        <f t="array" aca="1" ref="E350" ca="1">INDIRECT("'1"&amp;$A350&amp;"'!"&amp;E$327 )</f>
        <v>5.4127838470252598E-6</v>
      </c>
      <c r="G350" s="1" t="s">
        <v>208</v>
      </c>
      <c r="H350" s="1" cm="1">
        <f t="array" aca="1" ref="H350" ca="1">INDIRECT("'1"&amp;$G350&amp;"'!"&amp;H$327 )</f>
        <v>0.39873029251767</v>
      </c>
      <c r="I350" s="1" cm="1">
        <f t="array" aca="1" ref="I350" ca="1">INDIRECT("'1"&amp;$G350&amp;"'!"&amp;I$327 )-INDIRECT("'1"&amp;$G350&amp;"'!"&amp;H$327 )</f>
        <v>-2.3413655680110113E-3</v>
      </c>
      <c r="O350" s="88"/>
      <c r="P350" s="94"/>
      <c r="Q350" s="88"/>
      <c r="R350" s="94"/>
    </row>
    <row r="351" spans="1:18" s="1" customFormat="1" x14ac:dyDescent="0.3">
      <c r="A351" s="1" t="s">
        <v>254</v>
      </c>
      <c r="B351" s="118" cm="1">
        <f t="array" aca="1" ref="B351" ca="1">INDIRECT("'1"&amp;$A351&amp;"'!"&amp;B$327 )</f>
        <v>-3.6974913196735626E-3</v>
      </c>
      <c r="C351" s="345" cm="1">
        <f t="array" aca="1" ref="C351" ca="1">INDIRECT("'1"&amp;$A351&amp;"'!"&amp;C$327 )/100</f>
        <v>-1.486286723186936E-4</v>
      </c>
      <c r="D351" s="118" cm="1">
        <f t="array" aca="1" ref="D351" ca="1">INDIRECT("'1"&amp;$A351&amp;"'!"&amp;D$327 )</f>
        <v>4.0417775776406539E-2</v>
      </c>
      <c r="E351" s="345" cm="1">
        <f t="array" aca="1" ref="E351" ca="1">INDIRECT("'1"&amp;$A351&amp;"'!"&amp;E$327 )</f>
        <v>1.4383685056018614E-5</v>
      </c>
      <c r="G351" s="1" t="s">
        <v>240</v>
      </c>
      <c r="H351" s="1" cm="1">
        <f t="array" aca="1" ref="H351" ca="1">INDIRECT("'1"&amp;$G351&amp;"'!"&amp;H$327 )</f>
        <v>0.25292400154439199</v>
      </c>
      <c r="I351" s="1" cm="1">
        <f t="array" aca="1" ref="I351" ca="1">INDIRECT("'1"&amp;$G351&amp;"'!"&amp;I$327 )-INDIRECT("'1"&amp;$G351&amp;"'!"&amp;H$327 )</f>
        <v>-2.3579568408479967E-3</v>
      </c>
      <c r="O351" s="89"/>
      <c r="P351" s="96"/>
      <c r="Q351" s="88"/>
      <c r="R351" s="96"/>
    </row>
    <row r="352" spans="1:18" s="1" customFormat="1" x14ac:dyDescent="0.3">
      <c r="A352" s="1" t="s">
        <v>234</v>
      </c>
      <c r="B352" s="118" cm="1">
        <f t="array" aca="1" ref="B352" ca="1">INDIRECT("'1"&amp;$A352&amp;"'!"&amp;B$327 )</f>
        <v>-3.86231091894923E-3</v>
      </c>
      <c r="C352" s="345" cm="1">
        <f t="array" aca="1" ref="C352" ca="1">INDIRECT("'1"&amp;$A352&amp;"'!"&amp;C$327 )/100</f>
        <v>-1.1320502778989549E-4</v>
      </c>
      <c r="D352" s="118" cm="1">
        <f t="array" aca="1" ref="D352" ca="1">INDIRECT("'1"&amp;$A352&amp;"'!"&amp;D$327 )</f>
        <v>7.5584197159794808E-2</v>
      </c>
      <c r="E352" s="345" cm="1">
        <f t="array" aca="1" ref="E352" ca="1">INDIRECT("'1"&amp;$A352&amp;"'!"&amp;E$327 )</f>
        <v>9.7955971929963859E-6</v>
      </c>
      <c r="G352" s="1" t="s">
        <v>218</v>
      </c>
      <c r="H352" s="1" cm="1">
        <f t="array" aca="1" ref="H352" ca="1">INDIRECT("'1"&amp;$G352&amp;"'!"&amp;H$327 )</f>
        <v>0.27724546457928501</v>
      </c>
      <c r="I352" s="1" cm="1">
        <f t="array" aca="1" ref="I352" ca="1">INDIRECT("'1"&amp;$G352&amp;"'!"&amp;I$327 )-INDIRECT("'1"&amp;$G352&amp;"'!"&amp;H$327 )</f>
        <v>-2.3628194129430291E-3</v>
      </c>
      <c r="O352" s="88"/>
      <c r="P352" s="94"/>
      <c r="Q352" s="88"/>
      <c r="R352" s="94"/>
    </row>
    <row r="353" spans="1:18" s="1" customFormat="1" x14ac:dyDescent="0.3">
      <c r="A353" s="1" t="s">
        <v>3</v>
      </c>
      <c r="B353" s="118" cm="1">
        <f t="array" aca="1" ref="B353" ca="1">INDIRECT("'1"&amp;$A353&amp;"'!"&amp;B$327 )</f>
        <v>-6.0455769124750924E-3</v>
      </c>
      <c r="C353" s="345" cm="1">
        <f t="array" aca="1" ref="C353" ca="1">INDIRECT("'1"&amp;$A353&amp;"'!"&amp;C$327 )/100</f>
        <v>-2.3410740962068745E-5</v>
      </c>
      <c r="D353" s="118" cm="1">
        <f t="array" aca="1" ref="D353" ca="1">INDIRECT("'1"&amp;$A353&amp;"'!"&amp;D$327 )</f>
        <v>2.8510267709783155E-2</v>
      </c>
      <c r="E353" s="346" cm="1">
        <f t="array" aca="1" ref="E353" ca="1">INDIRECT("'1"&amp;$A353&amp;"'!"&amp;E$327 )</f>
        <v>2.1676367234990668E-5</v>
      </c>
      <c r="G353" s="1" t="s">
        <v>214</v>
      </c>
      <c r="H353" s="1" cm="1">
        <f t="array" aca="1" ref="H353" ca="1">INDIRECT("'1"&amp;$G353&amp;"'!"&amp;H$327 )</f>
        <v>0.20256054347733399</v>
      </c>
      <c r="I353" s="1" cm="1">
        <f t="array" aca="1" ref="I353" ca="1">INDIRECT("'1"&amp;$G353&amp;"'!"&amp;I$327 )-INDIRECT("'1"&amp;$G353&amp;"'!"&amp;H$327 )</f>
        <v>-2.3814959516549883E-3</v>
      </c>
      <c r="O353" s="88"/>
      <c r="P353" s="94"/>
      <c r="Q353" s="88"/>
      <c r="R353" s="94"/>
    </row>
    <row r="354" spans="1:18" s="1" customFormat="1" x14ac:dyDescent="0.3">
      <c r="A354" s="1" t="s">
        <v>204</v>
      </c>
      <c r="B354" s="118" cm="1">
        <f t="array" aca="1" ref="B354" ca="1">INDIRECT("'1"&amp;$A354&amp;"'!"&amp;B$327 )</f>
        <v>-1.1961443287725193E-2</v>
      </c>
      <c r="C354" s="345" cm="1">
        <f t="array" aca="1" ref="C354" ca="1">INDIRECT("'1"&amp;$A354&amp;"'!"&amp;C$327 )/100</f>
        <v>-3.7839826989705118E-5</v>
      </c>
      <c r="D354" s="118" cm="1">
        <f t="array" aca="1" ref="D354" ca="1">INDIRECT("'1"&amp;$A354&amp;"'!"&amp;D$327 )</f>
        <v>6.4734146526546077E-2</v>
      </c>
      <c r="E354" s="346" cm="1">
        <f t="array" aca="1" ref="E354" ca="1">INDIRECT("'1"&amp;$A354&amp;"'!"&amp;E$327 )</f>
        <v>4.0233046807003348E-5</v>
      </c>
      <c r="G354" t="s">
        <v>249</v>
      </c>
      <c r="H354" cm="1">
        <f t="array" aca="1" ref="H354" ca="1">INDIRECT("'1"&amp;$G354&amp;"'!"&amp;H$327 )</f>
        <v>0.32440527394457702</v>
      </c>
      <c r="I354" cm="1">
        <f t="array" aca="1" ref="I354" ca="1">INDIRECT("'1"&amp;$G354&amp;"'!"&amp;I$327 )-INDIRECT("'1"&amp;$G354&amp;"'!"&amp;H$327 )</f>
        <v>-2.4485460644640411E-3</v>
      </c>
      <c r="O354" s="88"/>
      <c r="P354" s="94"/>
      <c r="Q354" s="88"/>
      <c r="R354" s="94"/>
    </row>
    <row r="355" spans="1:18" s="1" customFormat="1" x14ac:dyDescent="0.3">
      <c r="A355" s="1" t="s">
        <v>238</v>
      </c>
      <c r="B355" s="118" cm="1">
        <f t="array" aca="1" ref="B355" ca="1">INDIRECT("'1"&amp;$A355&amp;"'!"&amp;B$327 )</f>
        <v>-2.1566224905579523E-2</v>
      </c>
      <c r="C355" s="345" cm="1">
        <f t="array" aca="1" ref="C355" ca="1">INDIRECT("'1"&amp;$A355&amp;"'!"&amp;C$327 )/100</f>
        <v>-2.3173489072988217E-4</v>
      </c>
      <c r="D355" s="118" cm="1">
        <f t="array" aca="1" ref="D355" ca="1">INDIRECT("'1"&amp;$A355&amp;"'!"&amp;D$327 )</f>
        <v>2.4089817271455427E-2</v>
      </c>
      <c r="E355" s="345" cm="1">
        <f t="array" aca="1" ref="E355" ca="1">INDIRECT("'1"&amp;$A355&amp;"'!"&amp;E$327 )</f>
        <v>1.1694002138001869E-4</v>
      </c>
      <c r="G355" s="1" t="s">
        <v>3</v>
      </c>
      <c r="H355" s="1" cm="1">
        <f t="array" aca="1" ref="H355" ca="1">INDIRECT("'1"&amp;$G355&amp;"'!"&amp;H$327 )</f>
        <v>0.27049579852216199</v>
      </c>
      <c r="I355" s="1" cm="1">
        <f t="array" aca="1" ref="I355" ca="1">INDIRECT("'1"&amp;$G355&amp;"'!"&amp;I$327 )-INDIRECT("'1"&amp;$G355&amp;"'!"&amp;H$327 )</f>
        <v>-2.9310443300579747E-3</v>
      </c>
      <c r="O355" s="89"/>
      <c r="P355" s="96"/>
      <c r="Q355" s="88"/>
      <c r="R355" s="96"/>
    </row>
    <row r="356" spans="1:18" s="1" customFormat="1" x14ac:dyDescent="0.3">
      <c r="A356" s="1" t="s">
        <v>214</v>
      </c>
      <c r="B356" s="118" cm="1">
        <f t="array" aca="1" ref="B356" ca="1">INDIRECT("'1"&amp;$A356&amp;"'!"&amp;B$327 )</f>
        <v>-3.6661121376815875E-2</v>
      </c>
      <c r="C356" s="345" cm="1">
        <f t="array" aca="1" ref="C356" ca="1">INDIRECT("'1"&amp;$A356&amp;"'!"&amp;C$327 )/100</f>
        <v>1.0713368595451911E-5</v>
      </c>
      <c r="D356" s="118" cm="1">
        <f t="array" aca="1" ref="D356" ca="1">INDIRECT("'1"&amp;$A356&amp;"'!"&amp;D$327 )</f>
        <v>-1.637019273687812E-2</v>
      </c>
      <c r="E356" s="345" cm="1">
        <f t="array" aca="1" ref="E356" ca="1">INDIRECT("'1"&amp;$A356&amp;"'!"&amp;E$327 )</f>
        <v>1.3709351866997288E-4</v>
      </c>
      <c r="G356" s="1" t="s">
        <v>204</v>
      </c>
      <c r="H356" s="1" cm="1">
        <f t="array" aca="1" ref="H356" ca="1">INDIRECT("'1"&amp;$G356&amp;"'!"&amp;H$327 )</f>
        <v>0.25452626670974099</v>
      </c>
      <c r="I356" s="1" cm="1">
        <f t="array" aca="1" ref="I356" ca="1">INDIRECT("'1"&amp;$G356&amp;"'!"&amp;I$327 )-INDIRECT("'1"&amp;$G356&amp;"'!"&amp;H$327 )</f>
        <v>-3.1797867921439793E-3</v>
      </c>
      <c r="O356" s="89"/>
      <c r="P356" s="96"/>
      <c r="Q356" s="88"/>
      <c r="R356" s="96"/>
    </row>
    <row r="357" spans="1:18" s="1" customFormat="1" x14ac:dyDescent="0.3">
      <c r="A357" s="1" t="s">
        <v>242</v>
      </c>
      <c r="B357" s="118" cm="1">
        <f t="array" aca="1" ref="B357" ca="1">INDIRECT("'1"&amp;$A357&amp;"'!"&amp;B$327 )</f>
        <v>-4.0954575533899001E-2</v>
      </c>
      <c r="C357" s="345" cm="1">
        <f t="array" aca="1" ref="C357" ca="1">INDIRECT("'1"&amp;$A357&amp;"'!"&amp;C$327 )/100</f>
        <v>4.696657866850806E-5</v>
      </c>
      <c r="D357" s="118" cm="1">
        <f t="array" aca="1" ref="D357" ca="1">INDIRECT("'1"&amp;$A357&amp;"'!"&amp;D$327 )</f>
        <v>-5.7362412375897009E-2</v>
      </c>
      <c r="E357" s="345" cm="1">
        <f t="array" aca="1" ref="E357" ca="1">INDIRECT("'1"&amp;$A357&amp;"'!"&amp;E$327 )</f>
        <v>1.6340127108505076E-4</v>
      </c>
      <c r="G357" s="1" t="s">
        <v>222</v>
      </c>
      <c r="H357" s="1" cm="1">
        <f t="array" aca="1" ref="H357" ca="1">INDIRECT("'1"&amp;$G357&amp;"'!"&amp;H$327 )</f>
        <v>0.39006948599399299</v>
      </c>
      <c r="I357" s="1" cm="1">
        <f t="array" aca="1" ref="I357" ca="1">INDIRECT("'1"&amp;$G357&amp;"'!"&amp;I$327 )-INDIRECT("'1"&amp;$G357&amp;"'!"&amp;H$327 )</f>
        <v>-3.5808110326400189E-3</v>
      </c>
      <c r="O357" s="88"/>
      <c r="P357" s="94"/>
      <c r="Q357" s="88"/>
      <c r="R357" s="94"/>
    </row>
    <row r="358" spans="1:18" s="1" customFormat="1" x14ac:dyDescent="0.3">
      <c r="O358" s="88"/>
      <c r="P358" s="94"/>
      <c r="Q358" s="88"/>
      <c r="R358" s="94"/>
    </row>
    <row r="359" spans="1:18" s="1" customFormat="1" x14ac:dyDescent="0.3">
      <c r="O359" s="88"/>
      <c r="P359" s="94"/>
      <c r="Q359" s="88"/>
      <c r="R359" s="94"/>
    </row>
    <row r="360" spans="1:18" s="1" customFormat="1" x14ac:dyDescent="0.3">
      <c r="O360" s="91"/>
      <c r="P360" s="95"/>
      <c r="Q360" s="91"/>
      <c r="R360" s="95"/>
    </row>
    <row r="361" spans="1:18" s="85" customFormat="1" ht="36.6" customHeight="1" x14ac:dyDescent="0.3">
      <c r="A361" s="183" t="s">
        <v>601</v>
      </c>
      <c r="O361" s="87"/>
      <c r="P361" s="93"/>
      <c r="R361" s="93"/>
    </row>
    <row r="362" spans="1:18" s="1" customFormat="1" x14ac:dyDescent="0.3">
      <c r="B362" s="1" t="s">
        <v>385</v>
      </c>
      <c r="C362" s="1" t="s">
        <v>385</v>
      </c>
      <c r="O362" s="88"/>
      <c r="P362" s="94"/>
      <c r="R362" s="94"/>
    </row>
    <row r="363" spans="1:18" s="1" customFormat="1" x14ac:dyDescent="0.3">
      <c r="A363" s="1" t="s">
        <v>386</v>
      </c>
      <c r="B363" s="1" t="s">
        <v>351</v>
      </c>
      <c r="C363" s="1" t="s">
        <v>351</v>
      </c>
      <c r="I363" s="1" t="s">
        <v>290</v>
      </c>
      <c r="O363" s="88"/>
      <c r="P363" s="94"/>
      <c r="R363" s="94"/>
    </row>
    <row r="364" spans="1:18" s="1" customFormat="1" ht="43.2" x14ac:dyDescent="0.3">
      <c r="A364" s="109" t="s">
        <v>338</v>
      </c>
      <c r="B364" s="119" t="s">
        <v>387</v>
      </c>
      <c r="C364" s="119" t="s">
        <v>388</v>
      </c>
      <c r="D364" s="119" t="s">
        <v>389</v>
      </c>
      <c r="F364" s="387" t="s">
        <v>338</v>
      </c>
      <c r="G364" s="388" t="s">
        <v>390</v>
      </c>
      <c r="H364" s="388" t="s">
        <v>391</v>
      </c>
      <c r="I364" s="388" t="s">
        <v>392</v>
      </c>
      <c r="J364" s="389" t="s">
        <v>393</v>
      </c>
      <c r="O364" s="88"/>
      <c r="P364" s="94"/>
      <c r="R364" s="94"/>
    </row>
    <row r="365" spans="1:18" s="1" customFormat="1" x14ac:dyDescent="0.3">
      <c r="A365" s="86" t="s">
        <v>304</v>
      </c>
      <c r="B365" s="194" t="e">
        <f ca="1">MAX(INDIRECT("'1"&amp;$A365&amp;"'!"&amp;B$362):INDIRECT("'1"&amp;$A365&amp;"'!"&amp;B$363))</f>
        <v>#REF!</v>
      </c>
      <c r="C365" s="194" t="e">
        <f ca="1">MIN(INDIRECT("'1"&amp;$A365&amp;"'!"&amp;C$362):INDIRECT("'1"&amp;$A365&amp;"'!"&amp;C$363))</f>
        <v>#REF!</v>
      </c>
      <c r="D365" s="194" t="e">
        <f ca="1">Table2781113[[#This Row],[Max TTB elasticity]]-Table2781113[[#This Row],[Min TTB elasticity]]</f>
        <v>#REF!</v>
      </c>
      <c r="E365" s="118"/>
      <c r="F365" s="99" t="s">
        <v>223</v>
      </c>
      <c r="G365" s="395" cm="1">
        <f t="array" aca="1" ref="G365" ca="1">((INDIRECT("'1"&amp;$F365&amp;"'!D12")+INDIRECT("'1"&amp;$F365&amp;"'!D13")+INDIRECT("'1"&amp;$F365&amp;"'!D14")+INDIRECT("'1"&amp;$F365&amp;"'!D15")+INDIRECT("'1"&amp;$F365&amp;"'!D16")
-INDIRECT("'1"&amp;$F365&amp;"'!C12")-INDIRECT("'1"&amp;$F365&amp;"'!C13")-INDIRECT("'1"&amp;$F365&amp;"'!C14")-INDIRECT("'1"&amp;$F365&amp;"'!C15")-INDIRECT("'1"&amp;$F365&amp;"'!C16"))/ABS(INDIRECT("'1"&amp;$F365&amp;"'!C12")
+INDIRECT("'1"&amp;$F365&amp;"'!C13")
+INDIRECT("'1"&amp;$F365&amp;"'!C14")+INDIRECT("'1"&amp;$F365&amp;"'!C15")+INDIRECT("'1"&amp;$F365&amp;"'!C16")))/((INDIRECT("'1"&amp;$F365&amp;"'!Q12")
+INDIRECT("'1"&amp;$F365&amp;"'!Q13")
+INDIRECT("'1"&amp;$F365&amp;"'!Q14")
+INDIRECT("'1"&amp;$F365&amp;"'!Q15")
+INDIRECT("'1"&amp;$F365&amp;"'!Q16"))/(INDIRECT("'1"&amp;$F365&amp;"'!P12")
+INDIRECT("'1"&amp;$F365&amp;"'!P13")
+INDIRECT("'1"&amp;$F365&amp;"'!P14")
+INDIRECT("'1"&amp;$F365&amp;"'!P15")
+INDIRECT("'1"&amp;$F365&amp;"'!P16"))-1)</f>
        <v>1.5711183727303635</v>
      </c>
      <c r="H365" s="397" cm="1">
        <f t="array" aca="1" ref="H365" ca="1">((INDIRECT("'1"&amp;$F365&amp;"'!D17")
+INDIRECT("'1"&amp;$F365&amp;"'!D18")
+INDIRECT("'1"&amp;$F365&amp;"'!D19")
+INDIRECT("'1"&amp;$F365&amp;"'!D20")
+INDIRECT("'1"&amp;$F365&amp;"'!D21")
-INDIRECT("'1"&amp;$F365&amp;"'!C17")
-INDIRECT("'1"&amp;$F365&amp;"'!C18")
-INDIRECT("'1"&amp;$F365&amp;"'!C19")-INDIRECT("'1"&amp;$F365&amp;"'!C20")-INDIRECT("'1"&amp;$F365&amp;"'!C21"))/ABS(INDIRECT("'1"&amp;$F365&amp;"'!C17")
+INDIRECT("'1"&amp;$F365&amp;"'!C18")
+INDIRECT("'1"&amp;$F365&amp;"'!C19")+INDIRECT("'1"&amp;$F365&amp;"'!C20")+INDIRECT("'1"&amp;$F365&amp;"'!C21")))/((INDIRECT("'1"&amp;$F365&amp;"'!Q17")
+INDIRECT("'1"&amp;$F365&amp;"'!Q18")
+INDIRECT("'1"&amp;$F365&amp;"'!Q19")
+INDIRECT("'1"&amp;$F365&amp;"'!Q20")
+INDIRECT("'1"&amp;$F365&amp;"'!Q21"))/(INDIRECT("'1"&amp;$F365&amp;"'!P17")
+INDIRECT("'1"&amp;$F365&amp;"'!P18")
+INDIRECT("'1"&amp;$F365&amp;"'!P19")
+INDIRECT("'1"&amp;$F365&amp;"'!P20")
+INDIRECT("'1"&amp;$F365&amp;"'!P21"))-1)</f>
        <v>1.5365998510353012</v>
      </c>
      <c r="I365" s="397" cm="1">
        <f t="array" aca="1" ref="I365" ca="1">INDIRECT("1"&amp;F365&amp;"!"&amp;I$363)</f>
        <v>1.5415702152840249</v>
      </c>
      <c r="J365" s="399">
        <f t="shared" ref="J365:J393" ca="1" si="0">G365-H365</f>
        <v>3.451852169506231E-2</v>
      </c>
      <c r="O365" s="88"/>
      <c r="P365" s="94"/>
      <c r="R365" s="94"/>
    </row>
    <row r="366" spans="1:18" s="1" customFormat="1" x14ac:dyDescent="0.3">
      <c r="A366" s="86" t="s">
        <v>305</v>
      </c>
      <c r="B366" s="194" t="e">
        <f ca="1">MAX(INDIRECT("'1"&amp;$A366&amp;"'!"&amp;B$362):INDIRECT("'1"&amp;$A366&amp;"'!"&amp;B$363))</f>
        <v>#REF!</v>
      </c>
      <c r="C366" s="194" t="e">
        <f ca="1">MIN(INDIRECT("'1"&amp;$A366&amp;"'!"&amp;C$362):INDIRECT("'1"&amp;$A366&amp;"'!"&amp;C$363))</f>
        <v>#REF!</v>
      </c>
      <c r="D366" s="194" t="e">
        <f ca="1">Table2781113[[#This Row],[Max TTB elasticity]]-Table2781113[[#This Row],[Min TTB elasticity]]</f>
        <v>#REF!</v>
      </c>
      <c r="E366" s="118"/>
      <c r="F366" s="88" t="s">
        <v>227</v>
      </c>
      <c r="G366" s="392" cm="1">
        <f t="array" aca="1" ref="G366" ca="1">((INDIRECT("'1"&amp;$F366&amp;"'!D12")+INDIRECT("'1"&amp;$F366&amp;"'!D13")+INDIRECT("'1"&amp;$F366&amp;"'!D14")+INDIRECT("'1"&amp;$F366&amp;"'!D15")+INDIRECT("'1"&amp;$F366&amp;"'!D16")
-INDIRECT("'1"&amp;$F366&amp;"'!C12")-INDIRECT("'1"&amp;$F366&amp;"'!C13")-INDIRECT("'1"&amp;$F366&amp;"'!C14")-INDIRECT("'1"&amp;$F366&amp;"'!C15")-INDIRECT("'1"&amp;$F366&amp;"'!C16"))/ABS(INDIRECT("'1"&amp;$F366&amp;"'!C12")
+INDIRECT("'1"&amp;$F366&amp;"'!C13")
+INDIRECT("'1"&amp;$F366&amp;"'!C14")+INDIRECT("'1"&amp;$F366&amp;"'!C15")+INDIRECT("'1"&amp;$F366&amp;"'!C16")))/((INDIRECT("'1"&amp;$F366&amp;"'!Q12")
+INDIRECT("'1"&amp;$F366&amp;"'!Q13")
+INDIRECT("'1"&amp;$F366&amp;"'!Q14")
+INDIRECT("'1"&amp;$F366&amp;"'!Q15")
+INDIRECT("'1"&amp;$F366&amp;"'!Q16"))/(INDIRECT("'1"&amp;$F366&amp;"'!P12")
+INDIRECT("'1"&amp;$F366&amp;"'!P13")
+INDIRECT("'1"&amp;$F366&amp;"'!P14")
+INDIRECT("'1"&amp;$F366&amp;"'!P15")
+INDIRECT("'1"&amp;$F366&amp;"'!P16"))-1)</f>
        <v>1.1696277288001595</v>
      </c>
      <c r="H366" s="41" cm="1">
        <f t="array" aca="1" ref="H366" ca="1">((INDIRECT("'1"&amp;$F366&amp;"'!D17")
+INDIRECT("'1"&amp;$F366&amp;"'!D18")
+INDIRECT("'1"&amp;$F366&amp;"'!D19")
+INDIRECT("'1"&amp;$F366&amp;"'!D20")
+INDIRECT("'1"&amp;$F366&amp;"'!D21")
-INDIRECT("'1"&amp;$F366&amp;"'!C17")
-INDIRECT("'1"&amp;$F366&amp;"'!C18")
-INDIRECT("'1"&amp;$F366&amp;"'!C19")-INDIRECT("'1"&amp;$F366&amp;"'!C20")-INDIRECT("'1"&amp;$F366&amp;"'!C21"))/ABS(INDIRECT("'1"&amp;$F366&amp;"'!C17")
+INDIRECT("'1"&amp;$F366&amp;"'!C18")
+INDIRECT("'1"&amp;$F366&amp;"'!C19")+INDIRECT("'1"&amp;$F366&amp;"'!C20")+INDIRECT("'1"&amp;$F366&amp;"'!C21")))/((INDIRECT("'1"&amp;$F366&amp;"'!Q17")
+INDIRECT("'1"&amp;$F366&amp;"'!Q18")
+INDIRECT("'1"&amp;$F366&amp;"'!Q19")
+INDIRECT("'1"&amp;$F366&amp;"'!Q20")
+INDIRECT("'1"&amp;$F366&amp;"'!Q21"))/(INDIRECT("'1"&amp;$F366&amp;"'!P17")
+INDIRECT("'1"&amp;$F366&amp;"'!P18")
+INDIRECT("'1"&amp;$F366&amp;"'!P19")
+INDIRECT("'1"&amp;$F366&amp;"'!P20")
+INDIRECT("'1"&amp;$F366&amp;"'!P21"))-1)</f>
        <v>1.0798359130066222</v>
      </c>
      <c r="I366" s="41" cm="1">
        <f t="array" aca="1" ref="I366" ca="1">INDIRECT("1"&amp;F366&amp;"!"&amp;I$363)</f>
        <v>1.0958061555302958</v>
      </c>
      <c r="J366" s="393">
        <f t="shared" ca="1" si="0"/>
        <v>8.9791815793537344E-2</v>
      </c>
      <c r="O366" s="88"/>
      <c r="P366" s="94"/>
      <c r="R366" s="94"/>
    </row>
    <row r="367" spans="1:18" s="1" customFormat="1" x14ac:dyDescent="0.3">
      <c r="A367" s="86" t="s">
        <v>306</v>
      </c>
      <c r="B367" s="194" t="e">
        <f ca="1">MAX(INDIRECT("'1"&amp;$A367&amp;"'!"&amp;B$362):INDIRECT("'1"&amp;$A367&amp;"'!"&amp;B$363))</f>
        <v>#REF!</v>
      </c>
      <c r="C367" s="194" t="e">
        <f ca="1">MIN(INDIRECT("'1"&amp;$A367&amp;"'!"&amp;C$362):INDIRECT("'1"&amp;$A367&amp;"'!"&amp;C$363))</f>
        <v>#REF!</v>
      </c>
      <c r="D367" s="194" t="e">
        <f ca="1">Table2781113[[#This Row],[Max TTB elasticity]]-Table2781113[[#This Row],[Min TTB elasticity]]</f>
        <v>#REF!</v>
      </c>
      <c r="E367" s="120"/>
      <c r="F367" s="88" t="s">
        <v>238</v>
      </c>
      <c r="G367" s="392" cm="1">
        <f t="array" aca="1" ref="G367" ca="1">((INDIRECT("'1"&amp;$F367&amp;"'!D12")+INDIRECT("'1"&amp;$F367&amp;"'!D13")+INDIRECT("'1"&amp;$F367&amp;"'!D14")+INDIRECT("'1"&amp;$F367&amp;"'!D15")+INDIRECT("'1"&amp;$F367&amp;"'!D16")
-INDIRECT("'1"&amp;$F367&amp;"'!C12")-INDIRECT("'1"&amp;$F367&amp;"'!C13")-INDIRECT("'1"&amp;$F367&amp;"'!C14")-INDIRECT("'1"&amp;$F367&amp;"'!C15")-INDIRECT("'1"&amp;$F367&amp;"'!C16"))/ABS(INDIRECT("'1"&amp;$F367&amp;"'!C12")
+INDIRECT("'1"&amp;$F367&amp;"'!C13")
+INDIRECT("'1"&amp;$F367&amp;"'!C14")+INDIRECT("'1"&amp;$F367&amp;"'!C15")+INDIRECT("'1"&amp;$F367&amp;"'!C16")))/((INDIRECT("'1"&amp;$F367&amp;"'!Q12")
+INDIRECT("'1"&amp;$F367&amp;"'!Q13")
+INDIRECT("'1"&amp;$F367&amp;"'!Q14")
+INDIRECT("'1"&amp;$F367&amp;"'!Q15")
+INDIRECT("'1"&amp;$F367&amp;"'!Q16"))/(INDIRECT("'1"&amp;$F367&amp;"'!P12")
+INDIRECT("'1"&amp;$F367&amp;"'!P13")
+INDIRECT("'1"&amp;$F367&amp;"'!P14")
+INDIRECT("'1"&amp;$F367&amp;"'!P15")
+INDIRECT("'1"&amp;$F367&amp;"'!P16"))-1)</f>
        <v>1.7626264046682829</v>
      </c>
      <c r="H367" s="41" cm="1">
        <f t="array" aca="1" ref="H367" ca="1">((INDIRECT("'1"&amp;$F367&amp;"'!D17")
+INDIRECT("'1"&amp;$F367&amp;"'!D18")
+INDIRECT("'1"&amp;$F367&amp;"'!D19")
+INDIRECT("'1"&amp;$F367&amp;"'!D20")
+INDIRECT("'1"&amp;$F367&amp;"'!D21")
-INDIRECT("'1"&amp;$F367&amp;"'!C17")
-INDIRECT("'1"&amp;$F367&amp;"'!C18")
-INDIRECT("'1"&amp;$F367&amp;"'!C19")-INDIRECT("'1"&amp;$F367&amp;"'!C20")-INDIRECT("'1"&amp;$F367&amp;"'!C21"))/ABS(INDIRECT("'1"&amp;$F367&amp;"'!C17")
+INDIRECT("'1"&amp;$F367&amp;"'!C18")
+INDIRECT("'1"&amp;$F367&amp;"'!C19")+INDIRECT("'1"&amp;$F367&amp;"'!C20")+INDIRECT("'1"&amp;$F367&amp;"'!C21")))/((INDIRECT("'1"&amp;$F367&amp;"'!Q17")
+INDIRECT("'1"&amp;$F367&amp;"'!Q18")
+INDIRECT("'1"&amp;$F367&amp;"'!Q19")
+INDIRECT("'1"&amp;$F367&amp;"'!Q20")
+INDIRECT("'1"&amp;$F367&amp;"'!Q21"))/(INDIRECT("'1"&amp;$F367&amp;"'!P17")
+INDIRECT("'1"&amp;$F367&amp;"'!P18")
+INDIRECT("'1"&amp;$F367&amp;"'!P19")
+INDIRECT("'1"&amp;$F367&amp;"'!P20")
+INDIRECT("'1"&amp;$F367&amp;"'!P21"))-1)</f>
        <v>1.2583614785860171</v>
      </c>
      <c r="I367" s="41" cm="1">
        <f t="array" aca="1" ref="I367" ca="1">INDIRECT("1"&amp;F367&amp;"!"&amp;I$363)</f>
        <v>1.3144652982741332</v>
      </c>
      <c r="J367" s="393">
        <f t="shared" ca="1" si="0"/>
        <v>0.50426492608226581</v>
      </c>
      <c r="O367" s="89"/>
      <c r="P367" s="96"/>
      <c r="Q367" s="86"/>
      <c r="R367" s="96"/>
    </row>
    <row r="368" spans="1:18" s="1" customFormat="1" x14ac:dyDescent="0.3">
      <c r="A368" s="86" t="s">
        <v>307</v>
      </c>
      <c r="B368" s="194" t="e">
        <f ca="1">MAX(INDIRECT("'1"&amp;$A368&amp;"'!"&amp;B$362):INDIRECT("'1"&amp;$A368&amp;"'!"&amp;B$363))</f>
        <v>#REF!</v>
      </c>
      <c r="C368" s="194" t="e">
        <f ca="1">MIN(INDIRECT("'1"&amp;$A368&amp;"'!"&amp;C$362):INDIRECT("'1"&amp;$A368&amp;"'!"&amp;C$363))</f>
        <v>#REF!</v>
      </c>
      <c r="D368" s="194" t="e">
        <f ca="1">Table2781113[[#This Row],[Max TTB elasticity]]-Table2781113[[#This Row],[Min TTB elasticity]]</f>
        <v>#REF!</v>
      </c>
      <c r="E368" s="118"/>
      <c r="F368" s="88" t="s">
        <v>222</v>
      </c>
      <c r="G368" s="392" cm="1">
        <f t="array" aca="1" ref="G368" ca="1">((INDIRECT("'1"&amp;$F368&amp;"'!D12")+INDIRECT("'1"&amp;$F368&amp;"'!D13")+INDIRECT("'1"&amp;$F368&amp;"'!D14")+INDIRECT("'1"&amp;$F368&amp;"'!D15")+INDIRECT("'1"&amp;$F368&amp;"'!D16")
-INDIRECT("'1"&amp;$F368&amp;"'!C12")-INDIRECT("'1"&amp;$F368&amp;"'!C13")-INDIRECT("'1"&amp;$F368&amp;"'!C14")-INDIRECT("'1"&amp;$F368&amp;"'!C15")-INDIRECT("'1"&amp;$F368&amp;"'!C16"))/ABS(INDIRECT("'1"&amp;$F368&amp;"'!C12")
+INDIRECT("'1"&amp;$F368&amp;"'!C13")
+INDIRECT("'1"&amp;$F368&amp;"'!C14")+INDIRECT("'1"&amp;$F368&amp;"'!C15")+INDIRECT("'1"&amp;$F368&amp;"'!C16")))/((INDIRECT("'1"&amp;$F368&amp;"'!Q12")
+INDIRECT("'1"&amp;$F368&amp;"'!Q13")
+INDIRECT("'1"&amp;$F368&amp;"'!Q14")
+INDIRECT("'1"&amp;$F368&amp;"'!Q15")
+INDIRECT("'1"&amp;$F368&amp;"'!Q16"))/(INDIRECT("'1"&amp;$F368&amp;"'!P12")
+INDIRECT("'1"&amp;$F368&amp;"'!P13")
+INDIRECT("'1"&amp;$F368&amp;"'!P14")
+INDIRECT("'1"&amp;$F368&amp;"'!P15")
+INDIRECT("'1"&amp;$F368&amp;"'!P16"))-1)</f>
        <v>2.1799294844435311</v>
      </c>
      <c r="H368" s="41" cm="1">
        <f t="array" aca="1" ref="H368" ca="1">((INDIRECT("'1"&amp;$F368&amp;"'!D17")
+INDIRECT("'1"&amp;$F368&amp;"'!D18")
+INDIRECT("'1"&amp;$F368&amp;"'!D19")
+INDIRECT("'1"&amp;$F368&amp;"'!D20")
+INDIRECT("'1"&amp;$F368&amp;"'!D21")
-INDIRECT("'1"&amp;$F368&amp;"'!C17")
-INDIRECT("'1"&amp;$F368&amp;"'!C18")
-INDIRECT("'1"&amp;$F368&amp;"'!C19")-INDIRECT("'1"&amp;$F368&amp;"'!C20")-INDIRECT("'1"&amp;$F368&amp;"'!C21"))/ABS(INDIRECT("'1"&amp;$F368&amp;"'!C17")
+INDIRECT("'1"&amp;$F368&amp;"'!C18")
+INDIRECT("'1"&amp;$F368&amp;"'!C19")+INDIRECT("'1"&amp;$F368&amp;"'!C20")+INDIRECT("'1"&amp;$F368&amp;"'!C21")))/((INDIRECT("'1"&amp;$F368&amp;"'!Q17")
+INDIRECT("'1"&amp;$F368&amp;"'!Q18")
+INDIRECT("'1"&amp;$F368&amp;"'!Q19")
+INDIRECT("'1"&amp;$F368&amp;"'!Q20")
+INDIRECT("'1"&amp;$F368&amp;"'!Q21"))/(INDIRECT("'1"&amp;$F368&amp;"'!P17")
+INDIRECT("'1"&amp;$F368&amp;"'!P18")
+INDIRECT("'1"&amp;$F368&amp;"'!P19")
+INDIRECT("'1"&amp;$F368&amp;"'!P20")
+INDIRECT("'1"&amp;$F368&amp;"'!P21"))-1)</f>
        <v>1.6461638735706507</v>
      </c>
      <c r="I368" s="41" cm="1">
        <f t="array" aca="1" ref="I368" ca="1">INDIRECT("1"&amp;F368&amp;"!"&amp;I$363)</f>
        <v>1.7423543356823485</v>
      </c>
      <c r="J368" s="393">
        <f t="shared" ca="1" si="0"/>
        <v>0.53376561087288033</v>
      </c>
      <c r="O368" s="88"/>
      <c r="P368" s="94"/>
      <c r="R368" s="94"/>
    </row>
    <row r="369" spans="1:18" s="1" customFormat="1" x14ac:dyDescent="0.3">
      <c r="A369" s="86" t="s">
        <v>308</v>
      </c>
      <c r="B369" s="194" t="e">
        <f ca="1">MAX(INDIRECT("'1"&amp;$A369&amp;"'!"&amp;B$362):INDIRECT("'1"&amp;$A369&amp;"'!"&amp;B$363))</f>
        <v>#REF!</v>
      </c>
      <c r="C369" s="194" t="e">
        <f ca="1">MIN(INDIRECT("'1"&amp;$A369&amp;"'!"&amp;C$362):INDIRECT("'1"&amp;$A369&amp;"'!"&amp;C$363))</f>
        <v>#REF!</v>
      </c>
      <c r="D369" s="194" t="e">
        <f ca="1">Table2781113[[#This Row],[Max TTB elasticity]]-Table2781113[[#This Row],[Min TTB elasticity]]</f>
        <v>#REF!</v>
      </c>
      <c r="E369" s="120"/>
      <c r="F369" s="88" t="s">
        <v>217</v>
      </c>
      <c r="G369" s="392" cm="1">
        <f t="array" aca="1" ref="G369" ca="1">((INDIRECT("'1"&amp;$F369&amp;"'!D12")+INDIRECT("'1"&amp;$F369&amp;"'!D13")+INDIRECT("'1"&amp;$F369&amp;"'!D14")+INDIRECT("'1"&amp;$F369&amp;"'!D15")+INDIRECT("'1"&amp;$F369&amp;"'!D16")
-INDIRECT("'1"&amp;$F369&amp;"'!C12")-INDIRECT("'1"&amp;$F369&amp;"'!C13")-INDIRECT("'1"&amp;$F369&amp;"'!C14")-INDIRECT("'1"&amp;$F369&amp;"'!C15")-INDIRECT("'1"&amp;$F369&amp;"'!C16"))/ABS(INDIRECT("'1"&amp;$F369&amp;"'!C12")
+INDIRECT("'1"&amp;$F369&amp;"'!C13")
+INDIRECT("'1"&amp;$F369&amp;"'!C14")+INDIRECT("'1"&amp;$F369&amp;"'!C15")+INDIRECT("'1"&amp;$F369&amp;"'!C16")))/((INDIRECT("'1"&amp;$F369&amp;"'!Q12")
+INDIRECT("'1"&amp;$F369&amp;"'!Q13")
+INDIRECT("'1"&amp;$F369&amp;"'!Q14")
+INDIRECT("'1"&amp;$F369&amp;"'!Q15")
+INDIRECT("'1"&amp;$F369&amp;"'!Q16"))/(INDIRECT("'1"&amp;$F369&amp;"'!P12")
+INDIRECT("'1"&amp;$F369&amp;"'!P13")
+INDIRECT("'1"&amp;$F369&amp;"'!P14")
+INDIRECT("'1"&amp;$F369&amp;"'!P15")
+INDIRECT("'1"&amp;$F369&amp;"'!P16"))-1)</f>
        <v>2.3734793654182211</v>
      </c>
      <c r="H369" s="41" cm="1">
        <f t="array" aca="1" ref="H369" ca="1">((INDIRECT("'1"&amp;$F369&amp;"'!D17")
+INDIRECT("'1"&amp;$F369&amp;"'!D18")
+INDIRECT("'1"&amp;$F369&amp;"'!D19")
+INDIRECT("'1"&amp;$F369&amp;"'!D20")
+INDIRECT("'1"&amp;$F369&amp;"'!D21")
-INDIRECT("'1"&amp;$F369&amp;"'!C17")
-INDIRECT("'1"&amp;$F369&amp;"'!C18")
-INDIRECT("'1"&amp;$F369&amp;"'!C19")-INDIRECT("'1"&amp;$F369&amp;"'!C20")-INDIRECT("'1"&amp;$F369&amp;"'!C21"))/ABS(INDIRECT("'1"&amp;$F369&amp;"'!C17")
+INDIRECT("'1"&amp;$F369&amp;"'!C18")
+INDIRECT("'1"&amp;$F369&amp;"'!C19")+INDIRECT("'1"&amp;$F369&amp;"'!C20")+INDIRECT("'1"&amp;$F369&amp;"'!C21")))/((INDIRECT("'1"&amp;$F369&amp;"'!Q17")
+INDIRECT("'1"&amp;$F369&amp;"'!Q18")
+INDIRECT("'1"&amp;$F369&amp;"'!Q19")
+INDIRECT("'1"&amp;$F369&amp;"'!Q20")
+INDIRECT("'1"&amp;$F369&amp;"'!Q21"))/(INDIRECT("'1"&amp;$F369&amp;"'!P17")
+INDIRECT("'1"&amp;$F369&amp;"'!P18")
+INDIRECT("'1"&amp;$F369&amp;"'!P19")
+INDIRECT("'1"&amp;$F369&amp;"'!P20")
+INDIRECT("'1"&amp;$F369&amp;"'!P21"))-1)</f>
        <v>1.7460870610361479</v>
      </c>
      <c r="I369" s="41" cm="1">
        <f t="array" aca="1" ref="I369" ca="1">INDIRECT("1"&amp;F369&amp;"!"&amp;I$363)</f>
        <v>1.8032111978204031</v>
      </c>
      <c r="J369" s="393">
        <f t="shared" ca="1" si="0"/>
        <v>0.62739230438207327</v>
      </c>
      <c r="O369" s="89"/>
      <c r="P369" s="96"/>
      <c r="Q369" s="86"/>
      <c r="R369" s="96"/>
    </row>
    <row r="370" spans="1:18" s="1" customFormat="1" x14ac:dyDescent="0.3">
      <c r="A370" s="86" t="s">
        <v>309</v>
      </c>
      <c r="B370" s="194" t="e">
        <f ca="1">MAX(INDIRECT("'1"&amp;$A370&amp;"'!"&amp;B$362):INDIRECT("'1"&amp;$A370&amp;"'!"&amp;B$363))</f>
        <v>#REF!</v>
      </c>
      <c r="C370" s="194" t="e">
        <f ca="1">MIN(INDIRECT("'1"&amp;$A370&amp;"'!"&amp;C$362):INDIRECT("'1"&amp;$A370&amp;"'!"&amp;C$363))</f>
        <v>#REF!</v>
      </c>
      <c r="D370" s="194" t="e">
        <f ca="1">Table2781113[[#This Row],[Max TTB elasticity]]-Table2781113[[#This Row],[Min TTB elasticity]]</f>
        <v>#REF!</v>
      </c>
      <c r="E370" s="118"/>
      <c r="F370" s="88" t="s">
        <v>254</v>
      </c>
      <c r="G370" s="392" cm="1">
        <f t="array" aca="1" ref="G370" ca="1">((INDIRECT("'1"&amp;$F370&amp;"'!D12")+INDIRECT("'1"&amp;$F370&amp;"'!D13")+INDIRECT("'1"&amp;$F370&amp;"'!D14")+INDIRECT("'1"&amp;$F370&amp;"'!D15")+INDIRECT("'1"&amp;$F370&amp;"'!D16")
-INDIRECT("'1"&amp;$F370&amp;"'!C12")-INDIRECT("'1"&amp;$F370&amp;"'!C13")-INDIRECT("'1"&amp;$F370&amp;"'!C14")-INDIRECT("'1"&amp;$F370&amp;"'!C15")-INDIRECT("'1"&amp;$F370&amp;"'!C16"))/ABS(INDIRECT("'1"&amp;$F370&amp;"'!C12")
+INDIRECT("'1"&amp;$F370&amp;"'!C13")
+INDIRECT("'1"&amp;$F370&amp;"'!C14")+INDIRECT("'1"&amp;$F370&amp;"'!C15")+INDIRECT("'1"&amp;$F370&amp;"'!C16")))/((INDIRECT("'1"&amp;$F370&amp;"'!Q12")
+INDIRECT("'1"&amp;$F370&amp;"'!Q13")
+INDIRECT("'1"&amp;$F370&amp;"'!Q14")
+INDIRECT("'1"&amp;$F370&amp;"'!Q15")
+INDIRECT("'1"&amp;$F370&amp;"'!Q16"))/(INDIRECT("'1"&amp;$F370&amp;"'!P12")
+INDIRECT("'1"&amp;$F370&amp;"'!P13")
+INDIRECT("'1"&amp;$F370&amp;"'!P14")
+INDIRECT("'1"&amp;$F370&amp;"'!P15")
+INDIRECT("'1"&amp;$F370&amp;"'!P16"))-1)</f>
        <v>2.4389107198055124</v>
      </c>
      <c r="H370" s="41" cm="1">
        <f t="array" aca="1" ref="H370" ca="1">((INDIRECT("'1"&amp;$F370&amp;"'!D17")
+INDIRECT("'1"&amp;$F370&amp;"'!D18")
+INDIRECT("'1"&amp;$F370&amp;"'!D19")
+INDIRECT("'1"&amp;$F370&amp;"'!D20")
+INDIRECT("'1"&amp;$F370&amp;"'!D21")
-INDIRECT("'1"&amp;$F370&amp;"'!C17")
-INDIRECT("'1"&amp;$F370&amp;"'!C18")
-INDIRECT("'1"&amp;$F370&amp;"'!C19")-INDIRECT("'1"&amp;$F370&amp;"'!C20")-INDIRECT("'1"&amp;$F370&amp;"'!C21"))/ABS(INDIRECT("'1"&amp;$F370&amp;"'!C17")
+INDIRECT("'1"&amp;$F370&amp;"'!C18")
+INDIRECT("'1"&amp;$F370&amp;"'!C19")+INDIRECT("'1"&amp;$F370&amp;"'!C20")+INDIRECT("'1"&amp;$F370&amp;"'!C21")))/((INDIRECT("'1"&amp;$F370&amp;"'!Q17")
+INDIRECT("'1"&amp;$F370&amp;"'!Q18")
+INDIRECT("'1"&amp;$F370&amp;"'!Q19")
+INDIRECT("'1"&amp;$F370&amp;"'!Q20")
+INDIRECT("'1"&amp;$F370&amp;"'!Q21"))/(INDIRECT("'1"&amp;$F370&amp;"'!P17")
+INDIRECT("'1"&amp;$F370&amp;"'!P18")
+INDIRECT("'1"&amp;$F370&amp;"'!P19")
+INDIRECT("'1"&amp;$F370&amp;"'!P20")
+INDIRECT("'1"&amp;$F370&amp;"'!P21"))-1)</f>
        <v>1.7572037742410609</v>
      </c>
      <c r="I370" s="41" cm="1">
        <f t="array" aca="1" ref="I370" ca="1">INDIRECT("1"&amp;F370&amp;"!"&amp;I$363)</f>
        <v>1.8516723283112846</v>
      </c>
      <c r="J370" s="393">
        <f t="shared" ca="1" si="0"/>
        <v>0.68170694556445155</v>
      </c>
      <c r="O370" s="88"/>
      <c r="P370" s="94"/>
      <c r="R370" s="94"/>
    </row>
    <row r="371" spans="1:18" s="1" customFormat="1" x14ac:dyDescent="0.3">
      <c r="A371" s="86" t="s">
        <v>310</v>
      </c>
      <c r="B371" s="194" t="e">
        <f ca="1">MAX(INDIRECT("'1"&amp;$A371&amp;"'!"&amp;B$362):INDIRECT("'1"&amp;$A371&amp;"'!"&amp;B$363))</f>
        <v>#REF!</v>
      </c>
      <c r="C371" s="194" t="e">
        <f ca="1">MIN(INDIRECT("'1"&amp;$A371&amp;"'!"&amp;C$362):INDIRECT("'1"&amp;$A371&amp;"'!"&amp;C$363))</f>
        <v>#REF!</v>
      </c>
      <c r="D371" s="194" t="e">
        <f ca="1">Table2781113[[#This Row],[Max TTB elasticity]]-Table2781113[[#This Row],[Min TTB elasticity]]</f>
        <v>#REF!</v>
      </c>
      <c r="E371" s="120"/>
      <c r="F371" s="88" t="s">
        <v>247</v>
      </c>
      <c r="G371" s="392" cm="1">
        <f t="array" aca="1" ref="G371" ca="1">((INDIRECT("'1"&amp;$F371&amp;"'!D12")+INDIRECT("'1"&amp;$F371&amp;"'!D13")+INDIRECT("'1"&amp;$F371&amp;"'!D14")+INDIRECT("'1"&amp;$F371&amp;"'!D15")+INDIRECT("'1"&amp;$F371&amp;"'!D16")
-INDIRECT("'1"&amp;$F371&amp;"'!C12")-INDIRECT("'1"&amp;$F371&amp;"'!C13")-INDIRECT("'1"&amp;$F371&amp;"'!C14")-INDIRECT("'1"&amp;$F371&amp;"'!C15")-INDIRECT("'1"&amp;$F371&amp;"'!C16"))/ABS(INDIRECT("'1"&amp;$F371&amp;"'!C12")
+INDIRECT("'1"&amp;$F371&amp;"'!C13")
+INDIRECT("'1"&amp;$F371&amp;"'!C14")+INDIRECT("'1"&amp;$F371&amp;"'!C15")+INDIRECT("'1"&amp;$F371&amp;"'!C16")))/((INDIRECT("'1"&amp;$F371&amp;"'!Q12")
+INDIRECT("'1"&amp;$F371&amp;"'!Q13")
+INDIRECT("'1"&amp;$F371&amp;"'!Q14")
+INDIRECT("'1"&amp;$F371&amp;"'!Q15")
+INDIRECT("'1"&amp;$F371&amp;"'!Q16"))/(INDIRECT("'1"&amp;$F371&amp;"'!P12")
+INDIRECT("'1"&amp;$F371&amp;"'!P13")
+INDIRECT("'1"&amp;$F371&amp;"'!P14")
+INDIRECT("'1"&amp;$F371&amp;"'!P15")
+INDIRECT("'1"&amp;$F371&amp;"'!P16"))-1)</f>
        <v>3.1382840000543819</v>
      </c>
      <c r="H371" s="41" cm="1">
        <f t="array" aca="1" ref="H371" ca="1">((INDIRECT("'1"&amp;$F371&amp;"'!D17")
+INDIRECT("'1"&amp;$F371&amp;"'!D18")
+INDIRECT("'1"&amp;$F371&amp;"'!D19")
+INDIRECT("'1"&amp;$F371&amp;"'!D20")
+INDIRECT("'1"&amp;$F371&amp;"'!D21")
-INDIRECT("'1"&amp;$F371&amp;"'!C17")
-INDIRECT("'1"&amp;$F371&amp;"'!C18")
-INDIRECT("'1"&amp;$F371&amp;"'!C19")-INDIRECT("'1"&amp;$F371&amp;"'!C20")-INDIRECT("'1"&amp;$F371&amp;"'!C21"))/ABS(INDIRECT("'1"&amp;$F371&amp;"'!C17")
+INDIRECT("'1"&amp;$F371&amp;"'!C18")
+INDIRECT("'1"&amp;$F371&amp;"'!C19")+INDIRECT("'1"&amp;$F371&amp;"'!C20")+INDIRECT("'1"&amp;$F371&amp;"'!C21")))/((INDIRECT("'1"&amp;$F371&amp;"'!Q17")
+INDIRECT("'1"&amp;$F371&amp;"'!Q18")
+INDIRECT("'1"&amp;$F371&amp;"'!Q19")
+INDIRECT("'1"&amp;$F371&amp;"'!Q20")
+INDIRECT("'1"&amp;$F371&amp;"'!Q21"))/(INDIRECT("'1"&amp;$F371&amp;"'!P17")
+INDIRECT("'1"&amp;$F371&amp;"'!P18")
+INDIRECT("'1"&amp;$F371&amp;"'!P19")
+INDIRECT("'1"&amp;$F371&amp;"'!P20")
+INDIRECT("'1"&amp;$F371&amp;"'!P21"))-1)</f>
        <v>2.0834812323025429</v>
      </c>
      <c r="I371" s="41" cm="1">
        <f t="array" aca="1" ref="I371" ca="1">INDIRECT("1"&amp;F371&amp;"!"&amp;I$363)</f>
        <v>2.1811011429483584</v>
      </c>
      <c r="J371" s="393">
        <f t="shared" ca="1" si="0"/>
        <v>1.054802767751839</v>
      </c>
      <c r="O371" s="89"/>
      <c r="P371" s="96"/>
      <c r="Q371" s="86"/>
      <c r="R371" s="96"/>
    </row>
    <row r="372" spans="1:18" s="1" customFormat="1" x14ac:dyDescent="0.3">
      <c r="A372" s="86" t="s">
        <v>311</v>
      </c>
      <c r="B372" s="194" t="e">
        <f ca="1">MAX(INDIRECT("'1"&amp;$A372&amp;"'!"&amp;B$362):INDIRECT("'1"&amp;$A372&amp;"'!"&amp;B$363))</f>
        <v>#REF!</v>
      </c>
      <c r="C372" s="194" t="e">
        <f ca="1">MIN(INDIRECT("'1"&amp;$A372&amp;"'!"&amp;C$362):INDIRECT("'1"&amp;$A372&amp;"'!"&amp;C$363))</f>
        <v>#REF!</v>
      </c>
      <c r="D372" s="194" t="e">
        <f ca="1">Table2781113[[#This Row],[Max TTB elasticity]]-Table2781113[[#This Row],[Min TTB elasticity]]</f>
        <v>#REF!</v>
      </c>
      <c r="E372" s="120"/>
      <c r="F372" s="88" t="s">
        <v>242</v>
      </c>
      <c r="G372" s="392" cm="1">
        <f t="array" aca="1" ref="G372" ca="1">((INDIRECT("'1"&amp;$F372&amp;"'!D12")+INDIRECT("'1"&amp;$F372&amp;"'!D13")+INDIRECT("'1"&amp;$F372&amp;"'!D14")+INDIRECT("'1"&amp;$F372&amp;"'!D15")+INDIRECT("'1"&amp;$F372&amp;"'!D16")
-INDIRECT("'1"&amp;$F372&amp;"'!C12")-INDIRECT("'1"&amp;$F372&amp;"'!C13")-INDIRECT("'1"&amp;$F372&amp;"'!C14")-INDIRECT("'1"&amp;$F372&amp;"'!C15")-INDIRECT("'1"&amp;$F372&amp;"'!C16"))/ABS(INDIRECT("'1"&amp;$F372&amp;"'!C12")
+INDIRECT("'1"&amp;$F372&amp;"'!C13")
+INDIRECT("'1"&amp;$F372&amp;"'!C14")+INDIRECT("'1"&amp;$F372&amp;"'!C15")+INDIRECT("'1"&amp;$F372&amp;"'!C16")))/((INDIRECT("'1"&amp;$F372&amp;"'!Q12")
+INDIRECT("'1"&amp;$F372&amp;"'!Q13")
+INDIRECT("'1"&amp;$F372&amp;"'!Q14")
+INDIRECT("'1"&amp;$F372&amp;"'!Q15")
+INDIRECT("'1"&amp;$F372&amp;"'!Q16"))/(INDIRECT("'1"&amp;$F372&amp;"'!P12")
+INDIRECT("'1"&amp;$F372&amp;"'!P13")
+INDIRECT("'1"&amp;$F372&amp;"'!P14")
+INDIRECT("'1"&amp;$F372&amp;"'!P15")
+INDIRECT("'1"&amp;$F372&amp;"'!P16"))-1)</f>
        <v>2.490349201709722</v>
      </c>
      <c r="H372" s="41" cm="1">
        <f t="array" aca="1" ref="H372" ca="1">((INDIRECT("'1"&amp;$F372&amp;"'!D17")
+INDIRECT("'1"&amp;$F372&amp;"'!D18")
+INDIRECT("'1"&amp;$F372&amp;"'!D19")
+INDIRECT("'1"&amp;$F372&amp;"'!D20")
+INDIRECT("'1"&amp;$F372&amp;"'!D21")
-INDIRECT("'1"&amp;$F372&amp;"'!C17")
-INDIRECT("'1"&amp;$F372&amp;"'!C18")
-INDIRECT("'1"&amp;$F372&amp;"'!C19")-INDIRECT("'1"&amp;$F372&amp;"'!C20")-INDIRECT("'1"&amp;$F372&amp;"'!C21"))/ABS(INDIRECT("'1"&amp;$F372&amp;"'!C17")
+INDIRECT("'1"&amp;$F372&amp;"'!C18")
+INDIRECT("'1"&amp;$F372&amp;"'!C19")+INDIRECT("'1"&amp;$F372&amp;"'!C20")+INDIRECT("'1"&amp;$F372&amp;"'!C21")))/((INDIRECT("'1"&amp;$F372&amp;"'!Q17")
+INDIRECT("'1"&amp;$F372&amp;"'!Q18")
+INDIRECT("'1"&amp;$F372&amp;"'!Q19")
+INDIRECT("'1"&amp;$F372&amp;"'!Q20")
+INDIRECT("'1"&amp;$F372&amp;"'!Q21"))/(INDIRECT("'1"&amp;$F372&amp;"'!P17")
+INDIRECT("'1"&amp;$F372&amp;"'!P18")
+INDIRECT("'1"&amp;$F372&amp;"'!P19")
+INDIRECT("'1"&amp;$F372&amp;"'!P20")
+INDIRECT("'1"&amp;$F372&amp;"'!P21"))-1)</f>
        <v>1.2852223336365924</v>
      </c>
      <c r="I372" s="41" cm="1">
        <f t="array" aca="1" ref="I372" ca="1">INDIRECT("1"&amp;F372&amp;"!"&amp;I$363)</f>
        <v>1.439871427179074</v>
      </c>
      <c r="J372" s="393">
        <f t="shared" ca="1" si="0"/>
        <v>1.2051268680731295</v>
      </c>
      <c r="O372" s="88"/>
      <c r="P372" s="94"/>
      <c r="R372" s="94"/>
    </row>
    <row r="373" spans="1:18" s="1" customFormat="1" x14ac:dyDescent="0.3">
      <c r="A373" s="1" t="s">
        <v>3</v>
      </c>
      <c r="B373" s="118">
        <f ca="1">MAX(INDIRECT("'1"&amp;$A373&amp;"'!"&amp;B$362):INDIRECT("'1"&amp;$A373&amp;"'!"&amp;B$363))</f>
        <v>39.258922395439207</v>
      </c>
      <c r="C373" s="118">
        <f ca="1">MIN(INDIRECT("'1"&amp;$A373&amp;"'!"&amp;C$362):INDIRECT("'1"&amp;$A373&amp;"'!"&amp;C$363))</f>
        <v>0.55434578760135611</v>
      </c>
      <c r="D373" s="118">
        <f ca="1">Table2781113[[#This Row],[Max TTB elasticity]]-Table2781113[[#This Row],[Min TTB elasticity]]</f>
        <v>38.704576607837851</v>
      </c>
      <c r="E373" s="120"/>
      <c r="F373" s="88" t="s">
        <v>210</v>
      </c>
      <c r="G373" s="392" cm="1">
        <f t="array" aca="1" ref="G373" ca="1">((INDIRECT("'1"&amp;$F373&amp;"'!D12")+INDIRECT("'1"&amp;$F373&amp;"'!D13")+INDIRECT("'1"&amp;$F373&amp;"'!D14")+INDIRECT("'1"&amp;$F373&amp;"'!D15")+INDIRECT("'1"&amp;$F373&amp;"'!D16")
-INDIRECT("'1"&amp;$F373&amp;"'!C12")-INDIRECT("'1"&amp;$F373&amp;"'!C13")-INDIRECT("'1"&amp;$F373&amp;"'!C14")-INDIRECT("'1"&amp;$F373&amp;"'!C15")-INDIRECT("'1"&amp;$F373&amp;"'!C16"))/ABS(INDIRECT("'1"&amp;$F373&amp;"'!C12")
+INDIRECT("'1"&amp;$F373&amp;"'!C13")
+INDIRECT("'1"&amp;$F373&amp;"'!C14")+INDIRECT("'1"&amp;$F373&amp;"'!C15")+INDIRECT("'1"&amp;$F373&amp;"'!C16")))/((INDIRECT("'1"&amp;$F373&amp;"'!Q12")
+INDIRECT("'1"&amp;$F373&amp;"'!Q13")
+INDIRECT("'1"&amp;$F373&amp;"'!Q14")
+INDIRECT("'1"&amp;$F373&amp;"'!Q15")
+INDIRECT("'1"&amp;$F373&amp;"'!Q16"))/(INDIRECT("'1"&amp;$F373&amp;"'!P12")
+INDIRECT("'1"&amp;$F373&amp;"'!P13")
+INDIRECT("'1"&amp;$F373&amp;"'!P14")
+INDIRECT("'1"&amp;$F373&amp;"'!P15")
+INDIRECT("'1"&amp;$F373&amp;"'!P16"))-1)</f>
        <v>2.9128939897736141</v>
      </c>
      <c r="H373" s="41" cm="1">
        <f t="array" aca="1" ref="H373" ca="1">((INDIRECT("'1"&amp;$F373&amp;"'!D17")
+INDIRECT("'1"&amp;$F373&amp;"'!D18")
+INDIRECT("'1"&amp;$F373&amp;"'!D19")
+INDIRECT("'1"&amp;$F373&amp;"'!D20")
+INDIRECT("'1"&amp;$F373&amp;"'!D21")
-INDIRECT("'1"&amp;$F373&amp;"'!C17")
-INDIRECT("'1"&amp;$F373&amp;"'!C18")
-INDIRECT("'1"&amp;$F373&amp;"'!C19")-INDIRECT("'1"&amp;$F373&amp;"'!C20")-INDIRECT("'1"&amp;$F373&amp;"'!C21"))/ABS(INDIRECT("'1"&amp;$F373&amp;"'!C17")
+INDIRECT("'1"&amp;$F373&amp;"'!C18")
+INDIRECT("'1"&amp;$F373&amp;"'!C19")+INDIRECT("'1"&amp;$F373&amp;"'!C20")+INDIRECT("'1"&amp;$F373&amp;"'!C21")))/((INDIRECT("'1"&amp;$F373&amp;"'!Q17")
+INDIRECT("'1"&amp;$F373&amp;"'!Q18")
+INDIRECT("'1"&amp;$F373&amp;"'!Q19")
+INDIRECT("'1"&amp;$F373&amp;"'!Q20")
+INDIRECT("'1"&amp;$F373&amp;"'!Q21"))/(INDIRECT("'1"&amp;$F373&amp;"'!P17")
+INDIRECT("'1"&amp;$F373&amp;"'!P18")
+INDIRECT("'1"&amp;$F373&amp;"'!P19")
+INDIRECT("'1"&amp;$F373&amp;"'!P20")
+INDIRECT("'1"&amp;$F373&amp;"'!P21"))-1)</f>
        <v>1.5962701506926449</v>
      </c>
      <c r="I373" s="41" cm="1">
        <f t="array" aca="1" ref="I373" ca="1">INDIRECT("1"&amp;F373&amp;"!"&amp;I$363)</f>
        <v>1.7103139797998415</v>
      </c>
      <c r="J373" s="393">
        <f t="shared" ca="1" si="0"/>
        <v>1.3166238390809692</v>
      </c>
      <c r="O373" s="88"/>
      <c r="P373" s="94"/>
      <c r="R373" s="94"/>
    </row>
    <row r="374" spans="1:18" s="1" customFormat="1" x14ac:dyDescent="0.3">
      <c r="A374" s="1" t="s">
        <v>204</v>
      </c>
      <c r="B374" s="118">
        <f ca="1">MAX(INDIRECT("'1"&amp;$A374&amp;"'!"&amp;B$362):INDIRECT("'1"&amp;$A374&amp;"'!"&amp;B$363))</f>
        <v>34.733873368165071</v>
      </c>
      <c r="C374" s="118">
        <f ca="1">MIN(INDIRECT("'1"&amp;$A374&amp;"'!"&amp;C$362):INDIRECT("'1"&amp;$A374&amp;"'!"&amp;C$363))</f>
        <v>1.3992366666065328</v>
      </c>
      <c r="D374" s="118">
        <f ca="1">Table2781113[[#This Row],[Max TTB elasticity]]-Table2781113[[#This Row],[Min TTB elasticity]]</f>
        <v>33.334636701558537</v>
      </c>
      <c r="E374" s="118"/>
      <c r="F374" s="88" t="s">
        <v>234</v>
      </c>
      <c r="G374" s="392" cm="1">
        <f t="array" aca="1" ref="G374" ca="1">((INDIRECT("'1"&amp;$F374&amp;"'!D12")+INDIRECT("'1"&amp;$F374&amp;"'!D13")+INDIRECT("'1"&amp;$F374&amp;"'!D14")+INDIRECT("'1"&amp;$F374&amp;"'!D15")+INDIRECT("'1"&amp;$F374&amp;"'!D16")
-INDIRECT("'1"&amp;$F374&amp;"'!C12")-INDIRECT("'1"&amp;$F374&amp;"'!C13")-INDIRECT("'1"&amp;$F374&amp;"'!C14")-INDIRECT("'1"&amp;$F374&amp;"'!C15")-INDIRECT("'1"&amp;$F374&amp;"'!C16"))/ABS(INDIRECT("'1"&amp;$F374&amp;"'!C12")
+INDIRECT("'1"&amp;$F374&amp;"'!C13")
+INDIRECT("'1"&amp;$F374&amp;"'!C14")+INDIRECT("'1"&amp;$F374&amp;"'!C15")+INDIRECT("'1"&amp;$F374&amp;"'!C16")))/((INDIRECT("'1"&amp;$F374&amp;"'!Q12")
+INDIRECT("'1"&amp;$F374&amp;"'!Q13")
+INDIRECT("'1"&amp;$F374&amp;"'!Q14")
+INDIRECT("'1"&amp;$F374&amp;"'!Q15")
+INDIRECT("'1"&amp;$F374&amp;"'!Q16"))/(INDIRECT("'1"&amp;$F374&amp;"'!P12")
+INDIRECT("'1"&amp;$F374&amp;"'!P13")
+INDIRECT("'1"&amp;$F374&amp;"'!P14")
+INDIRECT("'1"&amp;$F374&amp;"'!P15")
+INDIRECT("'1"&amp;$F374&amp;"'!P16"))-1)</f>
        <v>3.2006132967754821</v>
      </c>
      <c r="H374" s="41" cm="1">
        <f t="array" aca="1" ref="H374" ca="1">((INDIRECT("'1"&amp;$F374&amp;"'!D17")
+INDIRECT("'1"&amp;$F374&amp;"'!D18")
+INDIRECT("'1"&amp;$F374&amp;"'!D19")
+INDIRECT("'1"&amp;$F374&amp;"'!D20")
+INDIRECT("'1"&amp;$F374&amp;"'!D21")
-INDIRECT("'1"&amp;$F374&amp;"'!C17")
-INDIRECT("'1"&amp;$F374&amp;"'!C18")
-INDIRECT("'1"&amp;$F374&amp;"'!C19")-INDIRECT("'1"&amp;$F374&amp;"'!C20")-INDIRECT("'1"&amp;$F374&amp;"'!C21"))/ABS(INDIRECT("'1"&amp;$F374&amp;"'!C17")
+INDIRECT("'1"&amp;$F374&amp;"'!C18")
+INDIRECT("'1"&amp;$F374&amp;"'!C19")+INDIRECT("'1"&amp;$F374&amp;"'!C20")+INDIRECT("'1"&amp;$F374&amp;"'!C21")))/((INDIRECT("'1"&amp;$F374&amp;"'!Q17")
+INDIRECT("'1"&amp;$F374&amp;"'!Q18")
+INDIRECT("'1"&amp;$F374&amp;"'!Q19")
+INDIRECT("'1"&amp;$F374&amp;"'!Q20")
+INDIRECT("'1"&amp;$F374&amp;"'!Q21"))/(INDIRECT("'1"&amp;$F374&amp;"'!P17")
+INDIRECT("'1"&amp;$F374&amp;"'!P18")
+INDIRECT("'1"&amp;$F374&amp;"'!P19")
+INDIRECT("'1"&amp;$F374&amp;"'!P20")
+INDIRECT("'1"&amp;$F374&amp;"'!P21"))-1)</f>
        <v>1.7225733596419792</v>
      </c>
      <c r="I374" s="41" cm="1">
        <f t="array" aca="1" ref="I374" ca="1">INDIRECT("1"&amp;F374&amp;"!"&amp;I$363)</f>
        <v>1.8551616744290942</v>
      </c>
      <c r="J374" s="393">
        <f t="shared" ca="1" si="0"/>
        <v>1.4780399371335029</v>
      </c>
      <c r="O374" s="88"/>
      <c r="P374" s="94"/>
      <c r="R374" s="94"/>
    </row>
    <row r="375" spans="1:18" s="1" customFormat="1" x14ac:dyDescent="0.3">
      <c r="A375" s="1" t="s">
        <v>208</v>
      </c>
      <c r="B375" s="118">
        <f ca="1">MAX(INDIRECT("'1"&amp;$A375&amp;"'!"&amp;B$362):INDIRECT("'1"&amp;$A375&amp;"'!"&amp;B$363))</f>
        <v>10.642336890791634</v>
      </c>
      <c r="C375" s="118">
        <f ca="1">MIN(INDIRECT("'1"&amp;$A375&amp;"'!"&amp;C$362):INDIRECT("'1"&amp;$A375&amp;"'!"&amp;C$363))</f>
        <v>0</v>
      </c>
      <c r="D375" s="118">
        <f ca="1">Table2781113[[#This Row],[Max TTB elasticity]]-Table2781113[[#This Row],[Min TTB elasticity]]</f>
        <v>10.642336890791634</v>
      </c>
      <c r="E375" s="118"/>
      <c r="F375" s="88" t="s">
        <v>252</v>
      </c>
      <c r="G375" s="392" cm="1">
        <f t="array" aca="1" ref="G375" ca="1">((INDIRECT("'1"&amp;$F375&amp;"'!D12")+INDIRECT("'1"&amp;$F375&amp;"'!D13")+INDIRECT("'1"&amp;$F375&amp;"'!D14")+INDIRECT("'1"&amp;$F375&amp;"'!D15")+INDIRECT("'1"&amp;$F375&amp;"'!D16")
-INDIRECT("'1"&amp;$F375&amp;"'!C12")-INDIRECT("'1"&amp;$F375&amp;"'!C13")-INDIRECT("'1"&amp;$F375&amp;"'!C14")-INDIRECT("'1"&amp;$F375&amp;"'!C15")-INDIRECT("'1"&amp;$F375&amp;"'!C16"))/ABS(INDIRECT("'1"&amp;$F375&amp;"'!C12")
+INDIRECT("'1"&amp;$F375&amp;"'!C13")
+INDIRECT("'1"&amp;$F375&amp;"'!C14")+INDIRECT("'1"&amp;$F375&amp;"'!C15")+INDIRECT("'1"&amp;$F375&amp;"'!C16")))/((INDIRECT("'1"&amp;$F375&amp;"'!Q12")
+INDIRECT("'1"&amp;$F375&amp;"'!Q13")
+INDIRECT("'1"&amp;$F375&amp;"'!Q14")
+INDIRECT("'1"&amp;$F375&amp;"'!Q15")
+INDIRECT("'1"&amp;$F375&amp;"'!Q16"))/(INDIRECT("'1"&amp;$F375&amp;"'!P12")
+INDIRECT("'1"&amp;$F375&amp;"'!P13")
+INDIRECT("'1"&amp;$F375&amp;"'!P14")
+INDIRECT("'1"&amp;$F375&amp;"'!P15")
+INDIRECT("'1"&amp;$F375&amp;"'!P16"))-1)</f>
        <v>3.2369074596856535</v>
      </c>
      <c r="H375" s="41" cm="1">
        <f t="array" aca="1" ref="H375" ca="1">((INDIRECT("'1"&amp;$F375&amp;"'!D17")
+INDIRECT("'1"&amp;$F375&amp;"'!D18")
+INDIRECT("'1"&amp;$F375&amp;"'!D19")
+INDIRECT("'1"&amp;$F375&amp;"'!D20")
+INDIRECT("'1"&amp;$F375&amp;"'!D21")
-INDIRECT("'1"&amp;$F375&amp;"'!C17")
-INDIRECT("'1"&amp;$F375&amp;"'!C18")
-INDIRECT("'1"&amp;$F375&amp;"'!C19")-INDIRECT("'1"&amp;$F375&amp;"'!C20")-INDIRECT("'1"&amp;$F375&amp;"'!C21"))/ABS(INDIRECT("'1"&amp;$F375&amp;"'!C17")
+INDIRECT("'1"&amp;$F375&amp;"'!C18")
+INDIRECT("'1"&amp;$F375&amp;"'!C19")+INDIRECT("'1"&amp;$F375&amp;"'!C20")+INDIRECT("'1"&amp;$F375&amp;"'!C21")))/((INDIRECT("'1"&amp;$F375&amp;"'!Q17")
+INDIRECT("'1"&amp;$F375&amp;"'!Q18")
+INDIRECT("'1"&amp;$F375&amp;"'!Q19")
+INDIRECT("'1"&amp;$F375&amp;"'!Q20")
+INDIRECT("'1"&amp;$F375&amp;"'!Q21"))/(INDIRECT("'1"&amp;$F375&amp;"'!P17")
+INDIRECT("'1"&amp;$F375&amp;"'!P18")
+INDIRECT("'1"&amp;$F375&amp;"'!P19")
+INDIRECT("'1"&amp;$F375&amp;"'!P20")
+INDIRECT("'1"&amp;$F375&amp;"'!P21"))-1)</f>
        <v>1.7293612410424326</v>
      </c>
      <c r="I375" s="41" cm="1">
        <f t="array" aca="1" ref="I375" ca="1">INDIRECT("1"&amp;F375&amp;"!"&amp;I$363)</f>
        <v>1.8863476683839748</v>
      </c>
      <c r="J375" s="393">
        <f t="shared" ca="1" si="0"/>
        <v>1.5075462186432209</v>
      </c>
      <c r="O375" s="89"/>
      <c r="P375" s="96"/>
      <c r="Q375" s="86"/>
      <c r="R375" s="96"/>
    </row>
    <row r="376" spans="1:18" s="1" customFormat="1" x14ac:dyDescent="0.3">
      <c r="A376" s="1" t="s">
        <v>234</v>
      </c>
      <c r="B376" s="118">
        <f ca="1">MAX(INDIRECT("'1"&amp;$A376&amp;"'!"&amp;B$362):INDIRECT("'1"&amp;$A376&amp;"'!"&amp;B$363))</f>
        <v>10.176960036495631</v>
      </c>
      <c r="C376" s="118">
        <f ca="1">MIN(INDIRECT("'1"&amp;$A376&amp;"'!"&amp;C$362):INDIRECT("'1"&amp;$A376&amp;"'!"&amp;C$363))</f>
        <v>1.3729934990390535</v>
      </c>
      <c r="D376" s="118">
        <f ca="1">Table2781113[[#This Row],[Max TTB elasticity]]-Table2781113[[#This Row],[Min TTB elasticity]]</f>
        <v>8.8039665374565779</v>
      </c>
      <c r="E376" s="118"/>
      <c r="F376" s="88" t="s">
        <v>233</v>
      </c>
      <c r="G376" s="392" cm="1">
        <f t="array" aca="1" ref="G376" ca="1">((INDIRECT("'1"&amp;$F376&amp;"'!D12")+INDIRECT("'1"&amp;$F376&amp;"'!D13")+INDIRECT("'1"&amp;$F376&amp;"'!D14")+INDIRECT("'1"&amp;$F376&amp;"'!D15")+INDIRECT("'1"&amp;$F376&amp;"'!D16")
-INDIRECT("'1"&amp;$F376&amp;"'!C12")-INDIRECT("'1"&amp;$F376&amp;"'!C13")-INDIRECT("'1"&amp;$F376&amp;"'!C14")-INDIRECT("'1"&amp;$F376&amp;"'!C15")-INDIRECT("'1"&amp;$F376&amp;"'!C16"))/ABS(INDIRECT("'1"&amp;$F376&amp;"'!C12")
+INDIRECT("'1"&amp;$F376&amp;"'!C13")
+INDIRECT("'1"&amp;$F376&amp;"'!C14")+INDIRECT("'1"&amp;$F376&amp;"'!C15")+INDIRECT("'1"&amp;$F376&amp;"'!C16")))/((INDIRECT("'1"&amp;$F376&amp;"'!Q12")
+INDIRECT("'1"&amp;$F376&amp;"'!Q13")
+INDIRECT("'1"&amp;$F376&amp;"'!Q14")
+INDIRECT("'1"&amp;$F376&amp;"'!Q15")
+INDIRECT("'1"&amp;$F376&amp;"'!Q16"))/(INDIRECT("'1"&amp;$F376&amp;"'!P12")
+INDIRECT("'1"&amp;$F376&amp;"'!P13")
+INDIRECT("'1"&amp;$F376&amp;"'!P14")
+INDIRECT("'1"&amp;$F376&amp;"'!P15")
+INDIRECT("'1"&amp;$F376&amp;"'!P16"))-1)</f>
        <v>3.3751118963319837</v>
      </c>
      <c r="H376" s="41" cm="1">
        <f t="array" aca="1" ref="H376" ca="1">((INDIRECT("'1"&amp;$F376&amp;"'!D17")
+INDIRECT("'1"&amp;$F376&amp;"'!D18")
+INDIRECT("'1"&amp;$F376&amp;"'!D19")
+INDIRECT("'1"&amp;$F376&amp;"'!D20")
+INDIRECT("'1"&amp;$F376&amp;"'!D21")
-INDIRECT("'1"&amp;$F376&amp;"'!C17")
-INDIRECT("'1"&amp;$F376&amp;"'!C18")
-INDIRECT("'1"&amp;$F376&amp;"'!C19")-INDIRECT("'1"&amp;$F376&amp;"'!C20")-INDIRECT("'1"&amp;$F376&amp;"'!C21"))/ABS(INDIRECT("'1"&amp;$F376&amp;"'!C17")
+INDIRECT("'1"&amp;$F376&amp;"'!C18")
+INDIRECT("'1"&amp;$F376&amp;"'!C19")+INDIRECT("'1"&amp;$F376&amp;"'!C20")+INDIRECT("'1"&amp;$F376&amp;"'!C21")))/((INDIRECT("'1"&amp;$F376&amp;"'!Q17")
+INDIRECT("'1"&amp;$F376&amp;"'!Q18")
+INDIRECT("'1"&amp;$F376&amp;"'!Q19")
+INDIRECT("'1"&amp;$F376&amp;"'!Q20")
+INDIRECT("'1"&amp;$F376&amp;"'!Q21"))/(INDIRECT("'1"&amp;$F376&amp;"'!P17")
+INDIRECT("'1"&amp;$F376&amp;"'!P18")
+INDIRECT("'1"&amp;$F376&amp;"'!P19")
+INDIRECT("'1"&amp;$F376&amp;"'!P20")
+INDIRECT("'1"&amp;$F376&amp;"'!P21"))-1)</f>
        <v>1.7372753970917301</v>
      </c>
      <c r="I376" s="41" cm="1">
        <f t="array" aca="1" ref="I376" ca="1">INDIRECT("1"&amp;F376&amp;"!"&amp;I$363)</f>
        <v>1.8138953207581621</v>
      </c>
      <c r="J376" s="393">
        <f t="shared" ca="1" si="0"/>
        <v>1.6378364992402537</v>
      </c>
      <c r="O376" s="89"/>
      <c r="P376" s="96"/>
      <c r="Q376" s="86"/>
      <c r="R376" s="96"/>
    </row>
    <row r="377" spans="1:18" s="1" customFormat="1" x14ac:dyDescent="0.3">
      <c r="A377" s="1" t="s">
        <v>218</v>
      </c>
      <c r="B377" s="118">
        <f ca="1">MAX(INDIRECT("'1"&amp;$A377&amp;"'!"&amp;B$362):INDIRECT("'1"&amp;$A377&amp;"'!"&amp;B$363))</f>
        <v>8.9742156649527871</v>
      </c>
      <c r="C377" s="118">
        <f ca="1">MIN(INDIRECT("'1"&amp;$A377&amp;"'!"&amp;C$362):INDIRECT("'1"&amp;$A377&amp;"'!"&amp;C$363))</f>
        <v>0.33059280583769052</v>
      </c>
      <c r="D377" s="118">
        <f ca="1">Table2781113[[#This Row],[Max TTB elasticity]]-Table2781113[[#This Row],[Min TTB elasticity]]</f>
        <v>8.6436228591150961</v>
      </c>
      <c r="E377" s="118"/>
      <c r="F377" s="88" t="s">
        <v>245</v>
      </c>
      <c r="G377" s="392" cm="1">
        <f t="array" aca="1" ref="G377" ca="1">((INDIRECT("'1"&amp;$F377&amp;"'!D12")+INDIRECT("'1"&amp;$F377&amp;"'!D13")+INDIRECT("'1"&amp;$F377&amp;"'!D14")+INDIRECT("'1"&amp;$F377&amp;"'!D15")+INDIRECT("'1"&amp;$F377&amp;"'!D16")
-INDIRECT("'1"&amp;$F377&amp;"'!C12")-INDIRECT("'1"&amp;$F377&amp;"'!C13")-INDIRECT("'1"&amp;$F377&amp;"'!C14")-INDIRECT("'1"&amp;$F377&amp;"'!C15")-INDIRECT("'1"&amp;$F377&amp;"'!C16"))/ABS(INDIRECT("'1"&amp;$F377&amp;"'!C12")
+INDIRECT("'1"&amp;$F377&amp;"'!C13")
+INDIRECT("'1"&amp;$F377&amp;"'!C14")+INDIRECT("'1"&amp;$F377&amp;"'!C15")+INDIRECT("'1"&amp;$F377&amp;"'!C16")))/((INDIRECT("'1"&amp;$F377&amp;"'!Q12")
+INDIRECT("'1"&amp;$F377&amp;"'!Q13")
+INDIRECT("'1"&amp;$F377&amp;"'!Q14")
+INDIRECT("'1"&amp;$F377&amp;"'!Q15")
+INDIRECT("'1"&amp;$F377&amp;"'!Q16"))/(INDIRECT("'1"&amp;$F377&amp;"'!P12")
+INDIRECT("'1"&amp;$F377&amp;"'!P13")
+INDIRECT("'1"&amp;$F377&amp;"'!P14")
+INDIRECT("'1"&amp;$F377&amp;"'!P15")
+INDIRECT("'1"&amp;$F377&amp;"'!P16"))-1)</f>
        <v>3.3665965824272734</v>
      </c>
      <c r="H377" s="41" cm="1">
        <f t="array" aca="1" ref="H377" ca="1">((INDIRECT("'1"&amp;$F377&amp;"'!D17")
+INDIRECT("'1"&amp;$F377&amp;"'!D18")
+INDIRECT("'1"&amp;$F377&amp;"'!D19")
+INDIRECT("'1"&amp;$F377&amp;"'!D20")
+INDIRECT("'1"&amp;$F377&amp;"'!D21")
-INDIRECT("'1"&amp;$F377&amp;"'!C17")
-INDIRECT("'1"&amp;$F377&amp;"'!C18")
-INDIRECT("'1"&amp;$F377&amp;"'!C19")-INDIRECT("'1"&amp;$F377&amp;"'!C20")-INDIRECT("'1"&amp;$F377&amp;"'!C21"))/ABS(INDIRECT("'1"&amp;$F377&amp;"'!C17")
+INDIRECT("'1"&amp;$F377&amp;"'!C18")
+INDIRECT("'1"&amp;$F377&amp;"'!C19")+INDIRECT("'1"&amp;$F377&amp;"'!C20")+INDIRECT("'1"&amp;$F377&amp;"'!C21")))/((INDIRECT("'1"&amp;$F377&amp;"'!Q17")
+INDIRECT("'1"&amp;$F377&amp;"'!Q18")
+INDIRECT("'1"&amp;$F377&amp;"'!Q19")
+INDIRECT("'1"&amp;$F377&amp;"'!Q20")
+INDIRECT("'1"&amp;$F377&amp;"'!Q21"))/(INDIRECT("'1"&amp;$F377&amp;"'!P17")
+INDIRECT("'1"&amp;$F377&amp;"'!P18")
+INDIRECT("'1"&amp;$F377&amp;"'!P19")
+INDIRECT("'1"&amp;$F377&amp;"'!P20")
+INDIRECT("'1"&amp;$F377&amp;"'!P21"))-1)</f>
        <v>1.6773733996595912</v>
      </c>
      <c r="I377" s="41" cm="1">
        <f t="array" aca="1" ref="I377" ca="1">INDIRECT("1"&amp;F377&amp;"!"&amp;I$363)</f>
        <v>1.8138346754056838</v>
      </c>
      <c r="J377" s="393">
        <f t="shared" ca="1" si="0"/>
        <v>1.6892231827676822</v>
      </c>
      <c r="O377" s="88"/>
      <c r="P377" s="94"/>
      <c r="R377" s="94"/>
    </row>
    <row r="378" spans="1:18" s="1" customFormat="1" x14ac:dyDescent="0.3">
      <c r="A378" s="1" t="s">
        <v>214</v>
      </c>
      <c r="B378" s="118">
        <f ca="1">MAX(INDIRECT("'1"&amp;$A378&amp;"'!"&amp;B$362):INDIRECT("'1"&amp;$A378&amp;"'!"&amp;B$363))</f>
        <v>9.5987096876873075</v>
      </c>
      <c r="C378" s="118">
        <f ca="1">MIN(INDIRECT("'1"&amp;$A378&amp;"'!"&amp;C$362):INDIRECT("'1"&amp;$A378&amp;"'!"&amp;C$363))</f>
        <v>1.1238414002702861</v>
      </c>
      <c r="D378" s="118">
        <f ca="1">Table2781113[[#This Row],[Max TTB elasticity]]-Table2781113[[#This Row],[Min TTB elasticity]]</f>
        <v>8.4748682874170207</v>
      </c>
      <c r="E378" s="118"/>
      <c r="F378" s="88" t="s">
        <v>225</v>
      </c>
      <c r="G378" s="392" cm="1">
        <f t="array" aca="1" ref="G378" ca="1">((INDIRECT("'1"&amp;$F378&amp;"'!D12")+INDIRECT("'1"&amp;$F378&amp;"'!D13")+INDIRECT("'1"&amp;$F378&amp;"'!D14")+INDIRECT("'1"&amp;$F378&amp;"'!D15")+INDIRECT("'1"&amp;$F378&amp;"'!D16")
-INDIRECT("'1"&amp;$F378&amp;"'!C12")-INDIRECT("'1"&amp;$F378&amp;"'!C13")-INDIRECT("'1"&amp;$F378&amp;"'!C14")-INDIRECT("'1"&amp;$F378&amp;"'!C15")-INDIRECT("'1"&amp;$F378&amp;"'!C16"))/ABS(INDIRECT("'1"&amp;$F378&amp;"'!C12")
+INDIRECT("'1"&amp;$F378&amp;"'!C13")
+INDIRECT("'1"&amp;$F378&amp;"'!C14")+INDIRECT("'1"&amp;$F378&amp;"'!C15")+INDIRECT("'1"&amp;$F378&amp;"'!C16")))/((INDIRECT("'1"&amp;$F378&amp;"'!Q12")
+INDIRECT("'1"&amp;$F378&amp;"'!Q13")
+INDIRECT("'1"&amp;$F378&amp;"'!Q14")
+INDIRECT("'1"&amp;$F378&amp;"'!Q15")
+INDIRECT("'1"&amp;$F378&amp;"'!Q16"))/(INDIRECT("'1"&amp;$F378&amp;"'!P12")
+INDIRECT("'1"&amp;$F378&amp;"'!P13")
+INDIRECT("'1"&amp;$F378&amp;"'!P14")
+INDIRECT("'1"&amp;$F378&amp;"'!P15")
+INDIRECT("'1"&amp;$F378&amp;"'!P16"))-1)</f>
        <v>4.0264942763445006</v>
      </c>
      <c r="H378" s="41" cm="1">
        <f t="array" aca="1" ref="H378" ca="1">((INDIRECT("'1"&amp;$F378&amp;"'!D17")
+INDIRECT("'1"&amp;$F378&amp;"'!D18")
+INDIRECT("'1"&amp;$F378&amp;"'!D19")
+INDIRECT("'1"&amp;$F378&amp;"'!D20")
+INDIRECT("'1"&amp;$F378&amp;"'!D21")
-INDIRECT("'1"&amp;$F378&amp;"'!C17")
-INDIRECT("'1"&amp;$F378&amp;"'!C18")
-INDIRECT("'1"&amp;$F378&amp;"'!C19")-INDIRECT("'1"&amp;$F378&amp;"'!C20")-INDIRECT("'1"&amp;$F378&amp;"'!C21"))/ABS(INDIRECT("'1"&amp;$F378&amp;"'!C17")
+INDIRECT("'1"&amp;$F378&amp;"'!C18")
+INDIRECT("'1"&amp;$F378&amp;"'!C19")+INDIRECT("'1"&amp;$F378&amp;"'!C20")+INDIRECT("'1"&amp;$F378&amp;"'!C21")))/((INDIRECT("'1"&amp;$F378&amp;"'!Q17")
+INDIRECT("'1"&amp;$F378&amp;"'!Q18")
+INDIRECT("'1"&amp;$F378&amp;"'!Q19")
+INDIRECT("'1"&amp;$F378&amp;"'!Q20")
+INDIRECT("'1"&amp;$F378&amp;"'!Q21"))/(INDIRECT("'1"&amp;$F378&amp;"'!P17")
+INDIRECT("'1"&amp;$F378&amp;"'!P18")
+INDIRECT("'1"&amp;$F378&amp;"'!P19")
+INDIRECT("'1"&amp;$F378&amp;"'!P20")
+INDIRECT("'1"&amp;$F378&amp;"'!P21"))-1)</f>
        <v>2.3132114898887077</v>
      </c>
      <c r="I378" s="41" cm="1">
        <f t="array" aca="1" ref="I378" ca="1">INDIRECT("1"&amp;F378&amp;"!"&amp;I$363)</f>
        <v>2.355007449589813</v>
      </c>
      <c r="J378" s="393">
        <f t="shared" ca="1" si="0"/>
        <v>1.7132827864557929</v>
      </c>
      <c r="O378" s="88"/>
      <c r="P378" s="94"/>
      <c r="R378" s="94"/>
    </row>
    <row r="379" spans="1:18" s="1" customFormat="1" x14ac:dyDescent="0.3">
      <c r="A379" s="1" t="s">
        <v>240</v>
      </c>
      <c r="B379" s="118">
        <f ca="1">MAX(INDIRECT("'1"&amp;$A379&amp;"'!"&amp;B$362):INDIRECT("'1"&amp;$A379&amp;"'!"&amp;B$363))</f>
        <v>7.5481019628528223</v>
      </c>
      <c r="C379" s="118">
        <f ca="1">MIN(INDIRECT("'1"&amp;$A379&amp;"'!"&amp;C$362):INDIRECT("'1"&amp;$A379&amp;"'!"&amp;C$363))</f>
        <v>-0.70865843757807334</v>
      </c>
      <c r="D379" s="118">
        <f ca="1">Table2781113[[#This Row],[Max TTB elasticity]]-Table2781113[[#This Row],[Min TTB elasticity]]</f>
        <v>8.2567604004308954</v>
      </c>
      <c r="E379" s="118"/>
      <c r="F379" s="88" t="s">
        <v>214</v>
      </c>
      <c r="G379" s="392" cm="1">
        <f t="array" aca="1" ref="G379" ca="1">((INDIRECT("'1"&amp;$F379&amp;"'!D12")+INDIRECT("'1"&amp;$F379&amp;"'!D13")+INDIRECT("'1"&amp;$F379&amp;"'!D14")+INDIRECT("'1"&amp;$F379&amp;"'!D15")+INDIRECT("'1"&amp;$F379&amp;"'!D16")
-INDIRECT("'1"&amp;$F379&amp;"'!C12")-INDIRECT("'1"&amp;$F379&amp;"'!C13")-INDIRECT("'1"&amp;$F379&amp;"'!C14")-INDIRECT("'1"&amp;$F379&amp;"'!C15")-INDIRECT("'1"&amp;$F379&amp;"'!C16"))/ABS(INDIRECT("'1"&amp;$F379&amp;"'!C12")
+INDIRECT("'1"&amp;$F379&amp;"'!C13")
+INDIRECT("'1"&amp;$F379&amp;"'!C14")+INDIRECT("'1"&amp;$F379&amp;"'!C15")+INDIRECT("'1"&amp;$F379&amp;"'!C16")))/((INDIRECT("'1"&amp;$F379&amp;"'!Q12")
+INDIRECT("'1"&amp;$F379&amp;"'!Q13")
+INDIRECT("'1"&amp;$F379&amp;"'!Q14")
+INDIRECT("'1"&amp;$F379&amp;"'!Q15")
+INDIRECT("'1"&amp;$F379&amp;"'!Q16"))/(INDIRECT("'1"&amp;$F379&amp;"'!P12")
+INDIRECT("'1"&amp;$F379&amp;"'!P13")
+INDIRECT("'1"&amp;$F379&amp;"'!P14")
+INDIRECT("'1"&amp;$F379&amp;"'!P15")
+INDIRECT("'1"&amp;$F379&amp;"'!P16"))-1)</f>
        <v>3.2267575682863545</v>
      </c>
      <c r="H379" s="41" cm="1">
        <f t="array" aca="1" ref="H379" ca="1">((INDIRECT("'1"&amp;$F379&amp;"'!D17")
+INDIRECT("'1"&amp;$F379&amp;"'!D18")
+INDIRECT("'1"&amp;$F379&amp;"'!D19")
+INDIRECT("'1"&amp;$F379&amp;"'!D20")
+INDIRECT("'1"&amp;$F379&amp;"'!D21")
-INDIRECT("'1"&amp;$F379&amp;"'!C17")
-INDIRECT("'1"&amp;$F379&amp;"'!C18")
-INDIRECT("'1"&amp;$F379&amp;"'!C19")-INDIRECT("'1"&amp;$F379&amp;"'!C20")-INDIRECT("'1"&amp;$F379&amp;"'!C21"))/ABS(INDIRECT("'1"&amp;$F379&amp;"'!C17")
+INDIRECT("'1"&amp;$F379&amp;"'!C18")
+INDIRECT("'1"&amp;$F379&amp;"'!C19")+INDIRECT("'1"&amp;$F379&amp;"'!C20")+INDIRECT("'1"&amp;$F379&amp;"'!C21")))/((INDIRECT("'1"&amp;$F379&amp;"'!Q17")
+INDIRECT("'1"&amp;$F379&amp;"'!Q18")
+INDIRECT("'1"&amp;$F379&amp;"'!Q19")
+INDIRECT("'1"&amp;$F379&amp;"'!Q20")
+INDIRECT("'1"&amp;$F379&amp;"'!Q21"))/(INDIRECT("'1"&amp;$F379&amp;"'!P17")
+INDIRECT("'1"&amp;$F379&amp;"'!P18")
+INDIRECT("'1"&amp;$F379&amp;"'!P19")
+INDIRECT("'1"&amp;$F379&amp;"'!P20")
+INDIRECT("'1"&amp;$F379&amp;"'!P21"))-1)</f>
        <v>1.4878872650346195</v>
      </c>
      <c r="I379" s="41" cm="1">
        <f t="array" aca="1" ref="I379" ca="1">INDIRECT("1"&amp;F379&amp;"!"&amp;I$363)</f>
        <v>1.6590608942486251</v>
      </c>
      <c r="J379" s="393">
        <f t="shared" ca="1" si="0"/>
        <v>1.738870303251735</v>
      </c>
      <c r="O379" s="88"/>
      <c r="P379" s="94"/>
      <c r="R379" s="94"/>
    </row>
    <row r="380" spans="1:18" s="1" customFormat="1" x14ac:dyDescent="0.3">
      <c r="A380" s="1" t="s">
        <v>252</v>
      </c>
      <c r="B380" s="118">
        <f ca="1">MAX(INDIRECT("'1"&amp;$A380&amp;"'!"&amp;B$362):INDIRECT("'1"&amp;$A380&amp;"'!"&amp;B$363))</f>
        <v>9.3316827675070932</v>
      </c>
      <c r="C380" s="118">
        <f ca="1">MIN(INDIRECT("'1"&amp;$A380&amp;"'!"&amp;C$362):INDIRECT("'1"&amp;$A380&amp;"'!"&amp;C$363))</f>
        <v>1.4772305004703854</v>
      </c>
      <c r="D380" s="118">
        <f ca="1">Table2781113[[#This Row],[Max TTB elasticity]]-Table2781113[[#This Row],[Min TTB elasticity]]</f>
        <v>7.8544522670367076</v>
      </c>
      <c r="E380" s="118"/>
      <c r="F380" s="88" t="s">
        <v>240</v>
      </c>
      <c r="G380" s="392" cm="1">
        <f t="array" aca="1" ref="G380" ca="1">((INDIRECT("'1"&amp;$F380&amp;"'!D12")+INDIRECT("'1"&amp;$F380&amp;"'!D13")+INDIRECT("'1"&amp;$F380&amp;"'!D14")+INDIRECT("'1"&amp;$F380&amp;"'!D15")+INDIRECT("'1"&amp;$F380&amp;"'!D16")
-INDIRECT("'1"&amp;$F380&amp;"'!C12")-INDIRECT("'1"&amp;$F380&amp;"'!C13")-INDIRECT("'1"&amp;$F380&amp;"'!C14")-INDIRECT("'1"&amp;$F380&amp;"'!C15")-INDIRECT("'1"&amp;$F380&amp;"'!C16"))/ABS(INDIRECT("'1"&amp;$F380&amp;"'!C12")
+INDIRECT("'1"&amp;$F380&amp;"'!C13")
+INDIRECT("'1"&amp;$F380&amp;"'!C14")+INDIRECT("'1"&amp;$F380&amp;"'!C15")+INDIRECT("'1"&amp;$F380&amp;"'!C16")))/((INDIRECT("'1"&amp;$F380&amp;"'!Q12")
+INDIRECT("'1"&amp;$F380&amp;"'!Q13")
+INDIRECT("'1"&amp;$F380&amp;"'!Q14")
+INDIRECT("'1"&amp;$F380&amp;"'!Q15")
+INDIRECT("'1"&amp;$F380&amp;"'!Q16"))/(INDIRECT("'1"&amp;$F380&amp;"'!P12")
+INDIRECT("'1"&amp;$F380&amp;"'!P13")
+INDIRECT("'1"&amp;$F380&amp;"'!P14")
+INDIRECT("'1"&amp;$F380&amp;"'!P15")
+INDIRECT("'1"&amp;$F380&amp;"'!P16"))-1)</f>
        <v>3.4848870959477463</v>
      </c>
      <c r="H380" s="41" cm="1">
        <f t="array" aca="1" ref="H380" ca="1">((INDIRECT("'1"&amp;$F380&amp;"'!D17")
+INDIRECT("'1"&amp;$F380&amp;"'!D18")
+INDIRECT("'1"&amp;$F380&amp;"'!D19")
+INDIRECT("'1"&amp;$F380&amp;"'!D20")
+INDIRECT("'1"&amp;$F380&amp;"'!D21")
-INDIRECT("'1"&amp;$F380&amp;"'!C17")
-INDIRECT("'1"&amp;$F380&amp;"'!C18")
-INDIRECT("'1"&amp;$F380&amp;"'!C19")-INDIRECT("'1"&amp;$F380&amp;"'!C20")-INDIRECT("'1"&amp;$F380&amp;"'!C21"))/ABS(INDIRECT("'1"&amp;$F380&amp;"'!C17")
+INDIRECT("'1"&amp;$F380&amp;"'!C18")
+INDIRECT("'1"&amp;$F380&amp;"'!C19")+INDIRECT("'1"&amp;$F380&amp;"'!C20")+INDIRECT("'1"&amp;$F380&amp;"'!C21")))/((INDIRECT("'1"&amp;$F380&amp;"'!Q17")
+INDIRECT("'1"&amp;$F380&amp;"'!Q18")
+INDIRECT("'1"&amp;$F380&amp;"'!Q19")
+INDIRECT("'1"&amp;$F380&amp;"'!Q20")
+INDIRECT("'1"&amp;$F380&amp;"'!Q21"))/(INDIRECT("'1"&amp;$F380&amp;"'!P17")
+INDIRECT("'1"&amp;$F380&amp;"'!P18")
+INDIRECT("'1"&amp;$F380&amp;"'!P19")
+INDIRECT("'1"&amp;$F380&amp;"'!P20")
+INDIRECT("'1"&amp;$F380&amp;"'!P21"))-1)</f>
        <v>1.7251295582798254</v>
      </c>
      <c r="I380" s="41" cm="1">
        <f t="array" aca="1" ref="I380" ca="1">INDIRECT("1"&amp;F380&amp;"!"&amp;I$363)</f>
        <v>1.8727964639724985</v>
      </c>
      <c r="J380" s="393">
        <f t="shared" ca="1" si="0"/>
        <v>1.7597575376679209</v>
      </c>
      <c r="O380" s="91"/>
      <c r="P380" s="95"/>
      <c r="Q380" s="92"/>
      <c r="R380" s="95"/>
    </row>
    <row r="381" spans="1:18" s="1" customFormat="1" x14ac:dyDescent="0.3">
      <c r="A381" s="1" t="s">
        <v>233</v>
      </c>
      <c r="B381" s="118">
        <f ca="1">MAX(INDIRECT("'1"&amp;$A381&amp;"'!"&amp;B$362):INDIRECT("'1"&amp;$A381&amp;"'!"&amp;B$363))</f>
        <v>8.0407309226227213</v>
      </c>
      <c r="C381" s="118">
        <f ca="1">MIN(INDIRECT("'1"&amp;$A381&amp;"'!"&amp;C$362):INDIRECT("'1"&amp;$A381&amp;"'!"&amp;C$363))</f>
        <v>1.4133856559588167</v>
      </c>
      <c r="D381" s="118">
        <f ca="1">Table2781113[[#This Row],[Max TTB elasticity]]-Table2781113[[#This Row],[Min TTB elasticity]]</f>
        <v>6.6273452666639043</v>
      </c>
      <c r="E381" s="118"/>
      <c r="F381" s="88" t="s">
        <v>3</v>
      </c>
      <c r="G381" s="392" cm="1">
        <f t="array" aca="1" ref="G381" ca="1">((INDIRECT("'1"&amp;$F381&amp;"'!D12")+INDIRECT("'1"&amp;$F381&amp;"'!D13")+INDIRECT("'1"&amp;$F381&amp;"'!D14")+INDIRECT("'1"&amp;$F381&amp;"'!D15")+INDIRECT("'1"&amp;$F381&amp;"'!D16")
-INDIRECT("'1"&amp;$F381&amp;"'!C12")-INDIRECT("'1"&amp;$F381&amp;"'!C13")-INDIRECT("'1"&amp;$F381&amp;"'!C14")-INDIRECT("'1"&amp;$F381&amp;"'!C15")-INDIRECT("'1"&amp;$F381&amp;"'!C16"))/ABS(INDIRECT("'1"&amp;$F381&amp;"'!C12")
+INDIRECT("'1"&amp;$F381&amp;"'!C13")
+INDIRECT("'1"&amp;$F381&amp;"'!C14")+INDIRECT("'1"&amp;$F381&amp;"'!C15")+INDIRECT("'1"&amp;$F381&amp;"'!C16")))/((INDIRECT("'1"&amp;$F381&amp;"'!Q12")
+INDIRECT("'1"&amp;$F381&amp;"'!Q13")
+INDIRECT("'1"&amp;$F381&amp;"'!Q14")
+INDIRECT("'1"&amp;$F381&amp;"'!Q15")
+INDIRECT("'1"&amp;$F381&amp;"'!Q16"))/(INDIRECT("'1"&amp;$F381&amp;"'!P12")
+INDIRECT("'1"&amp;$F381&amp;"'!P13")
+INDIRECT("'1"&amp;$F381&amp;"'!P14")
+INDIRECT("'1"&amp;$F381&amp;"'!P15")
+INDIRECT("'1"&amp;$F381&amp;"'!P16"))-1)</f>
        <v>3.8740127869042977</v>
      </c>
      <c r="H381" s="41" cm="1">
        <f t="array" aca="1" ref="H381" ca="1">((INDIRECT("'1"&amp;$F381&amp;"'!D17")
+INDIRECT("'1"&amp;$F381&amp;"'!D18")
+INDIRECT("'1"&amp;$F381&amp;"'!D19")
+INDIRECT("'1"&amp;$F381&amp;"'!D20")
+INDIRECT("'1"&amp;$F381&amp;"'!D21")
-INDIRECT("'1"&amp;$F381&amp;"'!C17")
-INDIRECT("'1"&amp;$F381&amp;"'!C18")
-INDIRECT("'1"&amp;$F381&amp;"'!C19")-INDIRECT("'1"&amp;$F381&amp;"'!C20")-INDIRECT("'1"&amp;$F381&amp;"'!C21"))/ABS(INDIRECT("'1"&amp;$F381&amp;"'!C17")
+INDIRECT("'1"&amp;$F381&amp;"'!C18")
+INDIRECT("'1"&amp;$F381&amp;"'!C19")+INDIRECT("'1"&amp;$F381&amp;"'!C20")+INDIRECT("'1"&amp;$F381&amp;"'!C21")))/((INDIRECT("'1"&amp;$F381&amp;"'!Q17")
+INDIRECT("'1"&amp;$F381&amp;"'!Q18")
+INDIRECT("'1"&amp;$F381&amp;"'!Q19")
+INDIRECT("'1"&amp;$F381&amp;"'!Q20")
+INDIRECT("'1"&amp;$F381&amp;"'!Q21"))/(INDIRECT("'1"&amp;$F381&amp;"'!P17")
+INDIRECT("'1"&amp;$F381&amp;"'!P18")
+INDIRECT("'1"&amp;$F381&amp;"'!P19")
+INDIRECT("'1"&amp;$F381&amp;"'!P20")
+INDIRECT("'1"&amp;$F381&amp;"'!P21"))-1)</f>
        <v>1.6966341045720612</v>
      </c>
      <c r="I381" s="41" cm="1">
        <f t="array" aca="1" ref="I381" ca="1">INDIRECT("1"&amp;F381&amp;"!"&amp;I$363)</f>
        <v>1.8866256424887944</v>
      </c>
      <c r="J381" s="393">
        <f t="shared" ca="1" si="0"/>
        <v>2.1773786823322365</v>
      </c>
      <c r="O381" s="88"/>
      <c r="P381" s="94"/>
      <c r="Q381" s="99"/>
      <c r="R381" s="100"/>
    </row>
    <row r="382" spans="1:18" s="1" customFormat="1" x14ac:dyDescent="0.3">
      <c r="A382" s="1" t="s">
        <v>249</v>
      </c>
      <c r="B382" s="118">
        <f ca="1">MAX(INDIRECT("'1"&amp;$A382&amp;"'!"&amp;B$362):INDIRECT("'1"&amp;$A382&amp;"'!"&amp;B$363))</f>
        <v>7.4555966275809951</v>
      </c>
      <c r="C382" s="118">
        <f ca="1">MIN(INDIRECT("'1"&amp;$A382&amp;"'!"&amp;C$362):INDIRECT("'1"&amp;$A382&amp;"'!"&amp;C$363))</f>
        <v>1.5292681645742545</v>
      </c>
      <c r="D382" s="118">
        <f ca="1">Table2781113[[#This Row],[Max TTB elasticity]]-Table2781113[[#This Row],[Min TTB elasticity]]</f>
        <v>5.9263284630067403</v>
      </c>
      <c r="E382" s="118"/>
      <c r="F382" s="88" t="s">
        <v>204</v>
      </c>
      <c r="G382" s="392" cm="1">
        <f t="array" aca="1" ref="G382" ca="1">((INDIRECT("'1"&amp;$F382&amp;"'!D12")+INDIRECT("'1"&amp;$F382&amp;"'!D13")+INDIRECT("'1"&amp;$F382&amp;"'!D14")+INDIRECT("'1"&amp;$F382&amp;"'!D15")+INDIRECT("'1"&amp;$F382&amp;"'!D16")
-INDIRECT("'1"&amp;$F382&amp;"'!C12")-INDIRECT("'1"&amp;$F382&amp;"'!C13")-INDIRECT("'1"&amp;$F382&amp;"'!C14")-INDIRECT("'1"&amp;$F382&amp;"'!C15")-INDIRECT("'1"&amp;$F382&amp;"'!C16"))/ABS(INDIRECT("'1"&amp;$F382&amp;"'!C12")
+INDIRECT("'1"&amp;$F382&amp;"'!C13")
+INDIRECT("'1"&amp;$F382&amp;"'!C14")+INDIRECT("'1"&amp;$F382&amp;"'!C15")+INDIRECT("'1"&amp;$F382&amp;"'!C16")))/((INDIRECT("'1"&amp;$F382&amp;"'!Q12")
+INDIRECT("'1"&amp;$F382&amp;"'!Q13")
+INDIRECT("'1"&amp;$F382&amp;"'!Q14")
+INDIRECT("'1"&amp;$F382&amp;"'!Q15")
+INDIRECT("'1"&amp;$F382&amp;"'!Q16"))/(INDIRECT("'1"&amp;$F382&amp;"'!P12")
+INDIRECT("'1"&amp;$F382&amp;"'!P13")
+INDIRECT("'1"&amp;$F382&amp;"'!P14")
+INDIRECT("'1"&amp;$F382&amp;"'!P15")
+INDIRECT("'1"&amp;$F382&amp;"'!P16"))-1)</f>
        <v>4.2685307353221953</v>
      </c>
      <c r="H382" s="41" cm="1">
        <f t="array" aca="1" ref="H382" ca="1">((INDIRECT("'1"&amp;$F382&amp;"'!D17")
+INDIRECT("'1"&amp;$F382&amp;"'!D18")
+INDIRECT("'1"&amp;$F382&amp;"'!D19")
+INDIRECT("'1"&amp;$F382&amp;"'!D20")
+INDIRECT("'1"&amp;$F382&amp;"'!D21")
-INDIRECT("'1"&amp;$F382&amp;"'!C17")
-INDIRECT("'1"&amp;$F382&amp;"'!C18")
-INDIRECT("'1"&amp;$F382&amp;"'!C19")-INDIRECT("'1"&amp;$F382&amp;"'!C20")-INDIRECT("'1"&amp;$F382&amp;"'!C21"))/ABS(INDIRECT("'1"&amp;$F382&amp;"'!C17")
+INDIRECT("'1"&amp;$F382&amp;"'!C18")
+INDIRECT("'1"&amp;$F382&amp;"'!C19")+INDIRECT("'1"&amp;$F382&amp;"'!C20")+INDIRECT("'1"&amp;$F382&amp;"'!C21")))/((INDIRECT("'1"&amp;$F382&amp;"'!Q17")
+INDIRECT("'1"&amp;$F382&amp;"'!Q18")
+INDIRECT("'1"&amp;$F382&amp;"'!Q19")
+INDIRECT("'1"&amp;$F382&amp;"'!Q20")
+INDIRECT("'1"&amp;$F382&amp;"'!Q21"))/(INDIRECT("'1"&amp;$F382&amp;"'!P17")
+INDIRECT("'1"&amp;$F382&amp;"'!P18")
+INDIRECT("'1"&amp;$F382&amp;"'!P19")
+INDIRECT("'1"&amp;$F382&amp;"'!P20")
+INDIRECT("'1"&amp;$F382&amp;"'!P21"))-1)</f>
        <v>1.7192853223147175</v>
      </c>
      <c r="I382" s="41" cm="1">
        <f t="array" aca="1" ref="I382" ca="1">INDIRECT("1"&amp;F382&amp;"!"&amp;I$363)</f>
        <v>1.966454320802733</v>
      </c>
      <c r="J382" s="393">
        <f t="shared" ca="1" si="0"/>
        <v>2.549245413007478</v>
      </c>
      <c r="O382" s="88"/>
      <c r="P382" s="94"/>
      <c r="Q382" s="88"/>
      <c r="R382" s="94"/>
    </row>
    <row r="383" spans="1:18" s="1" customFormat="1" x14ac:dyDescent="0.3">
      <c r="A383" s="1" t="s">
        <v>225</v>
      </c>
      <c r="B383" s="118">
        <f ca="1">MAX(INDIRECT("'1"&amp;$A383&amp;"'!"&amp;B$362):INDIRECT("'1"&amp;$A383&amp;"'!"&amp;B$363))</f>
        <v>4.9162960738622949</v>
      </c>
      <c r="C383" s="118">
        <f ca="1">MIN(INDIRECT("'1"&amp;$A383&amp;"'!"&amp;C$362):INDIRECT("'1"&amp;$A383&amp;"'!"&amp;C$363))</f>
        <v>0.45081005311959216</v>
      </c>
      <c r="D383" s="118">
        <f ca="1">Table2781113[[#This Row],[Max TTB elasticity]]-Table2781113[[#This Row],[Min TTB elasticity]]</f>
        <v>4.465486020742703</v>
      </c>
      <c r="E383" s="118"/>
      <c r="F383" s="88" t="s">
        <v>218</v>
      </c>
      <c r="G383" s="392" cm="1">
        <f t="array" aca="1" ref="G383" ca="1">((INDIRECT("'1"&amp;$F383&amp;"'!D12")+INDIRECT("'1"&amp;$F383&amp;"'!D13")+INDIRECT("'1"&amp;$F383&amp;"'!D14")+INDIRECT("'1"&amp;$F383&amp;"'!D15")+INDIRECT("'1"&amp;$F383&amp;"'!D16")
-INDIRECT("'1"&amp;$F383&amp;"'!C12")-INDIRECT("'1"&amp;$F383&amp;"'!C13")-INDIRECT("'1"&amp;$F383&amp;"'!C14")-INDIRECT("'1"&amp;$F383&amp;"'!C15")-INDIRECT("'1"&amp;$F383&amp;"'!C16"))/ABS(INDIRECT("'1"&amp;$F383&amp;"'!C12")
+INDIRECT("'1"&amp;$F383&amp;"'!C13")
+INDIRECT("'1"&amp;$F383&amp;"'!C14")+INDIRECT("'1"&amp;$F383&amp;"'!C15")+INDIRECT("'1"&amp;$F383&amp;"'!C16")))/((INDIRECT("'1"&amp;$F383&amp;"'!Q12")
+INDIRECT("'1"&amp;$F383&amp;"'!Q13")
+INDIRECT("'1"&amp;$F383&amp;"'!Q14")
+INDIRECT("'1"&amp;$F383&amp;"'!Q15")
+INDIRECT("'1"&amp;$F383&amp;"'!Q16"))/(INDIRECT("'1"&amp;$F383&amp;"'!P12")
+INDIRECT("'1"&amp;$F383&amp;"'!P13")
+INDIRECT("'1"&amp;$F383&amp;"'!P14")
+INDIRECT("'1"&amp;$F383&amp;"'!P15")
+INDIRECT("'1"&amp;$F383&amp;"'!P16"))-1)</f>
        <v>4.7284485946586425</v>
      </c>
      <c r="H383" s="41" cm="1">
        <f t="array" aca="1" ref="H383" ca="1">((INDIRECT("'1"&amp;$F383&amp;"'!D17")
+INDIRECT("'1"&amp;$F383&amp;"'!D18")
+INDIRECT("'1"&amp;$F383&amp;"'!D19")
+INDIRECT("'1"&amp;$F383&amp;"'!D20")
+INDIRECT("'1"&amp;$F383&amp;"'!D21")
-INDIRECT("'1"&amp;$F383&amp;"'!C17")
-INDIRECT("'1"&amp;$F383&amp;"'!C18")
-INDIRECT("'1"&amp;$F383&amp;"'!C19")-INDIRECT("'1"&amp;$F383&amp;"'!C20")-INDIRECT("'1"&amp;$F383&amp;"'!C21"))/ABS(INDIRECT("'1"&amp;$F383&amp;"'!C17")
+INDIRECT("'1"&amp;$F383&amp;"'!C18")
+INDIRECT("'1"&amp;$F383&amp;"'!C19")+INDIRECT("'1"&amp;$F383&amp;"'!C20")+INDIRECT("'1"&amp;$F383&amp;"'!C21")))/((INDIRECT("'1"&amp;$F383&amp;"'!Q17")
+INDIRECT("'1"&amp;$F383&amp;"'!Q18")
+INDIRECT("'1"&amp;$F383&amp;"'!Q19")
+INDIRECT("'1"&amp;$F383&amp;"'!Q20")
+INDIRECT("'1"&amp;$F383&amp;"'!Q21"))/(INDIRECT("'1"&amp;$F383&amp;"'!P17")
+INDIRECT("'1"&amp;$F383&amp;"'!P18")
+INDIRECT("'1"&amp;$F383&amp;"'!P19")
+INDIRECT("'1"&amp;$F383&amp;"'!P20")
+INDIRECT("'1"&amp;$F383&amp;"'!P21"))-1)</f>
        <v>1.8634740258943394</v>
      </c>
      <c r="I383" s="41" cm="1">
        <f t="array" aca="1" ref="I383" ca="1">INDIRECT("1"&amp;F383&amp;"!"&amp;I$363)</f>
        <v>2.0191248605309946</v>
      </c>
      <c r="J383" s="393">
        <f t="shared" ca="1" si="0"/>
        <v>2.8649745687643033</v>
      </c>
      <c r="O383" s="89"/>
      <c r="P383" s="96"/>
      <c r="Q383" s="88"/>
      <c r="R383" s="96"/>
    </row>
    <row r="384" spans="1:18" s="1" customFormat="1" x14ac:dyDescent="0.3">
      <c r="A384" s="1" t="s">
        <v>242</v>
      </c>
      <c r="B384" s="118">
        <f ca="1">MAX(INDIRECT("'1"&amp;$A384&amp;"'!"&amp;B$362):INDIRECT("'1"&amp;$A384&amp;"'!"&amp;B$363))</f>
        <v>5.2567288659840612</v>
      </c>
      <c r="C384" s="118">
        <f ca="1">MIN(INDIRECT("'1"&amp;$A384&amp;"'!"&amp;C$362):INDIRECT("'1"&amp;$A384&amp;"'!"&amp;C$363))</f>
        <v>1.1433629732405111</v>
      </c>
      <c r="D384" s="118">
        <f ca="1">Table2781113[[#This Row],[Max TTB elasticity]]-Table2781113[[#This Row],[Min TTB elasticity]]</f>
        <v>4.1133658927435501</v>
      </c>
      <c r="E384" s="118"/>
      <c r="F384" s="88" t="s">
        <v>249</v>
      </c>
      <c r="G384" s="392" cm="1">
        <f t="array" aca="1" ref="G384" ca="1">((INDIRECT("'1"&amp;$F384&amp;"'!D12")+INDIRECT("'1"&amp;$F384&amp;"'!D13")+INDIRECT("'1"&amp;$F384&amp;"'!D14")+INDIRECT("'1"&amp;$F384&amp;"'!D15")+INDIRECT("'1"&amp;$F384&amp;"'!D16")
-INDIRECT("'1"&amp;$F384&amp;"'!C12")-INDIRECT("'1"&amp;$F384&amp;"'!C13")-INDIRECT("'1"&amp;$F384&amp;"'!C14")-INDIRECT("'1"&amp;$F384&amp;"'!C15")-INDIRECT("'1"&amp;$F384&amp;"'!C16"))/ABS(INDIRECT("'1"&amp;$F384&amp;"'!C12")
+INDIRECT("'1"&amp;$F384&amp;"'!C13")
+INDIRECT("'1"&amp;$F384&amp;"'!C14")+INDIRECT("'1"&amp;$F384&amp;"'!C15")+INDIRECT("'1"&amp;$F384&amp;"'!C16")))/((INDIRECT("'1"&amp;$F384&amp;"'!Q12")
+INDIRECT("'1"&amp;$F384&amp;"'!Q13")
+INDIRECT("'1"&amp;$F384&amp;"'!Q14")
+INDIRECT("'1"&amp;$F384&amp;"'!Q15")
+INDIRECT("'1"&amp;$F384&amp;"'!Q16"))/(INDIRECT("'1"&amp;$F384&amp;"'!P12")
+INDIRECT("'1"&amp;$F384&amp;"'!P13")
+INDIRECT("'1"&amp;$F384&amp;"'!P14")
+INDIRECT("'1"&amp;$F384&amp;"'!P15")
+INDIRECT("'1"&amp;$F384&amp;"'!P16"))-1)</f>
        <v>5.1303362388078515</v>
      </c>
      <c r="H384" s="41" cm="1">
        <f t="array" aca="1" ref="H384" ca="1">((INDIRECT("'1"&amp;$F384&amp;"'!D17")
+INDIRECT("'1"&amp;$F384&amp;"'!D18")
+INDIRECT("'1"&amp;$F384&amp;"'!D19")
+INDIRECT("'1"&amp;$F384&amp;"'!D20")
+INDIRECT("'1"&amp;$F384&amp;"'!D21")
-INDIRECT("'1"&amp;$F384&amp;"'!C17")
-INDIRECT("'1"&amp;$F384&amp;"'!C18")
-INDIRECT("'1"&amp;$F384&amp;"'!C19")-INDIRECT("'1"&amp;$F384&amp;"'!C20")-INDIRECT("'1"&amp;$F384&amp;"'!C21"))/ABS(INDIRECT("'1"&amp;$F384&amp;"'!C17")
+INDIRECT("'1"&amp;$F384&amp;"'!C18")
+INDIRECT("'1"&amp;$F384&amp;"'!C19")+INDIRECT("'1"&amp;$F384&amp;"'!C20")+INDIRECT("'1"&amp;$F384&amp;"'!C21")))/((INDIRECT("'1"&amp;$F384&amp;"'!Q17")
+INDIRECT("'1"&amp;$F384&amp;"'!Q18")
+INDIRECT("'1"&amp;$F384&amp;"'!Q19")
+INDIRECT("'1"&amp;$F384&amp;"'!Q20")
+INDIRECT("'1"&amp;$F384&amp;"'!Q21"))/(INDIRECT("'1"&amp;$F384&amp;"'!P17")
+INDIRECT("'1"&amp;$F384&amp;"'!P18")
+INDIRECT("'1"&amp;$F384&amp;"'!P19")
+INDIRECT("'1"&amp;$F384&amp;"'!P20")
+INDIRECT("'1"&amp;$F384&amp;"'!P21"))-1)</f>
        <v>1.8583132230172896</v>
      </c>
      <c r="I384" s="41" cm="1">
        <f t="array" aca="1" ref="I384" ca="1">INDIRECT("1"&amp;F384&amp;"!"&amp;I$363)</f>
        <v>1.9912797248057028</v>
      </c>
      <c r="J384" s="393">
        <f t="shared" ca="1" si="0"/>
        <v>3.2720230157905617</v>
      </c>
      <c r="O384" s="88"/>
      <c r="P384" s="94"/>
      <c r="Q384" s="88"/>
      <c r="R384" s="94"/>
    </row>
    <row r="385" spans="1:18" s="1" customFormat="1" x14ac:dyDescent="0.3">
      <c r="A385" s="1" t="s">
        <v>210</v>
      </c>
      <c r="B385" s="118">
        <f ca="1">MAX(INDIRECT("'1"&amp;$A385&amp;"'!"&amp;B$362):INDIRECT("'1"&amp;$A385&amp;"'!"&amp;B$363))</f>
        <v>5.0300264705273428</v>
      </c>
      <c r="C385" s="118">
        <f ca="1">MIN(INDIRECT("'1"&amp;$A385&amp;"'!"&amp;C$362):INDIRECT("'1"&amp;$A385&amp;"'!"&amp;C$363))</f>
        <v>1.3566735793159437</v>
      </c>
      <c r="D385" s="118">
        <f ca="1">Table2781113[[#This Row],[Max TTB elasticity]]-Table2781113[[#This Row],[Min TTB elasticity]]</f>
        <v>3.6733528912113993</v>
      </c>
      <c r="E385" s="118"/>
      <c r="F385" s="88" t="s">
        <v>208</v>
      </c>
      <c r="G385" s="392" cm="1">
        <f t="array" aca="1" ref="G385" ca="1">((INDIRECT("'1"&amp;$F385&amp;"'!D12")+INDIRECT("'1"&amp;$F385&amp;"'!D13")+INDIRECT("'1"&amp;$F385&amp;"'!D14")+INDIRECT("'1"&amp;$F385&amp;"'!D15")+INDIRECT("'1"&amp;$F385&amp;"'!D16")
-INDIRECT("'1"&amp;$F385&amp;"'!C12")-INDIRECT("'1"&amp;$F385&amp;"'!C13")-INDIRECT("'1"&amp;$F385&amp;"'!C14")-INDIRECT("'1"&amp;$F385&amp;"'!C15")-INDIRECT("'1"&amp;$F385&amp;"'!C16"))/ABS(INDIRECT("'1"&amp;$F385&amp;"'!C12")
+INDIRECT("'1"&amp;$F385&amp;"'!C13")
+INDIRECT("'1"&amp;$F385&amp;"'!C14")+INDIRECT("'1"&amp;$F385&amp;"'!C15")+INDIRECT("'1"&amp;$F385&amp;"'!C16")))/((INDIRECT("'1"&amp;$F385&amp;"'!Q12")
+INDIRECT("'1"&amp;$F385&amp;"'!Q13")
+INDIRECT("'1"&amp;$F385&amp;"'!Q14")
+INDIRECT("'1"&amp;$F385&amp;"'!Q15")
+INDIRECT("'1"&amp;$F385&amp;"'!Q16"))/(INDIRECT("'1"&amp;$F385&amp;"'!P12")
+INDIRECT("'1"&amp;$F385&amp;"'!P13")
+INDIRECT("'1"&amp;$F385&amp;"'!P14")
+INDIRECT("'1"&amp;$F385&amp;"'!P15")
+INDIRECT("'1"&amp;$F385&amp;"'!P16"))-1)</f>
        <v>6.1207285010406522</v>
      </c>
      <c r="H385" s="41" cm="1">
        <f t="array" aca="1" ref="H385" ca="1">((INDIRECT("'1"&amp;$F385&amp;"'!D17")
+INDIRECT("'1"&amp;$F385&amp;"'!D18")
+INDIRECT("'1"&amp;$F385&amp;"'!D19")
+INDIRECT("'1"&amp;$F385&amp;"'!D20")
+INDIRECT("'1"&amp;$F385&amp;"'!D21")
-INDIRECT("'1"&amp;$F385&amp;"'!C17")
-INDIRECT("'1"&amp;$F385&amp;"'!C18")
-INDIRECT("'1"&amp;$F385&amp;"'!C19")-INDIRECT("'1"&amp;$F385&amp;"'!C20")-INDIRECT("'1"&amp;$F385&amp;"'!C21"))/ABS(INDIRECT("'1"&amp;$F385&amp;"'!C17")
+INDIRECT("'1"&amp;$F385&amp;"'!C18")
+INDIRECT("'1"&amp;$F385&amp;"'!C19")+INDIRECT("'1"&amp;$F385&amp;"'!C20")+INDIRECT("'1"&amp;$F385&amp;"'!C21")))/((INDIRECT("'1"&amp;$F385&amp;"'!Q17")
+INDIRECT("'1"&amp;$F385&amp;"'!Q18")
+INDIRECT("'1"&amp;$F385&amp;"'!Q19")
+INDIRECT("'1"&amp;$F385&amp;"'!Q20")
+INDIRECT("'1"&amp;$F385&amp;"'!Q21"))/(INDIRECT("'1"&amp;$F385&amp;"'!P17")
+INDIRECT("'1"&amp;$F385&amp;"'!P18")
+INDIRECT("'1"&amp;$F385&amp;"'!P19")
+INDIRECT("'1"&amp;$F385&amp;"'!P20")
+INDIRECT("'1"&amp;$F385&amp;"'!P21"))-1)</f>
        <v>2.2309325145816139</v>
      </c>
      <c r="I385" s="41" cm="1">
        <f t="array" aca="1" ref="I385" ca="1">INDIRECT("1"&amp;F385&amp;"!"&amp;I$363)</f>
        <v>2.2980633345266068</v>
      </c>
      <c r="J385" s="393">
        <f t="shared" ca="1" si="0"/>
        <v>3.8897959864590383</v>
      </c>
      <c r="O385" s="89"/>
      <c r="P385" s="96"/>
      <c r="Q385" s="88"/>
      <c r="R385" s="96"/>
    </row>
    <row r="386" spans="1:18" s="1" customFormat="1" x14ac:dyDescent="0.3">
      <c r="A386" s="1" t="s">
        <v>247</v>
      </c>
      <c r="B386" s="118">
        <f ca="1">MAX(INDIRECT("'1"&amp;$A386&amp;"'!"&amp;B$362):INDIRECT("'1"&amp;$A386&amp;"'!"&amp;B$363))</f>
        <v>3.7580071684706264</v>
      </c>
      <c r="C386" s="118">
        <f ca="1">MIN(INDIRECT("'1"&amp;$A386&amp;"'!"&amp;C$362):INDIRECT("'1"&amp;$A386&amp;"'!"&amp;C$363))</f>
        <v>0.79639674550592165</v>
      </c>
      <c r="D386" s="118">
        <f ca="1">Table2781113[[#This Row],[Max TTB elasticity]]-Table2781113[[#This Row],[Min TTB elasticity]]</f>
        <v>2.9616104229647049</v>
      </c>
      <c r="E386" s="118"/>
      <c r="F386" s="89" t="s">
        <v>304</v>
      </c>
      <c r="G386" s="390" t="e" cm="1">
        <f t="array" aca="1" ref="G386" ca="1">((INDIRECT("'1"&amp;$F386&amp;"'!D12")+INDIRECT("'1"&amp;$F386&amp;"'!D13")+INDIRECT("'1"&amp;$F386&amp;"'!D14")+INDIRECT("'1"&amp;$F386&amp;"'!D15")+INDIRECT("'1"&amp;$F386&amp;"'!D16")
-INDIRECT("'1"&amp;$F386&amp;"'!C12")-INDIRECT("'1"&amp;$F386&amp;"'!C13")-INDIRECT("'1"&amp;$F386&amp;"'!C14")-INDIRECT("'1"&amp;$F386&amp;"'!C15")-INDIRECT("'1"&amp;$F386&amp;"'!C16"))/ABS(INDIRECT("'1"&amp;$F386&amp;"'!C12")
+INDIRECT("'1"&amp;$F386&amp;"'!C13")
+INDIRECT("'1"&amp;$F386&amp;"'!C14")+INDIRECT("'1"&amp;$F386&amp;"'!C15")+INDIRECT("'1"&amp;$F386&amp;"'!C16")))/((INDIRECT("'1"&amp;$F386&amp;"'!Q12")
+INDIRECT("'1"&amp;$F386&amp;"'!Q13")
+INDIRECT("'1"&amp;$F386&amp;"'!Q14")
+INDIRECT("'1"&amp;$F386&amp;"'!Q15")
+INDIRECT("'1"&amp;$F386&amp;"'!Q16"))/(INDIRECT("'1"&amp;$F386&amp;"'!P12")
+INDIRECT("'1"&amp;$F386&amp;"'!P13")
+INDIRECT("'1"&amp;$F386&amp;"'!P14")
+INDIRECT("'1"&amp;$F386&amp;"'!P15")
+INDIRECT("'1"&amp;$F386&amp;"'!P16"))-1)</f>
        <v>#REF!</v>
      </c>
      <c r="H386" s="115" t="e" cm="1">
        <f t="array" aca="1" ref="H386" ca="1">((INDIRECT("'1"&amp;$F386&amp;"'!D17")
+INDIRECT("'1"&amp;$F386&amp;"'!D18")
+INDIRECT("'1"&amp;$F386&amp;"'!D19")
+INDIRECT("'1"&amp;$F386&amp;"'!D20")
+INDIRECT("'1"&amp;$F386&amp;"'!D21")
-INDIRECT("'1"&amp;$F386&amp;"'!C17")
-INDIRECT("'1"&amp;$F386&amp;"'!C18")
-INDIRECT("'1"&amp;$F386&amp;"'!C19")-INDIRECT("'1"&amp;$F386&amp;"'!C20")-INDIRECT("'1"&amp;$F386&amp;"'!C21"))/ABS(INDIRECT("'1"&amp;$F386&amp;"'!C17")
+INDIRECT("'1"&amp;$F386&amp;"'!C18")
+INDIRECT("'1"&amp;$F386&amp;"'!C19")+INDIRECT("'1"&amp;$F386&amp;"'!C20")+INDIRECT("'1"&amp;$F386&amp;"'!C21")))/((INDIRECT("'1"&amp;$F386&amp;"'!Q17")
+INDIRECT("'1"&amp;$F386&amp;"'!Q18")
+INDIRECT("'1"&amp;$F386&amp;"'!Q19")
+INDIRECT("'1"&amp;$F386&amp;"'!Q20")
+INDIRECT("'1"&amp;$F386&amp;"'!Q21"))/(INDIRECT("'1"&amp;$F386&amp;"'!P17")
+INDIRECT("'1"&amp;$F386&amp;"'!P18")
+INDIRECT("'1"&amp;$F386&amp;"'!P19")
+INDIRECT("'1"&amp;$F386&amp;"'!P20")
+INDIRECT("'1"&amp;$F386&amp;"'!P21"))-1)</f>
        <v>#REF!</v>
      </c>
      <c r="I386" s="115" t="e" cm="1">
        <f t="array" aca="1" ref="I386" ca="1">INDIRECT("1"&amp;F386&amp;"!"&amp;I$363)</f>
        <v>#REF!</v>
      </c>
      <c r="J386" s="391" t="e">
        <f t="shared" ca="1" si="0"/>
        <v>#REF!</v>
      </c>
      <c r="O386" s="88"/>
      <c r="P386" s="94"/>
      <c r="Q386" s="88"/>
      <c r="R386" s="94"/>
    </row>
    <row r="387" spans="1:18" s="1" customFormat="1" x14ac:dyDescent="0.3">
      <c r="A387" s="1" t="s">
        <v>254</v>
      </c>
      <c r="B387" s="118">
        <f ca="1">MAX(INDIRECT("'1"&amp;$A387&amp;"'!"&amp;B$362):INDIRECT("'1"&amp;$A387&amp;"'!"&amp;B$363))</f>
        <v>2.6621378296783695</v>
      </c>
      <c r="C387" s="118">
        <f ca="1">MIN(INDIRECT("'1"&amp;$A387&amp;"'!"&amp;C$362):INDIRECT("'1"&amp;$A387&amp;"'!"&amp;C$363))</f>
        <v>0</v>
      </c>
      <c r="D387" s="118">
        <f ca="1">Table2781113[[#This Row],[Max TTB elasticity]]-Table2781113[[#This Row],[Min TTB elasticity]]</f>
        <v>2.6621378296783695</v>
      </c>
      <c r="E387" s="118"/>
      <c r="F387" s="89" t="s">
        <v>305</v>
      </c>
      <c r="G387" s="390" t="e" cm="1">
        <f t="array" aca="1" ref="G387" ca="1">((INDIRECT("'1"&amp;$F387&amp;"'!D12")+INDIRECT("'1"&amp;$F387&amp;"'!D13")+INDIRECT("'1"&amp;$F387&amp;"'!D14")+INDIRECT("'1"&amp;$F387&amp;"'!D15")+INDIRECT("'1"&amp;$F387&amp;"'!D16")
-INDIRECT("'1"&amp;$F387&amp;"'!C12")-INDIRECT("'1"&amp;$F387&amp;"'!C13")-INDIRECT("'1"&amp;$F387&amp;"'!C14")-INDIRECT("'1"&amp;$F387&amp;"'!C15")-INDIRECT("'1"&amp;$F387&amp;"'!C16"))/ABS(INDIRECT("'1"&amp;$F387&amp;"'!C12")
+INDIRECT("'1"&amp;$F387&amp;"'!C13")
+INDIRECT("'1"&amp;$F387&amp;"'!C14")+INDIRECT("'1"&amp;$F387&amp;"'!C15")+INDIRECT("'1"&amp;$F387&amp;"'!C16")))/((INDIRECT("'1"&amp;$F387&amp;"'!Q12")
+INDIRECT("'1"&amp;$F387&amp;"'!Q13")
+INDIRECT("'1"&amp;$F387&amp;"'!Q14")
+INDIRECT("'1"&amp;$F387&amp;"'!Q15")
+INDIRECT("'1"&amp;$F387&amp;"'!Q16"))/(INDIRECT("'1"&amp;$F387&amp;"'!P12")
+INDIRECT("'1"&amp;$F387&amp;"'!P13")
+INDIRECT("'1"&amp;$F387&amp;"'!P14")
+INDIRECT("'1"&amp;$F387&amp;"'!P15")
+INDIRECT("'1"&amp;$F387&amp;"'!P16"))-1)</f>
        <v>#REF!</v>
      </c>
      <c r="H387" s="115" t="e" cm="1">
        <f t="array" aca="1" ref="H387" ca="1">((INDIRECT("'1"&amp;$F387&amp;"'!D17")
+INDIRECT("'1"&amp;$F387&amp;"'!D18")
+INDIRECT("'1"&amp;$F387&amp;"'!D19")
+INDIRECT("'1"&amp;$F387&amp;"'!D20")
+INDIRECT("'1"&amp;$F387&amp;"'!D21")
-INDIRECT("'1"&amp;$F387&amp;"'!C17")
-INDIRECT("'1"&amp;$F387&amp;"'!C18")
-INDIRECT("'1"&amp;$F387&amp;"'!C19")-INDIRECT("'1"&amp;$F387&amp;"'!C20")-INDIRECT("'1"&amp;$F387&amp;"'!C21"))/ABS(INDIRECT("'1"&amp;$F387&amp;"'!C17")
+INDIRECT("'1"&amp;$F387&amp;"'!C18")
+INDIRECT("'1"&amp;$F387&amp;"'!C19")+INDIRECT("'1"&amp;$F387&amp;"'!C20")+INDIRECT("'1"&amp;$F387&amp;"'!C21")))/((INDIRECT("'1"&amp;$F387&amp;"'!Q17")
+INDIRECT("'1"&amp;$F387&amp;"'!Q18")
+INDIRECT("'1"&amp;$F387&amp;"'!Q19")
+INDIRECT("'1"&amp;$F387&amp;"'!Q20")
+INDIRECT("'1"&amp;$F387&amp;"'!Q21"))/(INDIRECT("'1"&amp;$F387&amp;"'!P17")
+INDIRECT("'1"&amp;$F387&amp;"'!P18")
+INDIRECT("'1"&amp;$F387&amp;"'!P19")
+INDIRECT("'1"&amp;$F387&amp;"'!P20")
+INDIRECT("'1"&amp;$F387&amp;"'!P21"))-1)</f>
        <v>#REF!</v>
      </c>
      <c r="I387" s="115" t="e" cm="1">
        <f t="array" aca="1" ref="I387" ca="1">INDIRECT("1"&amp;F387&amp;"!"&amp;I$363)</f>
        <v>#REF!</v>
      </c>
      <c r="J387" s="391" t="e">
        <f t="shared" ca="1" si="0"/>
        <v>#REF!</v>
      </c>
      <c r="O387" s="89"/>
      <c r="P387" s="96"/>
      <c r="Q387" s="88"/>
      <c r="R387" s="96"/>
    </row>
    <row r="388" spans="1:18" s="1" customFormat="1" x14ac:dyDescent="0.3">
      <c r="A388" s="1" t="s">
        <v>245</v>
      </c>
      <c r="B388" s="118">
        <f ca="1">MAX(INDIRECT("'1"&amp;$A388&amp;"'!"&amp;B$362):INDIRECT("'1"&amp;$A388&amp;"'!"&amp;B$363))</f>
        <v>3.9776430315533631</v>
      </c>
      <c r="C388" s="118">
        <f ca="1">MIN(INDIRECT("'1"&amp;$A388&amp;"'!"&amp;C$362):INDIRECT("'1"&amp;$A388&amp;"'!"&amp;C$363))</f>
        <v>1.4008950344555744</v>
      </c>
      <c r="D388" s="118">
        <f ca="1">Table2781113[[#This Row],[Max TTB elasticity]]-Table2781113[[#This Row],[Min TTB elasticity]]</f>
        <v>2.5767479970977885</v>
      </c>
      <c r="E388" s="120"/>
      <c r="F388" s="89" t="s">
        <v>306</v>
      </c>
      <c r="G388" s="390" t="e" cm="1">
        <f t="array" aca="1" ref="G388" ca="1">((INDIRECT("'1"&amp;$F388&amp;"'!D12")+INDIRECT("'1"&amp;$F388&amp;"'!D13")+INDIRECT("'1"&amp;$F388&amp;"'!D14")+INDIRECT("'1"&amp;$F388&amp;"'!D15")+INDIRECT("'1"&amp;$F388&amp;"'!D16")
-INDIRECT("'1"&amp;$F388&amp;"'!C12")-INDIRECT("'1"&amp;$F388&amp;"'!C13")-INDIRECT("'1"&amp;$F388&amp;"'!C14")-INDIRECT("'1"&amp;$F388&amp;"'!C15")-INDIRECT("'1"&amp;$F388&amp;"'!C16"))/ABS(INDIRECT("'1"&amp;$F388&amp;"'!C12")
+INDIRECT("'1"&amp;$F388&amp;"'!C13")
+INDIRECT("'1"&amp;$F388&amp;"'!C14")+INDIRECT("'1"&amp;$F388&amp;"'!C15")+INDIRECT("'1"&amp;$F388&amp;"'!C16")))/((INDIRECT("'1"&amp;$F388&amp;"'!Q12")
+INDIRECT("'1"&amp;$F388&amp;"'!Q13")
+INDIRECT("'1"&amp;$F388&amp;"'!Q14")
+INDIRECT("'1"&amp;$F388&amp;"'!Q15")
+INDIRECT("'1"&amp;$F388&amp;"'!Q16"))/(INDIRECT("'1"&amp;$F388&amp;"'!P12")
+INDIRECT("'1"&amp;$F388&amp;"'!P13")
+INDIRECT("'1"&amp;$F388&amp;"'!P14")
+INDIRECT("'1"&amp;$F388&amp;"'!P15")
+INDIRECT("'1"&amp;$F388&amp;"'!P16"))-1)</f>
        <v>#REF!</v>
      </c>
      <c r="H388" s="115" t="e" cm="1">
        <f t="array" aca="1" ref="H388" ca="1">((INDIRECT("'1"&amp;$F388&amp;"'!D17")
+INDIRECT("'1"&amp;$F388&amp;"'!D18")
+INDIRECT("'1"&amp;$F388&amp;"'!D19")
+INDIRECT("'1"&amp;$F388&amp;"'!D20")
+INDIRECT("'1"&amp;$F388&amp;"'!D21")
-INDIRECT("'1"&amp;$F388&amp;"'!C17")
-INDIRECT("'1"&amp;$F388&amp;"'!C18")
-INDIRECT("'1"&amp;$F388&amp;"'!C19")-INDIRECT("'1"&amp;$F388&amp;"'!C20")-INDIRECT("'1"&amp;$F388&amp;"'!C21"))/ABS(INDIRECT("'1"&amp;$F388&amp;"'!C17")
+INDIRECT("'1"&amp;$F388&amp;"'!C18")
+INDIRECT("'1"&amp;$F388&amp;"'!C19")+INDIRECT("'1"&amp;$F388&amp;"'!C20")+INDIRECT("'1"&amp;$F388&amp;"'!C21")))/((INDIRECT("'1"&amp;$F388&amp;"'!Q17")
+INDIRECT("'1"&amp;$F388&amp;"'!Q18")
+INDIRECT("'1"&amp;$F388&amp;"'!Q19")
+INDIRECT("'1"&amp;$F388&amp;"'!Q20")
+INDIRECT("'1"&amp;$F388&amp;"'!Q21"))/(INDIRECT("'1"&amp;$F388&amp;"'!P17")
+INDIRECT("'1"&amp;$F388&amp;"'!P18")
+INDIRECT("'1"&amp;$F388&amp;"'!P19")
+INDIRECT("'1"&amp;$F388&amp;"'!P20")
+INDIRECT("'1"&amp;$F388&amp;"'!P21"))-1)</f>
        <v>#REF!</v>
      </c>
      <c r="I388" s="115" t="e" cm="1">
        <f t="array" aca="1" ref="I388" ca="1">INDIRECT("1"&amp;F388&amp;"!"&amp;I$363)</f>
        <v>#REF!</v>
      </c>
      <c r="J388" s="391" t="e">
        <f t="shared" ca="1" si="0"/>
        <v>#REF!</v>
      </c>
      <c r="O388" s="88"/>
      <c r="P388" s="94"/>
      <c r="Q388" s="88"/>
      <c r="R388" s="94"/>
    </row>
    <row r="389" spans="1:18" s="1" customFormat="1" x14ac:dyDescent="0.3">
      <c r="A389" s="1" t="s">
        <v>222</v>
      </c>
      <c r="B389" s="118">
        <f ca="1">MAX(INDIRECT("'1"&amp;$A389&amp;"'!"&amp;B$362):INDIRECT("'1"&amp;$A389&amp;"'!"&amp;B$363))</f>
        <v>3.0954839101514788</v>
      </c>
      <c r="C389" s="118">
        <f ca="1">MIN(INDIRECT("'1"&amp;$A389&amp;"'!"&amp;C$362):INDIRECT("'1"&amp;$A389&amp;"'!"&amp;C$363))</f>
        <v>0.76209665482387212</v>
      </c>
      <c r="D389" s="118">
        <f ca="1">Table2781113[[#This Row],[Max TTB elasticity]]-Table2781113[[#This Row],[Min TTB elasticity]]</f>
        <v>2.3333872553276067</v>
      </c>
      <c r="E389" s="118"/>
      <c r="F389" s="89" t="s">
        <v>307</v>
      </c>
      <c r="G389" s="390" t="e" cm="1">
        <f t="array" aca="1" ref="G389" ca="1">((INDIRECT("'1"&amp;$F389&amp;"'!D12")+INDIRECT("'1"&amp;$F389&amp;"'!D13")+INDIRECT("'1"&amp;$F389&amp;"'!D14")+INDIRECT("'1"&amp;$F389&amp;"'!D15")+INDIRECT("'1"&amp;$F389&amp;"'!D16")
-INDIRECT("'1"&amp;$F389&amp;"'!C12")-INDIRECT("'1"&amp;$F389&amp;"'!C13")-INDIRECT("'1"&amp;$F389&amp;"'!C14")-INDIRECT("'1"&amp;$F389&amp;"'!C15")-INDIRECT("'1"&amp;$F389&amp;"'!C16"))/ABS(INDIRECT("'1"&amp;$F389&amp;"'!C12")
+INDIRECT("'1"&amp;$F389&amp;"'!C13")
+INDIRECT("'1"&amp;$F389&amp;"'!C14")+INDIRECT("'1"&amp;$F389&amp;"'!C15")+INDIRECT("'1"&amp;$F389&amp;"'!C16")))/((INDIRECT("'1"&amp;$F389&amp;"'!Q12")
+INDIRECT("'1"&amp;$F389&amp;"'!Q13")
+INDIRECT("'1"&amp;$F389&amp;"'!Q14")
+INDIRECT("'1"&amp;$F389&amp;"'!Q15")
+INDIRECT("'1"&amp;$F389&amp;"'!Q16"))/(INDIRECT("'1"&amp;$F389&amp;"'!P12")
+INDIRECT("'1"&amp;$F389&amp;"'!P13")
+INDIRECT("'1"&amp;$F389&amp;"'!P14")
+INDIRECT("'1"&amp;$F389&amp;"'!P15")
+INDIRECT("'1"&amp;$F389&amp;"'!P16"))-1)</f>
        <v>#REF!</v>
      </c>
      <c r="H389" s="115" t="e" cm="1">
        <f t="array" aca="1" ref="H389" ca="1">((INDIRECT("'1"&amp;$F389&amp;"'!D17")
+INDIRECT("'1"&amp;$F389&amp;"'!D18")
+INDIRECT("'1"&amp;$F389&amp;"'!D19")
+INDIRECT("'1"&amp;$F389&amp;"'!D20")
+INDIRECT("'1"&amp;$F389&amp;"'!D21")
-INDIRECT("'1"&amp;$F389&amp;"'!C17")
-INDIRECT("'1"&amp;$F389&amp;"'!C18")
-INDIRECT("'1"&amp;$F389&amp;"'!C19")-INDIRECT("'1"&amp;$F389&amp;"'!C20")-INDIRECT("'1"&amp;$F389&amp;"'!C21"))/ABS(INDIRECT("'1"&amp;$F389&amp;"'!C17")
+INDIRECT("'1"&amp;$F389&amp;"'!C18")
+INDIRECT("'1"&amp;$F389&amp;"'!C19")+INDIRECT("'1"&amp;$F389&amp;"'!C20")+INDIRECT("'1"&amp;$F389&amp;"'!C21")))/((INDIRECT("'1"&amp;$F389&amp;"'!Q17")
+INDIRECT("'1"&amp;$F389&amp;"'!Q18")
+INDIRECT("'1"&amp;$F389&amp;"'!Q19")
+INDIRECT("'1"&amp;$F389&amp;"'!Q20")
+INDIRECT("'1"&amp;$F389&amp;"'!Q21"))/(INDIRECT("'1"&amp;$F389&amp;"'!P17")
+INDIRECT("'1"&amp;$F389&amp;"'!P18")
+INDIRECT("'1"&amp;$F389&amp;"'!P19")
+INDIRECT("'1"&amp;$F389&amp;"'!P20")
+INDIRECT("'1"&amp;$F389&amp;"'!P21"))-1)</f>
        <v>#REF!</v>
      </c>
      <c r="I389" s="115" t="e" cm="1">
        <f t="array" aca="1" ref="I389" ca="1">INDIRECT("1"&amp;F389&amp;"!"&amp;I$363)</f>
        <v>#REF!</v>
      </c>
      <c r="J389" s="391" t="e">
        <f t="shared" ca="1" si="0"/>
        <v>#REF!</v>
      </c>
      <c r="O389" s="88"/>
      <c r="P389" s="94"/>
      <c r="Q389" s="88"/>
      <c r="R389" s="94"/>
    </row>
    <row r="390" spans="1:18" s="1" customFormat="1" x14ac:dyDescent="0.3">
      <c r="A390" s="1" t="s">
        <v>238</v>
      </c>
      <c r="B390" s="118">
        <f ca="1">MAX(INDIRECT("'1"&amp;$A390&amp;"'!"&amp;B$362):INDIRECT("'1"&amp;$A390&amp;"'!"&amp;B$363))</f>
        <v>2.1911868274257578</v>
      </c>
      <c r="C390" s="118">
        <f ca="1">MIN(INDIRECT("'1"&amp;$A390&amp;"'!"&amp;C$362):INDIRECT("'1"&amp;$A390&amp;"'!"&amp;C$363))</f>
        <v>0</v>
      </c>
      <c r="D390" s="118">
        <f ca="1">Table2781113[[#This Row],[Max TTB elasticity]]-Table2781113[[#This Row],[Min TTB elasticity]]</f>
        <v>2.1911868274257578</v>
      </c>
      <c r="E390" s="120"/>
      <c r="F390" s="89" t="s">
        <v>308</v>
      </c>
      <c r="G390" s="390" t="e" cm="1">
        <f t="array" aca="1" ref="G390" ca="1">((INDIRECT("'1"&amp;$F390&amp;"'!D12")+INDIRECT("'1"&amp;$F390&amp;"'!D13")+INDIRECT("'1"&amp;$F390&amp;"'!D14")+INDIRECT("'1"&amp;$F390&amp;"'!D15")+INDIRECT("'1"&amp;$F390&amp;"'!D16")
-INDIRECT("'1"&amp;$F390&amp;"'!C12")-INDIRECT("'1"&amp;$F390&amp;"'!C13")-INDIRECT("'1"&amp;$F390&amp;"'!C14")-INDIRECT("'1"&amp;$F390&amp;"'!C15")-INDIRECT("'1"&amp;$F390&amp;"'!C16"))/ABS(INDIRECT("'1"&amp;$F390&amp;"'!C12")
+INDIRECT("'1"&amp;$F390&amp;"'!C13")
+INDIRECT("'1"&amp;$F390&amp;"'!C14")+INDIRECT("'1"&amp;$F390&amp;"'!C15")+INDIRECT("'1"&amp;$F390&amp;"'!C16")))/((INDIRECT("'1"&amp;$F390&amp;"'!Q12")
+INDIRECT("'1"&amp;$F390&amp;"'!Q13")
+INDIRECT("'1"&amp;$F390&amp;"'!Q14")
+INDIRECT("'1"&amp;$F390&amp;"'!Q15")
+INDIRECT("'1"&amp;$F390&amp;"'!Q16"))/(INDIRECT("'1"&amp;$F390&amp;"'!P12")
+INDIRECT("'1"&amp;$F390&amp;"'!P13")
+INDIRECT("'1"&amp;$F390&amp;"'!P14")
+INDIRECT("'1"&amp;$F390&amp;"'!P15")
+INDIRECT("'1"&amp;$F390&amp;"'!P16"))-1)</f>
        <v>#REF!</v>
      </c>
      <c r="H390" s="115" t="e" cm="1">
        <f t="array" aca="1" ref="H390" ca="1">((INDIRECT("'1"&amp;$F390&amp;"'!D17")
+INDIRECT("'1"&amp;$F390&amp;"'!D18")
+INDIRECT("'1"&amp;$F390&amp;"'!D19")
+INDIRECT("'1"&amp;$F390&amp;"'!D20")
+INDIRECT("'1"&amp;$F390&amp;"'!D21")
-INDIRECT("'1"&amp;$F390&amp;"'!C17")
-INDIRECT("'1"&amp;$F390&amp;"'!C18")
-INDIRECT("'1"&amp;$F390&amp;"'!C19")-INDIRECT("'1"&amp;$F390&amp;"'!C20")-INDIRECT("'1"&amp;$F390&amp;"'!C21"))/ABS(INDIRECT("'1"&amp;$F390&amp;"'!C17")
+INDIRECT("'1"&amp;$F390&amp;"'!C18")
+INDIRECT("'1"&amp;$F390&amp;"'!C19")+INDIRECT("'1"&amp;$F390&amp;"'!C20")+INDIRECT("'1"&amp;$F390&amp;"'!C21")))/((INDIRECT("'1"&amp;$F390&amp;"'!Q17")
+INDIRECT("'1"&amp;$F390&amp;"'!Q18")
+INDIRECT("'1"&amp;$F390&amp;"'!Q19")
+INDIRECT("'1"&amp;$F390&amp;"'!Q20")
+INDIRECT("'1"&amp;$F390&amp;"'!Q21"))/(INDIRECT("'1"&amp;$F390&amp;"'!P17")
+INDIRECT("'1"&amp;$F390&amp;"'!P18")
+INDIRECT("'1"&amp;$F390&amp;"'!P19")
+INDIRECT("'1"&amp;$F390&amp;"'!P20")
+INDIRECT("'1"&amp;$F390&amp;"'!P21"))-1)</f>
        <v>#REF!</v>
      </c>
      <c r="I390" s="115" t="e" cm="1">
        <f t="array" aca="1" ref="I390" ca="1">INDIRECT("1"&amp;F390&amp;"!"&amp;I$363)</f>
        <v>#REF!</v>
      </c>
      <c r="J390" s="391" t="e">
        <f t="shared" ca="1" si="0"/>
        <v>#REF!</v>
      </c>
      <c r="O390" s="88"/>
      <c r="P390" s="94"/>
      <c r="Q390" s="88"/>
      <c r="R390" s="94"/>
    </row>
    <row r="391" spans="1:18" s="1" customFormat="1" x14ac:dyDescent="0.3">
      <c r="A391" s="1" t="s">
        <v>217</v>
      </c>
      <c r="B391" s="118">
        <f ca="1">MAX(INDIRECT("'1"&amp;$A391&amp;"'!"&amp;B$362):INDIRECT("'1"&amp;$A391&amp;"'!"&amp;B$363))</f>
        <v>2.6362127014930095</v>
      </c>
      <c r="C391" s="118">
        <f ca="1">MIN(INDIRECT("'1"&amp;$A391&amp;"'!"&amp;C$362):INDIRECT("'1"&amp;$A391&amp;"'!"&amp;C$363))</f>
        <v>1.1873596696487376</v>
      </c>
      <c r="D391" s="118">
        <f ca="1">Table2781113[[#This Row],[Max TTB elasticity]]-Table2781113[[#This Row],[Min TTB elasticity]]</f>
        <v>1.4488530318442718</v>
      </c>
      <c r="E391" s="120"/>
      <c r="F391" s="89" t="s">
        <v>309</v>
      </c>
      <c r="G391" s="390" t="e" cm="1">
        <f t="array" aca="1" ref="G391" ca="1">((INDIRECT("'1"&amp;$F391&amp;"'!D12")+INDIRECT("'1"&amp;$F391&amp;"'!D13")+INDIRECT("'1"&amp;$F391&amp;"'!D14")+INDIRECT("'1"&amp;$F391&amp;"'!D15")+INDIRECT("'1"&amp;$F391&amp;"'!D16")
-INDIRECT("'1"&amp;$F391&amp;"'!C12")-INDIRECT("'1"&amp;$F391&amp;"'!C13")-INDIRECT("'1"&amp;$F391&amp;"'!C14")-INDIRECT("'1"&amp;$F391&amp;"'!C15")-INDIRECT("'1"&amp;$F391&amp;"'!C16"))/ABS(INDIRECT("'1"&amp;$F391&amp;"'!C12")
+INDIRECT("'1"&amp;$F391&amp;"'!C13")
+INDIRECT("'1"&amp;$F391&amp;"'!C14")+INDIRECT("'1"&amp;$F391&amp;"'!C15")+INDIRECT("'1"&amp;$F391&amp;"'!C16")))/((INDIRECT("'1"&amp;$F391&amp;"'!Q12")
+INDIRECT("'1"&amp;$F391&amp;"'!Q13")
+INDIRECT("'1"&amp;$F391&amp;"'!Q14")
+INDIRECT("'1"&amp;$F391&amp;"'!Q15")
+INDIRECT("'1"&amp;$F391&amp;"'!Q16"))/(INDIRECT("'1"&amp;$F391&amp;"'!P12")
+INDIRECT("'1"&amp;$F391&amp;"'!P13")
+INDIRECT("'1"&amp;$F391&amp;"'!P14")
+INDIRECT("'1"&amp;$F391&amp;"'!P15")
+INDIRECT("'1"&amp;$F391&amp;"'!P16"))-1)</f>
        <v>#REF!</v>
      </c>
      <c r="H391" s="115" t="e" cm="1">
        <f t="array" aca="1" ref="H391" ca="1">((INDIRECT("'1"&amp;$F391&amp;"'!D17")
+INDIRECT("'1"&amp;$F391&amp;"'!D18")
+INDIRECT("'1"&amp;$F391&amp;"'!D19")
+INDIRECT("'1"&amp;$F391&amp;"'!D20")
+INDIRECT("'1"&amp;$F391&amp;"'!D21")
-INDIRECT("'1"&amp;$F391&amp;"'!C17")
-INDIRECT("'1"&amp;$F391&amp;"'!C18")
-INDIRECT("'1"&amp;$F391&amp;"'!C19")-INDIRECT("'1"&amp;$F391&amp;"'!C20")-INDIRECT("'1"&amp;$F391&amp;"'!C21"))/ABS(INDIRECT("'1"&amp;$F391&amp;"'!C17")
+INDIRECT("'1"&amp;$F391&amp;"'!C18")
+INDIRECT("'1"&amp;$F391&amp;"'!C19")+INDIRECT("'1"&amp;$F391&amp;"'!C20")+INDIRECT("'1"&amp;$F391&amp;"'!C21")))/((INDIRECT("'1"&amp;$F391&amp;"'!Q17")
+INDIRECT("'1"&amp;$F391&amp;"'!Q18")
+INDIRECT("'1"&amp;$F391&amp;"'!Q19")
+INDIRECT("'1"&amp;$F391&amp;"'!Q20")
+INDIRECT("'1"&amp;$F391&amp;"'!Q21"))/(INDIRECT("'1"&amp;$F391&amp;"'!P17")
+INDIRECT("'1"&amp;$F391&amp;"'!P18")
+INDIRECT("'1"&amp;$F391&amp;"'!P19")
+INDIRECT("'1"&amp;$F391&amp;"'!P20")
+INDIRECT("'1"&amp;$F391&amp;"'!P21"))-1)</f>
        <v>#REF!</v>
      </c>
      <c r="I391" s="115" t="e" cm="1">
        <f t="array" aca="1" ref="I391" ca="1">INDIRECT("1"&amp;F391&amp;"!"&amp;I$363)</f>
        <v>#REF!</v>
      </c>
      <c r="J391" s="391" t="e">
        <f t="shared" ca="1" si="0"/>
        <v>#REF!</v>
      </c>
      <c r="O391" s="89"/>
      <c r="P391" s="96"/>
      <c r="Q391" s="88"/>
      <c r="R391" s="96"/>
    </row>
    <row r="392" spans="1:18" s="1" customFormat="1" x14ac:dyDescent="0.3">
      <c r="A392" s="1" t="s">
        <v>223</v>
      </c>
      <c r="B392" s="118">
        <f ca="1">MAX(INDIRECT("'1"&amp;$A392&amp;"'!"&amp;B$362):INDIRECT("'1"&amp;$A392&amp;"'!"&amp;B$363))</f>
        <v>2.1150540373862929</v>
      </c>
      <c r="C392" s="118">
        <f ca="1">MIN(INDIRECT("'1"&amp;$A392&amp;"'!"&amp;C$362):INDIRECT("'1"&amp;$A392&amp;"'!"&amp;C$363))</f>
        <v>0.90278629537027755</v>
      </c>
      <c r="D392" s="118">
        <f ca="1">Table2781113[[#This Row],[Max TTB elasticity]]-Table2781113[[#This Row],[Min TTB elasticity]]</f>
        <v>1.2122677420160155</v>
      </c>
      <c r="E392" s="118"/>
      <c r="F392" s="89" t="s">
        <v>310</v>
      </c>
      <c r="G392" s="390" t="e" cm="1">
        <f t="array" aca="1" ref="G392" ca="1">((INDIRECT("'1"&amp;$F392&amp;"'!D12")+INDIRECT("'1"&amp;$F392&amp;"'!D13")+INDIRECT("'1"&amp;$F392&amp;"'!D14")+INDIRECT("'1"&amp;$F392&amp;"'!D15")+INDIRECT("'1"&amp;$F392&amp;"'!D16")
-INDIRECT("'1"&amp;$F392&amp;"'!C12")-INDIRECT("'1"&amp;$F392&amp;"'!C13")-INDIRECT("'1"&amp;$F392&amp;"'!C14")-INDIRECT("'1"&amp;$F392&amp;"'!C15")-INDIRECT("'1"&amp;$F392&amp;"'!C16"))/ABS(INDIRECT("'1"&amp;$F392&amp;"'!C12")
+INDIRECT("'1"&amp;$F392&amp;"'!C13")
+INDIRECT("'1"&amp;$F392&amp;"'!C14")+INDIRECT("'1"&amp;$F392&amp;"'!C15")+INDIRECT("'1"&amp;$F392&amp;"'!C16")))/((INDIRECT("'1"&amp;$F392&amp;"'!Q12")
+INDIRECT("'1"&amp;$F392&amp;"'!Q13")
+INDIRECT("'1"&amp;$F392&amp;"'!Q14")
+INDIRECT("'1"&amp;$F392&amp;"'!Q15")
+INDIRECT("'1"&amp;$F392&amp;"'!Q16"))/(INDIRECT("'1"&amp;$F392&amp;"'!P12")
+INDIRECT("'1"&amp;$F392&amp;"'!P13")
+INDIRECT("'1"&amp;$F392&amp;"'!P14")
+INDIRECT("'1"&amp;$F392&amp;"'!P15")
+INDIRECT("'1"&amp;$F392&amp;"'!P16"))-1)</f>
        <v>#REF!</v>
      </c>
      <c r="H392" s="115" t="e" cm="1">
        <f t="array" aca="1" ref="H392" ca="1">((INDIRECT("'1"&amp;$F392&amp;"'!D17")
+INDIRECT("'1"&amp;$F392&amp;"'!D18")
+INDIRECT("'1"&amp;$F392&amp;"'!D19")
+INDIRECT("'1"&amp;$F392&amp;"'!D20")
+INDIRECT("'1"&amp;$F392&amp;"'!D21")
-INDIRECT("'1"&amp;$F392&amp;"'!C17")
-INDIRECT("'1"&amp;$F392&amp;"'!C18")
-INDIRECT("'1"&amp;$F392&amp;"'!C19")-INDIRECT("'1"&amp;$F392&amp;"'!C20")-INDIRECT("'1"&amp;$F392&amp;"'!C21"))/ABS(INDIRECT("'1"&amp;$F392&amp;"'!C17")
+INDIRECT("'1"&amp;$F392&amp;"'!C18")
+INDIRECT("'1"&amp;$F392&amp;"'!C19")+INDIRECT("'1"&amp;$F392&amp;"'!C20")+INDIRECT("'1"&amp;$F392&amp;"'!C21")))/((INDIRECT("'1"&amp;$F392&amp;"'!Q17")
+INDIRECT("'1"&amp;$F392&amp;"'!Q18")
+INDIRECT("'1"&amp;$F392&amp;"'!Q19")
+INDIRECT("'1"&amp;$F392&amp;"'!Q20")
+INDIRECT("'1"&amp;$F392&amp;"'!Q21"))/(INDIRECT("'1"&amp;$F392&amp;"'!P17")
+INDIRECT("'1"&amp;$F392&amp;"'!P18")
+INDIRECT("'1"&amp;$F392&amp;"'!P19")
+INDIRECT("'1"&amp;$F392&amp;"'!P20")
+INDIRECT("'1"&amp;$F392&amp;"'!P21"))-1)</f>
        <v>#REF!</v>
      </c>
      <c r="I392" s="115" t="e" cm="1">
        <f t="array" aca="1" ref="I392" ca="1">INDIRECT("1"&amp;F392&amp;"!"&amp;I$363)</f>
        <v>#REF!</v>
      </c>
      <c r="J392" s="391" t="e">
        <f t="shared" ca="1" si="0"/>
        <v>#REF!</v>
      </c>
      <c r="O392" s="89"/>
      <c r="P392" s="96"/>
      <c r="Q392" s="88"/>
      <c r="R392" s="96"/>
    </row>
    <row r="393" spans="1:18" s="1" customFormat="1" x14ac:dyDescent="0.3">
      <c r="A393" s="1" t="s">
        <v>227</v>
      </c>
      <c r="B393" s="118">
        <f ca="1">MAX(INDIRECT("'1"&amp;$A393&amp;"'!"&amp;B$362):INDIRECT("'1"&amp;$A393&amp;"'!"&amp;B$363))</f>
        <v>1.204407618899819</v>
      </c>
      <c r="C393" s="118">
        <f ca="1">MIN(INDIRECT("'1"&amp;$A393&amp;"'!"&amp;C$362):INDIRECT("'1"&amp;$A393&amp;"'!"&amp;C$363))</f>
        <v>1.0066093271628136</v>
      </c>
      <c r="D393" s="118">
        <f ca="1">Table2781113[[#This Row],[Max TTB elasticity]]-Table2781113[[#This Row],[Min TTB elasticity]]</f>
        <v>0.19779829173700536</v>
      </c>
      <c r="E393" s="118"/>
      <c r="F393" s="394" t="s">
        <v>311</v>
      </c>
      <c r="G393" s="396" t="e" cm="1">
        <f t="array" aca="1" ref="G393" ca="1">((INDIRECT("'1"&amp;$F393&amp;"'!D12")+INDIRECT("'1"&amp;$F393&amp;"'!D13")+INDIRECT("'1"&amp;$F393&amp;"'!D14")+INDIRECT("'1"&amp;$F393&amp;"'!D15")+INDIRECT("'1"&amp;$F393&amp;"'!D16")
-INDIRECT("'1"&amp;$F393&amp;"'!C12")-INDIRECT("'1"&amp;$F393&amp;"'!C13")-INDIRECT("'1"&amp;$F393&amp;"'!C14")-INDIRECT("'1"&amp;$F393&amp;"'!C15")-INDIRECT("'1"&amp;$F393&amp;"'!C16"))/ABS(INDIRECT("'1"&amp;$F393&amp;"'!C12")
+INDIRECT("'1"&amp;$F393&amp;"'!C13")
+INDIRECT("'1"&amp;$F393&amp;"'!C14")+INDIRECT("'1"&amp;$F393&amp;"'!C15")+INDIRECT("'1"&amp;$F393&amp;"'!C16")))/((INDIRECT("'1"&amp;$F393&amp;"'!Q12")
+INDIRECT("'1"&amp;$F393&amp;"'!Q13")
+INDIRECT("'1"&amp;$F393&amp;"'!Q14")
+INDIRECT("'1"&amp;$F393&amp;"'!Q15")
+INDIRECT("'1"&amp;$F393&amp;"'!Q16"))/(INDIRECT("'1"&amp;$F393&amp;"'!P12")
+INDIRECT("'1"&amp;$F393&amp;"'!P13")
+INDIRECT("'1"&amp;$F393&amp;"'!P14")
+INDIRECT("'1"&amp;$F393&amp;"'!P15")
+INDIRECT("'1"&amp;$F393&amp;"'!P16"))-1)</f>
        <v>#REF!</v>
      </c>
      <c r="H393" s="398" t="e" cm="1">
        <f t="array" aca="1" ref="H393" ca="1">((INDIRECT("'1"&amp;$F393&amp;"'!D17")
+INDIRECT("'1"&amp;$F393&amp;"'!D18")
+INDIRECT("'1"&amp;$F393&amp;"'!D19")
+INDIRECT("'1"&amp;$F393&amp;"'!D20")
+INDIRECT("'1"&amp;$F393&amp;"'!D21")
-INDIRECT("'1"&amp;$F393&amp;"'!C17")
-INDIRECT("'1"&amp;$F393&amp;"'!C18")
-INDIRECT("'1"&amp;$F393&amp;"'!C19")-INDIRECT("'1"&amp;$F393&amp;"'!C20")-INDIRECT("'1"&amp;$F393&amp;"'!C21"))/ABS(INDIRECT("'1"&amp;$F393&amp;"'!C17")
+INDIRECT("'1"&amp;$F393&amp;"'!C18")
+INDIRECT("'1"&amp;$F393&amp;"'!C19")+INDIRECT("'1"&amp;$F393&amp;"'!C20")+INDIRECT("'1"&amp;$F393&amp;"'!C21")))/((INDIRECT("'1"&amp;$F393&amp;"'!Q17")
+INDIRECT("'1"&amp;$F393&amp;"'!Q18")
+INDIRECT("'1"&amp;$F393&amp;"'!Q19")
+INDIRECT("'1"&amp;$F393&amp;"'!Q20")
+INDIRECT("'1"&amp;$F393&amp;"'!Q21"))/(INDIRECT("'1"&amp;$F393&amp;"'!P17")
+INDIRECT("'1"&amp;$F393&amp;"'!P18")
+INDIRECT("'1"&amp;$F393&amp;"'!P19")
+INDIRECT("'1"&amp;$F393&amp;"'!P20")
+INDIRECT("'1"&amp;$F393&amp;"'!P21"))-1)</f>
        <v>#REF!</v>
      </c>
      <c r="I393" s="398" t="e" cm="1">
        <f t="array" aca="1" ref="I393" ca="1">INDIRECT("1"&amp;F393&amp;"!"&amp;I$363)</f>
        <v>#REF!</v>
      </c>
      <c r="J393" s="400" t="e">
        <f t="shared" ca="1" si="0"/>
        <v>#REF!</v>
      </c>
      <c r="O393" s="88"/>
      <c r="P393" s="94"/>
      <c r="Q393" s="88"/>
      <c r="R393" s="94"/>
    </row>
    <row r="394" spans="1:18" s="1" customFormat="1" x14ac:dyDescent="0.3">
      <c r="O394" s="88"/>
      <c r="P394" s="94"/>
      <c r="Q394" s="88"/>
      <c r="R394" s="94"/>
    </row>
    <row r="395" spans="1:18" s="1" customFormat="1" x14ac:dyDescent="0.3">
      <c r="O395" s="88"/>
      <c r="P395" s="94"/>
      <c r="Q395" s="88"/>
      <c r="R395" s="94"/>
    </row>
    <row r="396" spans="1:18" s="1" customFormat="1" x14ac:dyDescent="0.3">
      <c r="O396" s="91"/>
      <c r="P396" s="95"/>
      <c r="Q396" s="91"/>
      <c r="R396" s="95"/>
    </row>
  </sheetData>
  <autoFilter ref="F364:J393" xr:uid="{ED23E0DF-275F-4F87-9235-F5704439A315}">
    <sortState xmlns:xlrd2="http://schemas.microsoft.com/office/spreadsheetml/2017/richdata2" ref="F365:J393">
      <sortCondition ref="J364:J393"/>
    </sortState>
  </autoFilter>
  <mergeCells count="2">
    <mergeCell ref="B181:N181"/>
    <mergeCell ref="B325:H325"/>
  </mergeCells>
  <phoneticPr fontId="24" type="noConversion"/>
  <pageMargins left="0.7" right="0.7" top="0.75" bottom="0.75" header="0.3" footer="0.3"/>
  <pageSetup paperSize="9" scale="95" orientation="portrait" r:id="rId1"/>
  <drawing r:id="rId2"/>
  <tableParts count="14">
    <tablePart r:id="rId3"/>
    <tablePart r:id="rId4"/>
    <tablePart r:id="rId5"/>
    <tablePart r:id="rId6"/>
    <tablePart r:id="rId7"/>
    <tablePart r:id="rId8"/>
    <tablePart r:id="rId9"/>
    <tablePart r:id="rId10"/>
    <tablePart r:id="rId11"/>
    <tablePart r:id="rId12"/>
    <tablePart r:id="rId13"/>
    <tablePart r:id="rId14"/>
    <tablePart r:id="rId15"/>
    <tablePart r:id="rId16"/>
  </tablePart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CA00C-F0AD-4480-9D2E-7928382970E7}">
  <sheetPr>
    <tabColor rgb="FF00B050"/>
  </sheetPr>
  <dimension ref="A1:V324"/>
  <sheetViews>
    <sheetView showGridLines="0" topLeftCell="A283" zoomScale="55" zoomScaleNormal="55" workbookViewId="0">
      <selection activeCell="T326" sqref="T326"/>
    </sheetView>
  </sheetViews>
  <sheetFormatPr baseColWidth="10" defaultColWidth="8.6640625" defaultRowHeight="14.4" x14ac:dyDescent="0.3"/>
  <cols>
    <col min="1" max="1" width="33.6640625" customWidth="1"/>
    <col min="2" max="11" width="14.33203125" customWidth="1"/>
    <col min="12" max="14" width="4.33203125" customWidth="1"/>
    <col min="15" max="15" width="35" style="90" customWidth="1"/>
    <col min="16" max="16" width="35" style="97" customWidth="1"/>
    <col min="17" max="17" width="35" customWidth="1"/>
    <col min="18" max="18" width="35" style="97" customWidth="1"/>
    <col min="19" max="23" width="35" customWidth="1"/>
    <col min="24" max="24" width="45.44140625" bestFit="1" customWidth="1"/>
    <col min="25" max="25" width="49.44140625" bestFit="1" customWidth="1"/>
    <col min="26" max="26" width="40.44140625" bestFit="1" customWidth="1"/>
    <col min="27" max="27" width="34.5546875" bestFit="1" customWidth="1"/>
    <col min="28" max="28" width="41.5546875" bestFit="1" customWidth="1"/>
    <col min="29" max="29" width="38.44140625" bestFit="1" customWidth="1"/>
    <col min="30" max="30" width="45.44140625" bestFit="1" customWidth="1"/>
  </cols>
  <sheetData>
    <row r="1" spans="1:22" s="85" customFormat="1" ht="30.75" hidden="1" customHeight="1" x14ac:dyDescent="0.3">
      <c r="A1" s="183" t="s">
        <v>394</v>
      </c>
      <c r="O1" s="87"/>
      <c r="P1" s="93"/>
      <c r="R1" s="93"/>
    </row>
    <row r="2" spans="1:22" s="1" customFormat="1" hidden="1" x14ac:dyDescent="0.3">
      <c r="O2" s="88"/>
      <c r="P2" s="94"/>
      <c r="R2" s="94"/>
    </row>
    <row r="3" spans="1:22" s="1" customFormat="1" hidden="1" x14ac:dyDescent="0.3">
      <c r="A3" s="1" t="s">
        <v>289</v>
      </c>
      <c r="B3" s="1" t="s">
        <v>290</v>
      </c>
      <c r="C3" s="1" t="s">
        <v>358</v>
      </c>
      <c r="D3" s="1" t="s">
        <v>395</v>
      </c>
      <c r="E3" s="1" t="s">
        <v>293</v>
      </c>
      <c r="F3" s="101"/>
      <c r="G3" s="101"/>
      <c r="H3" s="101"/>
      <c r="I3" s="32"/>
      <c r="J3" s="32"/>
      <c r="K3" s="32"/>
      <c r="O3" s="88"/>
      <c r="P3" s="94"/>
      <c r="R3" s="94"/>
    </row>
    <row r="4" spans="1:22" s="1" customFormat="1" ht="43.2" hidden="1" x14ac:dyDescent="0.3">
      <c r="A4" s="95" t="s">
        <v>2</v>
      </c>
      <c r="B4" s="104" t="s">
        <v>359</v>
      </c>
      <c r="C4" s="104" t="s">
        <v>360</v>
      </c>
      <c r="D4" s="105" t="s">
        <v>396</v>
      </c>
      <c r="E4" s="105" t="s">
        <v>397</v>
      </c>
      <c r="F4" s="101"/>
      <c r="H4" s="95" t="s">
        <v>2</v>
      </c>
      <c r="I4" s="105" t="s">
        <v>397</v>
      </c>
      <c r="J4" s="286"/>
      <c r="K4" s="286"/>
      <c r="O4" s="91"/>
      <c r="P4" s="95"/>
      <c r="Q4" s="92"/>
      <c r="R4" s="95"/>
      <c r="S4" s="92"/>
      <c r="T4" s="92"/>
      <c r="U4" s="92"/>
      <c r="V4" s="92"/>
    </row>
    <row r="5" spans="1:22" s="1" customFormat="1" hidden="1" x14ac:dyDescent="0.3">
      <c r="A5" s="86" t="s">
        <v>304</v>
      </c>
      <c r="B5" s="286" t="e" cm="1">
        <f t="array" aca="1" ref="B5" ca="1">INDIRECT("'1"&amp;$A5&amp;"'!"&amp;B$3 )</f>
        <v>#REF!</v>
      </c>
      <c r="C5" s="286" t="e" cm="1">
        <f t="array" aca="1" ref="C5" ca="1">INDIRECT("'1"&amp;$A5&amp;"'!"&amp;C$3 )</f>
        <v>#REF!</v>
      </c>
      <c r="D5" s="286" t="e" cm="1">
        <f t="array" aca="1" ref="D5" ca="1">INDIRECT("'2"&amp;$A5&amp;"'!"&amp;D$3 )</f>
        <v>#REF!</v>
      </c>
      <c r="E5" s="194" t="e">
        <f ca="1">Table316[[#This Row],[2019 TTB elasticity]]-Table316[[#This Row],[Fiscal Drag in practice (2019--2023)]]</f>
        <v>#REF!</v>
      </c>
      <c r="F5" s="101"/>
      <c r="H5" s="86" t="s">
        <v>304</v>
      </c>
      <c r="I5" s="194" t="e" cm="1">
        <f t="array" aca="1" ref="I5" ca="1">INDIRECT("'1"&amp;$H5&amp;"'!W22")-INDIRECT("'2"&amp;$H5&amp;"'!X22")</f>
        <v>#REF!</v>
      </c>
      <c r="J5" s="32"/>
      <c r="K5" s="32"/>
      <c r="O5" s="88"/>
      <c r="P5" s="94"/>
      <c r="Q5" s="99"/>
      <c r="R5" s="100"/>
    </row>
    <row r="6" spans="1:22" s="1" customFormat="1" hidden="1" x14ac:dyDescent="0.3">
      <c r="A6" s="86" t="s">
        <v>305</v>
      </c>
      <c r="B6" s="286" t="e" cm="1">
        <f t="array" aca="1" ref="B6" ca="1">INDIRECT("'1"&amp;$A6&amp;"'!"&amp;B$3 )</f>
        <v>#REF!</v>
      </c>
      <c r="C6" s="286" t="e" cm="1">
        <f t="array" aca="1" ref="C6" ca="1">INDIRECT("'1"&amp;$A6&amp;"'!"&amp;C$3 )</f>
        <v>#REF!</v>
      </c>
      <c r="D6" s="286" t="e" cm="1">
        <f t="array" aca="1" ref="D6" ca="1">INDIRECT("'2"&amp;$A6&amp;"'!"&amp;D$3 )</f>
        <v>#REF!</v>
      </c>
      <c r="E6" s="194" t="e">
        <f ca="1">Table316[[#This Row],[2019 TTB elasticity]]-Table316[[#This Row],[Fiscal Drag in practice (2019--2023)]]</f>
        <v>#REF!</v>
      </c>
      <c r="F6" s="101"/>
      <c r="H6" s="86" t="s">
        <v>305</v>
      </c>
      <c r="I6" s="194" t="e" cm="1">
        <f t="array" aca="1" ref="I6" ca="1">INDIRECT("'1"&amp;$H6&amp;"'!W22")-INDIRECT("'2"&amp;$H6&amp;"'!X22")</f>
        <v>#REF!</v>
      </c>
      <c r="J6" s="286"/>
      <c r="K6" s="286"/>
      <c r="O6" s="88"/>
      <c r="P6" s="94"/>
      <c r="Q6" s="88"/>
      <c r="R6" s="94"/>
    </row>
    <row r="7" spans="1:22" s="86" customFormat="1" hidden="1" x14ac:dyDescent="0.3">
      <c r="A7" s="86" t="s">
        <v>306</v>
      </c>
      <c r="B7" s="286" t="e" cm="1">
        <f t="array" aca="1" ref="B7" ca="1">INDIRECT("'1"&amp;$A7&amp;"'!"&amp;B$3 )</f>
        <v>#REF!</v>
      </c>
      <c r="C7" s="286" t="e" cm="1">
        <f t="array" aca="1" ref="C7" ca="1">INDIRECT("'1"&amp;$A7&amp;"'!"&amp;C$3 )</f>
        <v>#REF!</v>
      </c>
      <c r="D7" s="286" t="e" cm="1">
        <f t="array" aca="1" ref="D7" ca="1">INDIRECT("'2"&amp;$A7&amp;"'!"&amp;D$3 )</f>
        <v>#REF!</v>
      </c>
      <c r="E7" s="194" t="e">
        <f ca="1">Table316[[#This Row],[2019 TTB elasticity]]-Table316[[#This Row],[Fiscal Drag in practice (2019--2023)]]</f>
        <v>#REF!</v>
      </c>
      <c r="F7" s="101"/>
      <c r="H7" s="86" t="s">
        <v>306</v>
      </c>
      <c r="I7" s="194" t="e" cm="1">
        <f t="array" aca="1" ref="I7" ca="1">INDIRECT("'1"&amp;$H7&amp;"'!W22")-INDIRECT("'2"&amp;$H7&amp;"'!X22")</f>
        <v>#REF!</v>
      </c>
      <c r="J7" s="32"/>
      <c r="K7" s="32"/>
      <c r="O7" s="89"/>
      <c r="P7" s="96"/>
      <c r="Q7" s="88"/>
      <c r="R7" s="96"/>
    </row>
    <row r="8" spans="1:22" s="1" customFormat="1" hidden="1" x14ac:dyDescent="0.3">
      <c r="A8" s="86" t="s">
        <v>307</v>
      </c>
      <c r="B8" s="286" t="e" cm="1">
        <f t="array" aca="1" ref="B8" ca="1">INDIRECT("'1"&amp;$A8&amp;"'!"&amp;B$3 )</f>
        <v>#REF!</v>
      </c>
      <c r="C8" s="286" t="e" cm="1">
        <f t="array" aca="1" ref="C8" ca="1">INDIRECT("'1"&amp;$A8&amp;"'!"&amp;C$3 )</f>
        <v>#REF!</v>
      </c>
      <c r="D8" s="286" t="e" cm="1">
        <f t="array" aca="1" ref="D8" ca="1">INDIRECT("'2"&amp;$A8&amp;"'!"&amp;D$3 )</f>
        <v>#REF!</v>
      </c>
      <c r="E8" s="194" t="e">
        <f ca="1">Table316[[#This Row],[2019 TTB elasticity]]-Table316[[#This Row],[Fiscal Drag in practice (2019--2023)]]</f>
        <v>#REF!</v>
      </c>
      <c r="F8" s="101"/>
      <c r="H8" s="86" t="s">
        <v>307</v>
      </c>
      <c r="I8" s="194" t="e" cm="1">
        <f t="array" aca="1" ref="I8" ca="1">INDIRECT("'1"&amp;$H8&amp;"'!W22")-INDIRECT("'2"&amp;$H8&amp;"'!X22")</f>
        <v>#REF!</v>
      </c>
      <c r="J8" s="286"/>
      <c r="K8" s="286"/>
      <c r="O8" s="88"/>
      <c r="P8" s="94"/>
      <c r="Q8" s="88"/>
      <c r="R8" s="94"/>
    </row>
    <row r="9" spans="1:22" s="86" customFormat="1" hidden="1" x14ac:dyDescent="0.3">
      <c r="A9" s="86" t="s">
        <v>308</v>
      </c>
      <c r="B9" s="286" t="e" cm="1">
        <f t="array" aca="1" ref="B9" ca="1">INDIRECT("'1"&amp;$A9&amp;"'!"&amp;B$3 )</f>
        <v>#REF!</v>
      </c>
      <c r="C9" s="286" t="e" cm="1">
        <f t="array" aca="1" ref="C9" ca="1">INDIRECT("'1"&amp;$A9&amp;"'!"&amp;C$3 )</f>
        <v>#REF!</v>
      </c>
      <c r="D9" s="286" t="e" cm="1">
        <f t="array" aca="1" ref="D9" ca="1">INDIRECT("'2"&amp;$A9&amp;"'!"&amp;D$3 )</f>
        <v>#REF!</v>
      </c>
      <c r="E9" s="194" t="e">
        <f ca="1">Table316[[#This Row],[2019 TTB elasticity]]-Table316[[#This Row],[Fiscal Drag in practice (2019--2023)]]</f>
        <v>#REF!</v>
      </c>
      <c r="F9" s="101"/>
      <c r="H9" s="86" t="s">
        <v>308</v>
      </c>
      <c r="I9" s="194" t="e" cm="1">
        <f t="array" aca="1" ref="I9" ca="1">INDIRECT("'1"&amp;$H9&amp;"'!W22")-INDIRECT("'2"&amp;$H9&amp;"'!X22")</f>
        <v>#REF!</v>
      </c>
      <c r="J9" s="32"/>
      <c r="K9" s="32"/>
      <c r="O9" s="89"/>
      <c r="P9" s="96"/>
      <c r="Q9" s="88"/>
      <c r="R9" s="96"/>
    </row>
    <row r="10" spans="1:22" s="1" customFormat="1" hidden="1" x14ac:dyDescent="0.3">
      <c r="A10" s="86" t="s">
        <v>309</v>
      </c>
      <c r="B10" s="286" t="e" cm="1">
        <f t="array" aca="1" ref="B10" ca="1">INDIRECT("'1"&amp;$A10&amp;"'!"&amp;B$3 )</f>
        <v>#REF!</v>
      </c>
      <c r="C10" s="286" t="e" cm="1">
        <f t="array" aca="1" ref="C10" ca="1">INDIRECT("'1"&amp;$A10&amp;"'!"&amp;C$3 )</f>
        <v>#REF!</v>
      </c>
      <c r="D10" s="286" t="e" cm="1">
        <f t="array" aca="1" ref="D10" ca="1">INDIRECT("'2"&amp;$A10&amp;"'!"&amp;D$3 )</f>
        <v>#REF!</v>
      </c>
      <c r="E10" s="194" t="e">
        <f ca="1">Table316[[#This Row],[2019 TTB elasticity]]-Table316[[#This Row],[Fiscal Drag in practice (2019--2023)]]</f>
        <v>#REF!</v>
      </c>
      <c r="F10" s="101"/>
      <c r="H10" s="86" t="s">
        <v>309</v>
      </c>
      <c r="I10" s="194" t="e" cm="1">
        <f t="array" aca="1" ref="I10" ca="1">INDIRECT("'1"&amp;$H10&amp;"'!W22")-INDIRECT("'2"&amp;$H10&amp;"'!X22")</f>
        <v>#REF!</v>
      </c>
      <c r="J10" s="286"/>
      <c r="K10" s="286"/>
      <c r="O10" s="88"/>
      <c r="P10" s="94"/>
      <c r="Q10" s="88"/>
      <c r="R10" s="94"/>
    </row>
    <row r="11" spans="1:22" s="86" customFormat="1" hidden="1" x14ac:dyDescent="0.3">
      <c r="A11" s="86" t="s">
        <v>310</v>
      </c>
      <c r="B11" s="286" t="e" cm="1">
        <f t="array" aca="1" ref="B11" ca="1">INDIRECT("'1"&amp;$A11&amp;"'!"&amp;B$3 )</f>
        <v>#REF!</v>
      </c>
      <c r="C11" s="286" t="e" cm="1">
        <f t="array" aca="1" ref="C11" ca="1">INDIRECT("'1"&amp;$A11&amp;"'!"&amp;C$3 )</f>
        <v>#REF!</v>
      </c>
      <c r="D11" s="286" t="e" cm="1">
        <f t="array" aca="1" ref="D11" ca="1">INDIRECT("'2"&amp;$A11&amp;"'!"&amp;D$3 )</f>
        <v>#REF!</v>
      </c>
      <c r="E11" s="194" t="e">
        <f ca="1">Table316[[#This Row],[2019 TTB elasticity]]-Table316[[#This Row],[Fiscal Drag in practice (2019--2023)]]</f>
        <v>#REF!</v>
      </c>
      <c r="F11" s="101"/>
      <c r="H11" s="86" t="s">
        <v>310</v>
      </c>
      <c r="I11" s="194" t="e" cm="1">
        <f t="array" aca="1" ref="I11" ca="1">INDIRECT("'1"&amp;$H11&amp;"'!W22")-INDIRECT("'2"&amp;$H11&amp;"'!X22")</f>
        <v>#REF!</v>
      </c>
      <c r="J11" s="32"/>
      <c r="K11" s="32"/>
      <c r="O11" s="89"/>
      <c r="P11" s="96"/>
      <c r="Q11" s="88"/>
      <c r="R11" s="96"/>
    </row>
    <row r="12" spans="1:22" s="1" customFormat="1" hidden="1" x14ac:dyDescent="0.3">
      <c r="A12" s="86" t="s">
        <v>311</v>
      </c>
      <c r="B12" s="286" t="e" cm="1">
        <f t="array" aca="1" ref="B12" ca="1">INDIRECT("'1"&amp;$A12&amp;"'!"&amp;B$3 )</f>
        <v>#REF!</v>
      </c>
      <c r="C12" s="286" t="e" cm="1">
        <f t="array" aca="1" ref="C12" ca="1">INDIRECT("'1"&amp;$A12&amp;"'!"&amp;C$3 )</f>
        <v>#REF!</v>
      </c>
      <c r="D12" s="286" t="e" cm="1">
        <f t="array" aca="1" ref="D12" ca="1">INDIRECT("'2"&amp;$A12&amp;"'!"&amp;D$3 )</f>
        <v>#REF!</v>
      </c>
      <c r="E12" s="194" t="e">
        <f ca="1">Table316[[#This Row],[2019 TTB elasticity]]-Table316[[#This Row],[Fiscal Drag in practice (2019--2023)]]</f>
        <v>#REF!</v>
      </c>
      <c r="F12" s="101"/>
      <c r="H12" s="86" t="s">
        <v>311</v>
      </c>
      <c r="I12" s="194" t="e" cm="1">
        <f t="array" aca="1" ref="I12" ca="1">INDIRECT("'1"&amp;$H12&amp;"'!W22")-INDIRECT("'2"&amp;$H12&amp;"'!X22")</f>
        <v>#REF!</v>
      </c>
      <c r="J12" s="286"/>
      <c r="K12" s="286"/>
      <c r="O12" s="88"/>
      <c r="P12" s="94"/>
      <c r="Q12" s="88"/>
      <c r="R12" s="94"/>
    </row>
    <row r="13" spans="1:22" s="1" customFormat="1" hidden="1" x14ac:dyDescent="0.3">
      <c r="A13" s="1" t="s">
        <v>225</v>
      </c>
      <c r="B13" s="32" cm="1">
        <f t="array" aca="1" ref="B13" ca="1">INDIRECT("'1"&amp;$A13&amp;"'!"&amp;B$3 )</f>
        <v>2.355007449589813</v>
      </c>
      <c r="C13" s="32" cm="1">
        <f t="array" aca="1" ref="C13" ca="1">INDIRECT("'1"&amp;$A13&amp;"'!"&amp;C$3 )</f>
        <v>2.1197758316458399</v>
      </c>
      <c r="D13" s="32" cm="1">
        <f t="array" aca="1" ref="D13" ca="1">INDIRECT("'2"&amp;$A13&amp;"'!"&amp;D$3 )</f>
        <v>0</v>
      </c>
      <c r="E13" s="41">
        <f ca="1">Table316[[#This Row],[2019 TTB elasticity]]-Table316[[#This Row],[Fiscal Drag in practice (2019--2023)]]</f>
        <v>2.355007449589813</v>
      </c>
      <c r="F13" s="106"/>
      <c r="H13" s="1" t="s">
        <v>225</v>
      </c>
      <c r="I13" s="41" cm="1">
        <f t="array" aca="1" ref="I13" ca="1">INDIRECT("'1"&amp;$H13&amp;"'!W22")-INDIRECT("'2"&amp;$H13&amp;"'!X22")</f>
        <v>2.355007449589813</v>
      </c>
      <c r="J13" s="32"/>
      <c r="K13" s="32"/>
      <c r="O13" s="88"/>
      <c r="P13" s="94"/>
      <c r="Q13" s="88"/>
      <c r="R13" s="94"/>
    </row>
    <row r="14" spans="1:22" s="1" customFormat="1" hidden="1" x14ac:dyDescent="0.3">
      <c r="A14" s="1" t="s">
        <v>208</v>
      </c>
      <c r="B14" s="32" cm="1">
        <f t="array" aca="1" ref="B14" ca="1">INDIRECT("'1"&amp;$A14&amp;"'!"&amp;B$3 )</f>
        <v>2.2980633345266068</v>
      </c>
      <c r="C14" s="32" cm="1">
        <f t="array" aca="1" ref="C14" ca="1">INDIRECT("'1"&amp;$A14&amp;"'!"&amp;C$3 )</f>
        <v>2.2104423872692003</v>
      </c>
      <c r="D14" s="32" cm="1">
        <f t="array" aca="1" ref="D14" ca="1">INDIRECT("'2"&amp;$A14&amp;"'!"&amp;D$3 )</f>
        <v>0</v>
      </c>
      <c r="E14" s="41">
        <f ca="1">Table316[[#This Row],[2019 TTB elasticity]]-Table316[[#This Row],[Fiscal Drag in practice (2019--2023)]]</f>
        <v>2.2980633345266068</v>
      </c>
      <c r="F14" s="106"/>
      <c r="H14" s="1" t="s">
        <v>208</v>
      </c>
      <c r="I14" s="41" cm="1">
        <f t="array" aca="1" ref="I14" ca="1">INDIRECT("'1"&amp;$H14&amp;"'!W22")-INDIRECT("'2"&amp;$H14&amp;"'!X22")</f>
        <v>2.2980633345266068</v>
      </c>
      <c r="J14" s="32"/>
      <c r="K14" s="32"/>
      <c r="O14" s="88"/>
      <c r="P14" s="94"/>
      <c r="Q14" s="88"/>
      <c r="R14" s="94"/>
    </row>
    <row r="15" spans="1:22" s="86" customFormat="1" hidden="1" x14ac:dyDescent="0.3">
      <c r="A15" s="1" t="s">
        <v>247</v>
      </c>
      <c r="B15" s="32" cm="1">
        <f t="array" aca="1" ref="B15" ca="1">INDIRECT("'1"&amp;$A15&amp;"'!"&amp;B$3 )</f>
        <v>2.1811011429483584</v>
      </c>
      <c r="C15" s="32" cm="1">
        <f t="array" aca="1" ref="C15" ca="1">INDIRECT("'1"&amp;$A15&amp;"'!"&amp;C$3 )</f>
        <v>2.1862725625625448</v>
      </c>
      <c r="D15" s="32" cm="1">
        <f t="array" aca="1" ref="D15" ca="1">INDIRECT("'2"&amp;$A15&amp;"'!"&amp;D$3 )</f>
        <v>0</v>
      </c>
      <c r="E15" s="41">
        <f ca="1">Table316[[#This Row],[2019 TTB elasticity]]-Table316[[#This Row],[Fiscal Drag in practice (2019--2023)]]</f>
        <v>2.1811011429483584</v>
      </c>
      <c r="F15" s="106"/>
      <c r="H15" s="1" t="s">
        <v>247</v>
      </c>
      <c r="I15" s="41" cm="1">
        <f t="array" aca="1" ref="I15" ca="1">INDIRECT("'1"&amp;$H15&amp;"'!W22")-INDIRECT("'2"&amp;$H15&amp;"'!X22")</f>
        <v>2.1811011429483584</v>
      </c>
      <c r="J15" s="32"/>
      <c r="K15" s="32"/>
      <c r="O15" s="89"/>
      <c r="P15" s="96"/>
      <c r="Q15" s="88"/>
      <c r="R15" s="96"/>
    </row>
    <row r="16" spans="1:22" s="86" customFormat="1" hidden="1" x14ac:dyDescent="0.3">
      <c r="A16" s="1" t="s">
        <v>218</v>
      </c>
      <c r="B16" s="32" cm="1">
        <f t="array" aca="1" ref="B16" ca="1">INDIRECT("'1"&amp;$A16&amp;"'!"&amp;B$3 )</f>
        <v>2.0191248605309946</v>
      </c>
      <c r="C16" s="32" cm="1">
        <f t="array" aca="1" ref="C16" ca="1">INDIRECT("'1"&amp;$A16&amp;"'!"&amp;C$3 )</f>
        <v>1.9786716903751562</v>
      </c>
      <c r="D16" s="32" cm="1">
        <f t="array" aca="1" ref="D16" ca="1">INDIRECT("'2"&amp;$A16&amp;"'!"&amp;D$3 )</f>
        <v>0</v>
      </c>
      <c r="E16" s="41">
        <f ca="1">Table316[[#This Row],[2019 TTB elasticity]]-Table316[[#This Row],[Fiscal Drag in practice (2019--2023)]]</f>
        <v>2.0191248605309946</v>
      </c>
      <c r="F16" s="106"/>
      <c r="H16" s="1" t="s">
        <v>218</v>
      </c>
      <c r="I16" s="41" cm="1">
        <f t="array" aca="1" ref="I16" ca="1">INDIRECT("'1"&amp;$H16&amp;"'!W22")-INDIRECT("'2"&amp;$H16&amp;"'!X22")</f>
        <v>2.0191248605309946</v>
      </c>
      <c r="J16" s="32"/>
      <c r="K16" s="32"/>
      <c r="O16" s="89"/>
      <c r="P16" s="96"/>
      <c r="Q16" s="88"/>
      <c r="R16" s="96"/>
    </row>
    <row r="17" spans="1:18" s="1" customFormat="1" hidden="1" x14ac:dyDescent="0.3">
      <c r="A17" s="1" t="s">
        <v>249</v>
      </c>
      <c r="B17" s="32" cm="1">
        <f t="array" aca="1" ref="B17" ca="1">INDIRECT("'1"&amp;$A17&amp;"'!"&amp;B$3 )</f>
        <v>1.9912797248057028</v>
      </c>
      <c r="C17" s="32" cm="1">
        <f t="array" aca="1" ref="C17" ca="1">INDIRECT("'1"&amp;$A17&amp;"'!"&amp;C$3 )</f>
        <v>1.9838769755472168</v>
      </c>
      <c r="D17" s="32" cm="1">
        <f t="array" aca="1" ref="D17" ca="1">INDIRECT("'2"&amp;$A17&amp;"'!"&amp;D$3 )</f>
        <v>0</v>
      </c>
      <c r="E17" s="41">
        <f ca="1">Table316[[#This Row],[2019 TTB elasticity]]-Table316[[#This Row],[Fiscal Drag in practice (2019--2023)]]</f>
        <v>1.9912797248057028</v>
      </c>
      <c r="F17" s="106"/>
      <c r="H17" s="1" t="s">
        <v>249</v>
      </c>
      <c r="I17" s="41" cm="1">
        <f t="array" aca="1" ref="I17" ca="1">INDIRECT("'1"&amp;$H17&amp;"'!W22")-INDIRECT("'2"&amp;$H17&amp;"'!X22")</f>
        <v>1.9912797248057028</v>
      </c>
      <c r="J17" s="32"/>
      <c r="K17" s="32"/>
      <c r="O17" s="88"/>
      <c r="P17" s="94"/>
      <c r="Q17" s="88"/>
      <c r="R17" s="94"/>
    </row>
    <row r="18" spans="1:18" s="1" customFormat="1" hidden="1" x14ac:dyDescent="0.3">
      <c r="A18" s="1" t="s">
        <v>204</v>
      </c>
      <c r="B18" s="32" cm="1">
        <f t="array" aca="1" ref="B18" ca="1">INDIRECT("'1"&amp;$A18&amp;"'!"&amp;B$3 )</f>
        <v>1.966454320802733</v>
      </c>
      <c r="C18" s="32" cm="1">
        <f t="array" aca="1" ref="C18" ca="1">INDIRECT("'1"&amp;$A18&amp;"'!"&amp;C$3 )</f>
        <v>1.8995893777832062</v>
      </c>
      <c r="D18" s="32" cm="1">
        <f t="array" aca="1" ref="D18" ca="1">INDIRECT("'2"&amp;$A18&amp;"'!"&amp;D$3 )</f>
        <v>0</v>
      </c>
      <c r="E18" s="41">
        <f ca="1">Table316[[#This Row],[2019 TTB elasticity]]-Table316[[#This Row],[Fiscal Drag in practice (2019--2023)]]</f>
        <v>1.966454320802733</v>
      </c>
      <c r="F18" s="106"/>
      <c r="H18" s="1" t="s">
        <v>204</v>
      </c>
      <c r="I18" s="41" cm="1">
        <f t="array" aca="1" ref="I18" ca="1">INDIRECT("'1"&amp;$H18&amp;"'!W22")-INDIRECT("'2"&amp;$H18&amp;"'!X22")</f>
        <v>1.966454320802733</v>
      </c>
      <c r="J18" s="32"/>
      <c r="K18" s="32"/>
      <c r="O18" s="88"/>
      <c r="P18" s="94"/>
      <c r="Q18" s="88"/>
      <c r="R18" s="94"/>
    </row>
    <row r="19" spans="1:18" s="1" customFormat="1" hidden="1" x14ac:dyDescent="0.3">
      <c r="A19" s="1" t="s">
        <v>252</v>
      </c>
      <c r="B19" s="32" cm="1">
        <f t="array" aca="1" ref="B19" ca="1">INDIRECT("'1"&amp;$A19&amp;"'!"&amp;B$3 )</f>
        <v>1.8863476683839748</v>
      </c>
      <c r="C19" s="32" cm="1">
        <f t="array" aca="1" ref="C19" ca="1">INDIRECT("'1"&amp;$A19&amp;"'!"&amp;C$3 )</f>
        <v>1.850006514498143</v>
      </c>
      <c r="D19" s="32" cm="1">
        <f t="array" aca="1" ref="D19" ca="1">INDIRECT("'2"&amp;$A19&amp;"'!"&amp;D$3 )</f>
        <v>0</v>
      </c>
      <c r="E19" s="41">
        <f ca="1">Table316[[#This Row],[2019 TTB elasticity]]-Table316[[#This Row],[Fiscal Drag in practice (2019--2023)]]</f>
        <v>1.8863476683839748</v>
      </c>
      <c r="F19" s="106"/>
      <c r="H19" s="1" t="s">
        <v>252</v>
      </c>
      <c r="I19" s="41" cm="1">
        <f t="array" aca="1" ref="I19" ca="1">INDIRECT("'1"&amp;$H19&amp;"'!W22")-INDIRECT("'2"&amp;$H19&amp;"'!X22")</f>
        <v>1.8863476683839748</v>
      </c>
      <c r="J19" s="32"/>
      <c r="K19" s="32"/>
      <c r="O19" s="88"/>
      <c r="P19" s="94"/>
      <c r="Q19" s="88"/>
      <c r="R19" s="94"/>
    </row>
    <row r="20" spans="1:18" s="1" customFormat="1" hidden="1" x14ac:dyDescent="0.3">
      <c r="A20" s="1" t="s">
        <v>240</v>
      </c>
      <c r="B20" s="32" cm="1">
        <f t="array" aca="1" ref="B20" ca="1">INDIRECT("'1"&amp;$A20&amp;"'!"&amp;B$3 )</f>
        <v>1.8727964639724985</v>
      </c>
      <c r="C20" s="32" cm="1">
        <f t="array" aca="1" ref="C20" ca="1">INDIRECT("'1"&amp;$A20&amp;"'!"&amp;C$3 )</f>
        <v>1.9733745399896396</v>
      </c>
      <c r="D20" s="32" cm="1">
        <f t="array" aca="1" ref="D20" ca="1">INDIRECT("'2"&amp;$A20&amp;"'!"&amp;D$3 )</f>
        <v>0</v>
      </c>
      <c r="E20" s="41">
        <f ca="1">Table316[[#This Row],[2019 TTB elasticity]]-Table316[[#This Row],[Fiscal Drag in practice (2019--2023)]]</f>
        <v>1.8727964639724985</v>
      </c>
      <c r="F20" s="106"/>
      <c r="H20" s="1" t="s">
        <v>240</v>
      </c>
      <c r="I20" s="41" cm="1">
        <f t="array" aca="1" ref="I20" ca="1">INDIRECT("'1"&amp;$H20&amp;"'!W22")-INDIRECT("'2"&amp;$H20&amp;"'!X22")</f>
        <v>1.8727964639724985</v>
      </c>
      <c r="J20" s="32"/>
      <c r="K20" s="32"/>
      <c r="O20" s="91"/>
      <c r="P20" s="95"/>
      <c r="Q20" s="91"/>
      <c r="R20" s="95"/>
    </row>
    <row r="21" spans="1:18" s="1" customFormat="1" hidden="1" x14ac:dyDescent="0.3">
      <c r="A21" s="1" t="s">
        <v>234</v>
      </c>
      <c r="B21" s="32" cm="1">
        <f t="array" aca="1" ref="B21" ca="1">INDIRECT("'1"&amp;$A21&amp;"'!"&amp;B$3 )</f>
        <v>1.8551616744290942</v>
      </c>
      <c r="C21" s="32" cm="1">
        <f t="array" aca="1" ref="C21" ca="1">INDIRECT("'1"&amp;$A21&amp;"'!"&amp;C$3 )</f>
        <v>1.8069585062535263</v>
      </c>
      <c r="D21" s="32" cm="1">
        <f t="array" aca="1" ref="D21" ca="1">INDIRECT("'2"&amp;$A21&amp;"'!"&amp;D$3 )</f>
        <v>0</v>
      </c>
      <c r="E21" s="41">
        <f ca="1">Table316[[#This Row],[2019 TTB elasticity]]-Table316[[#This Row],[Fiscal Drag in practice (2019--2023)]]</f>
        <v>1.8551616744290942</v>
      </c>
      <c r="F21" s="106"/>
      <c r="H21" s="1" t="s">
        <v>234</v>
      </c>
      <c r="I21" s="41" cm="1">
        <f t="array" aca="1" ref="I21" ca="1">INDIRECT("'1"&amp;$H21&amp;"'!W22")-INDIRECT("'2"&amp;$H21&amp;"'!X22")</f>
        <v>1.8551616744290942</v>
      </c>
      <c r="J21" s="32"/>
      <c r="K21" s="32"/>
      <c r="O21" s="88"/>
      <c r="P21" s="94"/>
      <c r="Q21" s="99"/>
      <c r="R21" s="100"/>
    </row>
    <row r="22" spans="1:18" s="1" customFormat="1" hidden="1" x14ac:dyDescent="0.3">
      <c r="A22" s="1" t="s">
        <v>3</v>
      </c>
      <c r="B22" s="32" cm="1">
        <f t="array" aca="1" ref="B22" ca="1">INDIRECT("'1"&amp;$A22&amp;"'!"&amp;B$3 )</f>
        <v>1.8866256424887944</v>
      </c>
      <c r="C22" s="32" cm="1">
        <f t="array" aca="1" ref="C22" ca="1">INDIRECT("'1"&amp;$A22&amp;"'!"&amp;C$3 )</f>
        <v>1.9899027707242172</v>
      </c>
      <c r="D22" s="32" cm="1">
        <f t="array" aca="1" ref="D22" ca="1">INDIRECT("'2"&amp;$A22&amp;"'!"&amp;D$3 )</f>
        <v>0</v>
      </c>
      <c r="E22" s="41">
        <f ca="1">Table316[[#This Row],[2019 TTB elasticity]]-Table316[[#This Row],[Fiscal Drag in practice (2019--2023)]]</f>
        <v>1.8866256424887944</v>
      </c>
      <c r="F22" s="106"/>
      <c r="H22" s="1" t="s">
        <v>3</v>
      </c>
      <c r="I22" s="41" cm="1">
        <f t="array" aca="1" ref="I22" ca="1">INDIRECT("'1"&amp;$H22&amp;"'!W22")-INDIRECT("'2"&amp;$H22&amp;"'!X22")</f>
        <v>1.8866256424887944</v>
      </c>
      <c r="J22" s="32"/>
      <c r="K22" s="32"/>
      <c r="O22" s="88"/>
      <c r="P22" s="94"/>
      <c r="Q22" s="88"/>
      <c r="R22" s="94"/>
    </row>
    <row r="23" spans="1:18" s="1" customFormat="1" hidden="1" x14ac:dyDescent="0.3">
      <c r="A23" s="1" t="s">
        <v>254</v>
      </c>
      <c r="B23" s="32" cm="1">
        <f t="array" aca="1" ref="B23" ca="1">INDIRECT("'1"&amp;$A23&amp;"'!"&amp;B$3 )</f>
        <v>1.8516723283112846</v>
      </c>
      <c r="C23" s="32" cm="1">
        <f t="array" aca="1" ref="C23" ca="1">INDIRECT("'1"&amp;$A23&amp;"'!"&amp;C$3 )</f>
        <v>1.9155745818842449</v>
      </c>
      <c r="D23" s="32" cm="1">
        <f t="array" aca="1" ref="D23" ca="1">INDIRECT("'2"&amp;$A23&amp;"'!"&amp;D$3 )</f>
        <v>0</v>
      </c>
      <c r="E23" s="41">
        <f ca="1">Table316[[#This Row],[2019 TTB elasticity]]-Table316[[#This Row],[Fiscal Drag in practice (2019--2023)]]</f>
        <v>1.8516723283112846</v>
      </c>
      <c r="F23" s="106"/>
      <c r="H23" s="1" t="s">
        <v>254</v>
      </c>
      <c r="I23" s="41" cm="1">
        <f t="array" aca="1" ref="I23" ca="1">INDIRECT("'1"&amp;$H23&amp;"'!W22")-INDIRECT("'2"&amp;$H23&amp;"'!X22")</f>
        <v>1.8516723283112846</v>
      </c>
      <c r="J23" s="32"/>
      <c r="K23" s="32"/>
      <c r="O23" s="89"/>
      <c r="P23" s="96"/>
      <c r="Q23" s="88"/>
      <c r="R23" s="96"/>
    </row>
    <row r="24" spans="1:18" s="1" customFormat="1" hidden="1" x14ac:dyDescent="0.3">
      <c r="A24" s="1" t="s">
        <v>217</v>
      </c>
      <c r="B24" s="32" cm="1">
        <f t="array" aca="1" ref="B24" ca="1">INDIRECT("'1"&amp;$A24&amp;"'!"&amp;B$3 )</f>
        <v>1.8032111978204031</v>
      </c>
      <c r="C24" s="32" cm="1">
        <f t="array" aca="1" ref="C24" ca="1">INDIRECT("'1"&amp;$A24&amp;"'!"&amp;C$3 )</f>
        <v>1.9909439243321063</v>
      </c>
      <c r="D24" s="32" cm="1">
        <f t="array" aca="1" ref="D24" ca="1">INDIRECT("'2"&amp;$A24&amp;"'!"&amp;D$3 )</f>
        <v>0</v>
      </c>
      <c r="E24" s="41">
        <f ca="1">Table316[[#This Row],[2019 TTB elasticity]]-Table316[[#This Row],[Fiscal Drag in practice (2019--2023)]]</f>
        <v>1.8032111978204031</v>
      </c>
      <c r="F24" s="106"/>
      <c r="H24" s="1" t="s">
        <v>217</v>
      </c>
      <c r="I24" s="41" cm="1">
        <f t="array" aca="1" ref="I24" ca="1">INDIRECT("'1"&amp;$H24&amp;"'!W22")-INDIRECT("'2"&amp;$H24&amp;"'!X22")</f>
        <v>1.8032111978204031</v>
      </c>
      <c r="J24" s="32"/>
      <c r="K24" s="32"/>
      <c r="O24" s="88"/>
      <c r="P24" s="94"/>
      <c r="Q24" s="88"/>
      <c r="R24" s="94"/>
    </row>
    <row r="25" spans="1:18" s="1" customFormat="1" hidden="1" x14ac:dyDescent="0.3">
      <c r="A25" s="1" t="s">
        <v>245</v>
      </c>
      <c r="B25" s="32" cm="1">
        <f t="array" aca="1" ref="B25" ca="1">INDIRECT("'1"&amp;$A25&amp;"'!"&amp;B$3 )</f>
        <v>1.8138346754056838</v>
      </c>
      <c r="C25" s="32" cm="1">
        <f t="array" aca="1" ref="C25" ca="1">INDIRECT("'1"&amp;$A25&amp;"'!"&amp;C$3 )</f>
        <v>1.736887552963867</v>
      </c>
      <c r="D25" s="32" cm="1">
        <f t="array" aca="1" ref="D25" ca="1">INDIRECT("'2"&amp;$A25&amp;"'!"&amp;D$3 )</f>
        <v>0</v>
      </c>
      <c r="E25" s="41">
        <f ca="1">Table316[[#This Row],[2019 TTB elasticity]]-Table316[[#This Row],[Fiscal Drag in practice (2019--2023)]]</f>
        <v>1.8138346754056838</v>
      </c>
      <c r="F25" s="106"/>
      <c r="H25" s="1" t="s">
        <v>245</v>
      </c>
      <c r="I25" s="41" cm="1">
        <f t="array" aca="1" ref="I25" ca="1">INDIRECT("'1"&amp;$H25&amp;"'!W22")-INDIRECT("'2"&amp;$H25&amp;"'!X22")</f>
        <v>1.8138346754056838</v>
      </c>
      <c r="J25" s="32"/>
      <c r="K25" s="32"/>
      <c r="O25" s="89"/>
      <c r="P25" s="96"/>
      <c r="Q25" s="88"/>
      <c r="R25" s="96"/>
    </row>
    <row r="26" spans="1:18" s="1" customFormat="1" hidden="1" x14ac:dyDescent="0.3">
      <c r="A26" s="1" t="s">
        <v>233</v>
      </c>
      <c r="B26" s="32" cm="1">
        <f t="array" aca="1" ref="B26" ca="1">INDIRECT("'1"&amp;$A26&amp;"'!"&amp;B$3 )</f>
        <v>1.8138953207581621</v>
      </c>
      <c r="C26" s="32" cm="1">
        <f t="array" aca="1" ref="C26" ca="1">INDIRECT("'1"&amp;$A26&amp;"'!"&amp;C$3 )</f>
        <v>1.7898077272934112</v>
      </c>
      <c r="D26" s="32" cm="1">
        <f t="array" aca="1" ref="D26" ca="1">INDIRECT("'2"&amp;$A26&amp;"'!"&amp;D$3 )</f>
        <v>0</v>
      </c>
      <c r="E26" s="41">
        <f ca="1">Table316[[#This Row],[2019 TTB elasticity]]-Table316[[#This Row],[Fiscal Drag in practice (2019--2023)]]</f>
        <v>1.8138953207581621</v>
      </c>
      <c r="F26" s="106"/>
      <c r="H26" s="1" t="s">
        <v>233</v>
      </c>
      <c r="I26" s="41" cm="1">
        <f t="array" aca="1" ref="I26" ca="1">INDIRECT("'1"&amp;$H26&amp;"'!W22")-INDIRECT("'2"&amp;$H26&amp;"'!X22")</f>
        <v>1.8138953207581621</v>
      </c>
      <c r="J26" s="32"/>
      <c r="K26" s="32"/>
      <c r="O26" s="88"/>
      <c r="P26" s="94"/>
      <c r="Q26" s="88"/>
      <c r="R26" s="94"/>
    </row>
    <row r="27" spans="1:18" s="1" customFormat="1" hidden="1" x14ac:dyDescent="0.3">
      <c r="A27" s="1" t="s">
        <v>210</v>
      </c>
      <c r="B27" s="32" cm="1">
        <f t="array" aca="1" ref="B27" ca="1">INDIRECT("'1"&amp;$A27&amp;"'!"&amp;B$3 )</f>
        <v>1.7103139797998415</v>
      </c>
      <c r="C27" s="32" cm="1">
        <f t="array" aca="1" ref="C27" ca="1">INDIRECT("'1"&amp;$A27&amp;"'!"&amp;C$3 )</f>
        <v>1.6290295714042031</v>
      </c>
      <c r="D27" s="32" cm="1">
        <f t="array" aca="1" ref="D27" ca="1">INDIRECT("'2"&amp;$A27&amp;"'!"&amp;D$3 )</f>
        <v>0</v>
      </c>
      <c r="E27" s="41">
        <f ca="1">Table316[[#This Row],[2019 TTB elasticity]]-Table316[[#This Row],[Fiscal Drag in practice (2019--2023)]]</f>
        <v>1.7103139797998415</v>
      </c>
      <c r="F27" s="106"/>
      <c r="H27" s="1" t="s">
        <v>210</v>
      </c>
      <c r="I27" s="41" cm="1">
        <f t="array" aca="1" ref="I27" ca="1">INDIRECT("'1"&amp;$H27&amp;"'!W22")-INDIRECT("'2"&amp;$H27&amp;"'!X22")</f>
        <v>1.7103139797998415</v>
      </c>
      <c r="J27" s="32"/>
      <c r="K27" s="32"/>
      <c r="O27" s="89"/>
      <c r="P27" s="96"/>
      <c r="Q27" s="88"/>
      <c r="R27" s="96"/>
    </row>
    <row r="28" spans="1:18" s="86" customFormat="1" hidden="1" x14ac:dyDescent="0.3">
      <c r="A28" s="1" t="s">
        <v>222</v>
      </c>
      <c r="B28" s="32" cm="1">
        <f t="array" aca="1" ref="B28" ca="1">INDIRECT("'1"&amp;$A28&amp;"'!"&amp;B$3 )</f>
        <v>1.7423543356823485</v>
      </c>
      <c r="C28" s="32" cm="1">
        <f t="array" aca="1" ref="C28" ca="1">INDIRECT("'1"&amp;$A28&amp;"'!"&amp;C$3 )</f>
        <v>1.7851721953842885</v>
      </c>
      <c r="D28" s="32" cm="1">
        <f t="array" aca="1" ref="D28" ca="1">INDIRECT("'2"&amp;$A28&amp;"'!"&amp;D$3 )</f>
        <v>0</v>
      </c>
      <c r="E28" s="41">
        <f ca="1">Table316[[#This Row],[2019 TTB elasticity]]-Table316[[#This Row],[Fiscal Drag in practice (2019--2023)]]</f>
        <v>1.7423543356823485</v>
      </c>
      <c r="F28" s="106"/>
      <c r="H28" s="1" t="s">
        <v>222</v>
      </c>
      <c r="I28" s="41" cm="1">
        <f t="array" aca="1" ref="I28" ca="1">INDIRECT("'1"&amp;$H28&amp;"'!W22")-INDIRECT("'2"&amp;$H28&amp;"'!X22")</f>
        <v>1.7423543356823485</v>
      </c>
      <c r="J28" s="32"/>
      <c r="K28" s="32"/>
      <c r="O28" s="88"/>
      <c r="P28" s="94"/>
      <c r="Q28" s="88"/>
      <c r="R28" s="94"/>
    </row>
    <row r="29" spans="1:18" s="1" customFormat="1" hidden="1" x14ac:dyDescent="0.3">
      <c r="A29" s="1" t="s">
        <v>214</v>
      </c>
      <c r="B29" s="32" cm="1">
        <f t="array" aca="1" ref="B29" ca="1">INDIRECT("'1"&amp;$A29&amp;"'!"&amp;B$3 )</f>
        <v>1.6590608942486251</v>
      </c>
      <c r="C29" s="32" cm="1">
        <f t="array" aca="1" ref="C29" ca="1">INDIRECT("'1"&amp;$A29&amp;"'!"&amp;C$3 )</f>
        <v>1.4994514856426371</v>
      </c>
      <c r="D29" s="32" cm="1">
        <f t="array" aca="1" ref="D29" ca="1">INDIRECT("'2"&amp;$A29&amp;"'!"&amp;D$3 )</f>
        <v>0</v>
      </c>
      <c r="E29" s="41">
        <f ca="1">Table316[[#This Row],[2019 TTB elasticity]]-Table316[[#This Row],[Fiscal Drag in practice (2019--2023)]]</f>
        <v>1.6590608942486251</v>
      </c>
      <c r="F29" s="106"/>
      <c r="H29" s="1" t="s">
        <v>214</v>
      </c>
      <c r="I29" s="41" cm="1">
        <f t="array" aca="1" ref="I29" ca="1">INDIRECT("'1"&amp;$H29&amp;"'!W22")-INDIRECT("'2"&amp;$H29&amp;"'!X22")</f>
        <v>1.6590608942486251</v>
      </c>
      <c r="J29" s="32"/>
      <c r="K29" s="32"/>
      <c r="O29" s="88"/>
      <c r="P29" s="94"/>
      <c r="Q29" s="88"/>
      <c r="R29" s="94"/>
    </row>
    <row r="30" spans="1:18" s="86" customFormat="1" hidden="1" x14ac:dyDescent="0.3">
      <c r="A30" s="1" t="s">
        <v>223</v>
      </c>
      <c r="B30" s="32" cm="1">
        <f t="array" aca="1" ref="B30" ca="1">INDIRECT("'1"&amp;$A30&amp;"'!"&amp;B$3 )</f>
        <v>1.5415702152840249</v>
      </c>
      <c r="C30" s="32" cm="1">
        <f t="array" aca="1" ref="C30" ca="1">INDIRECT("'1"&amp;$A30&amp;"'!"&amp;C$3 )</f>
        <v>1.52979171701526</v>
      </c>
      <c r="D30" s="32" cm="1">
        <f t="array" aca="1" ref="D30" ca="1">INDIRECT("'2"&amp;$A30&amp;"'!"&amp;D$3 )</f>
        <v>0</v>
      </c>
      <c r="E30" s="41">
        <f ca="1">Table316[[#This Row],[2019 TTB elasticity]]-Table316[[#This Row],[Fiscal Drag in practice (2019--2023)]]</f>
        <v>1.5415702152840249</v>
      </c>
      <c r="F30" s="106"/>
      <c r="H30" s="1" t="s">
        <v>223</v>
      </c>
      <c r="I30" s="41" cm="1">
        <f t="array" aca="1" ref="I30" ca="1">INDIRECT("'1"&amp;$H30&amp;"'!W22")-INDIRECT("'2"&amp;$H30&amp;"'!X22")</f>
        <v>1.5415702152840249</v>
      </c>
      <c r="J30" s="32"/>
      <c r="K30" s="32"/>
      <c r="O30" s="88"/>
      <c r="P30" s="94"/>
      <c r="Q30" s="88"/>
      <c r="R30" s="94"/>
    </row>
    <row r="31" spans="1:18" s="86" customFormat="1" hidden="1" x14ac:dyDescent="0.3">
      <c r="A31" s="1" t="s">
        <v>242</v>
      </c>
      <c r="B31" s="32" cm="1">
        <f t="array" aca="1" ref="B31" ca="1">INDIRECT("'1"&amp;$A31&amp;"'!"&amp;B$3 )</f>
        <v>1.439871427179074</v>
      </c>
      <c r="C31" s="32" cm="1">
        <f t="array" aca="1" ref="C31" ca="1">INDIRECT("'1"&amp;$A31&amp;"'!"&amp;C$3 )</f>
        <v>1.5520385730066144</v>
      </c>
      <c r="D31" s="32" cm="1">
        <f t="array" aca="1" ref="D31" ca="1">INDIRECT("'2"&amp;$A31&amp;"'!"&amp;D$3 )</f>
        <v>0</v>
      </c>
      <c r="E31" s="41">
        <f ca="1">Table316[[#This Row],[2019 TTB elasticity]]-Table316[[#This Row],[Fiscal Drag in practice (2019--2023)]]</f>
        <v>1.439871427179074</v>
      </c>
      <c r="F31" s="106"/>
      <c r="H31" s="1" t="s">
        <v>242</v>
      </c>
      <c r="I31" s="41" cm="1">
        <f t="array" aca="1" ref="I31" ca="1">INDIRECT("'1"&amp;$H31&amp;"'!W22")-INDIRECT("'2"&amp;$H31&amp;"'!X22")</f>
        <v>1.439871427179074</v>
      </c>
      <c r="J31" s="32"/>
      <c r="K31" s="32"/>
      <c r="O31" s="89"/>
      <c r="P31" s="96"/>
      <c r="Q31" s="88"/>
      <c r="R31" s="96"/>
    </row>
    <row r="32" spans="1:18" s="1" customFormat="1" hidden="1" x14ac:dyDescent="0.3">
      <c r="A32" s="1" t="s">
        <v>238</v>
      </c>
      <c r="B32" s="32" cm="1">
        <f t="array" aca="1" ref="B32" ca="1">INDIRECT("'1"&amp;$A32&amp;"'!"&amp;B$3 )</f>
        <v>1.3144652982741332</v>
      </c>
      <c r="C32" s="32" cm="1">
        <f t="array" aca="1" ref="C32" ca="1">INDIRECT("'1"&amp;$A32&amp;"'!"&amp;C$3 )</f>
        <v>1.4019447385138655</v>
      </c>
      <c r="D32" s="32" cm="1">
        <f t="array" aca="1" ref="D32" ca="1">INDIRECT("'2"&amp;$A32&amp;"'!"&amp;D$3 )</f>
        <v>0</v>
      </c>
      <c r="E32" s="41">
        <f ca="1">Table316[[#This Row],[2019 TTB elasticity]]-Table316[[#This Row],[Fiscal Drag in practice (2019--2023)]]</f>
        <v>1.3144652982741332</v>
      </c>
      <c r="F32" s="106"/>
      <c r="H32" s="1" t="s">
        <v>238</v>
      </c>
      <c r="I32" s="41" cm="1">
        <f t="array" aca="1" ref="I32" ca="1">INDIRECT("'1"&amp;$H32&amp;"'!W22")-INDIRECT("'2"&amp;$H32&amp;"'!X22")</f>
        <v>1.3144652982741332</v>
      </c>
      <c r="J32" s="32"/>
      <c r="K32" s="32"/>
      <c r="O32" s="89"/>
      <c r="P32" s="96"/>
      <c r="Q32" s="88"/>
      <c r="R32" s="96"/>
    </row>
    <row r="33" spans="1:18" s="1" customFormat="1" hidden="1" x14ac:dyDescent="0.3">
      <c r="A33" s="1" t="s">
        <v>227</v>
      </c>
      <c r="B33" s="32" cm="1">
        <f t="array" aca="1" ref="B33" ca="1">INDIRECT("'1"&amp;$A33&amp;"'!"&amp;B$3 )</f>
        <v>1.0958061555302958</v>
      </c>
      <c r="C33" s="32" cm="1">
        <f t="array" aca="1" ref="C33" ca="1">INDIRECT("'1"&amp;$A33&amp;"'!"&amp;C$3 )</f>
        <v>1.0874497494580651</v>
      </c>
      <c r="D33" s="32" cm="1">
        <f t="array" aca="1" ref="D33" ca="1">INDIRECT("'2"&amp;$A33&amp;"'!"&amp;D$3 )</f>
        <v>0</v>
      </c>
      <c r="E33" s="41">
        <f ca="1">Table316[[#This Row],[2019 TTB elasticity]]-Table316[[#This Row],[Fiscal Drag in practice (2019--2023)]]</f>
        <v>1.0958061555302958</v>
      </c>
      <c r="F33" s="106"/>
      <c r="H33" s="1" t="s">
        <v>227</v>
      </c>
      <c r="I33" s="41" cm="1">
        <f t="array" aca="1" ref="I33" ca="1">INDIRECT("'1"&amp;$H33&amp;"'!W22")-INDIRECT("'2"&amp;$H33&amp;"'!X22")</f>
        <v>1.0958061555302958</v>
      </c>
      <c r="J33" s="32"/>
      <c r="K33" s="32"/>
      <c r="O33" s="88"/>
      <c r="P33" s="94"/>
      <c r="Q33" s="88"/>
      <c r="R33" s="94"/>
    </row>
    <row r="34" spans="1:18" s="1" customFormat="1" hidden="1" x14ac:dyDescent="0.3">
      <c r="O34" s="88"/>
      <c r="P34" s="94"/>
      <c r="Q34" s="88"/>
      <c r="R34" s="94"/>
    </row>
    <row r="35" spans="1:18" s="1" customFormat="1" hidden="1" x14ac:dyDescent="0.3">
      <c r="O35" s="88"/>
      <c r="P35" s="94"/>
      <c r="Q35" s="88"/>
      <c r="R35" s="94"/>
    </row>
    <row r="36" spans="1:18" s="1" customFormat="1" hidden="1" x14ac:dyDescent="0.3">
      <c r="O36" s="91"/>
      <c r="P36" s="95"/>
      <c r="Q36" s="91"/>
      <c r="R36" s="95"/>
    </row>
    <row r="37" spans="1:18" s="85" customFormat="1" ht="51" customHeight="1" x14ac:dyDescent="0.3">
      <c r="A37" s="545" t="s">
        <v>604</v>
      </c>
      <c r="B37" s="545"/>
      <c r="C37" s="545"/>
      <c r="D37" s="545"/>
      <c r="E37" s="545"/>
      <c r="F37" s="545"/>
      <c r="G37" s="545"/>
      <c r="O37" s="87"/>
      <c r="P37" s="93"/>
      <c r="R37" s="93"/>
    </row>
    <row r="38" spans="1:18" s="1" customFormat="1" ht="18" customHeight="1" x14ac:dyDescent="0.3">
      <c r="B38" s="1" t="s">
        <v>398</v>
      </c>
      <c r="O38" s="88"/>
      <c r="P38" s="94"/>
      <c r="R38" s="94"/>
    </row>
    <row r="39" spans="1:18" s="1" customFormat="1" x14ac:dyDescent="0.3">
      <c r="A39" s="1" t="s">
        <v>289</v>
      </c>
      <c r="B39" s="1" t="s">
        <v>399</v>
      </c>
      <c r="C39" s="1" t="s">
        <v>400</v>
      </c>
      <c r="D39" s="86"/>
      <c r="E39" s="86"/>
      <c r="F39" s="1" t="s">
        <v>289</v>
      </c>
      <c r="G39" s="1" t="s">
        <v>401</v>
      </c>
      <c r="J39" s="1" t="s">
        <v>402</v>
      </c>
      <c r="O39" s="88"/>
      <c r="P39" s="94"/>
      <c r="R39" s="94"/>
    </row>
    <row r="40" spans="1:18" s="1" customFormat="1" ht="28.8" x14ac:dyDescent="0.3">
      <c r="A40" s="109" t="s">
        <v>316</v>
      </c>
      <c r="B40" s="107" t="s">
        <v>164</v>
      </c>
      <c r="C40" s="107" t="s">
        <v>163</v>
      </c>
      <c r="D40" s="86"/>
      <c r="E40" s="86"/>
      <c r="F40" s="109" t="s">
        <v>316</v>
      </c>
      <c r="G40" s="107" t="s">
        <v>403</v>
      </c>
      <c r="H40" s="107" t="s">
        <v>163</v>
      </c>
      <c r="I40" s="119" t="s">
        <v>404</v>
      </c>
      <c r="J40" s="119" t="s">
        <v>405</v>
      </c>
      <c r="O40" s="88"/>
      <c r="P40" s="94"/>
      <c r="R40" s="94"/>
    </row>
    <row r="41" spans="1:18" s="1" customFormat="1" x14ac:dyDescent="0.3">
      <c r="A41" s="86" t="s">
        <v>304</v>
      </c>
      <c r="B41" s="401" t="e" cm="1">
        <f t="array" aca="1" ref="B41" ca="1">INDIRECT("'2"&amp;$A41&amp;"'!"&amp;B$39)/INDIRECT("'2"&amp;$A41&amp;"'!"&amp;$B$38)*100</f>
        <v>#REF!</v>
      </c>
      <c r="C41" s="401" t="e" cm="1">
        <f t="array" aca="1" ref="C41" ca="1">INDIRECT("'2"&amp;$A41&amp;"'!"&amp;C$39)/INDIRECT("'2"&amp;$A41&amp;"'!"&amp;$B$38)*100</f>
        <v>#REF!</v>
      </c>
      <c r="D41" s="86"/>
      <c r="E41" s="86"/>
      <c r="F41" s="1" t="s">
        <v>208</v>
      </c>
      <c r="G41" s="303" cm="1">
        <f t="array" aca="1" ref="G41" ca="1">INDIRECT("'2"&amp;$F41&amp;"'!"&amp;G$39)</f>
        <v>0.22105967416499941</v>
      </c>
      <c r="H41" s="372">
        <f ca="1">MAX(1-Table2912[[#This Row],[Offset Fiscal Drag]],0)</f>
        <v>0.77894032583500061</v>
      </c>
      <c r="I41" s="419">
        <f ca="1">Table2912[[#This Row],[Offset Fiscal Drag]]-Table2912[[#This Row],[Offset through indexation]]</f>
        <v>0.22105967416499941</v>
      </c>
      <c r="J41" s="419" cm="1">
        <f t="array" aca="1" ref="J41" ca="1">INDIRECT("'2"&amp;$F41&amp;"'!"&amp;J$39)</f>
        <v>0</v>
      </c>
      <c r="O41" s="99"/>
      <c r="P41" s="100"/>
      <c r="Q41" s="99"/>
      <c r="R41" s="100"/>
    </row>
    <row r="42" spans="1:18" s="1" customFormat="1" x14ac:dyDescent="0.3">
      <c r="A42" s="86" t="s">
        <v>305</v>
      </c>
      <c r="B42" s="401" t="e" cm="1">
        <f t="array" aca="1" ref="B42" ca="1">INDIRECT("'2"&amp;$A42&amp;"'!"&amp;B$39)/INDIRECT("'2"&amp;$A42&amp;"'!"&amp;$B$38)*100</f>
        <v>#REF!</v>
      </c>
      <c r="C42" s="401" t="e" cm="1">
        <f t="array" aca="1" ref="C42" ca="1">INDIRECT("'2"&amp;$A42&amp;"'!"&amp;C$39)/INDIRECT("'2"&amp;$A42&amp;"'!"&amp;$B$38)*100</f>
        <v>#REF!</v>
      </c>
      <c r="D42" s="86"/>
      <c r="E42" s="86"/>
      <c r="F42" s="1" t="s">
        <v>218</v>
      </c>
      <c r="G42" s="303" cm="1">
        <f t="array" aca="1" ref="G42" ca="1">INDIRECT("'2"&amp;$F42&amp;"'!"&amp;G$39)</f>
        <v>0.30065867959445886</v>
      </c>
      <c r="H42" s="372">
        <f ca="1">MAX(1-Table2912[[#This Row],[Offset Fiscal Drag]],0)</f>
        <v>0.6993413204055412</v>
      </c>
      <c r="I42" s="419">
        <f ca="1">Table2912[[#This Row],[Offset Fiscal Drag]]-Table2912[[#This Row],[Offset through indexation]]</f>
        <v>1.6534480092694759E-2</v>
      </c>
      <c r="J42" s="303" cm="1">
        <f t="array" aca="1" ref="J42" ca="1">INDIRECT("'2"&amp;$F42&amp;"'!"&amp;J$39)</f>
        <v>0.2841241995017641</v>
      </c>
      <c r="O42" s="88"/>
      <c r="P42" s="94"/>
      <c r="Q42" s="88"/>
      <c r="R42" s="94"/>
    </row>
    <row r="43" spans="1:18" s="1" customFormat="1" x14ac:dyDescent="0.3">
      <c r="A43" s="86" t="s">
        <v>306</v>
      </c>
      <c r="B43" s="401" t="e" cm="1">
        <f t="array" aca="1" ref="B43" ca="1">INDIRECT("'2"&amp;$A43&amp;"'!"&amp;B$39)/INDIRECT("'2"&amp;$A43&amp;"'!"&amp;$B$38)*100</f>
        <v>#REF!</v>
      </c>
      <c r="C43" s="401" t="e" cm="1">
        <f t="array" aca="1" ref="C43" ca="1">INDIRECT("'2"&amp;$A43&amp;"'!"&amp;C$39)/INDIRECT("'2"&amp;$A43&amp;"'!"&amp;$B$38)*100</f>
        <v>#REF!</v>
      </c>
      <c r="D43" s="86"/>
      <c r="E43" s="86"/>
      <c r="F43" s="1" t="s">
        <v>245</v>
      </c>
      <c r="G43" s="303" cm="1">
        <f t="array" aca="1" ref="G43" ca="1">INDIRECT("'2"&amp;$F43&amp;"'!"&amp;G$39)</f>
        <v>0.3981634649499643</v>
      </c>
      <c r="H43" s="372">
        <f ca="1">MAX(1-Table2912[[#This Row],[Offset Fiscal Drag]],0)</f>
        <v>0.60183653505003565</v>
      </c>
      <c r="I43" s="419">
        <f ca="1">Table2912[[#This Row],[Offset Fiscal Drag]]-Table2912[[#This Row],[Offset through indexation]]</f>
        <v>0.29774033762950308</v>
      </c>
      <c r="J43" s="419" cm="1">
        <f t="array" aca="1" ref="J43" ca="1">INDIRECT("'2"&amp;$F43&amp;"'!"&amp;J$39)</f>
        <v>0.1004231273204612</v>
      </c>
      <c r="O43" s="89"/>
      <c r="P43" s="96"/>
      <c r="Q43" s="88"/>
      <c r="R43" s="96"/>
    </row>
    <row r="44" spans="1:18" s="1" customFormat="1" x14ac:dyDescent="0.3">
      <c r="A44" s="86" t="s">
        <v>307</v>
      </c>
      <c r="B44" s="401" t="e" cm="1">
        <f t="array" aca="1" ref="B44" ca="1">INDIRECT("'2"&amp;$A44&amp;"'!"&amp;B$39)/INDIRECT("'2"&amp;$A44&amp;"'!"&amp;$B$38)*100</f>
        <v>#REF!</v>
      </c>
      <c r="C44" s="401" t="e" cm="1">
        <f t="array" aca="1" ref="C44" ca="1">INDIRECT("'2"&amp;$A44&amp;"'!"&amp;C$39)/INDIRECT("'2"&amp;$A44&amp;"'!"&amp;$B$38)*100</f>
        <v>#REF!</v>
      </c>
      <c r="D44" s="86"/>
      <c r="E44" s="86"/>
      <c r="F44" s="1" t="s">
        <v>234</v>
      </c>
      <c r="G44" s="303" cm="1">
        <f t="array" aca="1" ref="G44" ca="1">INDIRECT("'2"&amp;$F44&amp;"'!"&amp;G$39)</f>
        <v>0.40614057015901595</v>
      </c>
      <c r="H44" s="372">
        <f ca="1">MAX(1-Table2912[[#This Row],[Offset Fiscal Drag]],0)</f>
        <v>0.59385942984098405</v>
      </c>
      <c r="I44" s="419">
        <f ca="1">Table2912[[#This Row],[Offset Fiscal Drag]]-Table2912[[#This Row],[Offset through indexation]]</f>
        <v>0.39054979331442541</v>
      </c>
      <c r="J44" s="419" cm="1">
        <f t="array" aca="1" ref="J44" ca="1">INDIRECT("'2"&amp;$F44&amp;"'!"&amp;J$39)</f>
        <v>1.559077684459056E-2</v>
      </c>
      <c r="O44" s="88"/>
      <c r="P44" s="94"/>
      <c r="Q44" s="88"/>
      <c r="R44" s="94"/>
    </row>
    <row r="45" spans="1:18" s="1" customFormat="1" x14ac:dyDescent="0.3">
      <c r="A45" s="86" t="s">
        <v>308</v>
      </c>
      <c r="B45" s="401" t="e" cm="1">
        <f t="array" aca="1" ref="B45" ca="1">INDIRECT("'2"&amp;$A45&amp;"'!"&amp;B$39)/INDIRECT("'2"&amp;$A45&amp;"'!"&amp;$B$38)*100</f>
        <v>#REF!</v>
      </c>
      <c r="C45" s="401" t="e" cm="1">
        <f t="array" aca="1" ref="C45" ca="1">INDIRECT("'2"&amp;$A45&amp;"'!"&amp;C$39)/INDIRECT("'2"&amp;$A45&amp;"'!"&amp;$B$38)*100</f>
        <v>#REF!</v>
      </c>
      <c r="D45" s="86"/>
      <c r="E45" s="86"/>
      <c r="F45" s="1" t="s">
        <v>214</v>
      </c>
      <c r="G45" s="303" cm="1">
        <f t="array" aca="1" ref="G45" ca="1">INDIRECT("'2"&amp;$F45&amp;"'!"&amp;G$39)</f>
        <v>0.65708673248415206</v>
      </c>
      <c r="H45" s="372">
        <f ca="1">MAX(1-Table2912[[#This Row],[Offset Fiscal Drag]],0)</f>
        <v>0.34291326751584794</v>
      </c>
      <c r="I45" s="419">
        <f ca="1">Table2912[[#This Row],[Offset Fiscal Drag]]-Table2912[[#This Row],[Offset through indexation]]</f>
        <v>0.38853481617789981</v>
      </c>
      <c r="J45" s="419" cm="1">
        <f t="array" aca="1" ref="J45" ca="1">INDIRECT("'2"&amp;$F45&amp;"'!"&amp;J$39)</f>
        <v>0.26855191630625225</v>
      </c>
      <c r="O45" s="89"/>
      <c r="P45" s="96"/>
      <c r="Q45" s="88"/>
      <c r="R45" s="96"/>
    </row>
    <row r="46" spans="1:18" s="1" customFormat="1" x14ac:dyDescent="0.3">
      <c r="A46" s="86" t="s">
        <v>309</v>
      </c>
      <c r="B46" s="401" t="e" cm="1">
        <f t="array" aca="1" ref="B46" ca="1">INDIRECT("'2"&amp;$A46&amp;"'!"&amp;B$39)/INDIRECT("'2"&amp;$A46&amp;"'!"&amp;$B$38)*100</f>
        <v>#REF!</v>
      </c>
      <c r="C46" s="401" t="e" cm="1">
        <f t="array" aca="1" ref="C46" ca="1">INDIRECT("'2"&amp;$A46&amp;"'!"&amp;C$39)/INDIRECT("'2"&amp;$A46&amp;"'!"&amp;$B$38)*100</f>
        <v>#REF!</v>
      </c>
      <c r="D46" s="86"/>
      <c r="E46" s="86"/>
      <c r="F46" s="1" t="s">
        <v>247</v>
      </c>
      <c r="G46" s="303" cm="1">
        <f t="array" aca="1" ref="G46" ca="1">INDIRECT("'2"&amp;$F46&amp;"'!"&amp;G$39)</f>
        <v>0.73176575875430849</v>
      </c>
      <c r="H46" s="372">
        <f ca="1">MAX(1-Table2912[[#This Row],[Offset Fiscal Drag]],0)</f>
        <v>0.26823424124569151</v>
      </c>
      <c r="I46" s="419">
        <f ca="1">Table2912[[#This Row],[Offset Fiscal Drag]]-Table2912[[#This Row],[Offset through indexation]]</f>
        <v>4.5846234805671515E-2</v>
      </c>
      <c r="J46" s="419" cm="1">
        <f t="array" aca="1" ref="J46" ca="1">INDIRECT("'2"&amp;$F46&amp;"'!"&amp;J$39)</f>
        <v>0.68591952394863698</v>
      </c>
      <c r="O46" s="88"/>
      <c r="P46" s="94"/>
      <c r="Q46" s="88"/>
      <c r="R46" s="94"/>
    </row>
    <row r="47" spans="1:18" s="1" customFormat="1" x14ac:dyDescent="0.3">
      <c r="A47" s="86" t="s">
        <v>310</v>
      </c>
      <c r="B47" s="401" t="e" cm="1">
        <f t="array" aca="1" ref="B47" ca="1">INDIRECT("'2"&amp;$A47&amp;"'!"&amp;B$39)/INDIRECT("'2"&amp;$A47&amp;"'!"&amp;$B$38)*100</f>
        <v>#REF!</v>
      </c>
      <c r="C47" s="401" t="e" cm="1">
        <f t="array" aca="1" ref="C47" ca="1">INDIRECT("'2"&amp;$A47&amp;"'!"&amp;C$39)/INDIRECT("'2"&amp;$A47&amp;"'!"&amp;$B$38)*100</f>
        <v>#REF!</v>
      </c>
      <c r="D47" s="86"/>
      <c r="E47" s="86"/>
      <c r="F47" s="1" t="s">
        <v>204</v>
      </c>
      <c r="G47" s="303" cm="1">
        <f t="array" aca="1" ref="G47" ca="1">INDIRECT("'2"&amp;$F47&amp;"'!"&amp;G$39)</f>
        <v>0.78262415483011394</v>
      </c>
      <c r="H47" s="372">
        <f ca="1">MAX(1-Table2912[[#This Row],[Offset Fiscal Drag]],0)</f>
        <v>0.21737584516988606</v>
      </c>
      <c r="I47" s="419">
        <f ca="1">Table2912[[#This Row],[Offset Fiscal Drag]]-Table2912[[#This Row],[Offset through indexation]]</f>
        <v>-6.5512056931793738E-2</v>
      </c>
      <c r="J47" s="419" cm="1">
        <f t="array" aca="1" ref="J47" ca="1">INDIRECT("'2"&amp;$F47&amp;"'!"&amp;J$39)</f>
        <v>0.84813621176190768</v>
      </c>
      <c r="O47" s="89"/>
      <c r="P47" s="96"/>
      <c r="Q47" s="88"/>
      <c r="R47" s="96"/>
    </row>
    <row r="48" spans="1:18" s="1" customFormat="1" x14ac:dyDescent="0.3">
      <c r="A48" s="86" t="s">
        <v>311</v>
      </c>
      <c r="B48" s="401" t="e" cm="1">
        <f t="array" aca="1" ref="B48" ca="1">INDIRECT("'2"&amp;$A48&amp;"'!"&amp;B$39)/INDIRECT("'2"&amp;$A48&amp;"'!"&amp;$B$38)*100</f>
        <v>#REF!</v>
      </c>
      <c r="C48" s="401" t="e" cm="1">
        <f t="array" aca="1" ref="C48" ca="1">INDIRECT("'2"&amp;$A48&amp;"'!"&amp;C$39)/INDIRECT("'2"&amp;$A48&amp;"'!"&amp;$B$38)*100</f>
        <v>#REF!</v>
      </c>
      <c r="D48" s="86"/>
      <c r="E48" s="86"/>
      <c r="F48" s="1" t="s">
        <v>227</v>
      </c>
      <c r="G48" s="303" cm="1">
        <f t="array" aca="1" ref="G48" ca="1">INDIRECT("'2"&amp;$F48&amp;"'!"&amp;G$39)</f>
        <v>0.79039879934543311</v>
      </c>
      <c r="H48" s="372">
        <f ca="1">MAX(1-Table2912[[#This Row],[Offset Fiscal Drag]],0)</f>
        <v>0.20960120065456689</v>
      </c>
      <c r="I48" s="419">
        <f ca="1">Table2912[[#This Row],[Offset Fiscal Drag]]-Table2912[[#This Row],[Offset through indexation]]</f>
        <v>0.79049844306343386</v>
      </c>
      <c r="J48" s="419" cm="1">
        <f t="array" aca="1" ref="J48" ca="1">INDIRECT("'2"&amp;$F48&amp;"'!"&amp;J$39)</f>
        <v>-9.9643718000766259E-5</v>
      </c>
      <c r="O48" s="88"/>
      <c r="P48" s="94"/>
      <c r="Q48" s="88"/>
      <c r="R48" s="94"/>
    </row>
    <row r="49" spans="1:18" s="1" customFormat="1" x14ac:dyDescent="0.3">
      <c r="A49" s="1" t="s">
        <v>204</v>
      </c>
      <c r="B49" s="402" cm="1">
        <f t="array" aca="1" ref="B49" ca="1">INDIRECT("'2"&amp;$A49&amp;"'!"&amp;B$39)/INDIRECT("'2"&amp;$A49&amp;"'!"&amp;$B$38)*100</f>
        <v>1.6719950319268924</v>
      </c>
      <c r="C49" s="402" cm="1">
        <f t="array" aca="1" ref="C49" ca="1">INDIRECT("'2"&amp;$A49&amp;"'!"&amp;C$39)/INDIRECT("'2"&amp;$A49&amp;"'!"&amp;$B$38)*100</f>
        <v>0.38315413693505157</v>
      </c>
      <c r="F49" s="1" t="s">
        <v>222</v>
      </c>
      <c r="G49" s="303" cm="1">
        <f t="array" aca="1" ref="G49" ca="1">INDIRECT("'2"&amp;$F49&amp;"'!"&amp;G$39)</f>
        <v>0.85185936833192055</v>
      </c>
      <c r="H49" s="372">
        <f ca="1">MAX(1-Table2912[[#This Row],[Offset Fiscal Drag]],0)</f>
        <v>0.14814063166807945</v>
      </c>
      <c r="I49" s="419">
        <f ca="1">Table2912[[#This Row],[Offset Fiscal Drag]]-Table2912[[#This Row],[Offset through indexation]]</f>
        <v>0.20570525352727631</v>
      </c>
      <c r="J49" s="419" cm="1">
        <f t="array" aca="1" ref="J49" ca="1">INDIRECT("'2"&amp;$F49&amp;"'!"&amp;J$39)</f>
        <v>0.64615411480464424</v>
      </c>
      <c r="O49" s="88"/>
      <c r="P49" s="94"/>
      <c r="Q49" s="88"/>
      <c r="R49" s="94"/>
    </row>
    <row r="50" spans="1:18" s="1" customFormat="1" x14ac:dyDescent="0.3">
      <c r="A50" s="1" t="s">
        <v>247</v>
      </c>
      <c r="B50" s="402" cm="1">
        <f t="array" aca="1" ref="B50" ca="1">INDIRECT("'2"&amp;$A50&amp;"'!"&amp;B$39)/INDIRECT("'2"&amp;$A50&amp;"'!"&amp;$B$38)*100</f>
        <v>1.5779454930269283</v>
      </c>
      <c r="C50" s="402" cm="1">
        <f t="array" aca="1" ref="C50" ca="1">INDIRECT("'2"&amp;$A50&amp;"'!"&amp;C$39)/INDIRECT("'2"&amp;$A50&amp;"'!"&amp;$B$38)*100</f>
        <v>0.43964359317992818</v>
      </c>
      <c r="F50" s="1" t="s">
        <v>233</v>
      </c>
      <c r="G50" s="303" cm="1">
        <f t="array" aca="1" ref="G50" ca="1">INDIRECT("'2"&amp;$F50&amp;"'!"&amp;G$39)</f>
        <v>0.8960094535430404</v>
      </c>
      <c r="H50" s="372">
        <f ca="1">MAX(1-Table2912[[#This Row],[Offset Fiscal Drag]],0)</f>
        <v>0.1039905464569596</v>
      </c>
      <c r="I50" s="419">
        <f ca="1">Table2912[[#This Row],[Offset Fiscal Drag]]-Table2912[[#This Row],[Offset through indexation]]</f>
        <v>0.16411136427974926</v>
      </c>
      <c r="J50" s="419" cm="1">
        <f t="array" aca="1" ref="J50" ca="1">INDIRECT("'2"&amp;$F50&amp;"'!"&amp;J$39)</f>
        <v>0.73189808926329114</v>
      </c>
      <c r="O50" s="88"/>
      <c r="P50" s="94"/>
      <c r="Q50" s="88"/>
      <c r="R50" s="94"/>
    </row>
    <row r="51" spans="1:18" s="1" customFormat="1" x14ac:dyDescent="0.3">
      <c r="A51" s="1" t="s">
        <v>3</v>
      </c>
      <c r="B51" s="402" cm="1">
        <f t="array" aca="1" ref="B51" ca="1">INDIRECT("'2"&amp;$A51&amp;"'!"&amp;B$39)/INDIRECT("'2"&amp;$A51&amp;"'!"&amp;$B$38)*100</f>
        <v>1.2467353794730298</v>
      </c>
      <c r="C51" s="402" cm="1">
        <f t="array" aca="1" ref="C51" ca="1">INDIRECT("'2"&amp;$A51&amp;"'!"&amp;C$39)/INDIRECT("'2"&amp;$A51&amp;"'!"&amp;$B$38)*100</f>
        <v>-0.41118288385852159</v>
      </c>
      <c r="F51" s="1" t="s">
        <v>223</v>
      </c>
      <c r="G51" s="303" cm="1">
        <f t="array" aca="1" ref="G51" ca="1">INDIRECT("'2"&amp;$F51&amp;"'!"&amp;G$39)</f>
        <v>1.0725816551155176</v>
      </c>
      <c r="H51" s="372">
        <f ca="1">MAX(1-Table2912[[#This Row],[Offset Fiscal Drag]],0)</f>
        <v>0</v>
      </c>
      <c r="I51" s="419">
        <f ca="1">Table2912[[#This Row],[Offset Fiscal Drag]]-Table2912[[#This Row],[Offset through indexation]]</f>
        <v>0.81779174414153943</v>
      </c>
      <c r="J51" s="419" cm="1">
        <f t="array" aca="1" ref="J51" ca="1">INDIRECT("'2"&amp;$F51&amp;"'!"&amp;J$39)</f>
        <v>0.25478991097397813</v>
      </c>
      <c r="O51" s="89"/>
      <c r="P51" s="96"/>
      <c r="Q51" s="88"/>
      <c r="R51" s="96"/>
    </row>
    <row r="52" spans="1:18" s="1" customFormat="1" x14ac:dyDescent="0.3">
      <c r="A52" s="1" t="s">
        <v>240</v>
      </c>
      <c r="B52" s="402" cm="1">
        <f t="array" aca="1" ref="B52" ca="1">INDIRECT("'2"&amp;$A52&amp;"'!"&amp;B$39)/INDIRECT("'2"&amp;$A52&amp;"'!"&amp;$B$38)*100</f>
        <v>1.1014190951080285</v>
      </c>
      <c r="C52" s="402" cm="1">
        <f t="array" aca="1" ref="C52" ca="1">INDIRECT("'2"&amp;$A52&amp;"'!"&amp;C$39)/INDIRECT("'2"&amp;$A52&amp;"'!"&amp;$B$38)*100</f>
        <v>-0.2135613236686438</v>
      </c>
      <c r="F52" s="1" t="s">
        <v>249</v>
      </c>
      <c r="G52" s="303" cm="1">
        <f t="array" aca="1" ref="G52" ca="1">INDIRECT("'2"&amp;$F52&amp;"'!"&amp;G$39)</f>
        <v>1.077410006737954</v>
      </c>
      <c r="H52" s="372">
        <f ca="1">MAX(1-Table2912[[#This Row],[Offset Fiscal Drag]],0)</f>
        <v>0</v>
      </c>
      <c r="I52" s="419">
        <f ca="1">Table2912[[#This Row],[Offset Fiscal Drag]]-Table2912[[#This Row],[Offset through indexation]]</f>
        <v>0.92838213804952197</v>
      </c>
      <c r="J52" s="419" cm="1">
        <f t="array" aca="1" ref="J52" ca="1">INDIRECT("'2"&amp;$F52&amp;"'!"&amp;J$39)</f>
        <v>0.14902786868843201</v>
      </c>
      <c r="O52" s="89"/>
      <c r="P52" s="96"/>
      <c r="Q52" s="88"/>
      <c r="R52" s="96"/>
    </row>
    <row r="53" spans="1:18" s="1" customFormat="1" x14ac:dyDescent="0.3">
      <c r="A53" s="1" t="s">
        <v>222</v>
      </c>
      <c r="B53" s="402" cm="1">
        <f t="array" aca="1" ref="B53" ca="1">INDIRECT("'2"&amp;$A53&amp;"'!"&amp;B$39)/INDIRECT("'2"&amp;$A53&amp;"'!"&amp;$B$38)*100</f>
        <v>1.0878053146662028</v>
      </c>
      <c r="C53" s="402" cm="1">
        <f t="array" aca="1" ref="C53" ca="1">INDIRECT("'2"&amp;$A53&amp;"'!"&amp;C$39)/INDIRECT("'2"&amp;$A53&amp;"'!"&amp;$B$38)*100</f>
        <v>0.17241296278231702</v>
      </c>
      <c r="F53" s="1" t="s">
        <v>217</v>
      </c>
      <c r="G53" s="303" cm="1">
        <f t="array" aca="1" ref="G53" ca="1">INDIRECT("'2"&amp;$F53&amp;"'!"&amp;G$39)</f>
        <v>1.1418819070494353</v>
      </c>
      <c r="H53" s="372">
        <f ca="1">MAX(1-Table2912[[#This Row],[Offset Fiscal Drag]],0)</f>
        <v>0</v>
      </c>
      <c r="I53" s="419">
        <f ca="1">Table2912[[#This Row],[Offset Fiscal Drag]]-Table2912[[#This Row],[Offset through indexation]]</f>
        <v>1.1417229793993848</v>
      </c>
      <c r="J53" s="419" cm="1">
        <f t="array" aca="1" ref="J53" ca="1">INDIRECT("'2"&amp;$F53&amp;"'!"&amp;J$39)</f>
        <v>1.5892765005039814E-4</v>
      </c>
      <c r="O53" s="88"/>
      <c r="P53" s="94"/>
      <c r="Q53" s="88"/>
      <c r="R53" s="94"/>
    </row>
    <row r="54" spans="1:18" s="1" customFormat="1" x14ac:dyDescent="0.3">
      <c r="A54" s="1" t="s">
        <v>218</v>
      </c>
      <c r="B54" s="402" cm="1">
        <f t="array" aca="1" ref="B54" ca="1">INDIRECT("'2"&amp;$A54&amp;"'!"&amp;B$39)/INDIRECT("'2"&amp;$A54&amp;"'!"&amp;$B$38)*100</f>
        <v>0.99189208327143519</v>
      </c>
      <c r="C54" s="402" cm="1">
        <f t="array" aca="1" ref="C54" ca="1">INDIRECT("'2"&amp;$A54&amp;"'!"&amp;C$39)/INDIRECT("'2"&amp;$A54&amp;"'!"&amp;$B$38)*100</f>
        <v>0.69624643624099125</v>
      </c>
      <c r="F54" s="1" t="s">
        <v>240</v>
      </c>
      <c r="G54" s="303" cm="1">
        <f t="array" aca="1" ref="G54" ca="1">INDIRECT("'2"&amp;$F54&amp;"'!"&amp;G$39)</f>
        <v>1.2083089683906316</v>
      </c>
      <c r="H54" s="372">
        <f ca="1">MAX(1-Table2912[[#This Row],[Offset Fiscal Drag]],0)</f>
        <v>0</v>
      </c>
      <c r="I54" s="419">
        <f ca="1">Table2912[[#This Row],[Offset Fiscal Drag]]-Table2912[[#This Row],[Offset through indexation]]</f>
        <v>1.0391529797030623</v>
      </c>
      <c r="J54" s="419" cm="1">
        <f t="array" aca="1" ref="J54" ca="1">INDIRECT("'2"&amp;$F54&amp;"'!"&amp;J$39)</f>
        <v>0.16915598868756943</v>
      </c>
      <c r="O54" s="88"/>
      <c r="P54" s="94"/>
      <c r="Q54" s="88"/>
      <c r="R54" s="94"/>
    </row>
    <row r="55" spans="1:18" s="1" customFormat="1" x14ac:dyDescent="0.3">
      <c r="A55" s="1" t="s">
        <v>214</v>
      </c>
      <c r="B55" s="402" cm="1">
        <f t="array" aca="1" ref="B55" ca="1">INDIRECT("'2"&amp;$A55&amp;"'!"&amp;B$39)/INDIRECT("'2"&amp;$A55&amp;"'!"&amp;$B$38)*100</f>
        <v>0.97123743600236034</v>
      </c>
      <c r="C55" s="402" cm="1">
        <f t="array" aca="1" ref="C55" ca="1">INDIRECT("'2"&amp;$A55&amp;"'!"&amp;C$39)/INDIRECT("'2"&amp;$A55&amp;"'!"&amp;$B$38)*100</f>
        <v>0.3463376486644813</v>
      </c>
      <c r="F55" s="1" t="s">
        <v>238</v>
      </c>
      <c r="G55" s="303" cm="1">
        <f t="array" aca="1" ref="G55" ca="1">INDIRECT("'2"&amp;$F55&amp;"'!"&amp;G$39)</f>
        <v>1.2380466646927559</v>
      </c>
      <c r="H55" s="372">
        <f ca="1">MAX(1-Table2912[[#This Row],[Offset Fiscal Drag]],0)</f>
        <v>0</v>
      </c>
      <c r="I55" s="419">
        <f ca="1">Table2912[[#This Row],[Offset Fiscal Drag]]-Table2912[[#This Row],[Offset through indexation]]</f>
        <v>-0.16076037562631718</v>
      </c>
      <c r="J55" s="419" cm="1">
        <f t="array" aca="1" ref="J55" ca="1">INDIRECT("'2"&amp;$F55&amp;"'!"&amp;J$39)</f>
        <v>1.3988070403190731</v>
      </c>
      <c r="O55" s="88"/>
      <c r="P55" s="94"/>
      <c r="Q55" s="88"/>
      <c r="R55" s="94"/>
    </row>
    <row r="56" spans="1:18" s="1" customFormat="1" x14ac:dyDescent="0.3">
      <c r="A56" s="1" t="s">
        <v>225</v>
      </c>
      <c r="B56" s="402" cm="1">
        <f t="array" aca="1" ref="B56" ca="1">INDIRECT("'2"&amp;$A56&amp;"'!"&amp;B$39)/INDIRECT("'2"&amp;$A56&amp;"'!"&amp;$B$38)*100</f>
        <v>0.87542159055249946</v>
      </c>
      <c r="C56" s="402" cm="1">
        <f t="array" aca="1" ref="C56" ca="1">INDIRECT("'2"&amp;$A56&amp;"'!"&amp;C$39)/INDIRECT("'2"&amp;$A56&amp;"'!"&amp;$B$38)*100</f>
        <v>-0.35350425423654624</v>
      </c>
      <c r="F56" s="1" t="s">
        <v>3</v>
      </c>
      <c r="G56" s="303" cm="1">
        <f t="array" aca="1" ref="G56" ca="1">INDIRECT("'2"&amp;$F56&amp;"'!"&amp;G$39)</f>
        <v>1.3652880843403572</v>
      </c>
      <c r="H56" s="372">
        <f ca="1">MAX(1-Table2912[[#This Row],[Offset Fiscal Drag]],0)</f>
        <v>0</v>
      </c>
      <c r="I56" s="419">
        <f ca="1">Table2912[[#This Row],[Offset Fiscal Drag]]-Table2912[[#This Row],[Offset through indexation]]</f>
        <v>0.98818557249027328</v>
      </c>
      <c r="J56" s="419" cm="1">
        <f t="array" aca="1" ref="J56" ca="1">INDIRECT("'2"&amp;$F56&amp;"'!"&amp;J$39)</f>
        <v>0.37710251185008387</v>
      </c>
      <c r="O56" s="91"/>
      <c r="P56" s="95"/>
      <c r="Q56" s="91"/>
      <c r="R56" s="95"/>
    </row>
    <row r="57" spans="1:18" s="1" customFormat="1" x14ac:dyDescent="0.3">
      <c r="A57" s="1" t="s">
        <v>234</v>
      </c>
      <c r="B57" s="402" cm="1">
        <f t="array" aca="1" ref="B57" ca="1">INDIRECT("'2"&amp;$A57&amp;"'!"&amp;B$39)/INDIRECT("'2"&amp;$A57&amp;"'!"&amp;$B$38)*100</f>
        <v>0.86951637095627499</v>
      </c>
      <c r="C57" s="402" cm="1">
        <f t="array" aca="1" ref="C57" ca="1">INDIRECT("'2"&amp;$A57&amp;"'!"&amp;C$39)/INDIRECT("'2"&amp;$A57&amp;"'!"&amp;$B$38)*100</f>
        <v>0.54678593272846077</v>
      </c>
      <c r="F57" s="1" t="s">
        <v>210</v>
      </c>
      <c r="G57" s="303" cm="1">
        <f t="array" aca="1" ref="G57" ca="1">INDIRECT("'2"&amp;$F57&amp;"'!"&amp;G$39)</f>
        <v>1.4658366703758794</v>
      </c>
      <c r="H57" s="372">
        <f ca="1">MAX(1-Table2912[[#This Row],[Offset Fiscal Drag]],0)</f>
        <v>0</v>
      </c>
      <c r="I57" s="419">
        <f ca="1">Table2912[[#This Row],[Offset Fiscal Drag]]-Table2912[[#This Row],[Offset through indexation]]</f>
        <v>0.64223280550311312</v>
      </c>
      <c r="J57" s="419" cm="1">
        <f t="array" aca="1" ref="J57" ca="1">INDIRECT("'2"&amp;$F57&amp;"'!"&amp;J$39)</f>
        <v>0.82360386487276627</v>
      </c>
      <c r="O57" s="88"/>
      <c r="P57" s="94"/>
      <c r="Q57" s="99"/>
      <c r="R57" s="100"/>
    </row>
    <row r="58" spans="1:18" s="1" customFormat="1" x14ac:dyDescent="0.3">
      <c r="A58" s="1" t="s">
        <v>210</v>
      </c>
      <c r="B58" s="402" cm="1">
        <f t="array" aca="1" ref="B58" ca="1">INDIRECT("'2"&amp;$A58&amp;"'!"&amp;B$39)/INDIRECT("'2"&amp;$A58&amp;"'!"&amp;$B$38)*100</f>
        <v>0.82397565080334423</v>
      </c>
      <c r="C58" s="402" cm="1">
        <f t="array" aca="1" ref="C58" ca="1">INDIRECT("'2"&amp;$A58&amp;"'!"&amp;C$39)/INDIRECT("'2"&amp;$A58&amp;"'!"&amp;$B$38)*100</f>
        <v>-0.36070309540800499</v>
      </c>
      <c r="F58" s="1" t="s">
        <v>225</v>
      </c>
      <c r="G58" s="303" cm="1">
        <f t="array" aca="1" ref="G58" ca="1">INDIRECT("'2"&amp;$F58&amp;"'!"&amp;G$39)</f>
        <v>1.4709264049789919</v>
      </c>
      <c r="H58" s="372">
        <f ca="1">MAX(1-Table2912[[#This Row],[Offset Fiscal Drag]],0)</f>
        <v>0</v>
      </c>
      <c r="I58" s="419">
        <f ca="1">Table2912[[#This Row],[Offset Fiscal Drag]]-Table2912[[#This Row],[Offset through indexation]]</f>
        <v>1.4709264049789919</v>
      </c>
      <c r="J58" s="419" cm="1">
        <f t="array" aca="1" ref="J58" ca="1">INDIRECT("'2"&amp;$F58&amp;"'!"&amp;J$39)</f>
        <v>0</v>
      </c>
      <c r="O58" s="88"/>
      <c r="P58" s="94"/>
      <c r="Q58" s="88"/>
      <c r="R58" s="94"/>
    </row>
    <row r="59" spans="1:18" s="1" customFormat="1" x14ac:dyDescent="0.3">
      <c r="A59" s="1" t="s">
        <v>249</v>
      </c>
      <c r="B59" s="402" cm="1">
        <f t="array" aca="1" ref="B59" ca="1">INDIRECT("'2"&amp;$A59&amp;"'!"&amp;B$39)/INDIRECT("'2"&amp;$A59&amp;"'!"&amp;$B$38)*100</f>
        <v>0.79463849741630666</v>
      </c>
      <c r="C59" s="402" cm="1">
        <f t="array" aca="1" ref="C59" ca="1">INDIRECT("'2"&amp;$A59&amp;"'!"&amp;C$39)/INDIRECT("'2"&amp;$A59&amp;"'!"&amp;$B$38)*100</f>
        <v>-1.1142909588458191E-2</v>
      </c>
      <c r="F59" s="1" t="s">
        <v>252</v>
      </c>
      <c r="G59" s="303" cm="1">
        <f t="array" aca="1" ref="G59" ca="1">INDIRECT("'2"&amp;$F59&amp;"'!"&amp;G$39)</f>
        <v>1.5924840070330584</v>
      </c>
      <c r="H59" s="372">
        <f ca="1">MAX(1-Table2912[[#This Row],[Offset Fiscal Drag]],0)</f>
        <v>0</v>
      </c>
      <c r="I59" s="419">
        <f ca="1">Table2912[[#This Row],[Offset Fiscal Drag]]-Table2912[[#This Row],[Offset through indexation]]</f>
        <v>1.5107325211639075</v>
      </c>
      <c r="J59" s="419" cm="1">
        <f t="array" aca="1" ref="J59" ca="1">INDIRECT("'2"&amp;$F59&amp;"'!"&amp;J$39)</f>
        <v>8.1751485869150875E-2</v>
      </c>
      <c r="O59" s="89"/>
      <c r="P59" s="96"/>
      <c r="Q59" s="88"/>
      <c r="R59" s="96"/>
    </row>
    <row r="60" spans="1:18" s="1" customFormat="1" x14ac:dyDescent="0.3">
      <c r="A60" s="1" t="s">
        <v>252</v>
      </c>
      <c r="B60" s="402" cm="1">
        <f t="array" aca="1" ref="B60" ca="1">INDIRECT("'2"&amp;$A60&amp;"'!"&amp;B$39)/INDIRECT("'2"&amp;$A60&amp;"'!"&amp;$B$38)*100</f>
        <v>0.76777037341443899</v>
      </c>
      <c r="C60" s="402" cm="1">
        <f t="array" aca="1" ref="C60" ca="1">INDIRECT("'2"&amp;$A60&amp;"'!"&amp;C$39)/INDIRECT("'2"&amp;$A60&amp;"'!"&amp;$B$38)*100</f>
        <v>-0.37722763770393758</v>
      </c>
      <c r="F60" s="1" t="s">
        <v>254</v>
      </c>
      <c r="G60" s="303" cm="1">
        <f t="array" aca="1" ref="G60" ca="1">INDIRECT("'2"&amp;$F60&amp;"'!"&amp;G$39)</f>
        <v>1.8655979639963853</v>
      </c>
      <c r="H60" s="372">
        <f ca="1">MAX(1-Table2912[[#This Row],[Offset Fiscal Drag]],0)</f>
        <v>0</v>
      </c>
      <c r="I60" s="419">
        <f ca="1">Table2912[[#This Row],[Offset Fiscal Drag]]-Table2912[[#This Row],[Offset through indexation]]</f>
        <v>1.3246770866191953</v>
      </c>
      <c r="J60" s="419" cm="1">
        <f t="array" aca="1" ref="J60" ca="1">INDIRECT("'2"&amp;$F60&amp;"'!"&amp;J$39)</f>
        <v>0.54092087737719019</v>
      </c>
      <c r="O60" s="88"/>
      <c r="P60" s="94"/>
      <c r="Q60" s="88"/>
      <c r="R60" s="94"/>
    </row>
    <row r="61" spans="1:18" s="1" customFormat="1" x14ac:dyDescent="0.3">
      <c r="A61" s="1" t="s">
        <v>227</v>
      </c>
      <c r="B61" s="402" cm="1">
        <f t="array" aca="1" ref="B61" ca="1">INDIRECT("'2"&amp;$A61&amp;"'!"&amp;B$39)/INDIRECT("'2"&amp;$A61&amp;"'!"&amp;$B$38)*100</f>
        <v>0.72240454682896793</v>
      </c>
      <c r="C61" s="402" cm="1">
        <f t="array" aca="1" ref="C61" ca="1">INDIRECT("'2"&amp;$A61&amp;"'!"&amp;C$39)/INDIRECT("'2"&amp;$A61&amp;"'!"&amp;$B$38)*100</f>
        <v>0.15224742683420747</v>
      </c>
      <c r="F61" s="1" t="s">
        <v>242</v>
      </c>
      <c r="G61" s="303" cm="1">
        <f t="array" aca="1" ref="G61" ca="1">INDIRECT("'2"&amp;$F61&amp;"'!"&amp;G$39)</f>
        <v>1.8881328948330414</v>
      </c>
      <c r="H61" s="372">
        <f ca="1">MAX(1-Table2912[[#This Row],[Offset Fiscal Drag]],0)</f>
        <v>0</v>
      </c>
      <c r="I61" s="419">
        <f ca="1">Table2912[[#This Row],[Offset Fiscal Drag]]-Table2912[[#This Row],[Offset through indexation]]</f>
        <v>1.8881328948330414</v>
      </c>
      <c r="J61" s="419" cm="1">
        <f t="array" aca="1" ref="J61" ca="1">INDIRECT("'2"&amp;$F61&amp;"'!"&amp;J$39)</f>
        <v>0</v>
      </c>
      <c r="O61" s="89"/>
      <c r="P61" s="96"/>
      <c r="Q61" s="88"/>
      <c r="R61" s="96"/>
    </row>
    <row r="62" spans="1:18" s="1" customFormat="1" x14ac:dyDescent="0.3">
      <c r="A62" s="1" t="s">
        <v>242</v>
      </c>
      <c r="B62" s="402" cm="1">
        <f t="array" aca="1" ref="B62" ca="1">INDIRECT("'2"&amp;$A62&amp;"'!"&amp;B$39)/INDIRECT("'2"&amp;$A62&amp;"'!"&amp;$B$38)*100</f>
        <v>0.71015877610219813</v>
      </c>
      <c r="C62" s="402" cm="1">
        <f t="array" aca="1" ref="C62" ca="1">INDIRECT("'2"&amp;$A62&amp;"'!"&amp;C$39)/INDIRECT("'2"&amp;$A62&amp;"'!"&amp;$B$38)*100</f>
        <v>-0.58209393161883272</v>
      </c>
      <c r="F62" s="86" t="s">
        <v>304</v>
      </c>
      <c r="G62" s="371" t="e" cm="1">
        <f t="array" aca="1" ref="G62" ca="1">INDIRECT("'2"&amp;$F62&amp;"'!"&amp;G$39)</f>
        <v>#REF!</v>
      </c>
      <c r="H62" s="372" t="e">
        <f ca="1">MAX(1-Table2912[[#This Row],[Offset Fiscal Drag]],0)</f>
        <v>#REF!</v>
      </c>
      <c r="I62" s="419" t="e">
        <f ca="1">Table2912[[#This Row],[Offset Fiscal Drag]]-Table2912[[#This Row],[Offset through indexation]]</f>
        <v>#REF!</v>
      </c>
      <c r="J62" s="419" t="e" cm="1">
        <f t="array" aca="1" ref="J62" ca="1">INDIRECT("'2"&amp;$F62&amp;"'!"&amp;J$39)</f>
        <v>#REF!</v>
      </c>
      <c r="O62" s="88"/>
      <c r="P62" s="94"/>
      <c r="Q62" s="88"/>
      <c r="R62" s="94"/>
    </row>
    <row r="63" spans="1:18" s="1" customFormat="1" x14ac:dyDescent="0.3">
      <c r="A63" s="1" t="s">
        <v>254</v>
      </c>
      <c r="B63" s="402" cm="1">
        <f t="array" aca="1" ref="B63" ca="1">INDIRECT("'2"&amp;$A63&amp;"'!"&amp;B$39)/INDIRECT("'2"&amp;$A63&amp;"'!"&amp;$B$38)*100</f>
        <v>0.67620131146804419</v>
      </c>
      <c r="C63" s="402" cm="1">
        <f t="array" aca="1" ref="C63" ca="1">INDIRECT("'2"&amp;$A63&amp;"'!"&amp;C$39)/INDIRECT("'2"&amp;$A63&amp;"'!"&amp;$B$38)*100</f>
        <v>-0.5452248872398604</v>
      </c>
      <c r="F63" s="86" t="s">
        <v>305</v>
      </c>
      <c r="G63" s="371" t="e" cm="1">
        <f t="array" aca="1" ref="G63" ca="1">INDIRECT("'2"&amp;$F63&amp;"'!"&amp;G$39)</f>
        <v>#REF!</v>
      </c>
      <c r="H63" s="372" t="e">
        <f ca="1">MAX(1-Table2912[[#This Row],[Offset Fiscal Drag]],0)</f>
        <v>#REF!</v>
      </c>
      <c r="I63" s="419" t="e">
        <f ca="1">Table2912[[#This Row],[Offset Fiscal Drag]]-Table2912[[#This Row],[Offset through indexation]]</f>
        <v>#REF!</v>
      </c>
      <c r="J63" s="419" t="e" cm="1">
        <f t="array" aca="1" ref="J63" ca="1">INDIRECT("'2"&amp;$F63&amp;"'!"&amp;J$39)</f>
        <v>#REF!</v>
      </c>
      <c r="O63" s="89"/>
      <c r="P63" s="96"/>
      <c r="Q63" s="88"/>
      <c r="R63" s="96"/>
    </row>
    <row r="64" spans="1:18" s="1" customFormat="1" x14ac:dyDescent="0.3">
      <c r="A64" s="1" t="s">
        <v>238</v>
      </c>
      <c r="B64" s="402" cm="1">
        <f t="array" aca="1" ref="B64" ca="1">INDIRECT("'2"&amp;$A64&amp;"'!"&amp;B$39)/INDIRECT("'2"&amp;$A64&amp;"'!"&amp;$B$38)*100</f>
        <v>0.6303832054369819</v>
      </c>
      <c r="C64" s="402" cm="1">
        <f t="array" aca="1" ref="C64" ca="1">INDIRECT("'2"&amp;$A64&amp;"'!"&amp;C$39)/INDIRECT("'2"&amp;$A64&amp;"'!"&amp;$B$38)*100</f>
        <v>-0.1138240884104038</v>
      </c>
      <c r="F64" s="86" t="s">
        <v>306</v>
      </c>
      <c r="G64" s="371" t="e" cm="1">
        <f t="array" aca="1" ref="G64" ca="1">INDIRECT("'2"&amp;$F64&amp;"'!"&amp;G$39)</f>
        <v>#REF!</v>
      </c>
      <c r="H64" s="372" t="e">
        <f ca="1">MAX(1-Table2912[[#This Row],[Offset Fiscal Drag]],0)</f>
        <v>#REF!</v>
      </c>
      <c r="I64" s="419" t="e">
        <f ca="1">Table2912[[#This Row],[Offset Fiscal Drag]]-Table2912[[#This Row],[Offset through indexation]]</f>
        <v>#REF!</v>
      </c>
      <c r="J64" s="419" t="e" cm="1">
        <f t="array" aca="1" ref="J64" ca="1">INDIRECT("'2"&amp;$F64&amp;"'!"&amp;J$39)</f>
        <v>#REF!</v>
      </c>
      <c r="O64" s="88"/>
      <c r="P64" s="94"/>
      <c r="Q64" s="88"/>
      <c r="R64" s="94"/>
    </row>
    <row r="65" spans="1:22" s="1" customFormat="1" x14ac:dyDescent="0.3">
      <c r="A65" s="1" t="s">
        <v>233</v>
      </c>
      <c r="B65" s="402" cm="1">
        <f t="array" aca="1" ref="B65" ca="1">INDIRECT("'2"&amp;$A65&amp;"'!"&amp;B$39)/INDIRECT("'2"&amp;$A65&amp;"'!"&amp;$B$38)*100</f>
        <v>0.64134935465797438</v>
      </c>
      <c r="C65" s="402" cm="1">
        <f t="array" aca="1" ref="C65" ca="1">INDIRECT("'2"&amp;$A65&amp;"'!"&amp;C$39)/INDIRECT("'2"&amp;$A65&amp;"'!"&amp;$B$38)*100</f>
        <v>7.8757714641652529E-2</v>
      </c>
      <c r="F65" s="86" t="s">
        <v>307</v>
      </c>
      <c r="G65" s="371" t="e" cm="1">
        <f t="array" aca="1" ref="G65" ca="1">INDIRECT("'2"&amp;$F65&amp;"'!"&amp;G$39)</f>
        <v>#REF!</v>
      </c>
      <c r="H65" s="372" t="e">
        <f ca="1">MAX(1-Table2912[[#This Row],[Offset Fiscal Drag]],0)</f>
        <v>#REF!</v>
      </c>
      <c r="I65" s="419" t="e">
        <f ca="1">Table2912[[#This Row],[Offset Fiscal Drag]]-Table2912[[#This Row],[Offset through indexation]]</f>
        <v>#REF!</v>
      </c>
      <c r="J65" s="419" t="e" cm="1">
        <f t="array" aca="1" ref="J65" ca="1">INDIRECT("'2"&amp;$F65&amp;"'!"&amp;J$39)</f>
        <v>#REF!</v>
      </c>
      <c r="O65" s="88"/>
      <c r="P65" s="94"/>
      <c r="Q65" s="88"/>
      <c r="R65" s="94"/>
    </row>
    <row r="66" spans="1:22" s="1" customFormat="1" x14ac:dyDescent="0.3">
      <c r="A66" s="1" t="s">
        <v>245</v>
      </c>
      <c r="B66" s="402" cm="1">
        <f t="array" aca="1" ref="B66" ca="1">INDIRECT("'2"&amp;$A66&amp;"'!"&amp;B$39)/INDIRECT("'2"&amp;$A66&amp;"'!"&amp;$B$38)*100</f>
        <v>0.59383002602944635</v>
      </c>
      <c r="C66" s="402" cm="1">
        <f t="array" aca="1" ref="C66" ca="1">INDIRECT("'2"&amp;$A66&amp;"'!"&amp;C$39)/INDIRECT("'2"&amp;$A66&amp;"'!"&amp;$B$38)*100</f>
        <v>0.36254398981698416</v>
      </c>
      <c r="F66" s="86" t="s">
        <v>308</v>
      </c>
      <c r="G66" s="371" t="e" cm="1">
        <f t="array" aca="1" ref="G66" ca="1">INDIRECT("'2"&amp;$F66&amp;"'!"&amp;G$39)</f>
        <v>#REF!</v>
      </c>
      <c r="H66" s="372" t="e">
        <f ca="1">MAX(1-Table2912[[#This Row],[Offset Fiscal Drag]],0)</f>
        <v>#REF!</v>
      </c>
      <c r="I66" s="419" t="e">
        <f ca="1">Table2912[[#This Row],[Offset Fiscal Drag]]-Table2912[[#This Row],[Offset through indexation]]</f>
        <v>#REF!</v>
      </c>
      <c r="J66" s="419" t="e" cm="1">
        <f t="array" aca="1" ref="J66" ca="1">INDIRECT("'2"&amp;$F66&amp;"'!"&amp;J$39)</f>
        <v>#REF!</v>
      </c>
      <c r="O66" s="88"/>
      <c r="P66" s="94"/>
      <c r="Q66" s="88"/>
      <c r="R66" s="94"/>
    </row>
    <row r="67" spans="1:22" s="1" customFormat="1" x14ac:dyDescent="0.3">
      <c r="A67" s="1" t="s">
        <v>223</v>
      </c>
      <c r="B67" s="402" cm="1">
        <f t="array" aca="1" ref="B67" ca="1">INDIRECT("'2"&amp;$A67&amp;"'!"&amp;B$39)/INDIRECT("'2"&amp;$A67&amp;"'!"&amp;$B$38)*100</f>
        <v>0.6867151389632602</v>
      </c>
      <c r="C67" s="402" cm="1">
        <f t="array" aca="1" ref="C67" ca="1">INDIRECT("'2"&amp;$A67&amp;"'!"&amp;C$39)/INDIRECT("'2"&amp;$A67&amp;"'!"&amp;$B$38)*100</f>
        <v>-2.9572149033825323E-2</v>
      </c>
      <c r="F67" s="86" t="s">
        <v>309</v>
      </c>
      <c r="G67" s="371" t="e" cm="1">
        <f t="array" aca="1" ref="G67" ca="1">INDIRECT("'2"&amp;$F67&amp;"'!"&amp;G$39)</f>
        <v>#REF!</v>
      </c>
      <c r="H67" s="372" t="e">
        <f ca="1">MAX(1-Table2912[[#This Row],[Offset Fiscal Drag]],0)</f>
        <v>#REF!</v>
      </c>
      <c r="I67" s="419" t="e">
        <f ca="1">Table2912[[#This Row],[Offset Fiscal Drag]]-Table2912[[#This Row],[Offset through indexation]]</f>
        <v>#REF!</v>
      </c>
      <c r="J67" s="419" t="e" cm="1">
        <f t="array" aca="1" ref="J67" ca="1">INDIRECT("'2"&amp;$F67&amp;"'!"&amp;J$39)</f>
        <v>#REF!</v>
      </c>
      <c r="O67" s="89"/>
      <c r="P67" s="96"/>
      <c r="Q67" s="88"/>
      <c r="R67" s="96"/>
    </row>
    <row r="68" spans="1:22" s="1" customFormat="1" x14ac:dyDescent="0.3">
      <c r="A68" s="1" t="s">
        <v>217</v>
      </c>
      <c r="B68" s="402" cm="1">
        <f t="array" aca="1" ref="B68" ca="1">INDIRECT("'2"&amp;$A68&amp;"'!"&amp;B$39)/INDIRECT("'2"&amp;$A68&amp;"'!"&amp;$B$38)*100</f>
        <v>0.55940646973510333</v>
      </c>
      <c r="C68" s="402" cm="1">
        <f t="array" aca="1" ref="C68" ca="1">INDIRECT("'2"&amp;$A68&amp;"'!"&amp;C$39)/INDIRECT("'2"&amp;$A68&amp;"'!"&amp;$B$38)*100</f>
        <v>-5.4813801302976174E-2</v>
      </c>
      <c r="F68" s="86" t="s">
        <v>310</v>
      </c>
      <c r="G68" s="371" t="e" cm="1">
        <f t="array" aca="1" ref="G68" ca="1">INDIRECT("'2"&amp;$F68&amp;"'!"&amp;G$39)</f>
        <v>#REF!</v>
      </c>
      <c r="H68" s="372" t="e">
        <f ca="1">MAX(1-Table2912[[#This Row],[Offset Fiscal Drag]],0)</f>
        <v>#REF!</v>
      </c>
      <c r="I68" s="419" t="e">
        <f ca="1">Table2912[[#This Row],[Offset Fiscal Drag]]-Table2912[[#This Row],[Offset through indexation]]</f>
        <v>#REF!</v>
      </c>
      <c r="J68" s="419" t="e" cm="1">
        <f t="array" aca="1" ref="J68" ca="1">INDIRECT("'2"&amp;$F68&amp;"'!"&amp;J$39)</f>
        <v>#REF!</v>
      </c>
      <c r="O68" s="89"/>
      <c r="P68" s="96"/>
      <c r="Q68" s="88"/>
      <c r="R68" s="96"/>
    </row>
    <row r="69" spans="1:22" s="1" customFormat="1" x14ac:dyDescent="0.3">
      <c r="A69" s="1" t="s">
        <v>208</v>
      </c>
      <c r="B69" s="402" cm="1">
        <f t="array" aca="1" ref="B69" ca="1">INDIRECT("'2"&amp;$A69&amp;"'!"&amp;B$39)/INDIRECT("'2"&amp;$A69&amp;"'!"&amp;$B$38)*100</f>
        <v>0.49516781975857316</v>
      </c>
      <c r="C69" s="402" cm="1">
        <f t="array" aca="1" ref="C69" ca="1">INDIRECT("'2"&amp;$A69&amp;"'!"&amp;C$39)/INDIRECT("'2"&amp;$A69&amp;"'!"&amp;$B$38)*100</f>
        <v>0.38851661549579752</v>
      </c>
      <c r="F69" s="86" t="s">
        <v>311</v>
      </c>
      <c r="G69" s="371" t="e" cm="1">
        <f t="array" aca="1" ref="G69" ca="1">INDIRECT("'2"&amp;$F69&amp;"'!"&amp;G$39)</f>
        <v>#REF!</v>
      </c>
      <c r="H69" s="372" t="e">
        <f ca="1">MAX(1-Table2912[[#This Row],[Offset Fiscal Drag]],0)</f>
        <v>#REF!</v>
      </c>
      <c r="I69" s="419" t="e">
        <f ca="1">Table2912[[#This Row],[Offset Fiscal Drag]]-Table2912[[#This Row],[Offset through indexation]]</f>
        <v>#REF!</v>
      </c>
      <c r="J69" s="419" t="e" cm="1">
        <f t="array" aca="1" ref="J69" ca="1">INDIRECT("'2"&amp;$F69&amp;"'!"&amp;J$39)</f>
        <v>#REF!</v>
      </c>
      <c r="O69" s="88"/>
      <c r="P69" s="94"/>
      <c r="Q69" s="88"/>
      <c r="R69" s="94"/>
    </row>
    <row r="70" spans="1:22" s="1" customFormat="1" x14ac:dyDescent="0.3">
      <c r="O70" s="88"/>
      <c r="P70" s="94"/>
      <c r="Q70" s="88"/>
      <c r="R70" s="94"/>
    </row>
    <row r="71" spans="1:22" s="1" customFormat="1" x14ac:dyDescent="0.3">
      <c r="O71" s="88"/>
      <c r="P71" s="94"/>
      <c r="Q71" s="88"/>
      <c r="R71" s="94"/>
    </row>
    <row r="72" spans="1:22" s="1" customFormat="1" x14ac:dyDescent="0.3">
      <c r="O72" s="91"/>
      <c r="P72" s="95"/>
      <c r="Q72" s="91"/>
      <c r="R72" s="95"/>
    </row>
    <row r="73" spans="1:22" s="85" customFormat="1" ht="30.75" customHeight="1" x14ac:dyDescent="0.3">
      <c r="A73" s="181" t="s">
        <v>605</v>
      </c>
      <c r="O73" s="87"/>
      <c r="P73" s="93"/>
      <c r="R73" s="93"/>
    </row>
    <row r="74" spans="1:22" s="1" customFormat="1" x14ac:dyDescent="0.3">
      <c r="O74" s="88"/>
      <c r="P74" s="94"/>
      <c r="R74" s="94"/>
    </row>
    <row r="75" spans="1:22" s="1" customFormat="1" x14ac:dyDescent="0.3">
      <c r="A75" s="1" t="s">
        <v>289</v>
      </c>
      <c r="B75" s="1" t="s">
        <v>406</v>
      </c>
      <c r="D75" s="1" t="s">
        <v>407</v>
      </c>
      <c r="E75" s="1" t="s">
        <v>408</v>
      </c>
      <c r="F75" s="1" t="s">
        <v>409</v>
      </c>
      <c r="G75" s="1" t="s">
        <v>410</v>
      </c>
      <c r="O75" s="88"/>
      <c r="P75" s="94"/>
      <c r="R75" s="94"/>
    </row>
    <row r="76" spans="1:22" s="1" customFormat="1" ht="57.6" x14ac:dyDescent="0.3">
      <c r="A76" s="109" t="s">
        <v>316</v>
      </c>
      <c r="B76" s="105" t="s">
        <v>411</v>
      </c>
      <c r="C76" s="105" t="s">
        <v>412</v>
      </c>
      <c r="D76" s="105" t="s">
        <v>413</v>
      </c>
      <c r="E76" s="190" t="s">
        <v>414</v>
      </c>
      <c r="F76" s="105" t="s">
        <v>415</v>
      </c>
      <c r="G76" s="105" t="s">
        <v>416</v>
      </c>
      <c r="H76"/>
      <c r="I76"/>
      <c r="J76"/>
      <c r="K76"/>
      <c r="O76" s="91"/>
      <c r="P76" s="95"/>
      <c r="Q76" s="91"/>
      <c r="R76" s="95"/>
      <c r="S76" s="92"/>
      <c r="T76" s="92"/>
      <c r="U76" s="92"/>
      <c r="V76" s="92"/>
    </row>
    <row r="77" spans="1:22" s="1" customFormat="1" x14ac:dyDescent="0.3">
      <c r="A77" s="1" t="s">
        <v>208</v>
      </c>
      <c r="B77" s="377" cm="1">
        <f t="array" aca="1" ref="B77" ca="1">INDIRECT("'2"&amp;$A77&amp;"'!"&amp;B$75 )</f>
        <v>3.7472878111040206E-2</v>
      </c>
      <c r="C77" s="377">
        <f ca="1">Table3517[[#This Row],[Revenue in baseline scenario reeascaled]]-Table3517[[#This Row],[Revenue in baseline scenario reeascaled]]</f>
        <v>0</v>
      </c>
      <c r="D77" s="377" cm="1">
        <f t="array" aca="1" ref="D77" ca="1">INDIRECT("'2"&amp;$A77&amp;"'!"&amp;D$75 )-Table3517[[#This Row],[Revenue in baseline scenario reeascaled]]</f>
        <v>1.0665120426277541E-3</v>
      </c>
      <c r="E77" s="377" cm="1">
        <f t="array" aca="1" ref="E77" ca="1">INDIRECT("'2"&amp;$A77&amp;"'!"&amp;E$75 )-Table3517[[#This Row],[Revenue in baseline scenario reeascaled]]</f>
        <v>-4.4727780017074573E-3</v>
      </c>
      <c r="F77" s="377" cm="1">
        <f t="array" aca="1" ref="F77" ca="1">INDIRECT("'2"&amp;$A77&amp;"'!"&amp;F$75 )-Table3517[[#This Row],[Revenue in baseline scenario reeascaled]]</f>
        <v>-2.8261080985317391E-3</v>
      </c>
      <c r="G77" s="377" cm="1">
        <f t="array" aca="1" ref="G77" ca="1">INDIRECT("'2"&amp;$A77&amp;"'!"&amp;G$75 )-Table3517[[#This Row],[Revenue in baseline scenario reeascaled]]</f>
        <v>-4.3566123646347349E-3</v>
      </c>
      <c r="H77"/>
      <c r="I77"/>
      <c r="J77"/>
      <c r="K77"/>
      <c r="O77" s="88"/>
      <c r="P77" s="94"/>
      <c r="R77" s="94"/>
    </row>
    <row r="78" spans="1:22" s="1" customFormat="1" x14ac:dyDescent="0.3">
      <c r="A78" s="1" t="s">
        <v>245</v>
      </c>
      <c r="B78" s="377" cm="1">
        <f t="array" aca="1" ref="B78" ca="1">INDIRECT("'2"&amp;$A78&amp;"'!"&amp;B$75 )</f>
        <v>7.3545880566166691E-2</v>
      </c>
      <c r="C78" s="377">
        <f ca="1">Table3517[[#This Row],[Revenue in baseline scenario reeascaled]]-Table3517[[#This Row],[Revenue in baseline scenario reeascaled]]</f>
        <v>0</v>
      </c>
      <c r="D78" s="377" cm="1">
        <f t="array" aca="1" ref="D78" ca="1">INDIRECT("'2"&amp;$A78&amp;"'!"&amp;D$75 )-Table3517[[#This Row],[Revenue in baseline scenario reeascaled]]</f>
        <v>2.3128603621246219E-3</v>
      </c>
      <c r="E78" s="377" cm="1">
        <f t="array" aca="1" ref="E78" ca="1">INDIRECT("'2"&amp;$A78&amp;"'!"&amp;E$75 )-Table3517[[#This Row],[Revenue in baseline scenario reeascaled]]</f>
        <v>-3.3266527789429096E-3</v>
      </c>
      <c r="F78" s="377" cm="1">
        <f t="array" aca="1" ref="F78" ca="1">INDIRECT("'2"&amp;$A78&amp;"'!"&amp;F$75 )-Table3517[[#This Row],[Revenue in baseline scenario reeascaled]]</f>
        <v>-2.6983658511017944E-3</v>
      </c>
      <c r="G78" s="377" cm="1">
        <f t="array" aca="1" ref="G78" ca="1">INDIRECT("'2"&amp;$A78&amp;"'!"&amp;G$75 )-Table3517[[#This Row],[Revenue in baseline scenario reeascaled]]</f>
        <v>-4.8513010644648108E-3</v>
      </c>
      <c r="H78"/>
      <c r="I78"/>
      <c r="J78"/>
      <c r="K78"/>
      <c r="O78" s="88"/>
      <c r="P78" s="94"/>
      <c r="R78" s="94"/>
    </row>
    <row r="79" spans="1:22" s="86" customFormat="1" x14ac:dyDescent="0.3">
      <c r="A79" s="1" t="s">
        <v>218</v>
      </c>
      <c r="B79" s="377" cm="1">
        <f t="array" aca="1" ref="B79" ca="1">INDIRECT("'2"&amp;$A79&amp;"'!"&amp;B$75 )</f>
        <v>8.9714580630688101E-2</v>
      </c>
      <c r="C79" s="377">
        <f ca="1">Table3517[[#This Row],[Revenue in baseline scenario reeascaled]]-Table3517[[#This Row],[Revenue in baseline scenario reeascaled]]</f>
        <v>0</v>
      </c>
      <c r="D79" s="377" cm="1">
        <f t="array" aca="1" ref="D79" ca="1">INDIRECT("'2"&amp;$A79&amp;"'!"&amp;D$75 )-Table3517[[#This Row],[Revenue in baseline scenario reeascaled]]</f>
        <v>2.9564564703044444E-3</v>
      </c>
      <c r="E79" s="377" cm="1">
        <f t="array" aca="1" ref="E79" ca="1">INDIRECT("'2"&amp;$A79&amp;"'!"&amp;E$75 )-Table3517[[#This Row],[Revenue in baseline scenario reeascaled]]</f>
        <v>-6.3169157454160824E-3</v>
      </c>
      <c r="F79" s="377" cm="1">
        <f t="array" aca="1" ref="F79" ca="1">INDIRECT("'2"&amp;$A79&amp;"'!"&amp;F$75 )-Table3517[[#This Row],[Revenue in baseline scenario reeascaled]]</f>
        <v>-6.261447337755785E-3</v>
      </c>
      <c r="G79" s="377" cm="1">
        <f t="array" aca="1" ref="G79" ca="1">INDIRECT("'2"&amp;$A79&amp;"'!"&amp;G$75 )-Table3517[[#This Row],[Revenue in baseline scenario reeascaled]]</f>
        <v>-8.3090300040578741E-3</v>
      </c>
      <c r="H79"/>
      <c r="I79"/>
      <c r="J79"/>
      <c r="K79"/>
      <c r="O79" s="89"/>
      <c r="P79" s="96"/>
      <c r="R79" s="96"/>
      <c r="S79" s="1"/>
    </row>
    <row r="80" spans="1:22" s="1" customFormat="1" x14ac:dyDescent="0.3">
      <c r="A80" s="1" t="s">
        <v>234</v>
      </c>
      <c r="B80" s="377" cm="1">
        <f t="array" aca="1" ref="B80" ca="1">INDIRECT("'2"&amp;$A80&amp;"'!"&amp;B$75 )</f>
        <v>9.723677813369859E-2</v>
      </c>
      <c r="C80" s="377">
        <f ca="1">Table3517[[#This Row],[Revenue in baseline scenario reeascaled]]-Table3517[[#This Row],[Revenue in baseline scenario reeascaled]]</f>
        <v>0</v>
      </c>
      <c r="D80" s="377" cm="1">
        <f t="array" aca="1" ref="D80" ca="1">INDIRECT("'2"&amp;$A80&amp;"'!"&amp;D$75 )-Table3517[[#This Row],[Revenue in baseline scenario reeascaled]]</f>
        <v>3.2273043822781539E-3</v>
      </c>
      <c r="E80" s="377" cm="1">
        <f t="array" aca="1" ref="E80" ca="1">INDIRECT("'2"&amp;$A80&amp;"'!"&amp;E$75 )-Table3517[[#This Row],[Revenue in baseline scenario reeascaled]]</f>
        <v>-2.5569915519135233E-3</v>
      </c>
      <c r="F80" s="377" cm="1">
        <f t="array" aca="1" ref="F80" ca="1">INDIRECT("'2"&amp;$A80&amp;"'!"&amp;F$75 )-Table3517[[#This Row],[Revenue in baseline scenario reeascaled]]</f>
        <v>-4.9645289577985724E-3</v>
      </c>
      <c r="G80" s="377" cm="1">
        <f t="array" aca="1" ref="G80" ca="1">INDIRECT("'2"&amp;$A80&amp;"'!"&amp;G$75 )-Table3517[[#This Row],[Revenue in baseline scenario reeascaled]]</f>
        <v>-8.8820574721416995E-3</v>
      </c>
      <c r="H80"/>
      <c r="I80"/>
      <c r="J80"/>
      <c r="K80"/>
      <c r="O80" s="88"/>
      <c r="P80" s="94"/>
      <c r="R80" s="94"/>
    </row>
    <row r="81" spans="1:19" s="86" customFormat="1" x14ac:dyDescent="0.3">
      <c r="A81" s="1" t="s">
        <v>233</v>
      </c>
      <c r="B81" s="377" cm="1">
        <f t="array" aca="1" ref="B81" ca="1">INDIRECT("'2"&amp;$A81&amp;"'!"&amp;B$75 )</f>
        <v>6.510458439405449E-2</v>
      </c>
      <c r="C81" s="377">
        <f ca="1">Table3517[[#This Row],[Revenue in baseline scenario reeascaled]]-Table3517[[#This Row],[Revenue in baseline scenario reeascaled]]</f>
        <v>0</v>
      </c>
      <c r="D81" s="377" cm="1">
        <f t="array" aca="1" ref="D81" ca="1">INDIRECT("'2"&amp;$A81&amp;"'!"&amp;D$75 )-Table3517[[#This Row],[Revenue in baseline scenario reeascaled]]</f>
        <v>5.6259164001632167E-3</v>
      </c>
      <c r="E81" s="377" cm="1">
        <f t="array" aca="1" ref="E81" ca="1">INDIRECT("'2"&amp;$A81&amp;"'!"&amp;E$75 )-Table3517[[#This Row],[Revenue in baseline scenario reeascaled]]</f>
        <v>-1.2019343403708166E-3</v>
      </c>
      <c r="F81" s="377" cm="1">
        <f t="array" aca="1" ref="F81" ca="1">INDIRECT("'2"&amp;$A81&amp;"'!"&amp;F$75 )-Table3517[[#This Row],[Revenue in baseline scenario reeascaled]]</f>
        <v>4.4715013968162076E-4</v>
      </c>
      <c r="G81" s="377" cm="1">
        <f t="array" aca="1" ref="G81" ca="1">INDIRECT("'2"&amp;$A81&amp;"'!"&amp;G$75 )-Table3517[[#This Row],[Revenue in baseline scenario reeascaled]]</f>
        <v>-1.6079472385603782E-3</v>
      </c>
      <c r="H81"/>
      <c r="I81"/>
      <c r="J81"/>
      <c r="K81"/>
      <c r="O81" s="89"/>
      <c r="P81" s="96"/>
      <c r="R81" s="96"/>
      <c r="S81" s="1"/>
    </row>
    <row r="82" spans="1:19" s="1" customFormat="1" x14ac:dyDescent="0.3">
      <c r="A82" s="1" t="s">
        <v>227</v>
      </c>
      <c r="B82" s="377" cm="1">
        <f t="array" aca="1" ref="B82" ca="1">INDIRECT("'2"&amp;$A82&amp;"'!"&amp;B$75 )</f>
        <v>5.322283328897788E-2</v>
      </c>
      <c r="C82" s="377">
        <f ca="1">Table3517[[#This Row],[Revenue in baseline scenario reeascaled]]-Table3517[[#This Row],[Revenue in baseline scenario reeascaled]]</f>
        <v>0</v>
      </c>
      <c r="D82" s="377" cm="1">
        <f t="array" aca="1" ref="D82" ca="1">INDIRECT("'2"&amp;$A82&amp;"'!"&amp;D$75 )-Table3517[[#This Row],[Revenue in baseline scenario reeascaled]]</f>
        <v>5.7015711999476026E-3</v>
      </c>
      <c r="E82" s="377" cm="1">
        <f t="array" aca="1" ref="E82" ca="1">INDIRECT("'2"&amp;$A82&amp;"'!"&amp;E$75 )-Table3517[[#This Row],[Revenue in baseline scenario reeascaled]]</f>
        <v>-1.4002014958773082E-3</v>
      </c>
      <c r="F82" s="377" cm="1">
        <f t="array" aca="1" ref="F82" ca="1">INDIRECT("'2"&amp;$A82&amp;"'!"&amp;F$75 )-Table3517[[#This Row],[Revenue in baseline scenario reeascaled]]</f>
        <v>-1.2593507218053648E-3</v>
      </c>
      <c r="G82" s="377" cm="1">
        <f t="array" aca="1" ref="G82" ca="1">INDIRECT("'2"&amp;$A82&amp;"'!"&amp;G$75 )-Table3517[[#This Row],[Revenue in baseline scenario reeascaled]]</f>
        <v>-1.9078705873435547E-3</v>
      </c>
      <c r="H82"/>
      <c r="I82"/>
      <c r="J82"/>
      <c r="K82"/>
      <c r="O82" s="88"/>
      <c r="P82" s="94"/>
      <c r="R82" s="94"/>
    </row>
    <row r="83" spans="1:19" s="86" customFormat="1" x14ac:dyDescent="0.3">
      <c r="A83" s="1" t="s">
        <v>217</v>
      </c>
      <c r="B83" s="377" cm="1">
        <f t="array" aca="1" ref="B83" ca="1">INDIRECT("'2"&amp;$A83&amp;"'!"&amp;B$75 )</f>
        <v>5.9436875019149911E-2</v>
      </c>
      <c r="C83" s="377">
        <f ca="1">Table3517[[#This Row],[Revenue in baseline scenario reeascaled]]-Table3517[[#This Row],[Revenue in baseline scenario reeascaled]]</f>
        <v>0</v>
      </c>
      <c r="D83" s="377" cm="1">
        <f t="array" aca="1" ref="D83" ca="1">INDIRECT("'2"&amp;$A83&amp;"'!"&amp;D$75 )-Table3517[[#This Row],[Revenue in baseline scenario reeascaled]]</f>
        <v>6.1422027103807883E-3</v>
      </c>
      <c r="E83" s="377" cm="1">
        <f t="array" aca="1" ref="E83" ca="1">INDIRECT("'2"&amp;$A83&amp;"'!"&amp;E$75 )-Table3517[[#This Row],[Revenue in baseline scenario reeascaled]]</f>
        <v>1.6741802482358598E-3</v>
      </c>
      <c r="F83" s="377" cm="1">
        <f t="array" aca="1" ref="F83" ca="1">INDIRECT("'2"&amp;$A83&amp;"'!"&amp;F$75 )-Table3517[[#This Row],[Revenue in baseline scenario reeascaled]]</f>
        <v>1.000494852354053E-3</v>
      </c>
      <c r="G83" s="377" cm="1">
        <f t="array" aca="1" ref="G83" ca="1">INDIRECT("'2"&amp;$A83&amp;"'!"&amp;G$75 )-Table3517[[#This Row],[Revenue in baseline scenario reeascaled]]</f>
        <v>-1.0302610615006355E-3</v>
      </c>
      <c r="H83"/>
      <c r="I83"/>
      <c r="J83"/>
      <c r="K83"/>
      <c r="O83" s="89"/>
      <c r="P83" s="96"/>
      <c r="R83" s="96"/>
      <c r="S83" s="1"/>
    </row>
    <row r="84" spans="1:19" s="1" customFormat="1" x14ac:dyDescent="0.3">
      <c r="A84" s="1" t="s">
        <v>214</v>
      </c>
      <c r="B84" s="377" cm="1">
        <f t="array" aca="1" ref="B84" ca="1">INDIRECT("'2"&amp;$A84&amp;"'!"&amp;B$75 )</f>
        <v>6.2603763505622217E-2</v>
      </c>
      <c r="C84" s="377">
        <f ca="1">Table3517[[#This Row],[Revenue in baseline scenario reeascaled]]-Table3517[[#This Row],[Revenue in baseline scenario reeascaled]]</f>
        <v>0</v>
      </c>
      <c r="D84" s="377" cm="1">
        <f t="array" aca="1" ref="D84" ca="1">INDIRECT("'2"&amp;$A84&amp;"'!"&amp;D$75 )-Table3517[[#This Row],[Revenue in baseline scenario reeascaled]]</f>
        <v>6.2489978733787921E-3</v>
      </c>
      <c r="E84" s="377" cm="1">
        <f t="array" aca="1" ref="E84" ca="1">INDIRECT("'2"&amp;$A84&amp;"'!"&amp;E$75 )-Table3517[[#This Row],[Revenue in baseline scenario reeascaled]]</f>
        <v>-4.7618894699371986E-3</v>
      </c>
      <c r="F84" s="377" cm="1">
        <f t="array" aca="1" ref="F84" ca="1">INDIRECT("'2"&amp;$A84&amp;"'!"&amp;F$75 )-Table3517[[#This Row],[Revenue in baseline scenario reeascaled]]</f>
        <v>-1.6110229638474083E-3</v>
      </c>
      <c r="G84" s="377" cm="1">
        <f t="array" aca="1" ref="G84" ca="1">INDIRECT("'2"&amp;$A84&amp;"'!"&amp;G$75 )-Table3517[[#This Row],[Revenue in baseline scenario reeascaled]]</f>
        <v>-4.0172170261498427E-3</v>
      </c>
      <c r="H84"/>
      <c r="I84"/>
      <c r="J84"/>
      <c r="K84"/>
      <c r="O84" s="88"/>
      <c r="P84" s="94"/>
      <c r="R84" s="94"/>
    </row>
    <row r="85" spans="1:19" s="1" customFormat="1" x14ac:dyDescent="0.3">
      <c r="A85" s="1" t="s">
        <v>238</v>
      </c>
      <c r="B85" s="377" cm="1">
        <f t="array" aca="1" ref="B85" ca="1">INDIRECT("'2"&amp;$A85&amp;"'!"&amp;B$75 )</f>
        <v>7.7377467720428014E-2</v>
      </c>
      <c r="C85" s="377">
        <f ca="1">Table3517[[#This Row],[Revenue in baseline scenario reeascaled]]-Table3517[[#This Row],[Revenue in baseline scenario reeascaled]]</f>
        <v>0</v>
      </c>
      <c r="D85" s="377" cm="1">
        <f t="array" aca="1" ref="D85" ca="1">INDIRECT("'2"&amp;$A85&amp;"'!"&amp;D$75 )-Table3517[[#This Row],[Revenue in baseline scenario reeascaled]]</f>
        <v>7.4420729384738482E-3</v>
      </c>
      <c r="E85" s="377" cm="1">
        <f t="array" aca="1" ref="E85" ca="1">INDIRECT("'2"&amp;$A85&amp;"'!"&amp;E$75 )-Table3517[[#This Row],[Revenue in baseline scenario reeascaled]]</f>
        <v>-6.4987080950386356E-4</v>
      </c>
      <c r="F85" s="377" cm="1">
        <f t="array" aca="1" ref="F85" ca="1">INDIRECT("'2"&amp;$A85&amp;"'!"&amp;F$75 )-Table3517[[#This Row],[Revenue in baseline scenario reeascaled]]</f>
        <v>2.7042095341792832E-3</v>
      </c>
      <c r="G85" s="377" cm="1">
        <f t="array" aca="1" ref="G85" ca="1">INDIRECT("'2"&amp;$A85&amp;"'!"&amp;G$75 )-Table3517[[#This Row],[Revenue in baseline scenario reeascaled]]</f>
        <v>1.3603839276366825E-3</v>
      </c>
      <c r="H85"/>
      <c r="I85"/>
      <c r="J85"/>
      <c r="K85"/>
      <c r="O85" s="88"/>
      <c r="P85" s="94"/>
      <c r="R85" s="94"/>
    </row>
    <row r="86" spans="1:19" s="1" customFormat="1" x14ac:dyDescent="0.3">
      <c r="A86" s="1" t="s">
        <v>223</v>
      </c>
      <c r="B86" s="377" cm="1">
        <f t="array" aca="1" ref="B86" ca="1">INDIRECT("'2"&amp;$A86&amp;"'!"&amp;B$75 )</f>
        <v>9.3067914280298522E-2</v>
      </c>
      <c r="C86" s="377">
        <f ca="1">Table3517[[#This Row],[Revenue in baseline scenario reeascaled]]-Table3517[[#This Row],[Revenue in baseline scenario reeascaled]]</f>
        <v>0</v>
      </c>
      <c r="D86" s="377" cm="1">
        <f t="array" aca="1" ref="D86" ca="1">INDIRECT("'2"&amp;$A86&amp;"'!"&amp;D$75 )-Table3517[[#This Row],[Revenue in baseline scenario reeascaled]]</f>
        <v>7.1628728799708608E-3</v>
      </c>
      <c r="E86" s="377" cm="1">
        <f t="array" aca="1" ref="E86" ca="1">INDIRECT("'2"&amp;$A86&amp;"'!"&amp;E$75 )-Table3517[[#This Row],[Revenue in baseline scenario reeascaled]]</f>
        <v>1.4677703076042825E-3</v>
      </c>
      <c r="F86" s="377" cm="1">
        <f t="array" aca="1" ref="F86" ca="1">INDIRECT("'2"&amp;$A86&amp;"'!"&amp;F$75 )-Table3517[[#This Row],[Revenue in baseline scenario reeascaled]]</f>
        <v>7.4638426815236414E-4</v>
      </c>
      <c r="G86" s="377" cm="1">
        <f t="array" aca="1" ref="G86" ca="1">INDIRECT("'2"&amp;$A86&amp;"'!"&amp;G$75 )-Table3517[[#This Row],[Revenue in baseline scenario reeascaled]]</f>
        <v>-1.3269901047418819E-3</v>
      </c>
      <c r="H86"/>
      <c r="I86"/>
      <c r="J86"/>
      <c r="K86"/>
      <c r="O86" s="88"/>
      <c r="P86" s="94"/>
      <c r="R86" s="94"/>
    </row>
    <row r="87" spans="1:19" s="86" customFormat="1" x14ac:dyDescent="0.3">
      <c r="A87" s="1" t="s">
        <v>249</v>
      </c>
      <c r="B87" s="377" cm="1">
        <f t="array" aca="1" ref="B87" ca="1">INDIRECT("'2"&amp;$A87&amp;"'!"&amp;B$75 )</f>
        <v>6.9169730608715618E-2</v>
      </c>
      <c r="C87" s="377">
        <f ca="1">Table3517[[#This Row],[Revenue in baseline scenario reeascaled]]-Table3517[[#This Row],[Revenue in baseline scenario reeascaled]]</f>
        <v>0</v>
      </c>
      <c r="D87" s="377" cm="1">
        <f t="array" aca="1" ref="D87" ca="1">INDIRECT("'2"&amp;$A87&amp;"'!"&amp;D$75 )-Table3517[[#This Row],[Revenue in baseline scenario reeascaled]]</f>
        <v>8.0578140700476447E-3</v>
      </c>
      <c r="E87" s="377" cm="1">
        <f t="array" aca="1" ref="E87" ca="1">INDIRECT("'2"&amp;$A87&amp;"'!"&amp;E$75 )-Table3517[[#This Row],[Revenue in baseline scenario reeascaled]]</f>
        <v>-1.8217317128223498E-3</v>
      </c>
      <c r="F87" s="377" cm="1">
        <f t="array" aca="1" ref="F87" ca="1">INDIRECT("'2"&amp;$A87&amp;"'!"&amp;F$75 )-Table3517[[#This Row],[Revenue in baseline scenario reeascaled]]</f>
        <v>2.5517052887810282E-3</v>
      </c>
      <c r="G87" s="377" cm="1">
        <f t="array" aca="1" ref="G87" ca="1">INDIRECT("'2"&amp;$A87&amp;"'!"&amp;G$75 )-Table3517[[#This Row],[Revenue in baseline scenario reeascaled]]</f>
        <v>-3.9568628830494168E-4</v>
      </c>
      <c r="H87"/>
      <c r="I87"/>
      <c r="J87"/>
      <c r="K87"/>
      <c r="O87" s="89"/>
      <c r="P87" s="96"/>
      <c r="R87" s="96"/>
      <c r="S87" s="1"/>
    </row>
    <row r="88" spans="1:19" s="86" customFormat="1" x14ac:dyDescent="0.3">
      <c r="A88" s="1" t="s">
        <v>222</v>
      </c>
      <c r="B88" s="377" cm="1">
        <f t="array" aca="1" ref="B88" ca="1">INDIRECT("'2"&amp;$A88&amp;"'!"&amp;B$75 )</f>
        <v>0.12727937948192594</v>
      </c>
      <c r="C88" s="377">
        <f ca="1">Table3517[[#This Row],[Revenue in baseline scenario reeascaled]]-Table3517[[#This Row],[Revenue in baseline scenario reeascaled]]</f>
        <v>0</v>
      </c>
      <c r="D88" s="377" cm="1">
        <f t="array" aca="1" ref="D88" ca="1">INDIRECT("'2"&amp;$A88&amp;"'!"&amp;D$75 )-Table3517[[#This Row],[Revenue in baseline scenario reeascaled]]</f>
        <v>9.153923518838869E-3</v>
      </c>
      <c r="E88" s="377" cm="1">
        <f t="array" aca="1" ref="E88" ca="1">INDIRECT("'2"&amp;$A88&amp;"'!"&amp;E$75 )-Table3517[[#This Row],[Revenue in baseline scenario reeascaled]]</f>
        <v>-1.2557772212362095E-3</v>
      </c>
      <c r="F88" s="377" cm="1">
        <f t="array" aca="1" ref="F88" ca="1">INDIRECT("'2"&amp;$A88&amp;"'!"&amp;F$75 )-Table3517[[#This Row],[Revenue in baseline scenario reeascaled]]</f>
        <v>-5.0494694879654745E-4</v>
      </c>
      <c r="G88" s="377" cm="1">
        <f t="array" aca="1" ref="G88" ca="1">INDIRECT("'2"&amp;$A88&amp;"'!"&amp;G$75 )-Table3517[[#This Row],[Revenue in baseline scenario reeascaled]]</f>
        <v>-3.4116647134367351E-3</v>
      </c>
      <c r="H88"/>
      <c r="I88"/>
      <c r="J88"/>
      <c r="K88"/>
      <c r="O88" s="89"/>
      <c r="P88" s="96"/>
      <c r="R88" s="96"/>
      <c r="S88" s="1"/>
    </row>
    <row r="89" spans="1:19" s="1" customFormat="1" x14ac:dyDescent="0.3">
      <c r="A89" s="1" t="s">
        <v>247</v>
      </c>
      <c r="B89" s="377" cm="1">
        <f t="array" aca="1" ref="B89" ca="1">INDIRECT("'2"&amp;$A89&amp;"'!"&amp;B$75 )</f>
        <v>8.9399999999999979E-2</v>
      </c>
      <c r="C89" s="377">
        <f ca="1">Table3517[[#This Row],[Revenue in baseline scenario reeascaled]]-Table3517[[#This Row],[Revenue in baseline scenario reeascaled]]</f>
        <v>0</v>
      </c>
      <c r="D89" s="377" cm="1">
        <f t="array" aca="1" ref="D89" ca="1">INDIRECT("'2"&amp;$A89&amp;"'!"&amp;D$75 )-Table3517[[#This Row],[Revenue in baseline scenario reeascaled]]</f>
        <v>1.138301899847001E-2</v>
      </c>
      <c r="E89" s="377" cm="1">
        <f t="array" aca="1" ref="E89" ca="1">INDIRECT("'2"&amp;$A89&amp;"'!"&amp;E$75 )-Table3517[[#This Row],[Revenue in baseline scenario reeascaled]]</f>
        <v>-1.9174152581161175E-3</v>
      </c>
      <c r="F89" s="377" cm="1">
        <f t="array" aca="1" ref="F89" ca="1">INDIRECT("'2"&amp;$A89&amp;"'!"&amp;F$75 )-Table3517[[#This Row],[Revenue in baseline scenario reeascaled]]</f>
        <v>-5.0168011210460495E-3</v>
      </c>
      <c r="G89" s="377" cm="1">
        <f t="array" aca="1" ref="G89" ca="1">INDIRECT("'2"&amp;$A89&amp;"'!"&amp;G$75 )-Table3517[[#This Row],[Revenue in baseline scenario reeascaled]]</f>
        <v>-6.2550914162356475E-3</v>
      </c>
      <c r="H89"/>
      <c r="I89"/>
      <c r="J89"/>
      <c r="K89"/>
      <c r="O89" s="88"/>
      <c r="P89" s="94"/>
      <c r="R89" s="94"/>
    </row>
    <row r="90" spans="1:19" s="1" customFormat="1" x14ac:dyDescent="0.3">
      <c r="A90" s="1" t="s">
        <v>252</v>
      </c>
      <c r="B90" s="377" cm="1">
        <f t="array" aca="1" ref="B90" ca="1">INDIRECT("'2"&amp;$A90&amp;"'!"&amp;B$75 )</f>
        <v>5.0694904864959527E-2</v>
      </c>
      <c r="C90" s="377">
        <f ca="1">Table3517[[#This Row],[Revenue in baseline scenario reeascaled]]-Table3517[[#This Row],[Revenue in baseline scenario reeascaled]]</f>
        <v>0</v>
      </c>
      <c r="D90" s="377" cm="1">
        <f t="array" aca="1" ref="D90" ca="1">INDIRECT("'2"&amp;$A90&amp;"'!"&amp;D$75 )-Table3517[[#This Row],[Revenue in baseline scenario reeascaled]]</f>
        <v>1.1449980111183762E-2</v>
      </c>
      <c r="E90" s="377" cm="1">
        <f t="array" aca="1" ref="E90" ca="1">INDIRECT("'2"&amp;$A90&amp;"'!"&amp;E$75 )-Table3517[[#This Row],[Revenue in baseline scenario reeascaled]]</f>
        <v>1.4252245922740797E-3</v>
      </c>
      <c r="F90" s="377" cm="1">
        <f t="array" aca="1" ref="F90" ca="1">INDIRECT("'2"&amp;$A90&amp;"'!"&amp;F$75 )-Table3517[[#This Row],[Revenue in baseline scenario reeascaled]]</f>
        <v>6.0999893933372032E-3</v>
      </c>
      <c r="G90" s="377" cm="1">
        <f t="array" aca="1" ref="G90" ca="1">INDIRECT("'2"&amp;$A90&amp;"'!"&amp;G$75 )-Table3517[[#This Row],[Revenue in baseline scenario reeascaled]]</f>
        <v>3.7916151455068339E-3</v>
      </c>
      <c r="H90"/>
      <c r="I90"/>
      <c r="J90"/>
      <c r="K90"/>
      <c r="O90" s="88"/>
      <c r="P90" s="94"/>
      <c r="R90" s="94"/>
    </row>
    <row r="91" spans="1:19" s="1" customFormat="1" x14ac:dyDescent="0.3">
      <c r="A91" s="1" t="s">
        <v>210</v>
      </c>
      <c r="B91" s="377" cm="1">
        <f t="array" aca="1" ref="B91" ca="1">INDIRECT("'2"&amp;$A91&amp;"'!"&amp;B$75 )</f>
        <v>8.9552866409432455E-2</v>
      </c>
      <c r="C91" s="377">
        <f ca="1">Table3517[[#This Row],[Revenue in baseline scenario reeascaled]]-Table3517[[#This Row],[Revenue in baseline scenario reeascaled]]</f>
        <v>0</v>
      </c>
      <c r="D91" s="377" cm="1">
        <f t="array" aca="1" ref="D91" ca="1">INDIRECT("'2"&amp;$A91&amp;"'!"&amp;D$75 )-Table3517[[#This Row],[Revenue in baseline scenario reeascaled]]</f>
        <v>1.1846787462113484E-2</v>
      </c>
      <c r="E91" s="377" cm="1">
        <f t="array" aca="1" ref="E91" ca="1">INDIRECT("'2"&amp;$A91&amp;"'!"&amp;E$75 )-Table3517[[#This Row],[Revenue in baseline scenario reeascaled]]</f>
        <v>4.4611650975252271E-3</v>
      </c>
      <c r="F91" s="377" cm="1">
        <f t="array" aca="1" ref="F91" ca="1">INDIRECT("'2"&amp;$A91&amp;"'!"&amp;F$75 )-Table3517[[#This Row],[Revenue in baseline scenario reeascaled]]</f>
        <v>4.4464458643297261E-3</v>
      </c>
      <c r="G91" s="377" cm="1">
        <f t="array" aca="1" ref="G91" ca="1">INDIRECT("'2"&amp;$A91&amp;"'!"&amp;G$75 )-Table3517[[#This Row],[Revenue in baseline scenario reeascaled]]</f>
        <v>1.9134819003851916E-3</v>
      </c>
      <c r="H91"/>
      <c r="I91"/>
      <c r="J91"/>
      <c r="K91"/>
      <c r="O91" s="88"/>
      <c r="P91" s="94"/>
      <c r="R91" s="94"/>
    </row>
    <row r="92" spans="1:19" s="1" customFormat="1" x14ac:dyDescent="0.3">
      <c r="A92" s="1" t="s">
        <v>254</v>
      </c>
      <c r="B92" s="377" cm="1">
        <f t="array" aca="1" ref="B92" ca="1">INDIRECT("'2"&amp;$A92&amp;"'!"&amp;B$75 )</f>
        <v>3.793070466054578E-2</v>
      </c>
      <c r="C92" s="377">
        <f ca="1">Table3517[[#This Row],[Revenue in baseline scenario reeascaled]]-Table3517[[#This Row],[Revenue in baseline scenario reeascaled]]</f>
        <v>0</v>
      </c>
      <c r="D92" s="377" cm="1">
        <f t="array" aca="1" ref="D92" ca="1">INDIRECT("'2"&amp;$A92&amp;"'!"&amp;D$75 )-Table3517[[#This Row],[Revenue in baseline scenario reeascaled]]</f>
        <v>1.2214261987079048E-2</v>
      </c>
      <c r="E92" s="377" cm="1">
        <f t="array" aca="1" ref="E92" ca="1">INDIRECT("'2"&amp;$A92&amp;"'!"&amp;E$75 )-Table3517[[#This Row],[Revenue in baseline scenario reeascaled]]</f>
        <v>4.5301357141342355E-3</v>
      </c>
      <c r="F92" s="377" cm="1">
        <f t="array" aca="1" ref="F92" ca="1">INDIRECT("'2"&amp;$A92&amp;"'!"&amp;F$75 )-Table3517[[#This Row],[Revenue in baseline scenario reeascaled]]</f>
        <v>7.0494828271060531E-3</v>
      </c>
      <c r="G92" s="377" cm="1">
        <f t="array" aca="1" ref="G92" ca="1">INDIRECT("'2"&amp;$A92&amp;"'!"&amp;G$75 )-Table3517[[#This Row],[Revenue in baseline scenario reeascaled]]</f>
        <v>4.7771280759555251E-3</v>
      </c>
      <c r="H92"/>
      <c r="I92"/>
      <c r="J92"/>
      <c r="K92"/>
      <c r="O92" s="91"/>
      <c r="P92" s="95"/>
      <c r="Q92" s="92"/>
      <c r="R92" s="95"/>
    </row>
    <row r="93" spans="1:19" s="1" customFormat="1" x14ac:dyDescent="0.3">
      <c r="A93" s="1" t="s">
        <v>225</v>
      </c>
      <c r="B93" s="377" cm="1">
        <f t="array" aca="1" ref="B93" ca="1">INDIRECT("'2"&amp;$A93&amp;"'!"&amp;B$75 )</f>
        <v>3.1501849703877385E-2</v>
      </c>
      <c r="C93" s="377">
        <f ca="1">Table3517[[#This Row],[Revenue in baseline scenario reeascaled]]-Table3517[[#This Row],[Revenue in baseline scenario reeascaled]]</f>
        <v>0</v>
      </c>
      <c r="D93" s="377" cm="1">
        <f t="array" aca="1" ref="D93" ca="1">INDIRECT("'2"&amp;$A93&amp;"'!"&amp;D$75 )-Table3517[[#This Row],[Revenue in baseline scenario reeascaled]]</f>
        <v>1.2289258447890451E-2</v>
      </c>
      <c r="E93" s="377" cm="1">
        <f t="array" aca="1" ref="E93" ca="1">INDIRECT("'2"&amp;$A93&amp;"'!"&amp;E$75 )-Table3517[[#This Row],[Revenue in baseline scenario reeascaled]]</f>
        <v>1.8682788628334793E-3</v>
      </c>
      <c r="F93" s="377" cm="1">
        <f t="array" aca="1" ref="F93" ca="1">INDIRECT("'2"&amp;$A93&amp;"'!"&amp;F$75 )-Table3517[[#This Row],[Revenue in baseline scenario reeascaled]]</f>
        <v>5.9595415386044584E-3</v>
      </c>
      <c r="G93" s="377" cm="1">
        <f t="array" aca="1" ref="G93" ca="1">INDIRECT("'2"&amp;$A93&amp;"'!"&amp;G$75 )-Table3517[[#This Row],[Revenue in baseline scenario reeascaled]]</f>
        <v>2.777307225658443E-3</v>
      </c>
      <c r="H93"/>
      <c r="I93"/>
      <c r="J93"/>
      <c r="K93"/>
      <c r="O93" s="88"/>
      <c r="P93" s="94"/>
      <c r="Q93" s="99"/>
      <c r="R93" s="100"/>
    </row>
    <row r="94" spans="1:19" s="1" customFormat="1" x14ac:dyDescent="0.3">
      <c r="A94" s="1" t="s">
        <v>204</v>
      </c>
      <c r="B94" s="377" cm="1">
        <f t="array" aca="1" ref="B94" ca="1">INDIRECT("'2"&amp;$A94&amp;"'!"&amp;B$75 )</f>
        <v>0.11625474618854355</v>
      </c>
      <c r="C94" s="377">
        <f ca="1">Table3517[[#This Row],[Revenue in baseline scenario reeascaled]]-Table3517[[#This Row],[Revenue in baseline scenario reeascaled]]</f>
        <v>0</v>
      </c>
      <c r="D94" s="377" cm="1">
        <f t="array" aca="1" ref="D94" ca="1">INDIRECT("'2"&amp;$A94&amp;"'!"&amp;D$75 )-Table3517[[#This Row],[Revenue in baseline scenario reeascaled]]</f>
        <v>1.2888408949918398E-2</v>
      </c>
      <c r="E94" s="377" cm="1">
        <f t="array" aca="1" ref="E94" ca="1">INDIRECT("'2"&amp;$A94&amp;"'!"&amp;E$75 )-Table3517[[#This Row],[Revenue in baseline scenario reeascaled]]</f>
        <v>-6.7764004583272391E-3</v>
      </c>
      <c r="F94" s="377" cm="1">
        <f t="array" aca="1" ref="F94" ca="1">INDIRECT("'2"&amp;$A94&amp;"'!"&amp;F$75 )-Table3517[[#This Row],[Revenue in baseline scenario reeascaled]]</f>
        <v>-1.846924491924487E-3</v>
      </c>
      <c r="G94" s="377" cm="1">
        <f t="array" aca="1" ref="G94" ca="1">INDIRECT("'2"&amp;$A94&amp;"'!"&amp;G$75 )-Table3517[[#This Row],[Revenue in baseline scenario reeascaled]]</f>
        <v>-2.8712991577998365E-3</v>
      </c>
      <c r="H94"/>
      <c r="I94"/>
      <c r="J94"/>
      <c r="K94"/>
      <c r="O94" s="88"/>
      <c r="P94" s="94"/>
      <c r="Q94" s="88"/>
      <c r="R94" s="94"/>
    </row>
    <row r="95" spans="1:19" s="1" customFormat="1" x14ac:dyDescent="0.3">
      <c r="A95" s="1" t="s">
        <v>242</v>
      </c>
      <c r="B95" s="377" cm="1">
        <f t="array" aca="1" ref="B95" ca="1">INDIRECT("'2"&amp;$A95&amp;"'!"&amp;B$75 )</f>
        <v>6.4550747901022831E-2</v>
      </c>
      <c r="C95" s="377">
        <f ca="1">Table3517[[#This Row],[Revenue in baseline scenario reeascaled]]-Table3517[[#This Row],[Revenue in baseline scenario reeascaled]]</f>
        <v>0</v>
      </c>
      <c r="D95" s="377" cm="1">
        <f t="array" aca="1" ref="D95" ca="1">INDIRECT("'2"&amp;$A95&amp;"'!"&amp;D$75 )-Table3517[[#This Row],[Revenue in baseline scenario reeascaled]]</f>
        <v>1.2922527077210297E-2</v>
      </c>
      <c r="E95" s="377" cm="1">
        <f t="array" aca="1" ref="E95" ca="1">INDIRECT("'2"&amp;$A95&amp;"'!"&amp;E$75 )-Table3517[[#This Row],[Revenue in baseline scenario reeascaled]]</f>
        <v>4.1956597766575621E-3</v>
      </c>
      <c r="F95" s="377" cm="1">
        <f t="array" aca="1" ref="F95" ca="1">INDIRECT("'2"&amp;$A95&amp;"'!"&amp;F$75 )-Table3517[[#This Row],[Revenue in baseline scenario reeascaled]]</f>
        <v>7.4701254827421598E-3</v>
      </c>
      <c r="G95" s="377" cm="1">
        <f t="array" aca="1" ref="G95" ca="1">INDIRECT("'2"&amp;$A95&amp;"'!"&amp;G$75 )-Table3517[[#This Row],[Revenue in baseline scenario reeascaled]]</f>
        <v>5.7970326891652463E-3</v>
      </c>
      <c r="H95"/>
      <c r="I95"/>
      <c r="J95"/>
      <c r="K95"/>
      <c r="O95" s="89"/>
      <c r="P95" s="96"/>
      <c r="Q95" s="88"/>
      <c r="R95" s="96"/>
    </row>
    <row r="96" spans="1:19" s="1" customFormat="1" x14ac:dyDescent="0.3">
      <c r="A96" s="1" t="s">
        <v>240</v>
      </c>
      <c r="B96" s="377" cm="1">
        <f t="array" aca="1" ref="B96" ca="1">INDIRECT("'2"&amp;$A96&amp;"'!"&amp;B$75 )</f>
        <v>8.7322847055856759E-2</v>
      </c>
      <c r="C96" s="377">
        <f ca="1">Table3517[[#This Row],[Revenue in baseline scenario reeascaled]]-Table3517[[#This Row],[Revenue in baseline scenario reeascaled]]</f>
        <v>0</v>
      </c>
      <c r="D96" s="377" cm="1">
        <f t="array" aca="1" ref="D96" ca="1">INDIRECT("'2"&amp;$A96&amp;"'!"&amp;D$75 )-Table3517[[#This Row],[Revenue in baseline scenario reeascaled]]</f>
        <v>1.3149804187766734E-2</v>
      </c>
      <c r="E96" s="377" cm="1">
        <f t="array" aca="1" ref="E96" ca="1">INDIRECT("'2"&amp;$A96&amp;"'!"&amp;E$75 )-Table3517[[#This Row],[Revenue in baseline scenario reeascaled]]</f>
        <v>4.9176320274188501E-4</v>
      </c>
      <c r="F96" s="377" cm="1">
        <f t="array" aca="1" ref="F96" ca="1">INDIRECT("'2"&amp;$A96&amp;"'!"&amp;F$75 )-Table3517[[#This Row],[Revenue in baseline scenario reeascaled]]</f>
        <v>3.4371985555995827E-3</v>
      </c>
      <c r="G96" s="377" cm="1">
        <f t="array" aca="1" ref="G96" ca="1">INDIRECT("'2"&amp;$A96&amp;"'!"&amp;G$75 )-Table3517[[#This Row],[Revenue in baseline scenario reeascaled]]</f>
        <v>2.4778779517178467E-3</v>
      </c>
      <c r="H96"/>
      <c r="I96"/>
      <c r="J96"/>
      <c r="K96"/>
      <c r="O96" s="88"/>
      <c r="P96" s="94"/>
      <c r="Q96" s="88"/>
      <c r="R96" s="94"/>
    </row>
    <row r="97" spans="1:19" s="1" customFormat="1" x14ac:dyDescent="0.3">
      <c r="A97" s="1" t="s">
        <v>3</v>
      </c>
      <c r="B97" s="377" cm="1">
        <f t="array" aca="1" ref="B97" ca="1">INDIRECT("'2"&amp;$A97&amp;"'!"&amp;B$75 )</f>
        <v>8.5534026695513146E-2</v>
      </c>
      <c r="C97" s="377">
        <f ca="1">Table3517[[#This Row],[Revenue in baseline scenario reeascaled]]-Table3517[[#This Row],[Revenue in baseline scenario reeascaled]]</f>
        <v>0</v>
      </c>
      <c r="D97" s="377" cm="1">
        <f t="array" aca="1" ref="D97" ca="1">INDIRECT("'2"&amp;$A97&amp;"'!"&amp;D$75 )-Table3517[[#This Row],[Revenue in baseline scenario reeascaled]]</f>
        <v>1.6579182633315509E-2</v>
      </c>
      <c r="E97" s="377" cm="1">
        <f t="array" aca="1" ref="E97" ca="1">INDIRECT("'2"&amp;$A97&amp;"'!"&amp;E$75 )-Table3517[[#This Row],[Revenue in baseline scenario reeascaled]]</f>
        <v>5.400409778014828E-3</v>
      </c>
      <c r="F97" s="377" cm="1">
        <f t="array" aca="1" ref="F97" ca="1">INDIRECT("'2"&amp;$A97&amp;"'!"&amp;F$75 )-Table3517[[#This Row],[Revenue in baseline scenario reeascaled]]</f>
        <v>5.8163225198031993E-3</v>
      </c>
      <c r="G97" s="377" cm="1">
        <f t="array" aca="1" ref="G97" ca="1">INDIRECT("'2"&amp;$A97&amp;"'!"&amp;G$75 )-Table3517[[#This Row],[Revenue in baseline scenario reeascaled]]</f>
        <v>1.1187542179375981E-3</v>
      </c>
      <c r="H97"/>
      <c r="I97"/>
      <c r="J97"/>
      <c r="K97"/>
      <c r="O97" s="89"/>
      <c r="P97" s="96"/>
      <c r="Q97" s="88"/>
      <c r="R97" s="96"/>
    </row>
    <row r="98" spans="1:19" s="1" customFormat="1" x14ac:dyDescent="0.3">
      <c r="A98" s="115" t="s">
        <v>304</v>
      </c>
      <c r="B98" s="378" t="e" cm="1">
        <f t="array" aca="1" ref="B98" ca="1">INDIRECT("'2"&amp;$A98&amp;"'!"&amp;B$75 )</f>
        <v>#REF!</v>
      </c>
      <c r="C98" s="378" t="e">
        <f ca="1">Table3517[[#This Row],[Revenue in baseline scenario reeascaled]]-Table3517[[#This Row],[Revenue in baseline scenario reeascaled]]</f>
        <v>#REF!</v>
      </c>
      <c r="D98" s="377" t="e" cm="1">
        <f t="array" aca="1" ref="D98" ca="1">INDIRECT("'2"&amp;$A98&amp;"'!"&amp;D$75 )-Table3517[[#This Row],[Revenue in baseline scenario reeascaled]]</f>
        <v>#REF!</v>
      </c>
      <c r="E98" s="377" t="e" cm="1">
        <f t="array" aca="1" ref="E98" ca="1">INDIRECT("'2"&amp;$A98&amp;"'!"&amp;E$75 )-Table3517[[#This Row],[Revenue in baseline scenario reeascaled]]</f>
        <v>#REF!</v>
      </c>
      <c r="F98" s="377" t="e" cm="1">
        <f t="array" aca="1" ref="F98" ca="1">INDIRECT("'2"&amp;$A98&amp;"'!"&amp;F$75 )-Table3517[[#This Row],[Revenue in baseline scenario reeascaled]]</f>
        <v>#REF!</v>
      </c>
      <c r="G98" s="377" t="e" cm="1">
        <f t="array" aca="1" ref="G98" ca="1">INDIRECT("'2"&amp;$A98&amp;"'!"&amp;G$75 )-Table3517[[#This Row],[Revenue in baseline scenario reeascaled]]</f>
        <v>#REF!</v>
      </c>
      <c r="H98"/>
      <c r="I98"/>
      <c r="J98"/>
      <c r="K98"/>
      <c r="O98" s="88"/>
      <c r="P98" s="94"/>
      <c r="Q98" s="88"/>
      <c r="R98" s="94"/>
    </row>
    <row r="99" spans="1:19" s="1" customFormat="1" x14ac:dyDescent="0.3">
      <c r="A99" s="115" t="s">
        <v>305</v>
      </c>
      <c r="B99" s="378" t="e" cm="1">
        <f t="array" aca="1" ref="B99" ca="1">INDIRECT("'2"&amp;$A99&amp;"'!"&amp;B$75 )</f>
        <v>#REF!</v>
      </c>
      <c r="C99" s="378" t="e">
        <f ca="1">Table3517[[#This Row],[Revenue in baseline scenario reeascaled]]-Table3517[[#This Row],[Revenue in baseline scenario reeascaled]]</f>
        <v>#REF!</v>
      </c>
      <c r="D99" s="377" t="e" cm="1">
        <f t="array" aca="1" ref="D99" ca="1">INDIRECT("'2"&amp;$A99&amp;"'!"&amp;D$75 )-Table3517[[#This Row],[Revenue in baseline scenario reeascaled]]</f>
        <v>#REF!</v>
      </c>
      <c r="E99" s="377" t="e" cm="1">
        <f t="array" aca="1" ref="E99" ca="1">INDIRECT("'2"&amp;$A99&amp;"'!"&amp;E$75 )-Table3517[[#This Row],[Revenue in baseline scenario reeascaled]]</f>
        <v>#REF!</v>
      </c>
      <c r="F99" s="377" t="e" cm="1">
        <f t="array" aca="1" ref="F99" ca="1">INDIRECT("'2"&amp;$A99&amp;"'!"&amp;F$75 )-Table3517[[#This Row],[Revenue in baseline scenario reeascaled]]</f>
        <v>#REF!</v>
      </c>
      <c r="G99" s="377" t="e" cm="1">
        <f t="array" aca="1" ref="G99" ca="1">INDIRECT("'2"&amp;$A99&amp;"'!"&amp;G$75 )-Table3517[[#This Row],[Revenue in baseline scenario reeascaled]]</f>
        <v>#REF!</v>
      </c>
      <c r="H99"/>
      <c r="I99"/>
      <c r="J99"/>
      <c r="K99"/>
      <c r="O99" s="89"/>
      <c r="P99" s="96"/>
      <c r="Q99" s="88"/>
      <c r="R99" s="96"/>
    </row>
    <row r="100" spans="1:19" s="86" customFormat="1" x14ac:dyDescent="0.3">
      <c r="A100" s="115" t="s">
        <v>306</v>
      </c>
      <c r="B100" s="378" t="e" cm="1">
        <f t="array" aca="1" ref="B100" ca="1">INDIRECT("'2"&amp;$A100&amp;"'!"&amp;B$75 )</f>
        <v>#REF!</v>
      </c>
      <c r="C100" s="378" t="e">
        <f ca="1">Table3517[[#This Row],[Revenue in baseline scenario reeascaled]]-Table3517[[#This Row],[Revenue in baseline scenario reeascaled]]</f>
        <v>#REF!</v>
      </c>
      <c r="D100" s="377" t="e" cm="1">
        <f t="array" aca="1" ref="D100" ca="1">INDIRECT("'2"&amp;$A100&amp;"'!"&amp;D$75 )-Table3517[[#This Row],[Revenue in baseline scenario reeascaled]]</f>
        <v>#REF!</v>
      </c>
      <c r="E100" s="377" t="e" cm="1">
        <f t="array" aca="1" ref="E100" ca="1">INDIRECT("'2"&amp;$A100&amp;"'!"&amp;E$75 )-Table3517[[#This Row],[Revenue in baseline scenario reeascaled]]</f>
        <v>#REF!</v>
      </c>
      <c r="F100" s="377" t="e" cm="1">
        <f t="array" aca="1" ref="F100" ca="1">INDIRECT("'2"&amp;$A100&amp;"'!"&amp;F$75 )-Table3517[[#This Row],[Revenue in baseline scenario reeascaled]]</f>
        <v>#REF!</v>
      </c>
      <c r="G100" s="377" t="e" cm="1">
        <f t="array" aca="1" ref="G100" ca="1">INDIRECT("'2"&amp;$A100&amp;"'!"&amp;G$75 )-Table3517[[#This Row],[Revenue in baseline scenario reeascaled]]</f>
        <v>#REF!</v>
      </c>
      <c r="H100"/>
      <c r="I100"/>
      <c r="J100"/>
      <c r="K100"/>
      <c r="O100" s="88"/>
      <c r="P100" s="94"/>
      <c r="Q100" s="88"/>
      <c r="R100" s="94"/>
      <c r="S100" s="1"/>
    </row>
    <row r="101" spans="1:19" s="1" customFormat="1" x14ac:dyDescent="0.3">
      <c r="A101" s="115" t="s">
        <v>307</v>
      </c>
      <c r="B101" s="378" t="e" cm="1">
        <f t="array" aca="1" ref="B101" ca="1">INDIRECT("'2"&amp;$A101&amp;"'!"&amp;B$75 )</f>
        <v>#REF!</v>
      </c>
      <c r="C101" s="378" t="e">
        <f ca="1">Table3517[[#This Row],[Revenue in baseline scenario reeascaled]]-Table3517[[#This Row],[Revenue in baseline scenario reeascaled]]</f>
        <v>#REF!</v>
      </c>
      <c r="D101" s="377" t="e" cm="1">
        <f t="array" aca="1" ref="D101" ca="1">INDIRECT("'2"&amp;$A101&amp;"'!"&amp;D$75 )-Table3517[[#This Row],[Revenue in baseline scenario reeascaled]]</f>
        <v>#REF!</v>
      </c>
      <c r="E101" s="377" t="e" cm="1">
        <f t="array" aca="1" ref="E101" ca="1">INDIRECT("'2"&amp;$A101&amp;"'!"&amp;E$75 )-Table3517[[#This Row],[Revenue in baseline scenario reeascaled]]</f>
        <v>#REF!</v>
      </c>
      <c r="F101" s="377" t="e" cm="1">
        <f t="array" aca="1" ref="F101" ca="1">INDIRECT("'2"&amp;$A101&amp;"'!"&amp;F$75 )-Table3517[[#This Row],[Revenue in baseline scenario reeascaled]]</f>
        <v>#REF!</v>
      </c>
      <c r="G101" s="377" t="e" cm="1">
        <f t="array" aca="1" ref="G101" ca="1">INDIRECT("'2"&amp;$A101&amp;"'!"&amp;G$75 )-Table3517[[#This Row],[Revenue in baseline scenario reeascaled]]</f>
        <v>#REF!</v>
      </c>
      <c r="H101"/>
      <c r="I101"/>
      <c r="J101"/>
      <c r="K101"/>
      <c r="O101" s="88"/>
      <c r="P101" s="94"/>
      <c r="Q101" s="88"/>
      <c r="R101" s="94"/>
    </row>
    <row r="102" spans="1:19" s="86" customFormat="1" x14ac:dyDescent="0.3">
      <c r="A102" s="115" t="s">
        <v>308</v>
      </c>
      <c r="B102" s="378" t="e" cm="1">
        <f t="array" aca="1" ref="B102" ca="1">INDIRECT("'2"&amp;$A102&amp;"'!"&amp;B$75 )</f>
        <v>#REF!</v>
      </c>
      <c r="C102" s="378" t="e">
        <f ca="1">Table3517[[#This Row],[Revenue in baseline scenario reeascaled]]-Table3517[[#This Row],[Revenue in baseline scenario reeascaled]]</f>
        <v>#REF!</v>
      </c>
      <c r="D102" s="377" t="e" cm="1">
        <f t="array" aca="1" ref="D102" ca="1">INDIRECT("'2"&amp;$A102&amp;"'!"&amp;D$75 )-Table3517[[#This Row],[Revenue in baseline scenario reeascaled]]</f>
        <v>#REF!</v>
      </c>
      <c r="E102" s="377" t="e" cm="1">
        <f t="array" aca="1" ref="E102" ca="1">INDIRECT("'2"&amp;$A102&amp;"'!"&amp;E$75 )-Table3517[[#This Row],[Revenue in baseline scenario reeascaled]]</f>
        <v>#REF!</v>
      </c>
      <c r="F102" s="377" t="e" cm="1">
        <f t="array" aca="1" ref="F102" ca="1">INDIRECT("'2"&amp;$A102&amp;"'!"&amp;F$75 )-Table3517[[#This Row],[Revenue in baseline scenario reeascaled]]</f>
        <v>#REF!</v>
      </c>
      <c r="G102" s="377" t="e" cm="1">
        <f t="array" aca="1" ref="G102" ca="1">INDIRECT("'2"&amp;$A102&amp;"'!"&amp;G$75 )-Table3517[[#This Row],[Revenue in baseline scenario reeascaled]]</f>
        <v>#REF!</v>
      </c>
      <c r="H102"/>
      <c r="I102"/>
      <c r="J102"/>
      <c r="K102"/>
      <c r="O102" s="88"/>
      <c r="P102" s="94"/>
      <c r="Q102" s="88"/>
      <c r="R102" s="94"/>
      <c r="S102" s="1"/>
    </row>
    <row r="103" spans="1:19" s="86" customFormat="1" x14ac:dyDescent="0.3">
      <c r="A103" s="115" t="s">
        <v>309</v>
      </c>
      <c r="B103" s="378" t="e" cm="1">
        <f t="array" aca="1" ref="B103" ca="1">INDIRECT("'2"&amp;$A103&amp;"'!"&amp;B$75 )</f>
        <v>#REF!</v>
      </c>
      <c r="C103" s="378" t="e">
        <f ca="1">Table3517[[#This Row],[Revenue in baseline scenario reeascaled]]-Table3517[[#This Row],[Revenue in baseline scenario reeascaled]]</f>
        <v>#REF!</v>
      </c>
      <c r="D103" s="377" t="e" cm="1">
        <f t="array" aca="1" ref="D103" ca="1">INDIRECT("'2"&amp;$A103&amp;"'!"&amp;D$75 )-Table3517[[#This Row],[Revenue in baseline scenario reeascaled]]</f>
        <v>#REF!</v>
      </c>
      <c r="E103" s="377" t="e" cm="1">
        <f t="array" aca="1" ref="E103" ca="1">INDIRECT("'2"&amp;$A103&amp;"'!"&amp;E$75 )-Table3517[[#This Row],[Revenue in baseline scenario reeascaled]]</f>
        <v>#REF!</v>
      </c>
      <c r="F103" s="377" t="e" cm="1">
        <f t="array" aca="1" ref="F103" ca="1">INDIRECT("'2"&amp;$A103&amp;"'!"&amp;F$75 )-Table3517[[#This Row],[Revenue in baseline scenario reeascaled]]</f>
        <v>#REF!</v>
      </c>
      <c r="G103" s="377" t="e" cm="1">
        <f t="array" aca="1" ref="G103" ca="1">INDIRECT("'2"&amp;$A103&amp;"'!"&amp;G$75 )-Table3517[[#This Row],[Revenue in baseline scenario reeascaled]]</f>
        <v>#REF!</v>
      </c>
      <c r="H103"/>
      <c r="I103"/>
      <c r="J103"/>
      <c r="K103"/>
      <c r="O103" s="89"/>
      <c r="P103" s="96"/>
      <c r="Q103" s="88"/>
      <c r="R103" s="96"/>
      <c r="S103" s="1"/>
    </row>
    <row r="104" spans="1:19" s="1" customFormat="1" x14ac:dyDescent="0.3">
      <c r="A104" s="115" t="s">
        <v>310</v>
      </c>
      <c r="B104" s="378" t="e" cm="1">
        <f t="array" aca="1" ref="B104" ca="1">INDIRECT("'2"&amp;$A104&amp;"'!"&amp;B$75 )</f>
        <v>#REF!</v>
      </c>
      <c r="C104" s="378" t="e">
        <f ca="1">Table3517[[#This Row],[Revenue in baseline scenario reeascaled]]-Table3517[[#This Row],[Revenue in baseline scenario reeascaled]]</f>
        <v>#REF!</v>
      </c>
      <c r="D104" s="377" t="e" cm="1">
        <f t="array" aca="1" ref="D104" ca="1">INDIRECT("'2"&amp;$A104&amp;"'!"&amp;D$75 )-Table3517[[#This Row],[Revenue in baseline scenario reeascaled]]</f>
        <v>#REF!</v>
      </c>
      <c r="E104" s="377" t="e" cm="1">
        <f t="array" aca="1" ref="E104" ca="1">INDIRECT("'2"&amp;$A104&amp;"'!"&amp;E$75 )-Table3517[[#This Row],[Revenue in baseline scenario reeascaled]]</f>
        <v>#REF!</v>
      </c>
      <c r="F104" s="377" t="e" cm="1">
        <f t="array" aca="1" ref="F104" ca="1">INDIRECT("'2"&amp;$A104&amp;"'!"&amp;F$75 )-Table3517[[#This Row],[Revenue in baseline scenario reeascaled]]</f>
        <v>#REF!</v>
      </c>
      <c r="G104" s="377" t="e" cm="1">
        <f t="array" aca="1" ref="G104" ca="1">INDIRECT("'2"&amp;$A104&amp;"'!"&amp;G$75 )-Table3517[[#This Row],[Revenue in baseline scenario reeascaled]]</f>
        <v>#REF!</v>
      </c>
      <c r="H104"/>
      <c r="I104"/>
      <c r="J104"/>
      <c r="K104"/>
      <c r="O104" s="89"/>
      <c r="P104" s="96"/>
      <c r="Q104" s="88"/>
      <c r="R104" s="96"/>
    </row>
    <row r="105" spans="1:19" s="1" customFormat="1" x14ac:dyDescent="0.3">
      <c r="A105" s="115" t="s">
        <v>311</v>
      </c>
      <c r="B105" s="378" t="e" cm="1">
        <f t="array" aca="1" ref="B105" ca="1">INDIRECT("'2"&amp;$A105&amp;"'!"&amp;B$75 )</f>
        <v>#REF!</v>
      </c>
      <c r="C105" s="378" t="e">
        <f ca="1">Table3517[[#This Row],[Revenue in baseline scenario reeascaled]]-Table3517[[#This Row],[Revenue in baseline scenario reeascaled]]</f>
        <v>#REF!</v>
      </c>
      <c r="D105" s="377" t="e" cm="1">
        <f t="array" aca="1" ref="D105" ca="1">INDIRECT("'2"&amp;$A105&amp;"'!"&amp;D$75 )-Table3517[[#This Row],[Revenue in baseline scenario reeascaled]]</f>
        <v>#REF!</v>
      </c>
      <c r="E105" s="377" t="e" cm="1">
        <f t="array" aca="1" ref="E105" ca="1">INDIRECT("'2"&amp;$A105&amp;"'!"&amp;E$75 )-Table3517[[#This Row],[Revenue in baseline scenario reeascaled]]</f>
        <v>#REF!</v>
      </c>
      <c r="F105" s="377" t="e" cm="1">
        <f t="array" aca="1" ref="F105" ca="1">INDIRECT("'2"&amp;$A105&amp;"'!"&amp;F$75 )-Table3517[[#This Row],[Revenue in baseline scenario reeascaled]]</f>
        <v>#REF!</v>
      </c>
      <c r="G105" s="377" t="e" cm="1">
        <f t="array" aca="1" ref="G105" ca="1">INDIRECT("'2"&amp;$A105&amp;"'!"&amp;G$75 )-Table3517[[#This Row],[Revenue in baseline scenario reeascaled]]</f>
        <v>#REF!</v>
      </c>
      <c r="H105"/>
      <c r="I105"/>
      <c r="J105"/>
      <c r="K105"/>
      <c r="O105" s="88"/>
      <c r="P105" s="94"/>
      <c r="Q105" s="88"/>
      <c r="R105" s="94"/>
    </row>
    <row r="106" spans="1:19" s="1" customFormat="1" x14ac:dyDescent="0.3">
      <c r="O106" s="88"/>
      <c r="P106" s="94"/>
      <c r="Q106" s="88"/>
      <c r="R106" s="94"/>
    </row>
    <row r="107" spans="1:19" s="1" customFormat="1" x14ac:dyDescent="0.3">
      <c r="O107" s="88"/>
      <c r="P107" s="94"/>
      <c r="Q107" s="88"/>
      <c r="R107" s="94"/>
    </row>
    <row r="108" spans="1:19" s="1" customFormat="1" x14ac:dyDescent="0.3">
      <c r="O108" s="91"/>
      <c r="P108" s="95"/>
      <c r="Q108" s="91"/>
      <c r="R108" s="95"/>
    </row>
    <row r="109" spans="1:19" s="85" customFormat="1" ht="36.6" customHeight="1" x14ac:dyDescent="0.3">
      <c r="A109" s="181" t="s">
        <v>606</v>
      </c>
      <c r="O109" s="87"/>
      <c r="P109" s="93"/>
      <c r="R109" s="93"/>
    </row>
    <row r="110" spans="1:19" s="1" customFormat="1" x14ac:dyDescent="0.3">
      <c r="O110" s="88"/>
      <c r="P110" s="94"/>
      <c r="R110" s="94"/>
    </row>
    <row r="111" spans="1:19" s="1" customFormat="1" x14ac:dyDescent="0.3">
      <c r="A111" s="1" t="s">
        <v>289</v>
      </c>
      <c r="B111" s="1" t="s">
        <v>417</v>
      </c>
      <c r="D111" s="1" t="s">
        <v>418</v>
      </c>
      <c r="E111" s="1" t="s">
        <v>419</v>
      </c>
      <c r="F111" s="1" t="s">
        <v>420</v>
      </c>
      <c r="G111" s="1" t="s">
        <v>421</v>
      </c>
      <c r="O111" s="88"/>
      <c r="P111" s="94"/>
      <c r="R111" s="94"/>
    </row>
    <row r="112" spans="1:19" s="1" customFormat="1" ht="72" x14ac:dyDescent="0.3">
      <c r="A112" s="109" t="s">
        <v>316</v>
      </c>
      <c r="B112" s="105" t="s">
        <v>422</v>
      </c>
      <c r="C112" s="105" t="s">
        <v>423</v>
      </c>
      <c r="D112" s="105" t="s">
        <v>424</v>
      </c>
      <c r="E112" s="190" t="s">
        <v>414</v>
      </c>
      <c r="F112" s="105" t="s">
        <v>415</v>
      </c>
      <c r="G112" s="105" t="s">
        <v>416</v>
      </c>
      <c r="H112"/>
      <c r="I112"/>
      <c r="J112"/>
      <c r="K112"/>
      <c r="O112" s="91"/>
      <c r="P112" s="95"/>
      <c r="Q112" s="91"/>
      <c r="R112" s="95"/>
      <c r="S112" s="92"/>
    </row>
    <row r="113" spans="1:18" s="1" customFormat="1" x14ac:dyDescent="0.3">
      <c r="A113" s="1" t="s">
        <v>208</v>
      </c>
      <c r="B113" s="118" cm="1">
        <f t="array" aca="1" ref="B113" ca="1">INDIRECT("'2"&amp;$A113&amp;"'!"&amp;B$111 )</f>
        <v>7.9026628754337205</v>
      </c>
      <c r="C113" s="118">
        <f ca="1">Table351733[[#This Row],[Average effective tax rate in baseline scenario]]-Table351733[[#This Row],[Average effective tax rate in baseline scenario]]</f>
        <v>0</v>
      </c>
      <c r="D113" s="118" cm="1">
        <f t="array" aca="1" ref="D113" ca="1">INDIRECT("'2"&amp;$A113&amp;"'!"&amp;D$111 )-Table351733[[#This Row],[Average effective tax rate in baseline scenario]]</f>
        <v>0.22491694127423312</v>
      </c>
      <c r="E113" s="118" cm="1">
        <f t="array" aca="1" ref="E113" ca="1">INDIRECT("'2"&amp;$A113&amp;"'!"&amp;E$111 )-Table351733[[#This Row],[Average effective tax rate in baseline scenario]]</f>
        <v>-0.9432650611839799</v>
      </c>
      <c r="F113" s="118" cm="1">
        <f t="array" aca="1" ref="F113" ca="1">INDIRECT("'2"&amp;$A113&amp;"'!"&amp;F$111 )-Table351733[[#This Row],[Average effective tax rate in baseline scenario]]</f>
        <v>-0.59599851087097111</v>
      </c>
      <c r="G113" s="118" cm="1">
        <f t="array" aca="1" ref="G113" ca="1">INDIRECT("'2"&amp;$A113&amp;"'!"&amp;G$111 )-Table351733[[#This Row],[Average effective tax rate in baseline scenario]]</f>
        <v>-0.91876686638892213</v>
      </c>
      <c r="H113"/>
      <c r="I113"/>
      <c r="J113"/>
      <c r="K113"/>
      <c r="O113" s="88"/>
      <c r="P113" s="94"/>
      <c r="R113" s="94"/>
    </row>
    <row r="114" spans="1:18" s="1" customFormat="1" x14ac:dyDescent="0.3">
      <c r="A114" s="1" t="s">
        <v>245</v>
      </c>
      <c r="B114" s="118" cm="1">
        <f t="array" aca="1" ref="B114" ca="1">INDIRECT("'2"&amp;$A114&amp;"'!"&amp;B$111 )</f>
        <v>12.848019466449855</v>
      </c>
      <c r="C114" s="118">
        <f ca="1">Table351733[[#This Row],[Average effective tax rate in baseline scenario]]-Table351733[[#This Row],[Average effective tax rate in baseline scenario]]</f>
        <v>0</v>
      </c>
      <c r="D114" s="118" cm="1">
        <f t="array" aca="1" ref="D114" ca="1">INDIRECT("'2"&amp;$A114&amp;"'!"&amp;D$111 )-Table351733[[#This Row],[Average effective tax rate in baseline scenario]]</f>
        <v>0.40404268365545448</v>
      </c>
      <c r="E114" s="118" cm="1">
        <f t="array" aca="1" ref="E114" ca="1">INDIRECT("'2"&amp;$A114&amp;"'!"&amp;E$111 )-Table351733[[#This Row],[Average effective tax rate in baseline scenario]]</f>
        <v>-0.58114607280451835</v>
      </c>
      <c r="F114" s="118" cm="1">
        <f t="array" aca="1" ref="F114" ca="1">INDIRECT("'2"&amp;$A114&amp;"'!"&amp;F$111 )-Table351733[[#This Row],[Average effective tax rate in baseline scenario]]</f>
        <v>-0.47138815547077506</v>
      </c>
      <c r="G114" s="118" cm="1">
        <f t="array" aca="1" ref="G114" ca="1">INDIRECT("'2"&amp;$A114&amp;"'!"&amp;G$111 )-Table351733[[#This Row],[Average effective tax rate in baseline scenario]]</f>
        <v>-0.84749288517630639</v>
      </c>
      <c r="H114"/>
      <c r="I114"/>
      <c r="J114"/>
      <c r="K114"/>
      <c r="O114" s="88"/>
      <c r="P114" s="94"/>
      <c r="R114" s="94"/>
    </row>
    <row r="115" spans="1:18" s="1" customFormat="1" x14ac:dyDescent="0.3">
      <c r="A115" s="1" t="s">
        <v>218</v>
      </c>
      <c r="B115" s="118" cm="1">
        <f t="array" aca="1" ref="B115" ca="1">INDIRECT("'2"&amp;$A115&amp;"'!"&amp;B$111 )</f>
        <v>14.44268867893739</v>
      </c>
      <c r="C115" s="118">
        <f ca="1">Table351733[[#This Row],[Average effective tax rate in baseline scenario]]-Table351733[[#This Row],[Average effective tax rate in baseline scenario]]</f>
        <v>0</v>
      </c>
      <c r="D115" s="118" cm="1">
        <f t="array" aca="1" ref="D115" ca="1">INDIRECT("'2"&amp;$A115&amp;"'!"&amp;D$111 )-Table351733[[#This Row],[Average effective tax rate in baseline scenario]]</f>
        <v>0.47594471370500102</v>
      </c>
      <c r="E115" s="118" cm="1">
        <f t="array" aca="1" ref="E115" ca="1">INDIRECT("'2"&amp;$A115&amp;"'!"&amp;E$111 )-Table351733[[#This Row],[Average effective tax rate in baseline scenario]]</f>
        <v>-1.0169277600224849</v>
      </c>
      <c r="F115" s="118" cm="1">
        <f t="array" aca="1" ref="F115" ca="1">INDIRECT("'2"&amp;$A115&amp;"'!"&amp;F$111 )-Table351733[[#This Row],[Average effective tax rate in baseline scenario]]</f>
        <v>-1.0079981865047518</v>
      </c>
      <c r="G115" s="118" cm="1">
        <f t="array" aca="1" ref="G115" ca="1">INDIRECT("'2"&amp;$A115&amp;"'!"&amp;G$111 )-Table351733[[#This Row],[Average effective tax rate in baseline scenario]]</f>
        <v>-1.337627983421779</v>
      </c>
      <c r="H115"/>
      <c r="I115"/>
      <c r="J115"/>
      <c r="K115"/>
      <c r="L115" s="86"/>
      <c r="M115" s="86"/>
      <c r="N115" s="86"/>
      <c r="O115" s="89"/>
      <c r="P115" s="96"/>
      <c r="Q115" s="86"/>
      <c r="R115" s="96"/>
    </row>
    <row r="116" spans="1:18" s="1" customFormat="1" x14ac:dyDescent="0.3">
      <c r="A116" s="1" t="s">
        <v>234</v>
      </c>
      <c r="B116" s="118" cm="1">
        <f t="array" aca="1" ref="B116" ca="1">INDIRECT("'2"&amp;$A116&amp;"'!"&amp;B$111 )</f>
        <v>19.228975648457421</v>
      </c>
      <c r="C116" s="118">
        <f ca="1">Table351733[[#This Row],[Average effective tax rate in baseline scenario]]-Table351733[[#This Row],[Average effective tax rate in baseline scenario]]</f>
        <v>0</v>
      </c>
      <c r="D116" s="118" cm="1">
        <f t="array" aca="1" ref="D116" ca="1">INDIRECT("'2"&amp;$A116&amp;"'!"&amp;D$111 )-Table351733[[#This Row],[Average effective tax rate in baseline scenario]]</f>
        <v>0.63821280968049265</v>
      </c>
      <c r="E116" s="118" cm="1">
        <f t="array" aca="1" ref="E116" ca="1">INDIRECT("'2"&amp;$A116&amp;"'!"&amp;E$111 )-Table351733[[#This Row],[Average effective tax rate in baseline scenario]]</f>
        <v>-0.5056556709175517</v>
      </c>
      <c r="F116" s="118" cm="1">
        <f t="array" aca="1" ref="F116" ca="1">INDIRECT("'2"&amp;$A116&amp;"'!"&amp;F$111 )-Table351733[[#This Row],[Average effective tax rate in baseline scenario]]</f>
        <v>-0.98175616539156607</v>
      </c>
      <c r="G116" s="118" cm="1">
        <f t="array" aca="1" ref="G116" ca="1">INDIRECT("'2"&amp;$A116&amp;"'!"&amp;G$111 )-Table351733[[#This Row],[Average effective tax rate in baseline scenario]]</f>
        <v>-1.7564636562225004</v>
      </c>
      <c r="H116"/>
      <c r="I116"/>
      <c r="J116"/>
      <c r="K116"/>
      <c r="O116" s="88"/>
      <c r="P116" s="94"/>
      <c r="R116" s="94"/>
    </row>
    <row r="117" spans="1:18" s="1" customFormat="1" x14ac:dyDescent="0.3">
      <c r="A117" s="1" t="s">
        <v>217</v>
      </c>
      <c r="B117" s="118" cm="1">
        <f t="array" aca="1" ref="B117" ca="1">INDIRECT("'2"&amp;$A117&amp;"'!"&amp;B$111 )</f>
        <v>8.6754276780268444</v>
      </c>
      <c r="C117" s="118">
        <f ca="1">Table351733[[#This Row],[Average effective tax rate in baseline scenario]]-Table351733[[#This Row],[Average effective tax rate in baseline scenario]]</f>
        <v>0</v>
      </c>
      <c r="D117" s="118" cm="1">
        <f t="array" aca="1" ref="D117" ca="1">INDIRECT("'2"&amp;$A117&amp;"'!"&amp;D$111 )-Table351733[[#This Row],[Average effective tax rate in baseline scenario]]</f>
        <v>0.89651811910570345</v>
      </c>
      <c r="E117" s="118" cm="1">
        <f t="array" aca="1" ref="E117" ca="1">INDIRECT("'2"&amp;$A117&amp;"'!"&amp;E$111 )-Table351733[[#This Row],[Average effective tax rate in baseline scenario]]</f>
        <v>0.24436395182068082</v>
      </c>
      <c r="F117" s="118" cm="1">
        <f t="array" aca="1" ref="F117" ca="1">INDIRECT("'2"&amp;$A117&amp;"'!"&amp;F$111 )-Table351733[[#This Row],[Average effective tax rate in baseline scenario]]</f>
        <v>0.14603258887751558</v>
      </c>
      <c r="G117" s="118" cm="1">
        <f t="array" aca="1" ref="G117" ca="1">INDIRECT("'2"&amp;$A117&amp;"'!"&amp;G$111 )-Table351733[[#This Row],[Average effective tax rate in baseline scenario]]</f>
        <v>-0.15037727548186375</v>
      </c>
      <c r="H117"/>
      <c r="I117"/>
      <c r="J117"/>
      <c r="K117"/>
      <c r="L117" s="86"/>
      <c r="M117" s="86"/>
      <c r="N117" s="86"/>
      <c r="O117" s="89"/>
      <c r="P117" s="96"/>
      <c r="Q117" s="86"/>
      <c r="R117" s="96"/>
    </row>
    <row r="118" spans="1:18" s="1" customFormat="1" x14ac:dyDescent="0.3">
      <c r="A118" s="1" t="s">
        <v>227</v>
      </c>
      <c r="B118" s="118" cm="1">
        <f t="array" aca="1" ref="B118" ca="1">INDIRECT("'2"&amp;$A118&amp;"'!"&amp;B$111 )</f>
        <v>9.9703561318237792</v>
      </c>
      <c r="C118" s="118">
        <f ca="1">Table351733[[#This Row],[Average effective tax rate in baseline scenario]]-Table351733[[#This Row],[Average effective tax rate in baseline scenario]]</f>
        <v>0</v>
      </c>
      <c r="D118" s="118" cm="1">
        <f t="array" aca="1" ref="D118" ca="1">INDIRECT("'2"&amp;$A118&amp;"'!"&amp;D$111 )-Table351733[[#This Row],[Average effective tax rate in baseline scenario]]</f>
        <v>1.0680884849886425</v>
      </c>
      <c r="E118" s="118" cm="1">
        <f t="array" aca="1" ref="E118" ca="1">INDIRECT("'2"&amp;$A118&amp;"'!"&amp;E$111 )-Table351733[[#This Row],[Average effective tax rate in baseline scenario]]</f>
        <v>-0.26230297613825471</v>
      </c>
      <c r="F118" s="118" cm="1">
        <f t="array" aca="1" ref="F118" ca="1">INDIRECT("'2"&amp;$A118&amp;"'!"&amp;F$111 )-Table351733[[#This Row],[Average effective tax rate in baseline scenario]]</f>
        <v>-0.23591707572375853</v>
      </c>
      <c r="G118" s="118" cm="1">
        <f t="array" aca="1" ref="G118" ca="1">INDIRECT("'2"&amp;$A118&amp;"'!"&amp;G$111 )-Table351733[[#This Row],[Average effective tax rate in baseline scenario]]</f>
        <v>-0.35740579810858009</v>
      </c>
      <c r="H118"/>
      <c r="I118"/>
      <c r="J118"/>
      <c r="K118"/>
      <c r="O118" s="88"/>
      <c r="P118" s="94"/>
      <c r="R118" s="94"/>
    </row>
    <row r="119" spans="1:18" s="1" customFormat="1" x14ac:dyDescent="0.3">
      <c r="A119" s="1" t="s">
        <v>223</v>
      </c>
      <c r="B119" s="118" cm="1">
        <f t="array" aca="1" ref="B119" ca="1">INDIRECT("'2"&amp;$A119&amp;"'!"&amp;B$111 )</f>
        <v>15.170045390908987</v>
      </c>
      <c r="C119" s="118">
        <f ca="1">Table351733[[#This Row],[Average effective tax rate in baseline scenario]]-Table351733[[#This Row],[Average effective tax rate in baseline scenario]]</f>
        <v>0</v>
      </c>
      <c r="D119" s="118" cm="1">
        <f t="array" aca="1" ref="D119" ca="1">INDIRECT("'2"&amp;$A119&amp;"'!"&amp;D$111 )-Table351733[[#This Row],[Average effective tax rate in baseline scenario]]</f>
        <v>1.1675463832917448</v>
      </c>
      <c r="E119" s="118" cm="1">
        <f t="array" aca="1" ref="E119" ca="1">INDIRECT("'2"&amp;$A119&amp;"'!"&amp;E$111 )-Table351733[[#This Row],[Average effective tax rate in baseline scenario]]</f>
        <v>0.23924617159384276</v>
      </c>
      <c r="F119" s="118" cm="1">
        <f t="array" aca="1" ref="F119" ca="1">INDIRECT("'2"&amp;$A119&amp;"'!"&amp;F$111 )-Table351733[[#This Row],[Average effective tax rate in baseline scenario]]</f>
        <v>0.12166043812726102</v>
      </c>
      <c r="G119" s="118" cm="1">
        <f t="array" aca="1" ref="G119" ca="1">INDIRECT("'2"&amp;$A119&amp;"'!"&amp;G$111 )-Table351733[[#This Row],[Average effective tax rate in baseline scenario]]</f>
        <v>-0.21629903579436949</v>
      </c>
      <c r="H119"/>
      <c r="I119"/>
      <c r="J119"/>
      <c r="K119"/>
      <c r="L119" s="86"/>
      <c r="M119" s="86"/>
      <c r="N119" s="86"/>
      <c r="O119" s="89"/>
      <c r="P119" s="96"/>
      <c r="Q119" s="86"/>
      <c r="R119" s="96"/>
    </row>
    <row r="120" spans="1:18" s="1" customFormat="1" x14ac:dyDescent="0.3">
      <c r="A120" s="1" t="s">
        <v>214</v>
      </c>
      <c r="B120" s="118" cm="1">
        <f t="array" aca="1" ref="B120" ca="1">INDIRECT("'2"&amp;$A120&amp;"'!"&amp;B$111 )</f>
        <v>14.00068594969372</v>
      </c>
      <c r="C120" s="118">
        <f ca="1">Table351733[[#This Row],[Average effective tax rate in baseline scenario]]-Table351733[[#This Row],[Average effective tax rate in baseline scenario]]</f>
        <v>0</v>
      </c>
      <c r="D120" s="118" cm="1">
        <f t="array" aca="1" ref="D120" ca="1">INDIRECT("'2"&amp;$A120&amp;"'!"&amp;D$111 )-Table351733[[#This Row],[Average effective tax rate in baseline scenario]]</f>
        <v>1.3975239159163841</v>
      </c>
      <c r="E120" s="118" cm="1">
        <f t="array" aca="1" ref="E120" ca="1">INDIRECT("'2"&amp;$A120&amp;"'!"&amp;E$111 )-Table351733[[#This Row],[Average effective tax rate in baseline scenario]]</f>
        <v>-1.0649474610221592</v>
      </c>
      <c r="F120" s="118" cm="1">
        <f t="array" aca="1" ref="F120" ca="1">INDIRECT("'2"&amp;$A120&amp;"'!"&amp;F$111 )-Table351733[[#This Row],[Average effective tax rate in baseline scenario]]</f>
        <v>-0.3602886681492663</v>
      </c>
      <c r="G120" s="118" cm="1">
        <f t="array" aca="1" ref="G120" ca="1">INDIRECT("'2"&amp;$A120&amp;"'!"&amp;G$111 )-Table351733[[#This Row],[Average effective tax rate in baseline scenario]]</f>
        <v>-0.89840915027153656</v>
      </c>
      <c r="H120"/>
      <c r="I120"/>
      <c r="J120"/>
      <c r="K120"/>
      <c r="O120" s="88"/>
      <c r="P120" s="94"/>
      <c r="R120" s="94"/>
    </row>
    <row r="121" spans="1:18" s="1" customFormat="1" x14ac:dyDescent="0.3">
      <c r="A121" s="1" t="s">
        <v>222</v>
      </c>
      <c r="B121" s="118" cm="1">
        <f t="array" aca="1" ref="B121" ca="1">INDIRECT("'2"&amp;$A121&amp;"'!"&amp;B$111 )</f>
        <v>20.297213303553796</v>
      </c>
      <c r="C121" s="118">
        <f ca="1">Table351733[[#This Row],[Average effective tax rate in baseline scenario]]-Table351733[[#This Row],[Average effective tax rate in baseline scenario]]</f>
        <v>0</v>
      </c>
      <c r="D121" s="118" cm="1">
        <f t="array" aca="1" ref="D121" ca="1">INDIRECT("'2"&amp;$A121&amp;"'!"&amp;D$111 )-Table351733[[#This Row],[Average effective tax rate in baseline scenario]]</f>
        <v>1.4597740732439242</v>
      </c>
      <c r="E121" s="118" cm="1">
        <f t="array" aca="1" ref="E121" ca="1">INDIRECT("'2"&amp;$A121&amp;"'!"&amp;E$111 )-Table351733[[#This Row],[Average effective tax rate in baseline scenario]]</f>
        <v>-0.20025850396917377</v>
      </c>
      <c r="F121" s="118" cm="1">
        <f t="array" aca="1" ref="F121" ca="1">INDIRECT("'2"&amp;$A121&amp;"'!"&amp;F$111 )-Table351733[[#This Row],[Average effective tax rate in baseline scenario]]</f>
        <v>-8.0523773516340214E-2</v>
      </c>
      <c r="G121" s="118" cm="1">
        <f t="array" aca="1" ref="G121" ca="1">INDIRECT("'2"&amp;$A121&amp;"'!"&amp;G$111 )-Table351733[[#This Row],[Average effective tax rate in baseline scenario]]</f>
        <v>-0.54405738534156356</v>
      </c>
      <c r="H121"/>
      <c r="I121"/>
      <c r="J121"/>
      <c r="K121"/>
      <c r="O121" s="88"/>
      <c r="P121" s="94"/>
      <c r="R121" s="94"/>
    </row>
    <row r="122" spans="1:18" s="1" customFormat="1" x14ac:dyDescent="0.3">
      <c r="A122" s="1" t="s">
        <v>238</v>
      </c>
      <c r="B122" s="118" cm="1">
        <f t="array" aca="1" ref="B122" ca="1">INDIRECT("'2"&amp;$A122&amp;"'!"&amp;B$111 )</f>
        <v>15.605770089485727</v>
      </c>
      <c r="C122" s="118">
        <f ca="1">Table351733[[#This Row],[Average effective tax rate in baseline scenario]]-Table351733[[#This Row],[Average effective tax rate in baseline scenario]]</f>
        <v>0</v>
      </c>
      <c r="D122" s="118" cm="1">
        <f t="array" aca="1" ref="D122" ca="1">INDIRECT("'2"&amp;$A122&amp;"'!"&amp;D$111 )-Table351733[[#This Row],[Average effective tax rate in baseline scenario]]</f>
        <v>1.5009444310923747</v>
      </c>
      <c r="E122" s="118" cm="1">
        <f t="array" aca="1" ref="E122" ca="1">INDIRECT("'2"&amp;$A122&amp;"'!"&amp;E$111 )-Table351733[[#This Row],[Average effective tax rate in baseline scenario]]</f>
        <v>-0.13106831665295715</v>
      </c>
      <c r="F122" s="118" cm="1">
        <f t="array" aca="1" ref="F122" ca="1">INDIRECT("'2"&amp;$A122&amp;"'!"&amp;F$111 )-Table351733[[#This Row],[Average effective tax rate in baseline scenario]]</f>
        <v>0.54539484823507678</v>
      </c>
      <c r="G122" s="118" cm="1">
        <f t="array" aca="1" ref="G122" ca="1">INDIRECT("'2"&amp;$A122&amp;"'!"&amp;G$111 )-Table351733[[#This Row],[Average effective tax rate in baseline scenario]]</f>
        <v>0.27436719543259258</v>
      </c>
      <c r="H122"/>
      <c r="I122"/>
      <c r="J122"/>
      <c r="K122"/>
      <c r="O122" s="88"/>
      <c r="P122" s="94"/>
      <c r="R122" s="94"/>
    </row>
    <row r="123" spans="1:18" s="1" customFormat="1" x14ac:dyDescent="0.3">
      <c r="A123" s="1" t="s">
        <v>249</v>
      </c>
      <c r="B123" s="118" cm="1">
        <f t="array" aca="1" ref="B123" ca="1">INDIRECT("'2"&amp;$A123&amp;"'!"&amp;B$111 )</f>
        <v>13.931916457483526</v>
      </c>
      <c r="C123" s="118">
        <f ca="1">Table351733[[#This Row],[Average effective tax rate in baseline scenario]]-Table351733[[#This Row],[Average effective tax rate in baseline scenario]]</f>
        <v>0</v>
      </c>
      <c r="D123" s="118" cm="1">
        <f t="array" aca="1" ref="D123" ca="1">INDIRECT("'2"&amp;$A123&amp;"'!"&amp;D$111 )-Table351733[[#This Row],[Average effective tax rate in baseline scenario]]</f>
        <v>1.6229757072336177</v>
      </c>
      <c r="E123" s="118" cm="1">
        <f t="array" aca="1" ref="E123" ca="1">INDIRECT("'2"&amp;$A123&amp;"'!"&amp;E$111 )-Table351733[[#This Row],[Average effective tax rate in baseline scenario]]</f>
        <v>-0.3669265993612445</v>
      </c>
      <c r="F123" s="118" cm="1">
        <f t="array" aca="1" ref="F123" ca="1">INDIRECT("'2"&amp;$A123&amp;"'!"&amp;F$111 )-Table351733[[#This Row],[Average effective tax rate in baseline scenario]]</f>
        <v>0.51395523149452238</v>
      </c>
      <c r="G123" s="118" cm="1">
        <f t="array" aca="1" ref="G123" ca="1">INDIRECT("'2"&amp;$A123&amp;"'!"&amp;G$111 )-Table351733[[#This Row],[Average effective tax rate in baseline scenario]]</f>
        <v>-7.9697698162517483E-2</v>
      </c>
      <c r="H123"/>
      <c r="I123"/>
      <c r="J123"/>
      <c r="K123"/>
      <c r="L123" s="86"/>
      <c r="M123" s="86"/>
      <c r="N123" s="86"/>
      <c r="O123" s="89"/>
      <c r="P123" s="96"/>
      <c r="Q123" s="86"/>
      <c r="R123" s="96"/>
    </row>
    <row r="124" spans="1:18" s="1" customFormat="1" x14ac:dyDescent="0.3">
      <c r="A124" s="1" t="s">
        <v>233</v>
      </c>
      <c r="B124" s="118" cm="1">
        <f t="array" aca="1" ref="B124" ca="1">INDIRECT("'2"&amp;$A124&amp;"'!"&amp;B$111 )</f>
        <v>20.218944729105125</v>
      </c>
      <c r="C124" s="118">
        <f ca="1">Table351733[[#This Row],[Average effective tax rate in baseline scenario]]-Table351733[[#This Row],[Average effective tax rate in baseline scenario]]</f>
        <v>0</v>
      </c>
      <c r="D124" s="118" cm="1">
        <f t="array" aca="1" ref="D124" ca="1">INDIRECT("'2"&amp;$A124&amp;"'!"&amp;D$111 )-Table351733[[#This Row],[Average effective tax rate in baseline scenario]]</f>
        <v>1.7471902140865865</v>
      </c>
      <c r="E124" s="118" cm="1">
        <f t="array" aca="1" ref="E124" ca="1">INDIRECT("'2"&amp;$A124&amp;"'!"&amp;E$111 )-Table351733[[#This Row],[Average effective tax rate in baseline scenario]]</f>
        <v>-0.37327392874333754</v>
      </c>
      <c r="F124" s="118" cm="1">
        <f t="array" aca="1" ref="F124" ca="1">INDIRECT("'2"&amp;$A124&amp;"'!"&amp;F$111 )-Table351733[[#This Row],[Average effective tax rate in baseline scenario]]</f>
        <v>0.13886739380921043</v>
      </c>
      <c r="G124" s="118" cm="1">
        <f t="array" aca="1" ref="G124" ca="1">INDIRECT("'2"&amp;$A124&amp;"'!"&amp;G$111 )-Table351733[[#This Row],[Average effective tax rate in baseline scenario]]</f>
        <v>-0.49936569976381762</v>
      </c>
      <c r="H124"/>
      <c r="I124"/>
      <c r="J124"/>
      <c r="K124"/>
      <c r="L124" s="86"/>
      <c r="M124" s="86"/>
      <c r="N124" s="86"/>
      <c r="O124" s="89"/>
      <c r="P124" s="96"/>
      <c r="Q124" s="86"/>
      <c r="R124" s="96"/>
    </row>
    <row r="125" spans="1:18" s="1" customFormat="1" x14ac:dyDescent="0.3">
      <c r="A125" s="1" t="s">
        <v>247</v>
      </c>
      <c r="B125" s="118" cm="1">
        <f t="array" aca="1" ref="B125" ca="1">INDIRECT("'2"&amp;$A125&amp;"'!"&amp;B$111 )</f>
        <v>14.472585388708239</v>
      </c>
      <c r="C125" s="118">
        <f ca="1">Table351733[[#This Row],[Average effective tax rate in baseline scenario]]-Table351733[[#This Row],[Average effective tax rate in baseline scenario]]</f>
        <v>0</v>
      </c>
      <c r="D125" s="118" cm="1">
        <f t="array" aca="1" ref="D125" ca="1">INDIRECT("'2"&amp;$A125&amp;"'!"&amp;D$111 )-Table351733[[#This Row],[Average effective tax rate in baseline scenario]]</f>
        <v>1.8427484836313823</v>
      </c>
      <c r="E125" s="118" cm="1">
        <f t="array" aca="1" ref="E125" ca="1">INDIRECT("'2"&amp;$A125&amp;"'!"&amp;E$111 )-Table351733[[#This Row],[Average effective tax rate in baseline scenario]]</f>
        <v>-0.31040219293845261</v>
      </c>
      <c r="F125" s="118" cm="1">
        <f t="array" aca="1" ref="F125" ca="1">INDIRECT("'2"&amp;$A125&amp;"'!"&amp;F$111 )-Table351733[[#This Row],[Average effective tax rate in baseline scenario]]</f>
        <v>-0.81214857497210424</v>
      </c>
      <c r="G125" s="118" cm="1">
        <f t="array" aca="1" ref="G125" ca="1">INDIRECT("'2"&amp;$A125&amp;"'!"&amp;G$111 )-Table351733[[#This Row],[Average effective tax rate in baseline scenario]]</f>
        <v>-1.0126101189669612</v>
      </c>
      <c r="H125"/>
      <c r="I125"/>
      <c r="J125"/>
      <c r="K125"/>
      <c r="O125" s="88"/>
      <c r="P125" s="94"/>
      <c r="R125" s="94"/>
    </row>
    <row r="126" spans="1:18" s="1" customFormat="1" x14ac:dyDescent="0.3">
      <c r="A126" s="1" t="s">
        <v>225</v>
      </c>
      <c r="B126" s="118" cm="1">
        <f t="array" aca="1" ref="B126" ca="1">INDIRECT("'2"&amp;$A126&amp;"'!"&amp;B$111 )</f>
        <v>5.114312040750236</v>
      </c>
      <c r="C126" s="118">
        <f ca="1">Table351733[[#This Row],[Average effective tax rate in baseline scenario]]-Table351733[[#This Row],[Average effective tax rate in baseline scenario]]</f>
        <v>0</v>
      </c>
      <c r="D126" s="118" cm="1">
        <f t="array" aca="1" ref="D126" ca="1">INDIRECT("'2"&amp;$A126&amp;"'!"&amp;D$111 )-Table351733[[#This Row],[Average effective tax rate in baseline scenario]]</f>
        <v>1.9951559366433544</v>
      </c>
      <c r="E126" s="118" cm="1">
        <f t="array" aca="1" ref="E126" ca="1">INDIRECT("'2"&amp;$A126&amp;"'!"&amp;E$111 )-Table351733[[#This Row],[Average effective tax rate in baseline scenario]]</f>
        <v>0.30331428704938546</v>
      </c>
      <c r="F126" s="118" cm="1">
        <f t="array" aca="1" ref="F126" ca="1">INDIRECT("'2"&amp;$A126&amp;"'!"&amp;F$111 )-Table351733[[#This Row],[Average effective tax rate in baseline scenario]]</f>
        <v>0.96752906050734122</v>
      </c>
      <c r="G126" s="118" cm="1">
        <f t="array" aca="1" ref="G126" ca="1">INDIRECT("'2"&amp;$A126&amp;"'!"&amp;G$111 )-Table351733[[#This Row],[Average effective tax rate in baseline scenario]]</f>
        <v>0.45089465915708793</v>
      </c>
      <c r="H126"/>
      <c r="I126"/>
      <c r="J126"/>
      <c r="K126"/>
      <c r="O126" s="88"/>
      <c r="P126" s="94"/>
      <c r="R126" s="94"/>
    </row>
    <row r="127" spans="1:18" s="1" customFormat="1" x14ac:dyDescent="0.3">
      <c r="A127" s="1" t="s">
        <v>252</v>
      </c>
      <c r="B127" s="118" cm="1">
        <f t="array" aca="1" ref="B127" ca="1">INDIRECT("'2"&amp;$A127&amp;"'!"&amp;B$111 )</f>
        <v>9.8157417281948369</v>
      </c>
      <c r="C127" s="118">
        <f ca="1">Table351733[[#This Row],[Average effective tax rate in baseline scenario]]-Table351733[[#This Row],[Average effective tax rate in baseline scenario]]</f>
        <v>0</v>
      </c>
      <c r="D127" s="118" cm="1">
        <f t="array" aca="1" ref="D127" ca="1">INDIRECT("'2"&amp;$A127&amp;"'!"&amp;D$111 )-Table351733[[#This Row],[Average effective tax rate in baseline scenario]]</f>
        <v>2.2169890221459259</v>
      </c>
      <c r="E127" s="118" cm="1">
        <f t="array" aca="1" ref="E127" ca="1">INDIRECT("'2"&amp;$A127&amp;"'!"&amp;E$111 )-Table351733[[#This Row],[Average effective tax rate in baseline scenario]]</f>
        <v>0.27595744660532695</v>
      </c>
      <c r="F127" s="118" cm="1">
        <f t="array" aca="1" ref="F127" ca="1">INDIRECT("'2"&amp;$A127&amp;"'!"&amp;F$111 )-Table351733[[#This Row],[Average effective tax rate in baseline scenario]]</f>
        <v>1.1811033197364225</v>
      </c>
      <c r="G127" s="118" cm="1">
        <f t="array" aca="1" ref="G127" ca="1">INDIRECT("'2"&amp;$A127&amp;"'!"&amp;G$111 )-Table351733[[#This Row],[Average effective tax rate in baseline scenario]]</f>
        <v>0.73414705284774584</v>
      </c>
      <c r="H127"/>
      <c r="I127"/>
      <c r="J127"/>
      <c r="K127"/>
      <c r="O127" s="88"/>
      <c r="P127" s="94"/>
      <c r="R127" s="94"/>
    </row>
    <row r="128" spans="1:18" s="1" customFormat="1" x14ac:dyDescent="0.3">
      <c r="A128" s="1" t="s">
        <v>254</v>
      </c>
      <c r="B128" s="118" cm="1">
        <f t="array" aca="1" ref="B128" ca="1">INDIRECT("'2"&amp;$A128&amp;"'!"&amp;B$111 )</f>
        <v>7.3353862232176814</v>
      </c>
      <c r="C128" s="118">
        <f ca="1">Table351733[[#This Row],[Average effective tax rate in baseline scenario]]-Table351733[[#This Row],[Average effective tax rate in baseline scenario]]</f>
        <v>0</v>
      </c>
      <c r="D128" s="118" cm="1">
        <f t="array" aca="1" ref="D128" ca="1">INDIRECT("'2"&amp;$A128&amp;"'!"&amp;D$111 )-Table351733[[#This Row],[Average effective tax rate in baseline scenario]]</f>
        <v>2.3621055793352044</v>
      </c>
      <c r="E128" s="118" cm="1">
        <f t="array" aca="1" ref="E128" ca="1">INDIRECT("'2"&amp;$A128&amp;"'!"&amp;E$111 )-Table351733[[#This Row],[Average effective tax rate in baseline scenario]]</f>
        <v>0.87607903423243538</v>
      </c>
      <c r="F128" s="118" cm="1">
        <f t="array" aca="1" ref="F128" ca="1">INDIRECT("'2"&amp;$A128&amp;"'!"&amp;F$111 )-Table351733[[#This Row],[Average effective tax rate in baseline scenario]]</f>
        <v>1.3632933970918559</v>
      </c>
      <c r="G128" s="118" cm="1">
        <f t="array" aca="1" ref="G128" ca="1">INDIRECT("'2"&amp;$A128&amp;"'!"&amp;G$111 )-Table351733[[#This Row],[Average effective tax rate in baseline scenario]]</f>
        <v>0.92384467382068269</v>
      </c>
      <c r="H128"/>
      <c r="I128"/>
      <c r="J128"/>
      <c r="K128"/>
      <c r="O128" s="91"/>
      <c r="P128" s="95"/>
      <c r="Q128" s="92"/>
      <c r="R128" s="95"/>
    </row>
    <row r="129" spans="1:18" s="1" customFormat="1" x14ac:dyDescent="0.3">
      <c r="A129" s="1" t="s">
        <v>210</v>
      </c>
      <c r="B129" s="118" cm="1">
        <f t="array" aca="1" ref="B129" ca="1">INDIRECT("'2"&amp;$A129&amp;"'!"&amp;B$111 )</f>
        <v>17.90065301033205</v>
      </c>
      <c r="C129" s="118">
        <f ca="1">Table351733[[#This Row],[Average effective tax rate in baseline scenario]]-Table351733[[#This Row],[Average effective tax rate in baseline scenario]]</f>
        <v>0</v>
      </c>
      <c r="D129" s="118" cm="1">
        <f t="array" aca="1" ref="D129" ca="1">INDIRECT("'2"&amp;$A129&amp;"'!"&amp;D$111 )-Table351733[[#This Row],[Average effective tax rate in baseline scenario]]</f>
        <v>2.3680451575596884</v>
      </c>
      <c r="E129" s="118" cm="1">
        <f t="array" aca="1" ref="E129" ca="1">INDIRECT("'2"&amp;$A129&amp;"'!"&amp;E$111 )-Table351733[[#This Row],[Average effective tax rate in baseline scenario]]</f>
        <v>0.89173883131218545</v>
      </c>
      <c r="F129" s="118" cm="1">
        <f t="array" aca="1" ref="F129" ca="1">INDIRECT("'2"&amp;$A129&amp;"'!"&amp;F$111 )-Table351733[[#This Row],[Average effective tax rate in baseline scenario]]</f>
        <v>0.8887966152048179</v>
      </c>
      <c r="G129" s="118" cm="1">
        <f t="array" aca="1" ref="G129" ca="1">INDIRECT("'2"&amp;$A129&amp;"'!"&amp;G$111 )-Table351733[[#This Row],[Average effective tax rate in baseline scenario]]</f>
        <v>0.38248441299181835</v>
      </c>
      <c r="H129"/>
      <c r="I129"/>
      <c r="J129"/>
      <c r="K129"/>
      <c r="O129" s="88"/>
      <c r="P129" s="94"/>
      <c r="Q129" s="99"/>
      <c r="R129" s="100"/>
    </row>
    <row r="130" spans="1:18" s="1" customFormat="1" x14ac:dyDescent="0.3">
      <c r="A130" s="1" t="s">
        <v>204</v>
      </c>
      <c r="B130" s="118" cm="1">
        <f t="array" aca="1" ref="B130" ca="1">INDIRECT("'2"&amp;$A130&amp;"'!"&amp;B$111 )</f>
        <v>21.568472135823413</v>
      </c>
      <c r="C130" s="118">
        <f ca="1">Table351733[[#This Row],[Average effective tax rate in baseline scenario]]-Table351733[[#This Row],[Average effective tax rate in baseline scenario]]</f>
        <v>0</v>
      </c>
      <c r="D130" s="118" cm="1">
        <f t="array" aca="1" ref="D130" ca="1">INDIRECT("'2"&amp;$A130&amp;"'!"&amp;D$111 )-Table351733[[#This Row],[Average effective tax rate in baseline scenario]]</f>
        <v>2.39115647683386</v>
      </c>
      <c r="E130" s="118" cm="1">
        <f t="array" aca="1" ref="E130" ca="1">INDIRECT("'2"&amp;$A130&amp;"'!"&amp;E$111 )-Table351733[[#This Row],[Average effective tax rate in baseline scenario]]</f>
        <v>-1.2572097850488859</v>
      </c>
      <c r="F130" s="118" cm="1">
        <f t="array" aca="1" ref="F130" ca="1">INDIRECT("'2"&amp;$A130&amp;"'!"&amp;F$111 )-Table351733[[#This Row],[Average effective tax rate in baseline scenario]]</f>
        <v>-0.34265559684279268</v>
      </c>
      <c r="G130" s="118" cm="1">
        <f t="array" aca="1" ref="G130" ca="1">INDIRECT("'2"&amp;$A130&amp;"'!"&amp;G$111 )-Table351733[[#This Row],[Average effective tax rate in baseline scenario]]</f>
        <v>-0.53270544136048059</v>
      </c>
      <c r="H130"/>
      <c r="I130"/>
      <c r="J130"/>
      <c r="K130"/>
      <c r="O130" s="88"/>
      <c r="P130" s="94"/>
      <c r="Q130" s="88"/>
      <c r="R130" s="94"/>
    </row>
    <row r="131" spans="1:18" s="1" customFormat="1" x14ac:dyDescent="0.3">
      <c r="A131" s="1" t="s">
        <v>3</v>
      </c>
      <c r="B131" s="118" cm="1">
        <f t="array" aca="1" ref="B131" ca="1">INDIRECT("'2"&amp;$A131&amp;"'!"&amp;B$111 )</f>
        <v>12.815526995511552</v>
      </c>
      <c r="C131" s="118">
        <f ca="1">Table351733[[#This Row],[Average effective tax rate in baseline scenario]]-Table351733[[#This Row],[Average effective tax rate in baseline scenario]]</f>
        <v>0</v>
      </c>
      <c r="D131" s="118" cm="1">
        <f t="array" aca="1" ref="D131" ca="1">INDIRECT("'2"&amp;$A131&amp;"'!"&amp;D$111 )-Table351733[[#This Row],[Average effective tax rate in baseline scenario]]</f>
        <v>2.4840519125462492</v>
      </c>
      <c r="E131" s="118" cm="1">
        <f t="array" aca="1" ref="E131" ca="1">INDIRECT("'2"&amp;$A131&amp;"'!"&amp;E$111 )-Table351733[[#This Row],[Average effective tax rate in baseline scenario]]</f>
        <v>0.80914110992747545</v>
      </c>
      <c r="F131" s="118" cm="1">
        <f t="array" aca="1" ref="F131" ca="1">INDIRECT("'2"&amp;$A131&amp;"'!"&amp;F$111 )-Table351733[[#This Row],[Average effective tax rate in baseline scenario]]</f>
        <v>0.87145713988758011</v>
      </c>
      <c r="G131" s="118" cm="1">
        <f t="array" aca="1" ref="G131" ca="1">INDIRECT("'2"&amp;$A131&amp;"'!"&amp;G$111 )-Table351733[[#This Row],[Average effective tax rate in baseline scenario]]</f>
        <v>0.16762247067311264</v>
      </c>
      <c r="H131"/>
      <c r="I131"/>
      <c r="J131"/>
      <c r="K131"/>
      <c r="O131" s="89"/>
      <c r="P131" s="96"/>
      <c r="Q131" s="88"/>
      <c r="R131" s="96"/>
    </row>
    <row r="132" spans="1:18" s="1" customFormat="1" x14ac:dyDescent="0.3">
      <c r="A132" s="1" t="s">
        <v>242</v>
      </c>
      <c r="B132" s="118" cm="1">
        <f t="array" aca="1" ref="B132" ca="1">INDIRECT("'2"&amp;$A132&amp;"'!"&amp;B$111 )</f>
        <v>13.148449627181154</v>
      </c>
      <c r="C132" s="118">
        <f ca="1">Table351733[[#This Row],[Average effective tax rate in baseline scenario]]-Table351733[[#This Row],[Average effective tax rate in baseline scenario]]</f>
        <v>0</v>
      </c>
      <c r="D132" s="118" cm="1">
        <f t="array" aca="1" ref="D132" ca="1">INDIRECT("'2"&amp;$A132&amp;"'!"&amp;D$111 )-Table351733[[#This Row],[Average effective tax rate in baseline scenario]]</f>
        <v>2.632211118469348</v>
      </c>
      <c r="E132" s="118" cm="1">
        <f t="array" aca="1" ref="E132" ca="1">INDIRECT("'2"&amp;$A132&amp;"'!"&amp;E$111 )-Table351733[[#This Row],[Average effective tax rate in baseline scenario]]</f>
        <v>0.85462094584496739</v>
      </c>
      <c r="F132" s="118" cm="1">
        <f t="array" aca="1" ref="F132" ca="1">INDIRECT("'2"&amp;$A132&amp;"'!"&amp;F$111 )-Table351733[[#This Row],[Average effective tax rate in baseline scenario]]</f>
        <v>1.5216023332396009</v>
      </c>
      <c r="G132" s="118" cm="1">
        <f t="array" aca="1" ref="G132" ca="1">INDIRECT("'2"&amp;$A132&amp;"'!"&amp;G$111 )-Table351733[[#This Row],[Average effective tax rate in baseline scenario]]</f>
        <v>1.180807268375645</v>
      </c>
      <c r="H132"/>
      <c r="I132"/>
      <c r="J132"/>
      <c r="K132"/>
      <c r="O132" s="88"/>
      <c r="P132" s="94"/>
      <c r="Q132" s="88"/>
      <c r="R132" s="94"/>
    </row>
    <row r="133" spans="1:18" s="1" customFormat="1" x14ac:dyDescent="0.3">
      <c r="A133" s="1" t="s">
        <v>240</v>
      </c>
      <c r="B133" s="118" cm="1">
        <f t="array" aca="1" ref="B133" ca="1">INDIRECT("'2"&amp;$A133&amp;"'!"&amp;B$111 )</f>
        <v>17.99921793306866</v>
      </c>
      <c r="C133" s="118">
        <f ca="1">Table351733[[#This Row],[Average effective tax rate in baseline scenario]]-Table351733[[#This Row],[Average effective tax rate in baseline scenario]]</f>
        <v>0</v>
      </c>
      <c r="D133" s="118" cm="1">
        <f t="array" aca="1" ref="D133" ca="1">INDIRECT("'2"&amp;$A133&amp;"'!"&amp;D$111 )-Table351733[[#This Row],[Average effective tax rate in baseline scenario]]</f>
        <v>2.7104726807795636</v>
      </c>
      <c r="E133" s="118" cm="1">
        <f t="array" aca="1" ref="E133" ca="1">INDIRECT("'2"&amp;$A133&amp;"'!"&amp;E$111 )-Table351733[[#This Row],[Average effective tax rate in baseline scenario]]</f>
        <v>0.10136354179969587</v>
      </c>
      <c r="F133" s="118" cm="1">
        <f t="array" aca="1" ref="F133" ca="1">INDIRECT("'2"&amp;$A133&amp;"'!"&amp;F$111 )-Table351733[[#This Row],[Average effective tax rate in baseline scenario]]</f>
        <v>0.70848452572660392</v>
      </c>
      <c r="G133" s="118" cm="1">
        <f t="array" aca="1" ref="G133" ca="1">INDIRECT("'2"&amp;$A133&amp;"'!"&amp;G$111 )-Table351733[[#This Row],[Average effective tax rate in baseline scenario]]</f>
        <v>0.51074680645703552</v>
      </c>
      <c r="H133"/>
      <c r="I133"/>
      <c r="J133"/>
      <c r="K133"/>
      <c r="O133" s="89"/>
      <c r="P133" s="96"/>
      <c r="Q133" s="88"/>
      <c r="R133" s="96"/>
    </row>
    <row r="134" spans="1:18" s="1" customFormat="1" x14ac:dyDescent="0.3">
      <c r="A134" s="115" t="s">
        <v>304</v>
      </c>
      <c r="B134" s="120" t="e" cm="1">
        <f t="array" aca="1" ref="B134" ca="1">INDIRECT("'2"&amp;$A134&amp;"'!"&amp;B$111 )</f>
        <v>#REF!</v>
      </c>
      <c r="C134" s="120" t="e">
        <f ca="1">Table351733[[#This Row],[Average effective tax rate in baseline scenario]]-Table351733[[#This Row],[Average effective tax rate in baseline scenario]]</f>
        <v>#REF!</v>
      </c>
      <c r="D134" s="118" t="e" cm="1">
        <f t="array" aca="1" ref="D134" ca="1">INDIRECT("'2"&amp;$A134&amp;"'!"&amp;D$111 )-Table351733[[#This Row],[Average effective tax rate in baseline scenario]]</f>
        <v>#REF!</v>
      </c>
      <c r="E134" s="118" t="e" cm="1">
        <f t="array" aca="1" ref="E134" ca="1">INDIRECT("'2"&amp;$A134&amp;"'!"&amp;E$111 )-Table351733[[#This Row],[Average effective tax rate in baseline scenario]]</f>
        <v>#REF!</v>
      </c>
      <c r="F134" s="118" t="e" cm="1">
        <f t="array" aca="1" ref="F134" ca="1">INDIRECT("'2"&amp;$A134&amp;"'!"&amp;F$111 )-Table351733[[#This Row],[Average effective tax rate in baseline scenario]]</f>
        <v>#REF!</v>
      </c>
      <c r="G134" s="118" t="e" cm="1">
        <f t="array" aca="1" ref="G134" ca="1">INDIRECT("'2"&amp;$A134&amp;"'!"&amp;G$111 )-Table351733[[#This Row],[Average effective tax rate in baseline scenario]]</f>
        <v>#REF!</v>
      </c>
      <c r="H134"/>
      <c r="I134"/>
      <c r="J134"/>
      <c r="K134"/>
      <c r="O134" s="88"/>
      <c r="P134" s="94"/>
      <c r="Q134" s="88"/>
      <c r="R134" s="94"/>
    </row>
    <row r="135" spans="1:18" s="1" customFormat="1" x14ac:dyDescent="0.3">
      <c r="A135" s="115" t="s">
        <v>305</v>
      </c>
      <c r="B135" s="120" t="e" cm="1">
        <f t="array" aca="1" ref="B135" ca="1">INDIRECT("'2"&amp;$A135&amp;"'!"&amp;B$111 )</f>
        <v>#REF!</v>
      </c>
      <c r="C135" s="120" t="e">
        <f ca="1">Table351733[[#This Row],[Average effective tax rate in baseline scenario]]-Table351733[[#This Row],[Average effective tax rate in baseline scenario]]</f>
        <v>#REF!</v>
      </c>
      <c r="D135" s="118" t="e" cm="1">
        <f t="array" aca="1" ref="D135" ca="1">INDIRECT("'2"&amp;$A135&amp;"'!"&amp;D$111 )-Table351733[[#This Row],[Average effective tax rate in baseline scenario]]</f>
        <v>#REF!</v>
      </c>
      <c r="E135" s="118" t="e" cm="1">
        <f t="array" aca="1" ref="E135" ca="1">INDIRECT("'2"&amp;$A135&amp;"'!"&amp;E$111 )-Table351733[[#This Row],[Average effective tax rate in baseline scenario]]</f>
        <v>#REF!</v>
      </c>
      <c r="F135" s="118" t="e" cm="1">
        <f t="array" aca="1" ref="F135" ca="1">INDIRECT("'2"&amp;$A135&amp;"'!"&amp;F$111 )-Table351733[[#This Row],[Average effective tax rate in baseline scenario]]</f>
        <v>#REF!</v>
      </c>
      <c r="G135" s="118" t="e" cm="1">
        <f t="array" aca="1" ref="G135" ca="1">INDIRECT("'2"&amp;$A135&amp;"'!"&amp;G$111 )-Table351733[[#This Row],[Average effective tax rate in baseline scenario]]</f>
        <v>#REF!</v>
      </c>
      <c r="H135"/>
      <c r="I135"/>
      <c r="J135"/>
      <c r="K135"/>
      <c r="O135" s="89"/>
      <c r="P135" s="96"/>
      <c r="Q135" s="88"/>
      <c r="R135" s="96"/>
    </row>
    <row r="136" spans="1:18" s="1" customFormat="1" x14ac:dyDescent="0.3">
      <c r="A136" s="115" t="s">
        <v>306</v>
      </c>
      <c r="B136" s="120" t="e" cm="1">
        <f t="array" aca="1" ref="B136" ca="1">INDIRECT("'2"&amp;$A136&amp;"'!"&amp;B$111 )</f>
        <v>#REF!</v>
      </c>
      <c r="C136" s="120" t="e">
        <f ca="1">Table351733[[#This Row],[Average effective tax rate in baseline scenario]]-Table351733[[#This Row],[Average effective tax rate in baseline scenario]]</f>
        <v>#REF!</v>
      </c>
      <c r="D136" s="118" t="e" cm="1">
        <f t="array" aca="1" ref="D136" ca="1">INDIRECT("'2"&amp;$A136&amp;"'!"&amp;D$111 )-Table351733[[#This Row],[Average effective tax rate in baseline scenario]]</f>
        <v>#REF!</v>
      </c>
      <c r="E136" s="118" t="e" cm="1">
        <f t="array" aca="1" ref="E136" ca="1">INDIRECT("'2"&amp;$A136&amp;"'!"&amp;E$111 )-Table351733[[#This Row],[Average effective tax rate in baseline scenario]]</f>
        <v>#REF!</v>
      </c>
      <c r="F136" s="118" t="e" cm="1">
        <f t="array" aca="1" ref="F136" ca="1">INDIRECT("'2"&amp;$A136&amp;"'!"&amp;F$111 )-Table351733[[#This Row],[Average effective tax rate in baseline scenario]]</f>
        <v>#REF!</v>
      </c>
      <c r="G136" s="118" t="e" cm="1">
        <f t="array" aca="1" ref="G136" ca="1">INDIRECT("'2"&amp;$A136&amp;"'!"&amp;G$111 )-Table351733[[#This Row],[Average effective tax rate in baseline scenario]]</f>
        <v>#REF!</v>
      </c>
      <c r="H136"/>
      <c r="I136"/>
      <c r="J136"/>
      <c r="K136"/>
      <c r="L136" s="86"/>
      <c r="M136" s="86"/>
      <c r="N136" s="86"/>
      <c r="O136" s="88"/>
      <c r="P136" s="94"/>
      <c r="Q136" s="88"/>
      <c r="R136" s="94"/>
    </row>
    <row r="137" spans="1:18" s="1" customFormat="1" x14ac:dyDescent="0.3">
      <c r="A137" s="115" t="s">
        <v>307</v>
      </c>
      <c r="B137" s="120" t="e" cm="1">
        <f t="array" aca="1" ref="B137" ca="1">INDIRECT("'2"&amp;$A137&amp;"'!"&amp;B$111 )</f>
        <v>#REF!</v>
      </c>
      <c r="C137" s="120" t="e">
        <f ca="1">Table351733[[#This Row],[Average effective tax rate in baseline scenario]]-Table351733[[#This Row],[Average effective tax rate in baseline scenario]]</f>
        <v>#REF!</v>
      </c>
      <c r="D137" s="118" t="e" cm="1">
        <f t="array" aca="1" ref="D137" ca="1">INDIRECT("'2"&amp;$A137&amp;"'!"&amp;D$111 )-Table351733[[#This Row],[Average effective tax rate in baseline scenario]]</f>
        <v>#REF!</v>
      </c>
      <c r="E137" s="118" t="e" cm="1">
        <f t="array" aca="1" ref="E137" ca="1">INDIRECT("'2"&amp;$A137&amp;"'!"&amp;E$111 )-Table351733[[#This Row],[Average effective tax rate in baseline scenario]]</f>
        <v>#REF!</v>
      </c>
      <c r="F137" s="118" t="e" cm="1">
        <f t="array" aca="1" ref="F137" ca="1">INDIRECT("'2"&amp;$A137&amp;"'!"&amp;F$111 )-Table351733[[#This Row],[Average effective tax rate in baseline scenario]]</f>
        <v>#REF!</v>
      </c>
      <c r="G137" s="118" t="e" cm="1">
        <f t="array" aca="1" ref="G137" ca="1">INDIRECT("'2"&amp;$A137&amp;"'!"&amp;G$111 )-Table351733[[#This Row],[Average effective tax rate in baseline scenario]]</f>
        <v>#REF!</v>
      </c>
      <c r="H137"/>
      <c r="I137"/>
      <c r="J137"/>
      <c r="K137"/>
      <c r="O137" s="88"/>
      <c r="P137" s="94"/>
      <c r="Q137" s="88"/>
      <c r="R137" s="94"/>
    </row>
    <row r="138" spans="1:18" s="1" customFormat="1" x14ac:dyDescent="0.3">
      <c r="A138" s="115" t="s">
        <v>308</v>
      </c>
      <c r="B138" s="120" t="e" cm="1">
        <f t="array" aca="1" ref="B138" ca="1">INDIRECT("'2"&amp;$A138&amp;"'!"&amp;B$111 )</f>
        <v>#REF!</v>
      </c>
      <c r="C138" s="120" t="e">
        <f ca="1">Table351733[[#This Row],[Average effective tax rate in baseline scenario]]-Table351733[[#This Row],[Average effective tax rate in baseline scenario]]</f>
        <v>#REF!</v>
      </c>
      <c r="D138" s="118" t="e" cm="1">
        <f t="array" aca="1" ref="D138" ca="1">INDIRECT("'2"&amp;$A138&amp;"'!"&amp;D$111 )-Table351733[[#This Row],[Average effective tax rate in baseline scenario]]</f>
        <v>#REF!</v>
      </c>
      <c r="E138" s="118" t="e" cm="1">
        <f t="array" aca="1" ref="E138" ca="1">INDIRECT("'2"&amp;$A138&amp;"'!"&amp;E$111 )-Table351733[[#This Row],[Average effective tax rate in baseline scenario]]</f>
        <v>#REF!</v>
      </c>
      <c r="F138" s="118" t="e" cm="1">
        <f t="array" aca="1" ref="F138" ca="1">INDIRECT("'2"&amp;$A138&amp;"'!"&amp;F$111 )-Table351733[[#This Row],[Average effective tax rate in baseline scenario]]</f>
        <v>#REF!</v>
      </c>
      <c r="G138" s="118" t="e" cm="1">
        <f t="array" aca="1" ref="G138" ca="1">INDIRECT("'2"&amp;$A138&amp;"'!"&amp;G$111 )-Table351733[[#This Row],[Average effective tax rate in baseline scenario]]</f>
        <v>#REF!</v>
      </c>
      <c r="H138"/>
      <c r="I138"/>
      <c r="J138"/>
      <c r="K138"/>
      <c r="L138" s="86"/>
      <c r="M138" s="86"/>
      <c r="N138" s="86"/>
      <c r="O138" s="88"/>
      <c r="P138" s="94"/>
      <c r="Q138" s="88"/>
      <c r="R138" s="94"/>
    </row>
    <row r="139" spans="1:18" s="1" customFormat="1" x14ac:dyDescent="0.3">
      <c r="A139" s="115" t="s">
        <v>309</v>
      </c>
      <c r="B139" s="120" t="e" cm="1">
        <f t="array" aca="1" ref="B139" ca="1">INDIRECT("'2"&amp;$A139&amp;"'!"&amp;B$111 )</f>
        <v>#REF!</v>
      </c>
      <c r="C139" s="120" t="e">
        <f ca="1">Table351733[[#This Row],[Average effective tax rate in baseline scenario]]-Table351733[[#This Row],[Average effective tax rate in baseline scenario]]</f>
        <v>#REF!</v>
      </c>
      <c r="D139" s="118" t="e" cm="1">
        <f t="array" aca="1" ref="D139" ca="1">INDIRECT("'2"&amp;$A139&amp;"'!"&amp;D$111 )-Table351733[[#This Row],[Average effective tax rate in baseline scenario]]</f>
        <v>#REF!</v>
      </c>
      <c r="E139" s="118" t="e" cm="1">
        <f t="array" aca="1" ref="E139" ca="1">INDIRECT("'2"&amp;$A139&amp;"'!"&amp;E$111 )-Table351733[[#This Row],[Average effective tax rate in baseline scenario]]</f>
        <v>#REF!</v>
      </c>
      <c r="F139" s="118" t="e" cm="1">
        <f t="array" aca="1" ref="F139" ca="1">INDIRECT("'2"&amp;$A139&amp;"'!"&amp;F$111 )-Table351733[[#This Row],[Average effective tax rate in baseline scenario]]</f>
        <v>#REF!</v>
      </c>
      <c r="G139" s="118" t="e" cm="1">
        <f t="array" aca="1" ref="G139" ca="1">INDIRECT("'2"&amp;$A139&amp;"'!"&amp;G$111 )-Table351733[[#This Row],[Average effective tax rate in baseline scenario]]</f>
        <v>#REF!</v>
      </c>
      <c r="H139"/>
      <c r="I139"/>
      <c r="J139"/>
      <c r="K139"/>
      <c r="L139" s="86"/>
      <c r="M139" s="86"/>
      <c r="N139" s="86"/>
      <c r="O139" s="89"/>
      <c r="P139" s="96"/>
      <c r="Q139" s="88"/>
      <c r="R139" s="96"/>
    </row>
    <row r="140" spans="1:18" s="1" customFormat="1" x14ac:dyDescent="0.3">
      <c r="A140" s="115" t="s">
        <v>310</v>
      </c>
      <c r="B140" s="120" t="e" cm="1">
        <f t="array" aca="1" ref="B140" ca="1">INDIRECT("'2"&amp;$A140&amp;"'!"&amp;B$111 )</f>
        <v>#REF!</v>
      </c>
      <c r="C140" s="120" t="e">
        <f ca="1">Table351733[[#This Row],[Average effective tax rate in baseline scenario]]-Table351733[[#This Row],[Average effective tax rate in baseline scenario]]</f>
        <v>#REF!</v>
      </c>
      <c r="D140" s="118" t="e" cm="1">
        <f t="array" aca="1" ref="D140" ca="1">INDIRECT("'2"&amp;$A140&amp;"'!"&amp;D$111 )-Table351733[[#This Row],[Average effective tax rate in baseline scenario]]</f>
        <v>#REF!</v>
      </c>
      <c r="E140" s="118" t="e" cm="1">
        <f t="array" aca="1" ref="E140" ca="1">INDIRECT("'2"&amp;$A140&amp;"'!"&amp;E$111 )-Table351733[[#This Row],[Average effective tax rate in baseline scenario]]</f>
        <v>#REF!</v>
      </c>
      <c r="F140" s="118" t="e" cm="1">
        <f t="array" aca="1" ref="F140" ca="1">INDIRECT("'2"&amp;$A140&amp;"'!"&amp;F$111 )-Table351733[[#This Row],[Average effective tax rate in baseline scenario]]</f>
        <v>#REF!</v>
      </c>
      <c r="G140" s="118" t="e" cm="1">
        <f t="array" aca="1" ref="G140" ca="1">INDIRECT("'2"&amp;$A140&amp;"'!"&amp;G$111 )-Table351733[[#This Row],[Average effective tax rate in baseline scenario]]</f>
        <v>#REF!</v>
      </c>
      <c r="H140"/>
      <c r="I140"/>
      <c r="J140"/>
      <c r="K140"/>
      <c r="O140" s="89"/>
      <c r="P140" s="96"/>
      <c r="Q140" s="88"/>
      <c r="R140" s="96"/>
    </row>
    <row r="141" spans="1:18" s="1" customFormat="1" x14ac:dyDescent="0.3">
      <c r="A141" s="115" t="s">
        <v>311</v>
      </c>
      <c r="B141" s="120" t="e" cm="1">
        <f t="array" aca="1" ref="B141" ca="1">INDIRECT("'2"&amp;$A141&amp;"'!"&amp;B$111 )</f>
        <v>#REF!</v>
      </c>
      <c r="C141" s="120" t="e">
        <f ca="1">Table351733[[#This Row],[Average effective tax rate in baseline scenario]]-Table351733[[#This Row],[Average effective tax rate in baseline scenario]]</f>
        <v>#REF!</v>
      </c>
      <c r="D141" s="118" t="e" cm="1">
        <f t="array" aca="1" ref="D141" ca="1">INDIRECT("'2"&amp;$A141&amp;"'!"&amp;D$111 )-Table351733[[#This Row],[Average effective tax rate in baseline scenario]]</f>
        <v>#REF!</v>
      </c>
      <c r="E141" s="118" t="e" cm="1">
        <f t="array" aca="1" ref="E141" ca="1">INDIRECT("'2"&amp;$A141&amp;"'!"&amp;E$111 )-Table351733[[#This Row],[Average effective tax rate in baseline scenario]]</f>
        <v>#REF!</v>
      </c>
      <c r="F141" s="118" t="e" cm="1">
        <f t="array" aca="1" ref="F141" ca="1">INDIRECT("'2"&amp;$A141&amp;"'!"&amp;F$111 )-Table351733[[#This Row],[Average effective tax rate in baseline scenario]]</f>
        <v>#REF!</v>
      </c>
      <c r="G141" s="118" t="e" cm="1">
        <f t="array" aca="1" ref="G141" ca="1">INDIRECT("'2"&amp;$A141&amp;"'!"&amp;G$111 )-Table351733[[#This Row],[Average effective tax rate in baseline scenario]]</f>
        <v>#REF!</v>
      </c>
      <c r="H141"/>
      <c r="I141"/>
      <c r="J141"/>
      <c r="K141"/>
      <c r="O141" s="88"/>
      <c r="P141" s="94"/>
      <c r="Q141" s="88"/>
      <c r="R141" s="94"/>
    </row>
    <row r="142" spans="1:18" s="1" customFormat="1" x14ac:dyDescent="0.3">
      <c r="O142" s="88"/>
      <c r="P142" s="94"/>
      <c r="Q142" s="88"/>
      <c r="R142" s="94"/>
    </row>
    <row r="143" spans="1:18" s="1" customFormat="1" x14ac:dyDescent="0.3">
      <c r="O143" s="88"/>
      <c r="P143" s="94"/>
      <c r="Q143" s="88"/>
      <c r="R143" s="94"/>
    </row>
    <row r="144" spans="1:18" s="1" customFormat="1" x14ac:dyDescent="0.3">
      <c r="O144" s="91"/>
      <c r="P144" s="95"/>
      <c r="Q144" s="91"/>
      <c r="R144" s="95"/>
    </row>
    <row r="145" spans="1:19" s="85" customFormat="1" ht="36.6" customHeight="1" x14ac:dyDescent="0.3">
      <c r="A145" s="181" t="s">
        <v>607</v>
      </c>
      <c r="O145" s="87"/>
      <c r="P145" s="93"/>
      <c r="R145" s="93"/>
    </row>
    <row r="146" spans="1:19" s="1" customFormat="1" x14ac:dyDescent="0.3">
      <c r="O146" s="88"/>
      <c r="P146" s="94"/>
      <c r="R146" s="94"/>
    </row>
    <row r="147" spans="1:19" s="1" customFormat="1" x14ac:dyDescent="0.3">
      <c r="A147" s="1" t="s">
        <v>289</v>
      </c>
      <c r="B147" s="551" t="s">
        <v>425</v>
      </c>
      <c r="C147" s="1" t="s">
        <v>417</v>
      </c>
      <c r="D147" s="1" t="s">
        <v>418</v>
      </c>
      <c r="E147" s="1" t="s">
        <v>419</v>
      </c>
      <c r="F147" s="1" t="s">
        <v>420</v>
      </c>
      <c r="G147" s="1" t="s">
        <v>421</v>
      </c>
      <c r="O147" s="88"/>
      <c r="P147" s="94"/>
      <c r="R147" s="94"/>
    </row>
    <row r="148" spans="1:19" s="1" customFormat="1" ht="43.2" x14ac:dyDescent="0.3">
      <c r="A148" s="109" t="s">
        <v>316</v>
      </c>
      <c r="B148" s="105" t="s">
        <v>426</v>
      </c>
      <c r="C148" s="105" t="s">
        <v>427</v>
      </c>
      <c r="D148" s="105" t="s">
        <v>428</v>
      </c>
      <c r="E148" s="190" t="s">
        <v>414</v>
      </c>
      <c r="F148" s="105" t="s">
        <v>415</v>
      </c>
      <c r="G148" s="105" t="s">
        <v>416</v>
      </c>
      <c r="H148"/>
      <c r="I148"/>
      <c r="J148"/>
      <c r="K148"/>
      <c r="O148" s="91"/>
      <c r="P148" s="95"/>
      <c r="Q148" s="91"/>
      <c r="R148" s="95"/>
      <c r="S148" s="92"/>
    </row>
    <row r="149" spans="1:19" s="1" customFormat="1" x14ac:dyDescent="0.3">
      <c r="A149" s="115" t="s">
        <v>304</v>
      </c>
      <c r="B149" s="120" t="e" cm="1">
        <f t="array" aca="1" ref="B149" ca="1">INDIRECT("'2"&amp;$A149&amp;"'!"&amp;B$147 )</f>
        <v>#REF!</v>
      </c>
      <c r="C149" s="120" t="e" cm="1">
        <f t="array" aca="1" ref="C149" ca="1">INDIRECT("'2"&amp;$A149&amp;"'!"&amp;C$147 )-Table35173318[[#This Row],[Average effective tax rate in 2019]]</f>
        <v>#REF!</v>
      </c>
      <c r="D149" s="118" t="e" cm="1">
        <f t="array" aca="1" ref="D149" ca="1">INDIRECT("'2"&amp;$A149&amp;"'!"&amp;D$111 )-Table35173318[[#This Row],[Average effective tax rate in 2019]]</f>
        <v>#REF!</v>
      </c>
      <c r="E149" s="118" t="e" cm="1">
        <f t="array" aca="1" ref="E149" ca="1">INDIRECT("'2"&amp;$A149&amp;"'!"&amp;E$147 )-Table35173318[[#This Row],[Average effective tax rate in 2019]]</f>
        <v>#REF!</v>
      </c>
      <c r="F149" s="118" t="e" cm="1">
        <f t="array" aca="1" ref="F149" ca="1">INDIRECT("'2"&amp;$A149&amp;"'!"&amp;F$147 )-Table35173318[[#This Row],[Average effective tax rate in 2019]]</f>
        <v>#REF!</v>
      </c>
      <c r="G149" s="118" t="e" cm="1">
        <f t="array" aca="1" ref="G149" ca="1">INDIRECT("'2"&amp;$A149&amp;"'!"&amp;G$147 )-Table35173318[[#This Row],[Average effective tax rate in 2019]]</f>
        <v>#REF!</v>
      </c>
      <c r="H149"/>
      <c r="I149"/>
      <c r="J149"/>
      <c r="K149"/>
      <c r="O149" s="88"/>
      <c r="P149" s="94"/>
      <c r="R149" s="94"/>
    </row>
    <row r="150" spans="1:19" s="1" customFormat="1" x14ac:dyDescent="0.3">
      <c r="A150" s="115" t="s">
        <v>305</v>
      </c>
      <c r="B150" s="120" t="e" cm="1">
        <f t="array" aca="1" ref="B150" ca="1">INDIRECT("'2"&amp;$A150&amp;"'!"&amp;B$147 )</f>
        <v>#REF!</v>
      </c>
      <c r="C150" s="120" t="e" cm="1">
        <f t="array" aca="1" ref="C150" ca="1">INDIRECT("'2"&amp;$A150&amp;"'!"&amp;C$147 )-Table35173318[[#This Row],[Average effective tax rate in 2019]]</f>
        <v>#REF!</v>
      </c>
      <c r="D150" s="118" t="e" cm="1">
        <f t="array" aca="1" ref="D150" ca="1">INDIRECT("'2"&amp;$A150&amp;"'!"&amp;D$111 )-Table35173318[[#This Row],[Average effective tax rate in 2019]]</f>
        <v>#REF!</v>
      </c>
      <c r="E150" s="118" t="e" cm="1">
        <f t="array" aca="1" ref="E150" ca="1">INDIRECT("'2"&amp;$A150&amp;"'!"&amp;E$147 )-Table35173318[[#This Row],[Average effective tax rate in 2019]]</f>
        <v>#REF!</v>
      </c>
      <c r="F150" s="118" t="e" cm="1">
        <f t="array" aca="1" ref="F150" ca="1">INDIRECT("'2"&amp;$A150&amp;"'!"&amp;F$147 )-Table35173318[[#This Row],[Average effective tax rate in 2019]]</f>
        <v>#REF!</v>
      </c>
      <c r="G150" s="118" t="e" cm="1">
        <f t="array" aca="1" ref="G150" ca="1">INDIRECT("'2"&amp;$A150&amp;"'!"&amp;G$147 )-Table35173318[[#This Row],[Average effective tax rate in 2019]]</f>
        <v>#REF!</v>
      </c>
      <c r="H150"/>
      <c r="I150"/>
      <c r="J150"/>
      <c r="K150"/>
      <c r="O150" s="88"/>
      <c r="P150" s="94"/>
      <c r="R150" s="94"/>
    </row>
    <row r="151" spans="1:19" s="1" customFormat="1" x14ac:dyDescent="0.3">
      <c r="A151" s="115" t="s">
        <v>306</v>
      </c>
      <c r="B151" s="120" t="e" cm="1">
        <f t="array" aca="1" ref="B151" ca="1">INDIRECT("'2"&amp;$A151&amp;"'!"&amp;B$147 )</f>
        <v>#REF!</v>
      </c>
      <c r="C151" s="120" t="e" cm="1">
        <f t="array" aca="1" ref="C151" ca="1">INDIRECT("'2"&amp;$A151&amp;"'!"&amp;C$147 )-Table35173318[[#This Row],[Average effective tax rate in 2019]]</f>
        <v>#REF!</v>
      </c>
      <c r="D151" s="118" t="e" cm="1">
        <f t="array" aca="1" ref="D151" ca="1">INDIRECT("'2"&amp;$A151&amp;"'!"&amp;D$111 )-Table35173318[[#This Row],[Average effective tax rate in 2019]]</f>
        <v>#REF!</v>
      </c>
      <c r="E151" s="118" t="e" cm="1">
        <f t="array" aca="1" ref="E151" ca="1">INDIRECT("'2"&amp;$A151&amp;"'!"&amp;E$147 )-Table35173318[[#This Row],[Average effective tax rate in 2019]]</f>
        <v>#REF!</v>
      </c>
      <c r="F151" s="118" t="e" cm="1">
        <f t="array" aca="1" ref="F151" ca="1">INDIRECT("'2"&amp;$A151&amp;"'!"&amp;F$147 )-Table35173318[[#This Row],[Average effective tax rate in 2019]]</f>
        <v>#REF!</v>
      </c>
      <c r="G151" s="118" t="e" cm="1">
        <f t="array" aca="1" ref="G151" ca="1">INDIRECT("'2"&amp;$A151&amp;"'!"&amp;G$147 )-Table35173318[[#This Row],[Average effective tax rate in 2019]]</f>
        <v>#REF!</v>
      </c>
      <c r="H151"/>
      <c r="I151"/>
      <c r="J151"/>
      <c r="K151"/>
      <c r="L151" s="86"/>
      <c r="M151" s="86"/>
      <c r="N151" s="86"/>
      <c r="O151" s="89"/>
      <c r="P151" s="96"/>
      <c r="Q151" s="86"/>
      <c r="R151" s="96"/>
    </row>
    <row r="152" spans="1:19" s="1" customFormat="1" x14ac:dyDescent="0.3">
      <c r="A152" s="115" t="s">
        <v>307</v>
      </c>
      <c r="B152" s="120" t="e" cm="1">
        <f t="array" aca="1" ref="B152" ca="1">INDIRECT("'2"&amp;$A152&amp;"'!"&amp;B$147 )</f>
        <v>#REF!</v>
      </c>
      <c r="C152" s="120" t="e" cm="1">
        <f t="array" aca="1" ref="C152" ca="1">INDIRECT("'2"&amp;$A152&amp;"'!"&amp;C$147 )-Table35173318[[#This Row],[Average effective tax rate in 2019]]</f>
        <v>#REF!</v>
      </c>
      <c r="D152" s="118" t="e" cm="1">
        <f t="array" aca="1" ref="D152" ca="1">INDIRECT("'2"&amp;$A152&amp;"'!"&amp;D$111 )-Table35173318[[#This Row],[Average effective tax rate in 2019]]</f>
        <v>#REF!</v>
      </c>
      <c r="E152" s="118" t="e" cm="1">
        <f t="array" aca="1" ref="E152" ca="1">INDIRECT("'2"&amp;$A152&amp;"'!"&amp;E$147 )-Table35173318[[#This Row],[Average effective tax rate in 2019]]</f>
        <v>#REF!</v>
      </c>
      <c r="F152" s="118" t="e" cm="1">
        <f t="array" aca="1" ref="F152" ca="1">INDIRECT("'2"&amp;$A152&amp;"'!"&amp;F$147 )-Table35173318[[#This Row],[Average effective tax rate in 2019]]</f>
        <v>#REF!</v>
      </c>
      <c r="G152" s="118" t="e" cm="1">
        <f t="array" aca="1" ref="G152" ca="1">INDIRECT("'2"&amp;$A152&amp;"'!"&amp;G$147 )-Table35173318[[#This Row],[Average effective tax rate in 2019]]</f>
        <v>#REF!</v>
      </c>
      <c r="H152"/>
      <c r="I152"/>
      <c r="J152"/>
      <c r="K152"/>
      <c r="O152" s="88"/>
      <c r="P152" s="94"/>
      <c r="R152" s="94"/>
    </row>
    <row r="153" spans="1:19" s="1" customFormat="1" x14ac:dyDescent="0.3">
      <c r="A153" s="115" t="s">
        <v>308</v>
      </c>
      <c r="B153" s="120" t="e" cm="1">
        <f t="array" aca="1" ref="B153" ca="1">INDIRECT("'2"&amp;$A153&amp;"'!"&amp;B$147 )</f>
        <v>#REF!</v>
      </c>
      <c r="C153" s="120" t="e" cm="1">
        <f t="array" aca="1" ref="C153" ca="1">INDIRECT("'2"&amp;$A153&amp;"'!"&amp;C$147 )-Table35173318[[#This Row],[Average effective tax rate in 2019]]</f>
        <v>#REF!</v>
      </c>
      <c r="D153" s="118" t="e" cm="1">
        <f t="array" aca="1" ref="D153" ca="1">INDIRECT("'2"&amp;$A153&amp;"'!"&amp;D$111 )-Table35173318[[#This Row],[Average effective tax rate in 2019]]</f>
        <v>#REF!</v>
      </c>
      <c r="E153" s="118" t="e" cm="1">
        <f t="array" aca="1" ref="E153" ca="1">INDIRECT("'2"&amp;$A153&amp;"'!"&amp;E$147 )-Table35173318[[#This Row],[Average effective tax rate in 2019]]</f>
        <v>#REF!</v>
      </c>
      <c r="F153" s="118" t="e" cm="1">
        <f t="array" aca="1" ref="F153" ca="1">INDIRECT("'2"&amp;$A153&amp;"'!"&amp;F$147 )-Table35173318[[#This Row],[Average effective tax rate in 2019]]</f>
        <v>#REF!</v>
      </c>
      <c r="G153" s="118" t="e" cm="1">
        <f t="array" aca="1" ref="G153" ca="1">INDIRECT("'2"&amp;$A153&amp;"'!"&amp;G$147 )-Table35173318[[#This Row],[Average effective tax rate in 2019]]</f>
        <v>#REF!</v>
      </c>
      <c r="H153"/>
      <c r="I153"/>
      <c r="J153"/>
      <c r="K153"/>
      <c r="L153" s="86"/>
      <c r="M153" s="86"/>
      <c r="N153" s="86"/>
      <c r="O153" s="89"/>
      <c r="P153" s="96"/>
      <c r="Q153" s="86"/>
      <c r="R153" s="96"/>
    </row>
    <row r="154" spans="1:19" s="1" customFormat="1" x14ac:dyDescent="0.3">
      <c r="A154" s="115" t="s">
        <v>309</v>
      </c>
      <c r="B154" s="120" t="e" cm="1">
        <f t="array" aca="1" ref="B154" ca="1">INDIRECT("'2"&amp;$A154&amp;"'!"&amp;B$147 )</f>
        <v>#REF!</v>
      </c>
      <c r="C154" s="120" t="e" cm="1">
        <f t="array" aca="1" ref="C154" ca="1">INDIRECT("'2"&amp;$A154&amp;"'!"&amp;C$147 )-Table35173318[[#This Row],[Average effective tax rate in 2019]]</f>
        <v>#REF!</v>
      </c>
      <c r="D154" s="118" t="e" cm="1">
        <f t="array" aca="1" ref="D154" ca="1">INDIRECT("'2"&amp;$A154&amp;"'!"&amp;D$111 )-Table35173318[[#This Row],[Average effective tax rate in 2019]]</f>
        <v>#REF!</v>
      </c>
      <c r="E154" s="118" t="e" cm="1">
        <f t="array" aca="1" ref="E154" ca="1">INDIRECT("'2"&amp;$A154&amp;"'!"&amp;E$147 )-Table35173318[[#This Row],[Average effective tax rate in 2019]]</f>
        <v>#REF!</v>
      </c>
      <c r="F154" s="118" t="e" cm="1">
        <f t="array" aca="1" ref="F154" ca="1">INDIRECT("'2"&amp;$A154&amp;"'!"&amp;F$147 )-Table35173318[[#This Row],[Average effective tax rate in 2019]]</f>
        <v>#REF!</v>
      </c>
      <c r="G154" s="118" t="e" cm="1">
        <f t="array" aca="1" ref="G154" ca="1">INDIRECT("'2"&amp;$A154&amp;"'!"&amp;G$147 )-Table35173318[[#This Row],[Average effective tax rate in 2019]]</f>
        <v>#REF!</v>
      </c>
      <c r="H154"/>
      <c r="I154"/>
      <c r="J154"/>
      <c r="K154"/>
      <c r="O154" s="88"/>
      <c r="P154" s="94"/>
      <c r="R154" s="94"/>
    </row>
    <row r="155" spans="1:19" s="1" customFormat="1" x14ac:dyDescent="0.3">
      <c r="A155" s="115" t="s">
        <v>310</v>
      </c>
      <c r="B155" s="120" t="e" cm="1">
        <f t="array" aca="1" ref="B155" ca="1">INDIRECT("'2"&amp;$A155&amp;"'!"&amp;B$147 )</f>
        <v>#REF!</v>
      </c>
      <c r="C155" s="120" t="e" cm="1">
        <f t="array" aca="1" ref="C155" ca="1">INDIRECT("'2"&amp;$A155&amp;"'!"&amp;C$147 )-Table35173318[[#This Row],[Average effective tax rate in 2019]]</f>
        <v>#REF!</v>
      </c>
      <c r="D155" s="118" t="e" cm="1">
        <f t="array" aca="1" ref="D155" ca="1">INDIRECT("'2"&amp;$A155&amp;"'!"&amp;D$111 )-Table35173318[[#This Row],[Average effective tax rate in 2019]]</f>
        <v>#REF!</v>
      </c>
      <c r="E155" s="118" t="e" cm="1">
        <f t="array" aca="1" ref="E155" ca="1">INDIRECT("'2"&amp;$A155&amp;"'!"&amp;E$147 )-Table35173318[[#This Row],[Average effective tax rate in 2019]]</f>
        <v>#REF!</v>
      </c>
      <c r="F155" s="118" t="e" cm="1">
        <f t="array" aca="1" ref="F155" ca="1">INDIRECT("'2"&amp;$A155&amp;"'!"&amp;F$147 )-Table35173318[[#This Row],[Average effective tax rate in 2019]]</f>
        <v>#REF!</v>
      </c>
      <c r="G155" s="118" t="e" cm="1">
        <f t="array" aca="1" ref="G155" ca="1">INDIRECT("'2"&amp;$A155&amp;"'!"&amp;G$147 )-Table35173318[[#This Row],[Average effective tax rate in 2019]]</f>
        <v>#REF!</v>
      </c>
      <c r="H155"/>
      <c r="I155"/>
      <c r="J155"/>
      <c r="K155"/>
      <c r="L155" s="86"/>
      <c r="M155" s="86"/>
      <c r="N155" s="86"/>
      <c r="O155" s="89"/>
      <c r="P155" s="96"/>
      <c r="Q155" s="86"/>
      <c r="R155" s="96"/>
    </row>
    <row r="156" spans="1:19" s="1" customFormat="1" x14ac:dyDescent="0.3">
      <c r="A156" s="115" t="s">
        <v>311</v>
      </c>
      <c r="B156" s="120" t="e" cm="1">
        <f t="array" aca="1" ref="B156" ca="1">INDIRECT("'2"&amp;$A156&amp;"'!"&amp;B$147 )</f>
        <v>#REF!</v>
      </c>
      <c r="C156" s="120" t="e" cm="1">
        <f t="array" aca="1" ref="C156" ca="1">INDIRECT("'2"&amp;$A156&amp;"'!"&amp;C$147 )-Table35173318[[#This Row],[Average effective tax rate in 2019]]</f>
        <v>#REF!</v>
      </c>
      <c r="D156" s="118" t="e" cm="1">
        <f t="array" aca="1" ref="D156" ca="1">INDIRECT("'2"&amp;$A156&amp;"'!"&amp;D$111 )-Table35173318[[#This Row],[Average effective tax rate in 2019]]</f>
        <v>#REF!</v>
      </c>
      <c r="E156" s="118" t="e" cm="1">
        <f t="array" aca="1" ref="E156" ca="1">INDIRECT("'2"&amp;$A156&amp;"'!"&amp;E$147 )-Table35173318[[#This Row],[Average effective tax rate in 2019]]</f>
        <v>#REF!</v>
      </c>
      <c r="F156" s="118" t="e" cm="1">
        <f t="array" aca="1" ref="F156" ca="1">INDIRECT("'2"&amp;$A156&amp;"'!"&amp;F$147 )-Table35173318[[#This Row],[Average effective tax rate in 2019]]</f>
        <v>#REF!</v>
      </c>
      <c r="G156" s="118" t="e" cm="1">
        <f t="array" aca="1" ref="G156" ca="1">INDIRECT("'2"&amp;$A156&amp;"'!"&amp;G$147 )-Table35173318[[#This Row],[Average effective tax rate in 2019]]</f>
        <v>#REF!</v>
      </c>
      <c r="H156"/>
      <c r="I156"/>
      <c r="J156"/>
      <c r="K156"/>
      <c r="O156" s="88"/>
      <c r="P156" s="94"/>
      <c r="R156" s="94"/>
    </row>
    <row r="157" spans="1:19" s="1" customFormat="1" x14ac:dyDescent="0.3">
      <c r="A157" s="1" t="s">
        <v>204</v>
      </c>
      <c r="B157" s="118" cm="1">
        <f t="array" aca="1" ref="B157" ca="1">INDIRECT("'2"&amp;$A157&amp;"'!"&amp;B$147 )</f>
        <v>20.245576485173249</v>
      </c>
      <c r="C157" s="118" cm="1">
        <f t="array" aca="1" ref="C157" ca="1">INDIRECT("'2"&amp;$A157&amp;"'!"&amp;C$147 )-Table35173318[[#This Row],[Average effective tax rate in 2019]]</f>
        <v>1.3228956506501639</v>
      </c>
      <c r="D157" s="118" cm="1">
        <f t="array" aca="1" ref="D157" ca="1">INDIRECT("'2"&amp;$A157&amp;"'!"&amp;D$111 )-Table35173318[[#This Row],[Average effective tax rate in 2019]]</f>
        <v>3.7140521274840239</v>
      </c>
      <c r="E157" s="118" cm="1">
        <f t="array" aca="1" ref="E157" ca="1">INDIRECT("'2"&amp;$A157&amp;"'!"&amp;E$147 )-Table35173318[[#This Row],[Average effective tax rate in 2019]]</f>
        <v>6.5685865601277982E-2</v>
      </c>
      <c r="F157" s="118" cm="1">
        <f t="array" aca="1" ref="F157" ca="1">INDIRECT("'2"&amp;$A157&amp;"'!"&amp;F$147 )-Table35173318[[#This Row],[Average effective tax rate in 2019]]</f>
        <v>0.98024005380737123</v>
      </c>
      <c r="G157" s="118" cm="1">
        <f t="array" aca="1" ref="G157" ca="1">INDIRECT("'2"&amp;$A157&amp;"'!"&amp;G$147 )-Table35173318[[#This Row],[Average effective tax rate in 2019]]</f>
        <v>0.79019020928968331</v>
      </c>
      <c r="H157"/>
      <c r="I157"/>
      <c r="J157"/>
      <c r="K157"/>
      <c r="O157" s="88"/>
      <c r="P157" s="94"/>
      <c r="R157" s="94"/>
    </row>
    <row r="158" spans="1:19" s="1" customFormat="1" x14ac:dyDescent="0.3">
      <c r="A158" s="1" t="s">
        <v>214</v>
      </c>
      <c r="B158" s="118" cm="1">
        <f t="array" aca="1" ref="B158" ca="1">INDIRECT("'2"&amp;$A158&amp;"'!"&amp;B$147 )</f>
        <v>12.919237474019168</v>
      </c>
      <c r="C158" s="118" cm="1">
        <f t="array" aca="1" ref="C158" ca="1">INDIRECT("'2"&amp;$A158&amp;"'!"&amp;C$147 )-Table35173318[[#This Row],[Average effective tax rate in 2019]]</f>
        <v>1.0814484756745522</v>
      </c>
      <c r="D158" s="118" cm="1">
        <f t="array" aca="1" ref="D158" ca="1">INDIRECT("'2"&amp;$A158&amp;"'!"&amp;D$111 )-Table35173318[[#This Row],[Average effective tax rate in 2019]]</f>
        <v>2.4789723915909363</v>
      </c>
      <c r="E158" s="118" cm="1">
        <f t="array" aca="1" ref="E158" ca="1">INDIRECT("'2"&amp;$A158&amp;"'!"&amp;E$147 )-Table35173318[[#This Row],[Average effective tax rate in 2019]]</f>
        <v>1.6501014652392954E-2</v>
      </c>
      <c r="F158" s="118" cm="1">
        <f t="array" aca="1" ref="F158" ca="1">INDIRECT("'2"&amp;$A158&amp;"'!"&amp;F$147 )-Table35173318[[#This Row],[Average effective tax rate in 2019]]</f>
        <v>0.72115980752528586</v>
      </c>
      <c r="G158" s="118" cm="1">
        <f t="array" aca="1" ref="G158" ca="1">INDIRECT("'2"&amp;$A158&amp;"'!"&amp;G$147 )-Table35173318[[#This Row],[Average effective tax rate in 2019]]</f>
        <v>0.1830393254030156</v>
      </c>
      <c r="H158"/>
      <c r="I158"/>
      <c r="J158"/>
      <c r="K158"/>
      <c r="O158" s="88"/>
      <c r="P158" s="94"/>
      <c r="R158" s="94"/>
    </row>
    <row r="159" spans="1:19" s="1" customFormat="1" x14ac:dyDescent="0.3">
      <c r="A159" s="1" t="s">
        <v>208</v>
      </c>
      <c r="B159" s="118" cm="1">
        <f t="array" aca="1" ref="B159" ca="1">INDIRECT("'2"&amp;$A159&amp;"'!"&amp;B$147 )</f>
        <v>6.9267514488688313</v>
      </c>
      <c r="C159" s="118" cm="1">
        <f t="array" aca="1" ref="C159" ca="1">INDIRECT("'2"&amp;$A159&amp;"'!"&amp;C$147 )-Table35173318[[#This Row],[Average effective tax rate in 2019]]</f>
        <v>0.97591142656488916</v>
      </c>
      <c r="D159" s="118" cm="1">
        <f t="array" aca="1" ref="D159" ca="1">INDIRECT("'2"&amp;$A159&amp;"'!"&amp;D$111 )-Table35173318[[#This Row],[Average effective tax rate in 2019]]</f>
        <v>1.2008283678391223</v>
      </c>
      <c r="E159" s="118" cm="1">
        <f t="array" aca="1" ref="E159" ca="1">INDIRECT("'2"&amp;$A159&amp;"'!"&amp;E$147 )-Table35173318[[#This Row],[Average effective tax rate in 2019]]</f>
        <v>3.2646365380909259E-2</v>
      </c>
      <c r="F159" s="118" cm="1">
        <f t="array" aca="1" ref="F159" ca="1">INDIRECT("'2"&amp;$A159&amp;"'!"&amp;F$147 )-Table35173318[[#This Row],[Average effective tax rate in 2019]]</f>
        <v>0.37991291569391805</v>
      </c>
      <c r="G159" s="118" cm="1">
        <f t="array" aca="1" ref="G159" ca="1">INDIRECT("'2"&amp;$A159&amp;"'!"&amp;G$147 )-Table35173318[[#This Row],[Average effective tax rate in 2019]]</f>
        <v>5.714456017596703E-2</v>
      </c>
      <c r="H159"/>
      <c r="I159"/>
      <c r="J159"/>
      <c r="K159"/>
      <c r="L159" s="86"/>
      <c r="M159" s="86"/>
      <c r="N159" s="86"/>
      <c r="O159" s="89"/>
      <c r="P159" s="96"/>
      <c r="Q159" s="86"/>
      <c r="R159" s="96"/>
    </row>
    <row r="160" spans="1:19" s="1" customFormat="1" x14ac:dyDescent="0.3">
      <c r="A160" s="1" t="s">
        <v>218</v>
      </c>
      <c r="B160" s="118" cm="1">
        <f t="array" aca="1" ref="B160" ca="1">INDIRECT("'2"&amp;$A160&amp;"'!"&amp;B$147 )</f>
        <v>13.500919625524329</v>
      </c>
      <c r="C160" s="118" cm="1">
        <f t="array" aca="1" ref="C160" ca="1">INDIRECT("'2"&amp;$A160&amp;"'!"&amp;C$147 )-Table35173318[[#This Row],[Average effective tax rate in 2019]]</f>
        <v>0.94176905341306139</v>
      </c>
      <c r="D160" s="118" cm="1">
        <f t="array" aca="1" ref="D160" ca="1">INDIRECT("'2"&amp;$A160&amp;"'!"&amp;D$111 )-Table35173318[[#This Row],[Average effective tax rate in 2019]]</f>
        <v>1.4177137671180624</v>
      </c>
      <c r="E160" s="118" cm="1">
        <f t="array" aca="1" ref="E160" ca="1">INDIRECT("'2"&amp;$A160&amp;"'!"&amp;E$147 )-Table35173318[[#This Row],[Average effective tax rate in 2019]]</f>
        <v>-7.5158706609423476E-2</v>
      </c>
      <c r="F160" s="118" cm="1">
        <f t="array" aca="1" ref="F160" ca="1">INDIRECT("'2"&amp;$A160&amp;"'!"&amp;F$147 )-Table35173318[[#This Row],[Average effective tax rate in 2019]]</f>
        <v>-6.6229133091690429E-2</v>
      </c>
      <c r="G160" s="118" cm="1">
        <f t="array" aca="1" ref="G160" ca="1">INDIRECT("'2"&amp;$A160&amp;"'!"&amp;G$147 )-Table35173318[[#This Row],[Average effective tax rate in 2019]]</f>
        <v>-0.39585893000871764</v>
      </c>
      <c r="H160"/>
      <c r="I160"/>
      <c r="J160"/>
      <c r="K160"/>
      <c r="L160" s="86"/>
      <c r="M160" s="86"/>
      <c r="N160" s="86"/>
      <c r="O160" s="89"/>
      <c r="P160" s="96"/>
      <c r="Q160" s="86"/>
      <c r="R160" s="96"/>
    </row>
    <row r="161" spans="1:18" s="1" customFormat="1" x14ac:dyDescent="0.3">
      <c r="A161" s="1" t="s">
        <v>233</v>
      </c>
      <c r="B161" s="118" cm="1">
        <f t="array" aca="1" ref="B161" ca="1">INDIRECT("'2"&amp;$A161&amp;"'!"&amp;B$147 )</f>
        <v>19.57967121956872</v>
      </c>
      <c r="C161" s="118" cm="1">
        <f t="array" aca="1" ref="C161" ca="1">INDIRECT("'2"&amp;$A161&amp;"'!"&amp;C$147 )-Table35173318[[#This Row],[Average effective tax rate in 2019]]</f>
        <v>0.63927350953640527</v>
      </c>
      <c r="D161" s="118" cm="1">
        <f t="array" aca="1" ref="D161" ca="1">INDIRECT("'2"&amp;$A161&amp;"'!"&amp;D$111 )-Table35173318[[#This Row],[Average effective tax rate in 2019]]</f>
        <v>2.3864637236229918</v>
      </c>
      <c r="E161" s="118" cm="1">
        <f t="array" aca="1" ref="E161" ca="1">INDIRECT("'2"&amp;$A161&amp;"'!"&amp;E$147 )-Table35173318[[#This Row],[Average effective tax rate in 2019]]</f>
        <v>0.26599958079306774</v>
      </c>
      <c r="F161" s="118" cm="1">
        <f t="array" aca="1" ref="F161" ca="1">INDIRECT("'2"&amp;$A161&amp;"'!"&amp;F$147 )-Table35173318[[#This Row],[Average effective tax rate in 2019]]</f>
        <v>0.7781409033456157</v>
      </c>
      <c r="G161" s="118" cm="1">
        <f t="array" aca="1" ref="G161" ca="1">INDIRECT("'2"&amp;$A161&amp;"'!"&amp;G$147 )-Table35173318[[#This Row],[Average effective tax rate in 2019]]</f>
        <v>0.13990780977258765</v>
      </c>
      <c r="H161"/>
      <c r="I161"/>
      <c r="J161"/>
      <c r="K161"/>
      <c r="O161" s="88"/>
      <c r="P161" s="94"/>
      <c r="R161" s="94"/>
    </row>
    <row r="162" spans="1:18" s="1" customFormat="1" x14ac:dyDescent="0.3">
      <c r="A162" s="1" t="s">
        <v>249</v>
      </c>
      <c r="B162" s="118" cm="1">
        <f t="array" aca="1" ref="B162" ca="1">INDIRECT("'2"&amp;$A162&amp;"'!"&amp;B$147 )</f>
        <v>13.392017270648287</v>
      </c>
      <c r="C162" s="118" cm="1">
        <f t="array" aca="1" ref="C162" ca="1">INDIRECT("'2"&amp;$A162&amp;"'!"&amp;C$147 )-Table35173318[[#This Row],[Average effective tax rate in 2019]]</f>
        <v>0.53989918683523896</v>
      </c>
      <c r="D162" s="118" cm="1">
        <f t="array" aca="1" ref="D162" ca="1">INDIRECT("'2"&amp;$A162&amp;"'!"&amp;D$111 )-Table35173318[[#This Row],[Average effective tax rate in 2019]]</f>
        <v>2.1628748940688567</v>
      </c>
      <c r="E162" s="118" cm="1">
        <f t="array" aca="1" ref="E162" ca="1">INDIRECT("'2"&amp;$A162&amp;"'!"&amp;E$147 )-Table35173318[[#This Row],[Average effective tax rate in 2019]]</f>
        <v>0.17297258747399447</v>
      </c>
      <c r="F162" s="118" cm="1">
        <f t="array" aca="1" ref="F162" ca="1">INDIRECT("'2"&amp;$A162&amp;"'!"&amp;F$147 )-Table35173318[[#This Row],[Average effective tax rate in 2019]]</f>
        <v>1.0538544183297613</v>
      </c>
      <c r="G162" s="118" cm="1">
        <f t="array" aca="1" ref="G162" ca="1">INDIRECT("'2"&amp;$A162&amp;"'!"&amp;G$147 )-Table35173318[[#This Row],[Average effective tax rate in 2019]]</f>
        <v>0.46020148867272148</v>
      </c>
      <c r="H162"/>
      <c r="I162"/>
      <c r="J162"/>
      <c r="K162"/>
      <c r="O162" s="88"/>
      <c r="P162" s="94"/>
      <c r="R162" s="94"/>
    </row>
    <row r="163" spans="1:18" s="1" customFormat="1" x14ac:dyDescent="0.3">
      <c r="A163" s="1" t="s">
        <v>245</v>
      </c>
      <c r="B163" s="118" cm="1">
        <f t="array" aca="1" ref="B163" ca="1">INDIRECT("'2"&amp;$A163&amp;"'!"&amp;B$147 )</f>
        <v>12.373339020775758</v>
      </c>
      <c r="C163" s="118" cm="1">
        <f t="array" aca="1" ref="C163" ca="1">INDIRECT("'2"&amp;$A163&amp;"'!"&amp;C$147 )-Table35173318[[#This Row],[Average effective tax rate in 2019]]</f>
        <v>0.47468044567409784</v>
      </c>
      <c r="D163" s="118" cm="1">
        <f t="array" aca="1" ref="D163" ca="1">INDIRECT("'2"&amp;$A163&amp;"'!"&amp;D$111 )-Table35173318[[#This Row],[Average effective tax rate in 2019]]</f>
        <v>0.87872312932955232</v>
      </c>
      <c r="E163" s="118" cm="1">
        <f t="array" aca="1" ref="E163" ca="1">INDIRECT("'2"&amp;$A163&amp;"'!"&amp;E$147 )-Table35173318[[#This Row],[Average effective tax rate in 2019]]</f>
        <v>-0.10646562713042051</v>
      </c>
      <c r="F163" s="118" cm="1">
        <f t="array" aca="1" ref="F163" ca="1">INDIRECT("'2"&amp;$A163&amp;"'!"&amp;F$147 )-Table35173318[[#This Row],[Average effective tax rate in 2019]]</f>
        <v>3.2922902033227786E-3</v>
      </c>
      <c r="G163" s="118" cm="1">
        <f t="array" aca="1" ref="G163" ca="1">INDIRECT("'2"&amp;$A163&amp;"'!"&amp;G$147 )-Table35173318[[#This Row],[Average effective tax rate in 2019]]</f>
        <v>-0.37281243950220855</v>
      </c>
      <c r="H163"/>
      <c r="I163"/>
      <c r="J163"/>
      <c r="K163"/>
      <c r="O163" s="88"/>
      <c r="P163" s="94"/>
      <c r="R163" s="94"/>
    </row>
    <row r="164" spans="1:18" s="1" customFormat="1" x14ac:dyDescent="0.3">
      <c r="A164" s="1" t="s">
        <v>234</v>
      </c>
      <c r="B164" s="118" cm="1">
        <f t="array" aca="1" ref="B164" ca="1">INDIRECT("'2"&amp;$A164&amp;"'!"&amp;B$147 )</f>
        <v>18.91373730197807</v>
      </c>
      <c r="C164" s="118" cm="1">
        <f t="array" aca="1" ref="C164" ca="1">INDIRECT("'2"&amp;$A164&amp;"'!"&amp;C$147 )-Table35173318[[#This Row],[Average effective tax rate in 2019]]</f>
        <v>0.31523834647935089</v>
      </c>
      <c r="D164" s="118" cm="1">
        <f t="array" aca="1" ref="D164" ca="1">INDIRECT("'2"&amp;$A164&amp;"'!"&amp;D$111 )-Table35173318[[#This Row],[Average effective tax rate in 2019]]</f>
        <v>0.95345115615984355</v>
      </c>
      <c r="E164" s="118" cm="1">
        <f t="array" aca="1" ref="E164" ca="1">INDIRECT("'2"&amp;$A164&amp;"'!"&amp;E$147 )-Table35173318[[#This Row],[Average effective tax rate in 2019]]</f>
        <v>-0.19041732443820081</v>
      </c>
      <c r="F164" s="118" cm="1">
        <f t="array" aca="1" ref="F164" ca="1">INDIRECT("'2"&amp;$A164&amp;"'!"&amp;F$147 )-Table35173318[[#This Row],[Average effective tax rate in 2019]]</f>
        <v>-0.66651781891221518</v>
      </c>
      <c r="G164" s="118" cm="1">
        <f t="array" aca="1" ref="G164" ca="1">INDIRECT("'2"&amp;$A164&amp;"'!"&amp;G$147 )-Table35173318[[#This Row],[Average effective tax rate in 2019]]</f>
        <v>-1.4412253097431496</v>
      </c>
      <c r="H164"/>
      <c r="I164"/>
      <c r="J164"/>
      <c r="K164"/>
      <c r="O164" s="91"/>
      <c r="P164" s="95"/>
      <c r="Q164" s="92"/>
      <c r="R164" s="95"/>
    </row>
    <row r="165" spans="1:18" s="1" customFormat="1" x14ac:dyDescent="0.3">
      <c r="A165" s="1" t="s">
        <v>247</v>
      </c>
      <c r="B165" s="118" cm="1">
        <f t="array" aca="1" ref="B165" ca="1">INDIRECT("'2"&amp;$A165&amp;"'!"&amp;B$147 )</f>
        <v>14.182204339904597</v>
      </c>
      <c r="C165" s="118" cm="1">
        <f t="array" aca="1" ref="C165" ca="1">INDIRECT("'2"&amp;$A165&amp;"'!"&amp;C$147 )-Table35173318[[#This Row],[Average effective tax rate in 2019]]</f>
        <v>0.29038104880364202</v>
      </c>
      <c r="D165" s="118" cm="1">
        <f t="array" aca="1" ref="D165" ca="1">INDIRECT("'2"&amp;$A165&amp;"'!"&amp;D$111 )-Table35173318[[#This Row],[Average effective tax rate in 2019]]</f>
        <v>2.1331295324350243</v>
      </c>
      <c r="E165" s="118" cm="1">
        <f t="array" aca="1" ref="E165" ca="1">INDIRECT("'2"&amp;$A165&amp;"'!"&amp;E$147 )-Table35173318[[#This Row],[Average effective tax rate in 2019]]</f>
        <v>-2.0021144134810598E-2</v>
      </c>
      <c r="F165" s="118" cm="1">
        <f t="array" aca="1" ref="F165" ca="1">INDIRECT("'2"&amp;$A165&amp;"'!"&amp;F$147 )-Table35173318[[#This Row],[Average effective tax rate in 2019]]</f>
        <v>-0.52176752616846223</v>
      </c>
      <c r="G165" s="118" cm="1">
        <f t="array" aca="1" ref="G165" ca="1">INDIRECT("'2"&amp;$A165&amp;"'!"&amp;G$147 )-Table35173318[[#This Row],[Average effective tax rate in 2019]]</f>
        <v>-0.72222907016331916</v>
      </c>
      <c r="H165"/>
      <c r="I165"/>
      <c r="J165"/>
      <c r="K165"/>
      <c r="O165" s="88"/>
      <c r="P165" s="94"/>
      <c r="Q165" s="99"/>
      <c r="R165" s="100"/>
    </row>
    <row r="166" spans="1:18" s="1" customFormat="1" x14ac:dyDescent="0.3">
      <c r="A166" s="1" t="s">
        <v>238</v>
      </c>
      <c r="B166" s="118" cm="1">
        <f t="array" aca="1" ref="B166" ca="1">INDIRECT("'2"&amp;$A166&amp;"'!"&amp;B$147 )</f>
        <v>15.406929667398602</v>
      </c>
      <c r="C166" s="118" cm="1">
        <f t="array" aca="1" ref="C166" ca="1">INDIRECT("'2"&amp;$A166&amp;"'!"&amp;C$147 )-Table35173318[[#This Row],[Average effective tax rate in 2019]]</f>
        <v>0.19884042208712494</v>
      </c>
      <c r="D166" s="118" cm="1">
        <f t="array" aca="1" ref="D166" ca="1">INDIRECT("'2"&amp;$A166&amp;"'!"&amp;D$111 )-Table35173318[[#This Row],[Average effective tax rate in 2019]]</f>
        <v>1.6997848531794997</v>
      </c>
      <c r="E166" s="118" cm="1">
        <f t="array" aca="1" ref="E166" ca="1">INDIRECT("'2"&amp;$A166&amp;"'!"&amp;E$147 )-Table35173318[[#This Row],[Average effective tax rate in 2019]]</f>
        <v>6.7772105434167784E-2</v>
      </c>
      <c r="F166" s="118" cm="1">
        <f t="array" aca="1" ref="F166" ca="1">INDIRECT("'2"&amp;$A166&amp;"'!"&amp;F$147 )-Table35173318[[#This Row],[Average effective tax rate in 2019]]</f>
        <v>0.74423527032220171</v>
      </c>
      <c r="G166" s="118" cm="1">
        <f t="array" aca="1" ref="G166" ca="1">INDIRECT("'2"&amp;$A166&amp;"'!"&amp;G$147 )-Table35173318[[#This Row],[Average effective tax rate in 2019]]</f>
        <v>0.47320761751971752</v>
      </c>
      <c r="H166"/>
      <c r="I166"/>
      <c r="J166"/>
      <c r="K166"/>
      <c r="O166" s="88"/>
      <c r="P166" s="94"/>
      <c r="Q166" s="88"/>
      <c r="R166" s="94"/>
    </row>
    <row r="167" spans="1:18" s="1" customFormat="1" x14ac:dyDescent="0.3">
      <c r="A167" s="1" t="s">
        <v>222</v>
      </c>
      <c r="B167" s="118" cm="1">
        <f t="array" aca="1" ref="B167" ca="1">INDIRECT("'2"&amp;$A167&amp;"'!"&amp;B$147 )</f>
        <v>20.1720793709441</v>
      </c>
      <c r="C167" s="118" cm="1">
        <f t="array" aca="1" ref="C167" ca="1">INDIRECT("'2"&amp;$A167&amp;"'!"&amp;C$147 )-Table35173318[[#This Row],[Average effective tax rate in 2019]]</f>
        <v>0.12513393260969607</v>
      </c>
      <c r="D167" s="118" cm="1">
        <f t="array" aca="1" ref="D167" ca="1">INDIRECT("'2"&amp;$A167&amp;"'!"&amp;D$111 )-Table35173318[[#This Row],[Average effective tax rate in 2019]]</f>
        <v>1.5849080058536202</v>
      </c>
      <c r="E167" s="118" cm="1">
        <f t="array" aca="1" ref="E167" ca="1">INDIRECT("'2"&amp;$A167&amp;"'!"&amp;E$147 )-Table35173318[[#This Row],[Average effective tax rate in 2019]]</f>
        <v>-7.5124571359477699E-2</v>
      </c>
      <c r="F167" s="118" cm="1">
        <f t="array" aca="1" ref="F167" ca="1">INDIRECT("'2"&amp;$A167&amp;"'!"&amp;F$147 )-Table35173318[[#This Row],[Average effective tax rate in 2019]]</f>
        <v>4.4610159093355861E-2</v>
      </c>
      <c r="G167" s="118" cm="1">
        <f t="array" aca="1" ref="G167" ca="1">INDIRECT("'2"&amp;$A167&amp;"'!"&amp;G$147 )-Table35173318[[#This Row],[Average effective tax rate in 2019]]</f>
        <v>-0.41892345273186748</v>
      </c>
      <c r="H167"/>
      <c r="I167"/>
      <c r="J167"/>
      <c r="K167"/>
      <c r="O167" s="89"/>
      <c r="P167" s="96"/>
      <c r="Q167" s="88"/>
      <c r="R167" s="96"/>
    </row>
    <row r="168" spans="1:18" s="1" customFormat="1" x14ac:dyDescent="0.3">
      <c r="A168" s="1" t="s">
        <v>225</v>
      </c>
      <c r="B168" s="118" cm="1">
        <f t="array" aca="1" ref="B168" ca="1">INDIRECT("'2"&amp;$A168&amp;"'!"&amp;B$147 )</f>
        <v>5.09627274252201</v>
      </c>
      <c r="C168" s="118" cm="1">
        <f t="array" aca="1" ref="C168" ca="1">INDIRECT("'2"&amp;$A168&amp;"'!"&amp;C$147 )-Table35173318[[#This Row],[Average effective tax rate in 2019]]</f>
        <v>1.8039298228226031E-2</v>
      </c>
      <c r="D168" s="118" cm="1">
        <f t="array" aca="1" ref="D168" ca="1">INDIRECT("'2"&amp;$A168&amp;"'!"&amp;D$111 )-Table35173318[[#This Row],[Average effective tax rate in 2019]]</f>
        <v>2.0131952348715805</v>
      </c>
      <c r="E168" s="118" cm="1">
        <f t="array" aca="1" ref="E168" ca="1">INDIRECT("'2"&amp;$A168&amp;"'!"&amp;E$147 )-Table35173318[[#This Row],[Average effective tax rate in 2019]]</f>
        <v>0.32135358527761149</v>
      </c>
      <c r="F168" s="118" cm="1">
        <f t="array" aca="1" ref="F168" ca="1">INDIRECT("'2"&amp;$A168&amp;"'!"&amp;F$147 )-Table35173318[[#This Row],[Average effective tax rate in 2019]]</f>
        <v>0.98556835873556725</v>
      </c>
      <c r="G168" s="118" cm="1">
        <f t="array" aca="1" ref="G168" ca="1">INDIRECT("'2"&amp;$A168&amp;"'!"&amp;G$147 )-Table35173318[[#This Row],[Average effective tax rate in 2019]]</f>
        <v>0.46893395738531396</v>
      </c>
      <c r="H168"/>
      <c r="I168"/>
      <c r="J168"/>
      <c r="K168"/>
      <c r="O168" s="88"/>
      <c r="P168" s="94"/>
      <c r="Q168" s="88"/>
      <c r="R168" s="94"/>
    </row>
    <row r="169" spans="1:18" s="1" customFormat="1" x14ac:dyDescent="0.3">
      <c r="A169" s="1" t="s">
        <v>217</v>
      </c>
      <c r="B169" s="118" cm="1">
        <f t="array" aca="1" ref="B169" ca="1">INDIRECT("'2"&amp;$A169&amp;"'!"&amp;B$147 )</f>
        <v>8.8204633763519524</v>
      </c>
      <c r="C169" s="118" cm="1">
        <f t="array" aca="1" ref="C169" ca="1">INDIRECT("'2"&amp;$A169&amp;"'!"&amp;C$147 )-Table35173318[[#This Row],[Average effective tax rate in 2019]]</f>
        <v>-0.14503569832510799</v>
      </c>
      <c r="D169" s="118" cm="1">
        <f t="array" aca="1" ref="D169" ca="1">INDIRECT("'2"&amp;$A169&amp;"'!"&amp;D$111 )-Table35173318[[#This Row],[Average effective tax rate in 2019]]</f>
        <v>0.75148242078059546</v>
      </c>
      <c r="E169" s="118" cm="1">
        <f t="array" aca="1" ref="E169" ca="1">INDIRECT("'2"&amp;$A169&amp;"'!"&amp;E$147 )-Table35173318[[#This Row],[Average effective tax rate in 2019]]</f>
        <v>9.9328253495572838E-2</v>
      </c>
      <c r="F169" s="118" cm="1">
        <f t="array" aca="1" ref="F169" ca="1">INDIRECT("'2"&amp;$A169&amp;"'!"&amp;F$147 )-Table35173318[[#This Row],[Average effective tax rate in 2019]]</f>
        <v>9.9689055240759217E-4</v>
      </c>
      <c r="G169" s="118" cm="1">
        <f t="array" aca="1" ref="G169" ca="1">INDIRECT("'2"&amp;$A169&amp;"'!"&amp;G$147 )-Table35173318[[#This Row],[Average effective tax rate in 2019]]</f>
        <v>-0.29541297380697173</v>
      </c>
      <c r="H169"/>
      <c r="I169"/>
      <c r="J169"/>
      <c r="K169"/>
      <c r="O169" s="89"/>
      <c r="P169" s="96"/>
      <c r="Q169" s="88"/>
      <c r="R169" s="96"/>
    </row>
    <row r="170" spans="1:18" s="1" customFormat="1" x14ac:dyDescent="0.3">
      <c r="A170" s="1" t="s">
        <v>223</v>
      </c>
      <c r="B170" s="118" cm="1">
        <f t="array" aca="1" ref="B170" ca="1">INDIRECT("'2"&amp;$A170&amp;"'!"&amp;B$147 )</f>
        <v>15.321550141464787</v>
      </c>
      <c r="C170" s="118" cm="1">
        <f t="array" aca="1" ref="C170" ca="1">INDIRECT("'2"&amp;$A170&amp;"'!"&amp;C$147 )-Table35173318[[#This Row],[Average effective tax rate in 2019]]</f>
        <v>-0.15150475055579982</v>
      </c>
      <c r="D170" s="118" cm="1">
        <f t="array" aca="1" ref="D170" ca="1">INDIRECT("'2"&amp;$A170&amp;"'!"&amp;D$111 )-Table35173318[[#This Row],[Average effective tax rate in 2019]]</f>
        <v>1.0160416327359449</v>
      </c>
      <c r="E170" s="118" cm="1">
        <f t="array" aca="1" ref="E170" ca="1">INDIRECT("'2"&amp;$A170&amp;"'!"&amp;E$147 )-Table35173318[[#This Row],[Average effective tax rate in 2019]]</f>
        <v>8.7741421038042944E-2</v>
      </c>
      <c r="F170" s="118" cm="1">
        <f t="array" aca="1" ref="F170" ca="1">INDIRECT("'2"&amp;$A170&amp;"'!"&amp;F$147 )-Table35173318[[#This Row],[Average effective tax rate in 2019]]</f>
        <v>-2.98443124285388E-2</v>
      </c>
      <c r="G170" s="118" cm="1">
        <f t="array" aca="1" ref="G170" ca="1">INDIRECT("'2"&amp;$A170&amp;"'!"&amp;G$147 )-Table35173318[[#This Row],[Average effective tax rate in 2019]]</f>
        <v>-0.3678037863501693</v>
      </c>
      <c r="H170"/>
      <c r="I170"/>
      <c r="J170"/>
      <c r="K170"/>
      <c r="O170" s="88"/>
      <c r="P170" s="94"/>
      <c r="Q170" s="88"/>
      <c r="R170" s="94"/>
    </row>
    <row r="171" spans="1:18" s="1" customFormat="1" x14ac:dyDescent="0.3">
      <c r="A171" s="1" t="s">
        <v>240</v>
      </c>
      <c r="B171" s="118" cm="1">
        <f t="array" aca="1" ref="B171" ca="1">INDIRECT("'2"&amp;$A171&amp;"'!"&amp;B$147 )</f>
        <v>18.175348653786521</v>
      </c>
      <c r="C171" s="118" cm="1">
        <f t="array" aca="1" ref="C171" ca="1">INDIRECT("'2"&amp;$A171&amp;"'!"&amp;C$147 )-Table35173318[[#This Row],[Average effective tax rate in 2019]]</f>
        <v>-0.17613072071786107</v>
      </c>
      <c r="D171" s="118" cm="1">
        <f t="array" aca="1" ref="D171" ca="1">INDIRECT("'2"&amp;$A171&amp;"'!"&amp;D$111 )-Table35173318[[#This Row],[Average effective tax rate in 2019]]</f>
        <v>2.5343419600617025</v>
      </c>
      <c r="E171" s="118" cm="1">
        <f t="array" aca="1" ref="E171" ca="1">INDIRECT("'2"&amp;$A171&amp;"'!"&amp;E$147 )-Table35173318[[#This Row],[Average effective tax rate in 2019]]</f>
        <v>-7.47671789181652E-2</v>
      </c>
      <c r="F171" s="118" cm="1">
        <f t="array" aca="1" ref="F171" ca="1">INDIRECT("'2"&amp;$A171&amp;"'!"&amp;F$147 )-Table35173318[[#This Row],[Average effective tax rate in 2019]]</f>
        <v>0.53235380500874285</v>
      </c>
      <c r="G171" s="118" cm="1">
        <f t="array" aca="1" ref="G171" ca="1">INDIRECT("'2"&amp;$A171&amp;"'!"&amp;G$147 )-Table35173318[[#This Row],[Average effective tax rate in 2019]]</f>
        <v>0.33461608573917445</v>
      </c>
      <c r="H171"/>
      <c r="I171"/>
      <c r="J171"/>
      <c r="K171"/>
      <c r="O171" s="89"/>
      <c r="P171" s="96"/>
      <c r="Q171" s="88"/>
      <c r="R171" s="96"/>
    </row>
    <row r="172" spans="1:18" s="1" customFormat="1" x14ac:dyDescent="0.3">
      <c r="A172" s="1" t="s">
        <v>252</v>
      </c>
      <c r="B172" s="118" cm="1">
        <f t="array" aca="1" ref="B172" ca="1">INDIRECT("'2"&amp;$A172&amp;"'!"&amp;B$147 )</f>
        <v>10.016682216654242</v>
      </c>
      <c r="C172" s="118" cm="1">
        <f t="array" aca="1" ref="C172" ca="1">INDIRECT("'2"&amp;$A172&amp;"'!"&amp;C$147 )-Table35173318[[#This Row],[Average effective tax rate in 2019]]</f>
        <v>-0.20094048845940549</v>
      </c>
      <c r="D172" s="118" cm="1">
        <f t="array" aca="1" ref="D172" ca="1">INDIRECT("'2"&amp;$A172&amp;"'!"&amp;D$111 )-Table35173318[[#This Row],[Average effective tax rate in 2019]]</f>
        <v>2.0160485336865204</v>
      </c>
      <c r="E172" s="118" cm="1">
        <f t="array" aca="1" ref="E172" ca="1">INDIRECT("'2"&amp;$A172&amp;"'!"&amp;E$147 )-Table35173318[[#This Row],[Average effective tax rate in 2019]]</f>
        <v>7.5016958145921464E-2</v>
      </c>
      <c r="F172" s="118" cm="1">
        <f t="array" aca="1" ref="F172" ca="1">INDIRECT("'2"&amp;$A172&amp;"'!"&amp;F$147 )-Table35173318[[#This Row],[Average effective tax rate in 2019]]</f>
        <v>0.98016283127701698</v>
      </c>
      <c r="G172" s="118" cm="1">
        <f t="array" aca="1" ref="G172" ca="1">INDIRECT("'2"&amp;$A172&amp;"'!"&amp;G$147 )-Table35173318[[#This Row],[Average effective tax rate in 2019]]</f>
        <v>0.53320656438834035</v>
      </c>
      <c r="H172"/>
      <c r="I172"/>
      <c r="J172"/>
      <c r="K172"/>
      <c r="L172" s="86"/>
      <c r="M172" s="86"/>
      <c r="N172" s="86"/>
      <c r="O172" s="88"/>
      <c r="P172" s="94"/>
      <c r="Q172" s="88"/>
      <c r="R172" s="94"/>
    </row>
    <row r="173" spans="1:18" s="1" customFormat="1" x14ac:dyDescent="0.3">
      <c r="A173" s="1" t="s">
        <v>227</v>
      </c>
      <c r="B173" s="118" cm="1">
        <f t="array" aca="1" ref="B173" ca="1">INDIRECT("'2"&amp;$A173&amp;"'!"&amp;B$147 )</f>
        <v>10.310440645019989</v>
      </c>
      <c r="C173" s="118" cm="1">
        <f t="array" aca="1" ref="C173" ca="1">INDIRECT("'2"&amp;$A173&amp;"'!"&amp;C$147 )-Table35173318[[#This Row],[Average effective tax rate in 2019]]</f>
        <v>-0.34008451319621003</v>
      </c>
      <c r="D173" s="118" cm="1">
        <f t="array" aca="1" ref="D173" ca="1">INDIRECT("'2"&amp;$A173&amp;"'!"&amp;D$111 )-Table35173318[[#This Row],[Average effective tax rate in 2019]]</f>
        <v>0.72800397179243248</v>
      </c>
      <c r="E173" s="118" cm="1">
        <f t="array" aca="1" ref="E173" ca="1">INDIRECT("'2"&amp;$A173&amp;"'!"&amp;E$147 )-Table35173318[[#This Row],[Average effective tax rate in 2019]]</f>
        <v>-0.60238748933446473</v>
      </c>
      <c r="F173" s="118" cm="1">
        <f t="array" aca="1" ref="F173" ca="1">INDIRECT("'2"&amp;$A173&amp;"'!"&amp;F$147 )-Table35173318[[#This Row],[Average effective tax rate in 2019]]</f>
        <v>-0.57600158891996855</v>
      </c>
      <c r="G173" s="118" cm="1">
        <f t="array" aca="1" ref="G173" ca="1">INDIRECT("'2"&amp;$A173&amp;"'!"&amp;G$147 )-Table35173318[[#This Row],[Average effective tax rate in 2019]]</f>
        <v>-0.69749031130479011</v>
      </c>
      <c r="H173"/>
      <c r="I173"/>
      <c r="J173"/>
      <c r="K173"/>
      <c r="O173" s="88"/>
      <c r="P173" s="94"/>
      <c r="Q173" s="88"/>
      <c r="R173" s="94"/>
    </row>
    <row r="174" spans="1:18" s="1" customFormat="1" x14ac:dyDescent="0.3">
      <c r="A174" s="1" t="s">
        <v>3</v>
      </c>
      <c r="B174" s="118" cm="1">
        <f t="array" aca="1" ref="B174" ca="1">INDIRECT("'2"&amp;$A174&amp;"'!"&amp;B$147 )</f>
        <v>13.394287195365411</v>
      </c>
      <c r="C174" s="118" cm="1">
        <f t="array" aca="1" ref="C174" ca="1">INDIRECT("'2"&amp;$A174&amp;"'!"&amp;C$147 )-Table35173318[[#This Row],[Average effective tax rate in 2019]]</f>
        <v>-0.57876019985385874</v>
      </c>
      <c r="D174" s="118" cm="1">
        <f t="array" aca="1" ref="D174" ca="1">INDIRECT("'2"&amp;$A174&amp;"'!"&amp;D$111 )-Table35173318[[#This Row],[Average effective tax rate in 2019]]</f>
        <v>1.9052917126923905</v>
      </c>
      <c r="E174" s="118" cm="1">
        <f t="array" aca="1" ref="E174" ca="1">INDIRECT("'2"&amp;$A174&amp;"'!"&amp;E$147 )-Table35173318[[#This Row],[Average effective tax rate in 2019]]</f>
        <v>0.23038091007361672</v>
      </c>
      <c r="F174" s="118" cm="1">
        <f t="array" aca="1" ref="F174" ca="1">INDIRECT("'2"&amp;$A174&amp;"'!"&amp;F$147 )-Table35173318[[#This Row],[Average effective tax rate in 2019]]</f>
        <v>0.29269694003372138</v>
      </c>
      <c r="G174" s="118" cm="1">
        <f t="array" aca="1" ref="G174" ca="1">INDIRECT("'2"&amp;$A174&amp;"'!"&amp;G$147 )-Table35173318[[#This Row],[Average effective tax rate in 2019]]</f>
        <v>-0.41113772918074609</v>
      </c>
      <c r="H174"/>
      <c r="I174"/>
      <c r="J174"/>
      <c r="K174"/>
      <c r="L174" s="86"/>
      <c r="M174" s="86"/>
      <c r="N174" s="86"/>
      <c r="O174" s="88"/>
      <c r="P174" s="94"/>
      <c r="Q174" s="88"/>
      <c r="R174" s="94"/>
    </row>
    <row r="175" spans="1:18" s="1" customFormat="1" x14ac:dyDescent="0.3">
      <c r="A175" s="1" t="s">
        <v>254</v>
      </c>
      <c r="B175" s="118" cm="1">
        <f t="array" aca="1" ref="B175" ca="1">INDIRECT("'2"&amp;$A175&amp;"'!"&amp;B$147 )</f>
        <v>7.9935903035793343</v>
      </c>
      <c r="C175" s="118" cm="1">
        <f t="array" aca="1" ref="C175" ca="1">INDIRECT("'2"&amp;$A175&amp;"'!"&amp;C$147 )-Table35173318[[#This Row],[Average effective tax rate in 2019]]</f>
        <v>-0.6582040803616529</v>
      </c>
      <c r="D175" s="118" cm="1">
        <f t="array" aca="1" ref="D175" ca="1">INDIRECT("'2"&amp;$A175&amp;"'!"&amp;D$111 )-Table35173318[[#This Row],[Average effective tax rate in 2019]]</f>
        <v>1.7039014989735515</v>
      </c>
      <c r="E175" s="118" cm="1">
        <f t="array" aca="1" ref="E175" ca="1">INDIRECT("'2"&amp;$A175&amp;"'!"&amp;E$147 )-Table35173318[[#This Row],[Average effective tax rate in 2019]]</f>
        <v>0.21787495387078248</v>
      </c>
      <c r="F175" s="118" cm="1">
        <f t="array" aca="1" ref="F175" ca="1">INDIRECT("'2"&amp;$A175&amp;"'!"&amp;F$147 )-Table35173318[[#This Row],[Average effective tax rate in 2019]]</f>
        <v>0.70508931673020303</v>
      </c>
      <c r="G175" s="118" cm="1">
        <f t="array" aca="1" ref="G175" ca="1">INDIRECT("'2"&amp;$A175&amp;"'!"&amp;G$147 )-Table35173318[[#This Row],[Average effective tax rate in 2019]]</f>
        <v>0.26564059345902979</v>
      </c>
      <c r="H175"/>
      <c r="I175"/>
      <c r="J175"/>
      <c r="K175"/>
      <c r="L175" s="86"/>
      <c r="M175" s="86"/>
      <c r="N175" s="86"/>
      <c r="O175" s="89"/>
      <c r="P175" s="96"/>
      <c r="Q175" s="88"/>
      <c r="R175" s="96"/>
    </row>
    <row r="176" spans="1:18" s="1" customFormat="1" x14ac:dyDescent="0.3">
      <c r="A176" s="1" t="s">
        <v>242</v>
      </c>
      <c r="B176" s="118" cm="1">
        <f t="array" aca="1" ref="B176" ca="1">INDIRECT("'2"&amp;$A176&amp;"'!"&amp;B$147 )</f>
        <v>14.012883768418954</v>
      </c>
      <c r="C176" s="118" cm="1">
        <f t="array" aca="1" ref="C176" ca="1">INDIRECT("'2"&amp;$A176&amp;"'!"&amp;C$147 )-Table35173318[[#This Row],[Average effective tax rate in 2019]]</f>
        <v>-0.86443414123779938</v>
      </c>
      <c r="D176" s="118" cm="1">
        <f t="array" aca="1" ref="D176" ca="1">INDIRECT("'2"&amp;$A176&amp;"'!"&amp;D$111 )-Table35173318[[#This Row],[Average effective tax rate in 2019]]</f>
        <v>1.7677769772315486</v>
      </c>
      <c r="E176" s="118" cm="1">
        <f t="array" aca="1" ref="E176" ca="1">INDIRECT("'2"&amp;$A176&amp;"'!"&amp;E$147 )-Table35173318[[#This Row],[Average effective tax rate in 2019]]</f>
        <v>-9.8131953928319859E-3</v>
      </c>
      <c r="F176" s="118" cm="1">
        <f t="array" aca="1" ref="F176" ca="1">INDIRECT("'2"&amp;$A176&amp;"'!"&amp;F$147 )-Table35173318[[#This Row],[Average effective tax rate in 2019]]</f>
        <v>0.65716819200180154</v>
      </c>
      <c r="G176" s="118" cm="1">
        <f t="array" aca="1" ref="G176" ca="1">INDIRECT("'2"&amp;$A176&amp;"'!"&amp;G$147 )-Table35173318[[#This Row],[Average effective tax rate in 2019]]</f>
        <v>0.3163731271378456</v>
      </c>
      <c r="H176"/>
      <c r="I176"/>
      <c r="J176"/>
      <c r="K176"/>
      <c r="O176" s="89"/>
      <c r="P176" s="96"/>
      <c r="Q176" s="88"/>
      <c r="R176" s="96"/>
    </row>
    <row r="177" spans="1:18" s="1" customFormat="1" x14ac:dyDescent="0.3">
      <c r="A177" s="1" t="s">
        <v>210</v>
      </c>
      <c r="B177" s="118" cm="1">
        <f t="array" aca="1" ref="B177" ca="1">INDIRECT("'2"&amp;$A177&amp;"'!"&amp;B$147 )</f>
        <v>18.858577831124361</v>
      </c>
      <c r="C177" s="118" cm="1">
        <f t="array" aca="1" ref="C177" ca="1">INDIRECT("'2"&amp;$A177&amp;"'!"&amp;C$147 )-Table35173318[[#This Row],[Average effective tax rate in 2019]]</f>
        <v>-0.95792482079231078</v>
      </c>
      <c r="D177" s="118" cm="1">
        <f t="array" aca="1" ref="D177" ca="1">INDIRECT("'2"&amp;$A177&amp;"'!"&amp;D$111 )-Table35173318[[#This Row],[Average effective tax rate in 2019]]</f>
        <v>1.4101203367673776</v>
      </c>
      <c r="E177" s="118" cm="1">
        <f t="array" aca="1" ref="E177" ca="1">INDIRECT("'2"&amp;$A177&amp;"'!"&amp;E$147 )-Table35173318[[#This Row],[Average effective tax rate in 2019]]</f>
        <v>-6.6185989480125329E-2</v>
      </c>
      <c r="F177" s="118" cm="1">
        <f t="array" aca="1" ref="F177" ca="1">INDIRECT("'2"&amp;$A177&amp;"'!"&amp;F$147 )-Table35173318[[#This Row],[Average effective tax rate in 2019]]</f>
        <v>-6.9128205587492886E-2</v>
      </c>
      <c r="G177" s="118" cm="1">
        <f t="array" aca="1" ref="G177" ca="1">INDIRECT("'2"&amp;$A177&amp;"'!"&amp;G$147 )-Table35173318[[#This Row],[Average effective tax rate in 2019]]</f>
        <v>-0.57544040780049244</v>
      </c>
      <c r="H177"/>
      <c r="I177"/>
      <c r="J177"/>
      <c r="K177"/>
      <c r="O177" s="88"/>
      <c r="P177" s="94"/>
      <c r="Q177" s="88"/>
      <c r="R177" s="94"/>
    </row>
    <row r="178" spans="1:18" s="1" customFormat="1" x14ac:dyDescent="0.3">
      <c r="O178" s="88"/>
      <c r="P178" s="94"/>
      <c r="Q178" s="88"/>
      <c r="R178" s="94"/>
    </row>
    <row r="179" spans="1:18" s="1" customFormat="1" x14ac:dyDescent="0.3">
      <c r="O179" s="88"/>
      <c r="P179" s="94"/>
      <c r="Q179" s="88"/>
      <c r="R179" s="94"/>
    </row>
    <row r="180" spans="1:18" s="1" customFormat="1" x14ac:dyDescent="0.3">
      <c r="O180" s="91"/>
      <c r="P180" s="95"/>
      <c r="Q180" s="91"/>
      <c r="R180" s="95"/>
    </row>
    <row r="181" spans="1:18" s="85" customFormat="1" ht="51" customHeight="1" x14ac:dyDescent="0.3">
      <c r="A181" s="183" t="s">
        <v>612</v>
      </c>
      <c r="B181" s="544"/>
      <c r="C181" s="544"/>
      <c r="D181" s="544"/>
      <c r="E181" s="544"/>
      <c r="F181" s="544"/>
      <c r="G181" s="544"/>
      <c r="O181" s="87"/>
      <c r="P181" s="93"/>
      <c r="R181" s="93"/>
    </row>
    <row r="182" spans="1:18" s="1" customFormat="1" ht="18" customHeight="1" x14ac:dyDescent="0.3">
      <c r="B182" s="1" t="s">
        <v>398</v>
      </c>
      <c r="O182" s="88"/>
      <c r="P182" s="94"/>
      <c r="R182" s="94"/>
    </row>
    <row r="183" spans="1:18" s="1" customFormat="1" x14ac:dyDescent="0.3">
      <c r="A183" s="1" t="s">
        <v>289</v>
      </c>
      <c r="B183" s="1" t="s">
        <v>429</v>
      </c>
      <c r="C183" s="1" t="s">
        <v>400</v>
      </c>
      <c r="D183" s="86"/>
      <c r="E183" s="86"/>
      <c r="F183" s="1" t="s">
        <v>289</v>
      </c>
      <c r="G183" s="1" t="s">
        <v>430</v>
      </c>
      <c r="J183" s="1" t="s">
        <v>431</v>
      </c>
      <c r="O183" s="88"/>
      <c r="P183" s="94"/>
      <c r="R183" s="94"/>
    </row>
    <row r="184" spans="1:18" s="1" customFormat="1" ht="28.8" x14ac:dyDescent="0.3">
      <c r="A184" s="109" t="s">
        <v>316</v>
      </c>
      <c r="B184" s="107" t="s">
        <v>164</v>
      </c>
      <c r="C184" s="107" t="s">
        <v>163</v>
      </c>
      <c r="D184" s="86"/>
      <c r="E184" s="86"/>
      <c r="F184" s="109" t="s">
        <v>316</v>
      </c>
      <c r="G184" s="107" t="s">
        <v>432</v>
      </c>
      <c r="H184" s="107" t="s">
        <v>163</v>
      </c>
      <c r="I184" s="119" t="s">
        <v>404</v>
      </c>
      <c r="J184" s="119" t="s">
        <v>405</v>
      </c>
      <c r="O184" s="88"/>
      <c r="P184" s="94"/>
      <c r="R184" s="94"/>
    </row>
    <row r="185" spans="1:18" s="1" customFormat="1" x14ac:dyDescent="0.3">
      <c r="A185" s="86" t="s">
        <v>304</v>
      </c>
      <c r="B185" s="401" t="e" cm="1">
        <f t="array" aca="1" ref="B185" ca="1">INDIRECT("'2"&amp;$A185&amp;"'!"&amp;B$183)/INDIRECT("'2"&amp;$A185&amp;"'!"&amp;$B$182)*100</f>
        <v>#REF!</v>
      </c>
      <c r="C185" s="401" t="e" cm="1">
        <f t="array" aca="1" ref="C185" ca="1">INDIRECT("'2"&amp;$A185&amp;"'!"&amp;C$183)/INDIRECT("'2"&amp;$A185&amp;"'!"&amp;$B$182)*100</f>
        <v>#REF!</v>
      </c>
      <c r="D185" s="86"/>
      <c r="E185" s="86"/>
      <c r="F185" s="1" t="s">
        <v>208</v>
      </c>
      <c r="G185" s="303" cm="1">
        <f t="array" aca="1" ref="G185" ca="1">INDIRECT("'2"&amp;$F185&amp;"'!"&amp;G$183)</f>
        <v>0.19253587266448174</v>
      </c>
      <c r="H185" s="372">
        <f ca="1">MAX(1-Table291234[[#This Row],[Total Offset]],0)</f>
        <v>0.80746412733551831</v>
      </c>
      <c r="I185" s="419">
        <f ca="1">Table291234[[#This Row],[Total Offset]]-Table291234[[#This Row],[Offset through indexation]]</f>
        <v>0.19253587266448174</v>
      </c>
      <c r="J185" s="419" cm="1">
        <f t="array" aca="1" ref="J185" ca="1">INDIRECT("'2"&amp;$F185&amp;"'!"&amp;J$183)</f>
        <v>0</v>
      </c>
      <c r="O185" s="99"/>
      <c r="P185" s="100"/>
      <c r="Q185" s="99"/>
      <c r="R185" s="100"/>
    </row>
    <row r="186" spans="1:18" s="1" customFormat="1" x14ac:dyDescent="0.3">
      <c r="A186" s="86" t="s">
        <v>305</v>
      </c>
      <c r="B186" s="401" t="e" cm="1">
        <f t="array" aca="1" ref="B186" ca="1">INDIRECT("'2"&amp;$A186&amp;"'!"&amp;B$183)/INDIRECT("'2"&amp;$A186&amp;"'!"&amp;$B$182)*100</f>
        <v>#REF!</v>
      </c>
      <c r="C186" s="401" t="e" cm="1">
        <f t="array" aca="1" ref="C186" ca="1">INDIRECT("'2"&amp;$A186&amp;"'!"&amp;C$183)/INDIRECT("'2"&amp;$A186&amp;"'!"&amp;$B$182)*100</f>
        <v>#REF!</v>
      </c>
      <c r="D186" s="86"/>
      <c r="E186" s="86"/>
      <c r="F186" s="1" t="s">
        <v>218</v>
      </c>
      <c r="G186" s="303" cm="1">
        <f t="array" aca="1" ref="G186" ca="1">INDIRECT("'2"&amp;$F186&amp;"'!"&amp;G$183)</f>
        <v>0.31881136673157151</v>
      </c>
      <c r="H186" s="372">
        <f ca="1">MAX(1-Table291234[[#This Row],[Total Offset]],0)</f>
        <v>0.68118863326842849</v>
      </c>
      <c r="I186" s="419">
        <f ca="1">Table291234[[#This Row],[Total Offset]]-Table291234[[#This Row],[Offset through indexation]]</f>
        <v>1.7532772390466911E-2</v>
      </c>
      <c r="J186" s="303" cm="1">
        <f t="array" aca="1" ref="J186" ca="1">INDIRECT("'2"&amp;$F186&amp;"'!"&amp;J$183)</f>
        <v>0.3012785943411046</v>
      </c>
      <c r="O186" s="88"/>
      <c r="P186" s="94"/>
      <c r="Q186" s="88"/>
      <c r="R186" s="94"/>
    </row>
    <row r="187" spans="1:18" s="1" customFormat="1" x14ac:dyDescent="0.3">
      <c r="A187" s="86" t="s">
        <v>306</v>
      </c>
      <c r="B187" s="401" t="e" cm="1">
        <f t="array" aca="1" ref="B187" ca="1">INDIRECT("'2"&amp;$A187&amp;"'!"&amp;B$183)/INDIRECT("'2"&amp;$A187&amp;"'!"&amp;$B$182)*100</f>
        <v>#REF!</v>
      </c>
      <c r="C187" s="401" t="e" cm="1">
        <f t="array" aca="1" ref="C187" ca="1">INDIRECT("'2"&amp;$A187&amp;"'!"&amp;C$183)/INDIRECT("'2"&amp;$A187&amp;"'!"&amp;$B$182)*100</f>
        <v>#REF!</v>
      </c>
      <c r="D187" s="86"/>
      <c r="E187" s="86"/>
      <c r="F187" s="1" t="s">
        <v>245</v>
      </c>
      <c r="G187" s="303" cm="1">
        <f t="array" aca="1" ref="G187" ca="1">INDIRECT("'2"&amp;$F187&amp;"'!"&amp;G$183)</f>
        <v>0.41011702681958984</v>
      </c>
      <c r="H187" s="372">
        <f ca="1">MAX(1-Table291234[[#This Row],[Total Offset]],0)</f>
        <v>0.58988297318041016</v>
      </c>
      <c r="I187" s="419">
        <f ca="1">Table291234[[#This Row],[Total Offset]]-Table291234[[#This Row],[Offset through indexation]]</f>
        <v>0.30667902201478364</v>
      </c>
      <c r="J187" s="419" cm="1">
        <f t="array" aca="1" ref="J187" ca="1">INDIRECT("'2"&amp;$F187&amp;"'!"&amp;J$183)</f>
        <v>0.10343800480480618</v>
      </c>
      <c r="O187" s="89"/>
      <c r="P187" s="96"/>
      <c r="Q187" s="88"/>
      <c r="R187" s="96"/>
    </row>
    <row r="188" spans="1:18" s="1" customFormat="1" x14ac:dyDescent="0.3">
      <c r="A188" s="86" t="s">
        <v>307</v>
      </c>
      <c r="B188" s="401" t="e" cm="1">
        <f t="array" aca="1" ref="B188" ca="1">INDIRECT("'2"&amp;$A188&amp;"'!"&amp;B$183)/INDIRECT("'2"&amp;$A188&amp;"'!"&amp;$B$182)*100</f>
        <v>#REF!</v>
      </c>
      <c r="C188" s="401" t="e" cm="1">
        <f t="array" aca="1" ref="C188" ca="1">INDIRECT("'2"&amp;$A188&amp;"'!"&amp;C$183)/INDIRECT("'2"&amp;$A188&amp;"'!"&amp;$B$182)*100</f>
        <v>#REF!</v>
      </c>
      <c r="D188" s="86"/>
      <c r="E188" s="86"/>
      <c r="F188" s="1" t="s">
        <v>234</v>
      </c>
      <c r="G188" s="303" cm="1">
        <f t="array" aca="1" ref="G188" ca="1">INDIRECT("'2"&amp;$F188&amp;"'!"&amp;G$183)</f>
        <v>0.55794247372461636</v>
      </c>
      <c r="H188" s="372">
        <f ca="1">MAX(1-Table291234[[#This Row],[Total Offset]],0)</f>
        <v>0.44205752627538364</v>
      </c>
      <c r="I188" s="419">
        <f ca="1">Table291234[[#This Row],[Total Offset]]-Table291234[[#This Row],[Offset through indexation]]</f>
        <v>0.53652438048523987</v>
      </c>
      <c r="J188" s="419" cm="1">
        <f t="array" aca="1" ref="J188" ca="1">INDIRECT("'2"&amp;$F188&amp;"'!"&amp;J$183)</f>
        <v>2.1418093239376473E-2</v>
      </c>
      <c r="O188" s="88"/>
      <c r="P188" s="94"/>
      <c r="Q188" s="88"/>
      <c r="R188" s="94"/>
    </row>
    <row r="189" spans="1:18" s="1" customFormat="1" x14ac:dyDescent="0.3">
      <c r="A189" s="86" t="s">
        <v>308</v>
      </c>
      <c r="B189" s="401" t="e" cm="1">
        <f t="array" aca="1" ref="B189" ca="1">INDIRECT("'2"&amp;$A189&amp;"'!"&amp;B$183)/INDIRECT("'2"&amp;$A189&amp;"'!"&amp;$B$182)*100</f>
        <v>#REF!</v>
      </c>
      <c r="C189" s="401" t="e" cm="1">
        <f t="array" aca="1" ref="C189" ca="1">INDIRECT("'2"&amp;$A189&amp;"'!"&amp;C$183)/INDIRECT("'2"&amp;$A189&amp;"'!"&amp;$B$182)*100</f>
        <v>#REF!</v>
      </c>
      <c r="D189" s="86"/>
      <c r="E189" s="86"/>
      <c r="F189" s="1" t="s">
        <v>214</v>
      </c>
      <c r="G189" s="303" cm="1">
        <f t="array" aca="1" ref="G189" ca="1">INDIRECT("'2"&amp;$F189&amp;"'!"&amp;G$183)</f>
        <v>0.5675289991203265</v>
      </c>
      <c r="H189" s="372">
        <f ca="1">MAX(1-Table291234[[#This Row],[Total Offset]],0)</f>
        <v>0.4324710008796735</v>
      </c>
      <c r="I189" s="419">
        <f ca="1">Table291234[[#This Row],[Total Offset]]-Table291234[[#This Row],[Offset through indexation]]</f>
        <v>0.33557940595636926</v>
      </c>
      <c r="J189" s="419" cm="1">
        <f t="array" aca="1" ref="J189" ca="1">INDIRECT("'2"&amp;$F189&amp;"'!"&amp;J$183)</f>
        <v>0.23194959316395722</v>
      </c>
      <c r="O189" s="89"/>
      <c r="P189" s="96"/>
      <c r="Q189" s="88"/>
      <c r="R189" s="96"/>
    </row>
    <row r="190" spans="1:18" s="1" customFormat="1" x14ac:dyDescent="0.3">
      <c r="A190" s="86" t="s">
        <v>309</v>
      </c>
      <c r="B190" s="401" t="e" cm="1">
        <f t="array" aca="1" ref="B190" ca="1">INDIRECT("'2"&amp;$A190&amp;"'!"&amp;B$183)/INDIRECT("'2"&amp;$A190&amp;"'!"&amp;$B$182)*100</f>
        <v>#REF!</v>
      </c>
      <c r="C190" s="401" t="e" cm="1">
        <f t="array" aca="1" ref="C190" ca="1">INDIRECT("'2"&amp;$A190&amp;"'!"&amp;C$183)/INDIRECT("'2"&amp;$A190&amp;"'!"&amp;$B$182)*100</f>
        <v>#REF!</v>
      </c>
      <c r="D190" s="86"/>
      <c r="E190" s="86"/>
      <c r="F190" s="1" t="s">
        <v>204</v>
      </c>
      <c r="G190" s="303" cm="1">
        <f t="array" aca="1" ref="G190" ca="1">INDIRECT("'2"&amp;$F190&amp;"'!"&amp;G$183)</f>
        <v>0.65540472233176972</v>
      </c>
      <c r="H190" s="372">
        <f ca="1">MAX(1-Table291234[[#This Row],[Total Offset]],0)</f>
        <v>0.34459527766823028</v>
      </c>
      <c r="I190" s="419">
        <f ca="1">Table291234[[#This Row],[Total Offset]]-Table291234[[#This Row],[Offset through indexation]]</f>
        <v>-5.4862747613617757E-2</v>
      </c>
      <c r="J190" s="419" cm="1">
        <f t="array" aca="1" ref="J190" ca="1">INDIRECT("'2"&amp;$F190&amp;"'!"&amp;J$183)</f>
        <v>0.71026746994538748</v>
      </c>
      <c r="O190" s="88"/>
      <c r="P190" s="94"/>
      <c r="Q190" s="88"/>
      <c r="R190" s="94"/>
    </row>
    <row r="191" spans="1:18" s="1" customFormat="1" x14ac:dyDescent="0.3">
      <c r="A191" s="86" t="s">
        <v>310</v>
      </c>
      <c r="B191" s="401" t="e" cm="1">
        <f t="array" aca="1" ref="B191" ca="1">INDIRECT("'2"&amp;$A191&amp;"'!"&amp;B$183)/INDIRECT("'2"&amp;$A191&amp;"'!"&amp;$B$182)*100</f>
        <v>#REF!</v>
      </c>
      <c r="C191" s="401" t="e" cm="1">
        <f t="array" aca="1" ref="C191" ca="1">INDIRECT("'2"&amp;$A191&amp;"'!"&amp;C$183)/INDIRECT("'2"&amp;$A191&amp;"'!"&amp;$B$182)*100</f>
        <v>#REF!</v>
      </c>
      <c r="D191" s="86"/>
      <c r="E191" s="86"/>
      <c r="F191" s="1" t="s">
        <v>227</v>
      </c>
      <c r="G191" s="303" cm="1">
        <f t="array" aca="1" ref="G191" ca="1">INDIRECT("'2"&amp;$F191&amp;"'!"&amp;G$183)</f>
        <v>0.80283774828494914</v>
      </c>
      <c r="H191" s="372">
        <f ca="1">MAX(1-Table291234[[#This Row],[Total Offset]],0)</f>
        <v>0.19716225171505086</v>
      </c>
      <c r="I191" s="419">
        <f ca="1">Table291234[[#This Row],[Total Offset]]-Table291234[[#This Row],[Offset through indexation]]</f>
        <v>0.8029389601519924</v>
      </c>
      <c r="J191" s="419" cm="1">
        <f t="array" aca="1" ref="J191" ca="1">INDIRECT("'2"&amp;$F191&amp;"'!"&amp;J$183)</f>
        <v>-1.0121186704322626E-4</v>
      </c>
      <c r="O191" s="89"/>
      <c r="P191" s="96"/>
      <c r="Q191" s="88"/>
      <c r="R191" s="96"/>
    </row>
    <row r="192" spans="1:18" s="1" customFormat="1" x14ac:dyDescent="0.3">
      <c r="A192" s="86" t="s">
        <v>311</v>
      </c>
      <c r="B192" s="401" t="e" cm="1">
        <f t="array" aca="1" ref="B192" ca="1">INDIRECT("'2"&amp;$A192&amp;"'!"&amp;B$183)/INDIRECT("'2"&amp;$A192&amp;"'!"&amp;$B$182)*100</f>
        <v>#REF!</v>
      </c>
      <c r="C192" s="401" t="e" cm="1">
        <f t="array" aca="1" ref="C192" ca="1">INDIRECT("'2"&amp;$A192&amp;"'!"&amp;C$183)/INDIRECT("'2"&amp;$A192&amp;"'!"&amp;$B$182)*100</f>
        <v>#REF!</v>
      </c>
      <c r="D192" s="86"/>
      <c r="E192" s="86"/>
      <c r="F192" s="1" t="s">
        <v>249</v>
      </c>
      <c r="G192" s="303" cm="1">
        <f t="array" aca="1" ref="G192" ca="1">INDIRECT("'2"&amp;$F192&amp;"'!"&amp;G$183)</f>
        <v>0.81560572187630087</v>
      </c>
      <c r="H192" s="372">
        <f ca="1">MAX(1-Table291234[[#This Row],[Total Offset]],0)</f>
        <v>0.18439427812369913</v>
      </c>
      <c r="I192" s="419">
        <f ca="1">Table291234[[#This Row],[Total Offset]]-Table291234[[#This Row],[Offset through indexation]]</f>
        <v>0.70279074739010428</v>
      </c>
      <c r="J192" s="419" cm="1">
        <f t="array" aca="1" ref="J192" ca="1">INDIRECT("'2"&amp;$F192&amp;"'!"&amp;J$183)</f>
        <v>0.11281497448619662</v>
      </c>
      <c r="O192" s="88"/>
      <c r="P192" s="94"/>
      <c r="Q192" s="88"/>
      <c r="R192" s="94"/>
    </row>
    <row r="193" spans="1:18" s="1" customFormat="1" x14ac:dyDescent="0.3">
      <c r="A193" s="1" t="s">
        <v>204</v>
      </c>
      <c r="B193" s="402" cm="1">
        <f t="array" aca="1" ref="B193" ca="1">INDIRECT("'2"&amp;$A193&amp;"'!"&amp;B$183)/INDIRECT("'2"&amp;$A193&amp;"'!"&amp;$B$182)*100</f>
        <v>1.966480940824564</v>
      </c>
      <c r="C193" s="402" cm="1">
        <f t="array" aca="1" ref="C193" ca="1">INDIRECT("'2"&amp;$A193&amp;"'!"&amp;C$183)/INDIRECT("'2"&amp;$A193&amp;"'!"&amp;$B$182)*100</f>
        <v>0.38315413693505157</v>
      </c>
      <c r="F193" s="1" t="s">
        <v>233</v>
      </c>
      <c r="G193" s="303" cm="1">
        <f t="array" aca="1" ref="G193" ca="1">INDIRECT("'2"&amp;$F193&amp;"'!"&amp;G$183)</f>
        <v>0.82396593217314473</v>
      </c>
      <c r="H193" s="372">
        <f ca="1">MAX(1-Table291234[[#This Row],[Total Offset]],0)</f>
        <v>0.17603406782685527</v>
      </c>
      <c r="I193" s="419">
        <f ca="1">Table291234[[#This Row],[Total Offset]]-Table291234[[#This Row],[Offset through indexation]]</f>
        <v>0.15091601178343461</v>
      </c>
      <c r="J193" s="419" cm="1">
        <f t="array" aca="1" ref="J193" ca="1">INDIRECT("'2"&amp;$F193&amp;"'!"&amp;J$183)</f>
        <v>0.67304992038971012</v>
      </c>
      <c r="O193" s="88"/>
      <c r="P193" s="94"/>
      <c r="Q193" s="88"/>
      <c r="R193" s="94"/>
    </row>
    <row r="194" spans="1:18" s="1" customFormat="1" x14ac:dyDescent="0.3">
      <c r="A194" s="1" t="s">
        <v>247</v>
      </c>
      <c r="B194" s="402" cm="1">
        <f t="array" aca="1" ref="B194" ca="1">INDIRECT("'2"&amp;$A194&amp;"'!"&amp;B$183)/INDIRECT("'2"&amp;$A194&amp;"'!"&amp;$B$182)*100</f>
        <v>1.3300434256586129</v>
      </c>
      <c r="C194" s="402" cm="1">
        <f t="array" aca="1" ref="C194" ca="1">INDIRECT("'2"&amp;$A194&amp;"'!"&amp;C$183)/INDIRECT("'2"&amp;$A194&amp;"'!"&amp;$B$182)*100</f>
        <v>0.43964359317992818</v>
      </c>
      <c r="F194" s="1" t="s">
        <v>247</v>
      </c>
      <c r="G194" s="303" cm="1">
        <f t="array" aca="1" ref="G194" ca="1">INDIRECT("'2"&amp;$F194&amp;"'!"&amp;G$183)</f>
        <v>0.8558381462494985</v>
      </c>
      <c r="H194" s="372">
        <f ca="1">MAX(1-Table291234[[#This Row],[Total Offset]],0)</f>
        <v>0.1441618537505015</v>
      </c>
      <c r="I194" s="419">
        <f ca="1">Table291234[[#This Row],[Total Offset]]-Table291234[[#This Row],[Offset through indexation]]</f>
        <v>5.3619558088367825E-2</v>
      </c>
      <c r="J194" s="419" cm="1">
        <f t="array" aca="1" ref="J194" ca="1">INDIRECT("'2"&amp;$F194&amp;"'!"&amp;J$183)</f>
        <v>0.80221858816113067</v>
      </c>
      <c r="O194" s="88"/>
      <c r="P194" s="94"/>
      <c r="Q194" s="88"/>
      <c r="R194" s="94"/>
    </row>
    <row r="195" spans="1:18" s="1" customFormat="1" x14ac:dyDescent="0.3">
      <c r="A195" s="1" t="s">
        <v>240</v>
      </c>
      <c r="B195" s="402" cm="1">
        <f t="array" aca="1" ref="B195" ca="1">INDIRECT("'2"&amp;$A195&amp;"'!"&amp;B$183)/INDIRECT("'2"&amp;$A195&amp;"'!"&amp;$B$182)*100</f>
        <v>1.2658040985024837</v>
      </c>
      <c r="C195" s="402" cm="1">
        <f t="array" aca="1" ref="C195" ca="1">INDIRECT("'2"&amp;$A195&amp;"'!"&amp;C$183)/INDIRECT("'2"&amp;$A195&amp;"'!"&amp;$B$182)*100</f>
        <v>-0.2135613236686438</v>
      </c>
      <c r="F195" s="1" t="s">
        <v>222</v>
      </c>
      <c r="G195" s="303" cm="1">
        <f t="array" aca="1" ref="G195" ca="1">INDIRECT("'2"&amp;$F195&amp;"'!"&amp;G$183)</f>
        <v>0.87936471445314923</v>
      </c>
      <c r="H195" s="372">
        <f ca="1">MAX(1-Table291234[[#This Row],[Total Offset]],0)</f>
        <v>0.12063528554685077</v>
      </c>
      <c r="I195" s="419">
        <f ca="1">Table291234[[#This Row],[Total Offset]]-Table291234[[#This Row],[Offset through indexation]]</f>
        <v>0.21234718810892228</v>
      </c>
      <c r="J195" s="419" cm="1">
        <f t="array" aca="1" ref="J195" ca="1">INDIRECT("'2"&amp;$F195&amp;"'!"&amp;J$183)</f>
        <v>0.66701752634422695</v>
      </c>
      <c r="O195" s="89"/>
      <c r="P195" s="96"/>
      <c r="Q195" s="88"/>
      <c r="R195" s="96"/>
    </row>
    <row r="196" spans="1:18" s="1" customFormat="1" x14ac:dyDescent="0.3">
      <c r="A196" s="1" t="s">
        <v>3</v>
      </c>
      <c r="B196" s="402" cm="1">
        <f t="array" aca="1" ref="B196" ca="1">INDIRECT("'2"&amp;$A196&amp;"'!"&amp;B$183)/INDIRECT("'2"&amp;$A196&amp;"'!"&amp;$B$182)*100</f>
        <v>1.1178772855300674</v>
      </c>
      <c r="C196" s="402" cm="1">
        <f t="array" aca="1" ref="C196" ca="1">INDIRECT("'2"&amp;$A196&amp;"'!"&amp;C$183)/INDIRECT("'2"&amp;$A196&amp;"'!"&amp;$B$182)*100</f>
        <v>-0.41118288385852159</v>
      </c>
      <c r="F196" s="1" t="s">
        <v>238</v>
      </c>
      <c r="G196" s="303" cm="1">
        <f t="array" aca="1" ref="G196" ca="1">INDIRECT("'2"&amp;$F196&amp;"'!"&amp;G$183)</f>
        <v>0.91968915878014212</v>
      </c>
      <c r="H196" s="372">
        <f ca="1">MAX(1-Table291234[[#This Row],[Total Offset]],0)</f>
        <v>8.0310841219857876E-2</v>
      </c>
      <c r="I196" s="419">
        <f ca="1">Table291234[[#This Row],[Total Offset]]-Table291234[[#This Row],[Offset through indexation]]</f>
        <v>-0.11942164931371058</v>
      </c>
      <c r="J196" s="419" cm="1">
        <f t="array" aca="1" ref="J196" ca="1">INDIRECT("'2"&amp;$F196&amp;"'!"&amp;J$183)</f>
        <v>1.0391108080938527</v>
      </c>
      <c r="O196" s="89"/>
      <c r="P196" s="96"/>
      <c r="Q196" s="88"/>
      <c r="R196" s="96"/>
    </row>
    <row r="197" spans="1:18" s="1" customFormat="1" x14ac:dyDescent="0.3">
      <c r="A197" s="1" t="s">
        <v>214</v>
      </c>
      <c r="B197" s="402" cm="1">
        <f t="array" aca="1" ref="B197" ca="1">INDIRECT("'2"&amp;$A197&amp;"'!"&amp;B$183)/INDIRECT("'2"&amp;$A197&amp;"'!"&amp;$B$182)*100</f>
        <v>1.1010887343315983</v>
      </c>
      <c r="C197" s="402" cm="1">
        <f t="array" aca="1" ref="C197" ca="1">INDIRECT("'2"&amp;$A197&amp;"'!"&amp;C$183)/INDIRECT("'2"&amp;$A197&amp;"'!"&amp;$B$182)*100</f>
        <v>0.3463376486644813</v>
      </c>
      <c r="F197" s="1" t="s">
        <v>240</v>
      </c>
      <c r="G197" s="303" cm="1">
        <f t="array" aca="1" ref="G197" ca="1">INDIRECT("'2"&amp;$F197&amp;"'!"&amp;G$183)</f>
        <v>1.0388498665254497</v>
      </c>
      <c r="H197" s="372">
        <f ca="1">MAX(1-Table291234[[#This Row],[Total Offset]],0)</f>
        <v>0</v>
      </c>
      <c r="I197" s="419">
        <f ca="1">Table291234[[#This Row],[Total Offset]]-Table291234[[#This Row],[Offset through indexation]]</f>
        <v>0.89341713295556091</v>
      </c>
      <c r="J197" s="419" cm="1">
        <f t="array" aca="1" ref="J197" ca="1">INDIRECT("'2"&amp;$F197&amp;"'!"&amp;J$183)</f>
        <v>0.14543273356988884</v>
      </c>
      <c r="O197" s="88"/>
      <c r="P197" s="94"/>
      <c r="Q197" s="88"/>
      <c r="R197" s="94"/>
    </row>
    <row r="198" spans="1:18" s="1" customFormat="1" x14ac:dyDescent="0.3">
      <c r="A198" s="1" t="s">
        <v>225</v>
      </c>
      <c r="B198" s="402" cm="1">
        <f t="array" aca="1" ref="B198" ca="1">INDIRECT("'2"&amp;$A198&amp;"'!"&amp;B$183)/INDIRECT("'2"&amp;$A198&amp;"'!"&amp;$B$182)*100</f>
        <v>1.0420979585056971</v>
      </c>
      <c r="C198" s="402" cm="1">
        <f t="array" aca="1" ref="C198" ca="1">INDIRECT("'2"&amp;$A198&amp;"'!"&amp;C$183)/INDIRECT("'2"&amp;$A198&amp;"'!"&amp;$B$182)*100</f>
        <v>-0.35350425423654624</v>
      </c>
      <c r="F198" s="1" t="s">
        <v>252</v>
      </c>
      <c r="G198" s="303" cm="1">
        <f t="array" aca="1" ref="G198" ca="1">INDIRECT("'2"&amp;$F198&amp;"'!"&amp;G$183)</f>
        <v>1.1421705087556184</v>
      </c>
      <c r="H198" s="372">
        <f ca="1">MAX(1-Table291234[[#This Row],[Total Offset]],0)</f>
        <v>0</v>
      </c>
      <c r="I198" s="419">
        <f ca="1">Table291234[[#This Row],[Total Offset]]-Table291234[[#This Row],[Offset through indexation]]</f>
        <v>1.0835362394038901</v>
      </c>
      <c r="J198" s="419" cm="1">
        <f t="array" aca="1" ref="J198" ca="1">INDIRECT("'2"&amp;$F198&amp;"'!"&amp;J$183)</f>
        <v>5.8634269351728226E-2</v>
      </c>
      <c r="O198" s="88"/>
      <c r="P198" s="94"/>
      <c r="Q198" s="88"/>
      <c r="R198" s="94"/>
    </row>
    <row r="199" spans="1:18" s="1" customFormat="1" x14ac:dyDescent="0.3">
      <c r="A199" s="1" t="s">
        <v>222</v>
      </c>
      <c r="B199" s="402" cm="1">
        <f t="array" aca="1" ref="B199" ca="1">INDIRECT("'2"&amp;$A199&amp;"'!"&amp;B$183)/INDIRECT("'2"&amp;$A199&amp;"'!"&amp;$B$182)*100</f>
        <v>1.0409700740075081</v>
      </c>
      <c r="C199" s="402" cm="1">
        <f t="array" aca="1" ref="C199" ca="1">INDIRECT("'2"&amp;$A199&amp;"'!"&amp;C$183)/INDIRECT("'2"&amp;$A199&amp;"'!"&amp;$B$182)*100</f>
        <v>0.17241296278231702</v>
      </c>
      <c r="F199" s="1" t="s">
        <v>225</v>
      </c>
      <c r="G199" s="303" cm="1">
        <f t="array" aca="1" ref="G199" ca="1">INDIRECT("'2"&amp;$F199&amp;"'!"&amp;G$183)</f>
        <v>1.1792805414869518</v>
      </c>
      <c r="H199" s="372">
        <f ca="1">MAX(1-Table291234[[#This Row],[Total Offset]],0)</f>
        <v>0</v>
      </c>
      <c r="I199" s="419">
        <f ca="1">Table291234[[#This Row],[Total Offset]]-Table291234[[#This Row],[Offset through indexation]]</f>
        <v>1.1792805414869518</v>
      </c>
      <c r="J199" s="419" cm="1">
        <f t="array" aca="1" ref="J199" ca="1">INDIRECT("'2"&amp;$F199&amp;"'!"&amp;J$183)</f>
        <v>0</v>
      </c>
      <c r="O199" s="88"/>
      <c r="P199" s="94"/>
      <c r="Q199" s="88"/>
      <c r="R199" s="94"/>
    </row>
    <row r="200" spans="1:18" s="1" customFormat="1" x14ac:dyDescent="0.3">
      <c r="A200" s="1" t="s">
        <v>252</v>
      </c>
      <c r="B200" s="402" cm="1">
        <f t="array" aca="1" ref="B200" ca="1">INDIRECT("'2"&amp;$A200&amp;"'!"&amp;B$183)/INDIRECT("'2"&amp;$A200&amp;"'!"&amp;$B$182)*100</f>
        <v>1.002475551890968</v>
      </c>
      <c r="C200" s="402" cm="1">
        <f t="array" aca="1" ref="C200" ca="1">INDIRECT("'2"&amp;$A200&amp;"'!"&amp;C$183)/INDIRECT("'2"&amp;$A200&amp;"'!"&amp;$B$182)*100</f>
        <v>-0.37722763770393758</v>
      </c>
      <c r="F200" s="1" t="s">
        <v>223</v>
      </c>
      <c r="G200" s="303" cm="1">
        <f t="array" aca="1" ref="G200" ca="1">INDIRECT("'2"&amp;$F200&amp;"'!"&amp;G$183)</f>
        <v>1.2577249994980095</v>
      </c>
      <c r="H200" s="372">
        <f ca="1">MAX(1-Table291234[[#This Row],[Total Offset]],0)</f>
        <v>0</v>
      </c>
      <c r="I200" s="419">
        <f ca="1">Table291234[[#This Row],[Total Offset]]-Table291234[[#This Row],[Offset through indexation]]</f>
        <v>0.95895460833619983</v>
      </c>
      <c r="J200" s="419" cm="1">
        <f t="array" aca="1" ref="J200" ca="1">INDIRECT("'2"&amp;$F200&amp;"'!"&amp;J$183)</f>
        <v>0.2987703911618097</v>
      </c>
      <c r="O200" s="91"/>
      <c r="P200" s="95"/>
      <c r="Q200" s="91"/>
      <c r="R200" s="95"/>
    </row>
    <row r="201" spans="1:18" s="1" customFormat="1" x14ac:dyDescent="0.3">
      <c r="A201" s="1" t="s">
        <v>249</v>
      </c>
      <c r="B201" s="402" cm="1">
        <f t="array" aca="1" ref="B201" ca="1">INDIRECT("'2"&amp;$A201&amp;"'!"&amp;B$183)/INDIRECT("'2"&amp;$A201&amp;"'!"&amp;$B$182)*100</f>
        <v>0.98795457828699962</v>
      </c>
      <c r="C201" s="402" cm="1">
        <f t="array" aca="1" ref="C201" ca="1">INDIRECT("'2"&amp;$A201&amp;"'!"&amp;C$183)/INDIRECT("'2"&amp;$A201&amp;"'!"&amp;$B$182)*100</f>
        <v>-1.1142909588458191E-2</v>
      </c>
      <c r="F201" s="1" t="s">
        <v>217</v>
      </c>
      <c r="G201" s="303" cm="1">
        <f t="array" aca="1" ref="G201" ca="1">INDIRECT("'2"&amp;$F201&amp;"'!"&amp;G$183)</f>
        <v>1.3747027376026557</v>
      </c>
      <c r="H201" s="372">
        <f ca="1">MAX(1-Table291234[[#This Row],[Total Offset]],0)</f>
        <v>0</v>
      </c>
      <c r="I201" s="419">
        <f ca="1">Table291234[[#This Row],[Total Offset]]-Table291234[[#This Row],[Offset through indexation]]</f>
        <v>1.3745114058421153</v>
      </c>
      <c r="J201" s="419" cm="1">
        <f t="array" aca="1" ref="J201" ca="1">INDIRECT("'2"&amp;$F201&amp;"'!"&amp;J$183)</f>
        <v>1.913317605404362E-4</v>
      </c>
      <c r="O201" s="88"/>
      <c r="P201" s="94"/>
      <c r="Q201" s="99"/>
      <c r="R201" s="100"/>
    </row>
    <row r="202" spans="1:18" s="1" customFormat="1" x14ac:dyDescent="0.3">
      <c r="A202" s="1" t="s">
        <v>218</v>
      </c>
      <c r="B202" s="402" cm="1">
        <f t="array" aca="1" ref="B202" ca="1">INDIRECT("'2"&amp;$A202&amp;"'!"&amp;B$183)/INDIRECT("'2"&amp;$A202&amp;"'!"&amp;$B$182)*100</f>
        <v>0.92733722157205178</v>
      </c>
      <c r="C202" s="402" cm="1">
        <f t="array" aca="1" ref="C202" ca="1">INDIRECT("'2"&amp;$A202&amp;"'!"&amp;C$183)/INDIRECT("'2"&amp;$A202&amp;"'!"&amp;$B$182)*100</f>
        <v>0.69624643624099125</v>
      </c>
      <c r="F202" s="1" t="s">
        <v>242</v>
      </c>
      <c r="G202" s="303" cm="1">
        <f t="array" aca="1" ref="G202" ca="1">INDIRECT("'2"&amp;$F202&amp;"'!"&amp;G$183)</f>
        <v>1.4807750172151488</v>
      </c>
      <c r="H202" s="372">
        <f ca="1">MAX(1-Table291234[[#This Row],[Total Offset]],0)</f>
        <v>0</v>
      </c>
      <c r="I202" s="419">
        <f ca="1">Table291234[[#This Row],[Total Offset]]-Table291234[[#This Row],[Offset through indexation]]</f>
        <v>1.4807750172151488</v>
      </c>
      <c r="J202" s="419" cm="1">
        <f t="array" aca="1" ref="J202" ca="1">INDIRECT("'2"&amp;$F202&amp;"'!"&amp;J$183)</f>
        <v>0</v>
      </c>
      <c r="O202" s="88"/>
      <c r="P202" s="94"/>
      <c r="Q202" s="88"/>
      <c r="R202" s="94"/>
    </row>
    <row r="203" spans="1:18" s="1" customFormat="1" x14ac:dyDescent="0.3">
      <c r="A203" s="1" t="s">
        <v>242</v>
      </c>
      <c r="B203" s="402" cm="1">
        <f t="array" aca="1" ref="B203" ca="1">INDIRECT("'2"&amp;$A203&amp;"'!"&amp;B$183)/INDIRECT("'2"&amp;$A203&amp;"'!"&amp;$B$182)*100</f>
        <v>0.87268673005527431</v>
      </c>
      <c r="C203" s="402" cm="1">
        <f t="array" aca="1" ref="C203" ca="1">INDIRECT("'2"&amp;$A203&amp;"'!"&amp;C$183)/INDIRECT("'2"&amp;$A203&amp;"'!"&amp;$B$182)*100</f>
        <v>-0.58209393161883272</v>
      </c>
      <c r="F203" s="1" t="s">
        <v>3</v>
      </c>
      <c r="G203" s="303" cm="1">
        <f t="array" aca="1" ref="G203" ca="1">INDIRECT("'2"&amp;$F203&amp;"'!"&amp;G$183)</f>
        <v>1.4830950452181439</v>
      </c>
      <c r="H203" s="372">
        <f ca="1">MAX(1-Table291234[[#This Row],[Total Offset]],0)</f>
        <v>0</v>
      </c>
      <c r="I203" s="419">
        <f ca="1">Table291234[[#This Row],[Total Offset]]-Table291234[[#This Row],[Offset through indexation]]</f>
        <v>1.0734533928232994</v>
      </c>
      <c r="J203" s="419" cm="1">
        <f t="array" aca="1" ref="J203" ca="1">INDIRECT("'2"&amp;$F203&amp;"'!"&amp;J$183)</f>
        <v>0.40964165239484457</v>
      </c>
      <c r="O203" s="89"/>
      <c r="P203" s="96"/>
      <c r="Q203" s="88"/>
      <c r="R203" s="96"/>
    </row>
    <row r="204" spans="1:18" s="1" customFormat="1" x14ac:dyDescent="0.3">
      <c r="A204" s="1" t="s">
        <v>238</v>
      </c>
      <c r="B204" s="402" cm="1">
        <f t="array" aca="1" ref="B204" ca="1">INDIRECT("'2"&amp;$A204&amp;"'!"&amp;B$183)/INDIRECT("'2"&amp;$A204&amp;"'!"&amp;$B$182)*100</f>
        <v>0.80919437479777168</v>
      </c>
      <c r="C204" s="402" cm="1">
        <f t="array" aca="1" ref="C204" ca="1">INDIRECT("'2"&amp;$A204&amp;"'!"&amp;C$183)/INDIRECT("'2"&amp;$A204&amp;"'!"&amp;$B$182)*100</f>
        <v>-0.1138240884104038</v>
      </c>
      <c r="F204" s="1" t="s">
        <v>254</v>
      </c>
      <c r="G204" s="303" cm="1">
        <f t="array" aca="1" ref="G204" ca="1">INDIRECT("'2"&amp;$F204&amp;"'!"&amp;G$183)</f>
        <v>1.5895446734242877</v>
      </c>
      <c r="H204" s="372">
        <f ca="1">MAX(1-Table291234[[#This Row],[Total Offset]],0)</f>
        <v>0</v>
      </c>
      <c r="I204" s="419">
        <f ca="1">Table291234[[#This Row],[Total Offset]]-Table291234[[#This Row],[Offset through indexation]]</f>
        <v>1.1286640785843103</v>
      </c>
      <c r="J204" s="419" cm="1">
        <f t="array" aca="1" ref="J204" ca="1">INDIRECT("'2"&amp;$F204&amp;"'!"&amp;J$183)</f>
        <v>0.46088059483997745</v>
      </c>
      <c r="O204" s="88"/>
      <c r="P204" s="94"/>
      <c r="Q204" s="88"/>
      <c r="R204" s="94"/>
    </row>
    <row r="205" spans="1:18" s="1" customFormat="1" x14ac:dyDescent="0.3">
      <c r="A205" s="1" t="s">
        <v>254</v>
      </c>
      <c r="B205" s="402" cm="1">
        <f t="array" aca="1" ref="B205" ca="1">INDIRECT("'2"&amp;$A205&amp;"'!"&amp;B$183)/INDIRECT("'2"&amp;$A205&amp;"'!"&amp;$B$182)*100</f>
        <v>0.7684126272944809</v>
      </c>
      <c r="C205" s="402" cm="1">
        <f t="array" aca="1" ref="C205" ca="1">INDIRECT("'2"&amp;$A205&amp;"'!"&amp;C$183)/INDIRECT("'2"&amp;$A205&amp;"'!"&amp;$B$182)*100</f>
        <v>-0.5452248872398604</v>
      </c>
      <c r="F205" s="1" t="s">
        <v>210</v>
      </c>
      <c r="G205" s="303" cm="1">
        <f t="array" aca="1" ref="G205" ca="1">INDIRECT("'2"&amp;$F205&amp;"'!"&amp;G$183)</f>
        <v>1.604033739785439</v>
      </c>
      <c r="H205" s="372">
        <f ca="1">MAX(1-Table291234[[#This Row],[Total Offset]],0)</f>
        <v>0</v>
      </c>
      <c r="I205" s="419">
        <f ca="1">Table291234[[#This Row],[Total Offset]]-Table291234[[#This Row],[Offset through indexation]]</f>
        <v>0.70278163293587936</v>
      </c>
      <c r="J205" s="419" cm="1">
        <f t="array" aca="1" ref="J205" ca="1">INDIRECT("'2"&amp;$F205&amp;"'!"&amp;J$183)</f>
        <v>0.90125210684955959</v>
      </c>
      <c r="O205" s="89"/>
      <c r="P205" s="96"/>
      <c r="Q205" s="88"/>
      <c r="R205" s="96"/>
    </row>
    <row r="206" spans="1:18" s="1" customFormat="1" x14ac:dyDescent="0.3">
      <c r="A206" s="1" t="s">
        <v>210</v>
      </c>
      <c r="B206" s="402" cm="1">
        <f t="array" aca="1" ref="B206" ca="1">INDIRECT("'2"&amp;$A206&amp;"'!"&amp;B$183)/INDIRECT("'2"&amp;$A206&amp;"'!"&amp;$B$182)*100</f>
        <v>0.73856223645882657</v>
      </c>
      <c r="C206" s="402" cm="1">
        <f t="array" aca="1" ref="C206" ca="1">INDIRECT("'2"&amp;$A206&amp;"'!"&amp;C$183)/INDIRECT("'2"&amp;$A206&amp;"'!"&amp;$B$182)*100</f>
        <v>-0.36070309540800499</v>
      </c>
      <c r="F206" s="86" t="s">
        <v>304</v>
      </c>
      <c r="G206" s="371" t="e" cm="1">
        <f t="array" aca="1" ref="G206" ca="1">INDIRECT("'2"&amp;$F206&amp;"'!"&amp;G$183)</f>
        <v>#REF!</v>
      </c>
      <c r="H206" s="372" t="e">
        <f ca="1">MAX(1-Table291234[[#This Row],[Total Offset]],0)</f>
        <v>#REF!</v>
      </c>
      <c r="I206" s="419" t="e">
        <f ca="1">Table291234[[#This Row],[Total Offset]]-Table291234[[#This Row],[Offset through indexation]]</f>
        <v>#REF!</v>
      </c>
      <c r="J206" s="419" t="e" cm="1">
        <f t="array" aca="1" ref="J206" ca="1">INDIRECT("'2"&amp;$F206&amp;"'!"&amp;J$183)</f>
        <v>#REF!</v>
      </c>
      <c r="O206" s="88"/>
      <c r="P206" s="94"/>
      <c r="Q206" s="88"/>
      <c r="R206" s="94"/>
    </row>
    <row r="207" spans="1:18" s="1" customFormat="1" x14ac:dyDescent="0.3">
      <c r="A207" s="1" t="s">
        <v>227</v>
      </c>
      <c r="B207" s="402" cm="1">
        <f t="array" aca="1" ref="B207" ca="1">INDIRECT("'2"&amp;$A207&amp;"'!"&amp;B$183)/INDIRECT("'2"&amp;$A207&amp;"'!"&amp;$B$182)*100</f>
        <v>0.71017726958249117</v>
      </c>
      <c r="C207" s="402" cm="1">
        <f t="array" aca="1" ref="C207" ca="1">INDIRECT("'2"&amp;$A207&amp;"'!"&amp;C$183)/INDIRECT("'2"&amp;$A207&amp;"'!"&amp;$B$182)*100</f>
        <v>0.15224742683420747</v>
      </c>
      <c r="F207" s="86" t="s">
        <v>305</v>
      </c>
      <c r="G207" s="371" t="e" cm="1">
        <f t="array" aca="1" ref="G207" ca="1">INDIRECT("'2"&amp;$F207&amp;"'!"&amp;G$183)</f>
        <v>#REF!</v>
      </c>
      <c r="H207" s="372" t="e">
        <f ca="1">MAX(1-Table291234[[#This Row],[Total Offset]],0)</f>
        <v>#REF!</v>
      </c>
      <c r="I207" s="419" t="e">
        <f ca="1">Table291234[[#This Row],[Total Offset]]-Table291234[[#This Row],[Offset through indexation]]</f>
        <v>#REF!</v>
      </c>
      <c r="J207" s="419" t="e" cm="1">
        <f t="array" aca="1" ref="J207" ca="1">INDIRECT("'2"&amp;$F207&amp;"'!"&amp;J$183)</f>
        <v>#REF!</v>
      </c>
      <c r="O207" s="89"/>
      <c r="P207" s="96"/>
      <c r="Q207" s="88"/>
      <c r="R207" s="96"/>
    </row>
    <row r="208" spans="1:18" s="1" customFormat="1" x14ac:dyDescent="0.3">
      <c r="A208" s="1" t="s">
        <v>233</v>
      </c>
      <c r="B208" s="402" cm="1">
        <f t="array" aca="1" ref="B208" ca="1">INDIRECT("'2"&amp;$A208&amp;"'!"&amp;B$183)/INDIRECT("'2"&amp;$A208&amp;"'!"&amp;$B$182)*100</f>
        <v>0.68278507405340327</v>
      </c>
      <c r="C208" s="402" cm="1">
        <f t="array" aca="1" ref="C208" ca="1">INDIRECT("'2"&amp;$A208&amp;"'!"&amp;C$183)/INDIRECT("'2"&amp;$A208&amp;"'!"&amp;$B$182)*100</f>
        <v>7.8757714641652529E-2</v>
      </c>
      <c r="F208" s="86" t="s">
        <v>306</v>
      </c>
      <c r="G208" s="371" t="e" cm="1">
        <f t="array" aca="1" ref="G208" ca="1">INDIRECT("'2"&amp;$F208&amp;"'!"&amp;G$183)</f>
        <v>#REF!</v>
      </c>
      <c r="H208" s="372" t="e">
        <f ca="1">MAX(1-Table291234[[#This Row],[Total Offset]],0)</f>
        <v>#REF!</v>
      </c>
      <c r="I208" s="419" t="e">
        <f ca="1">Table291234[[#This Row],[Total Offset]]-Table291234[[#This Row],[Offset through indexation]]</f>
        <v>#REF!</v>
      </c>
      <c r="J208" s="419" t="e" cm="1">
        <f t="array" aca="1" ref="J208" ca="1">INDIRECT("'2"&amp;$F208&amp;"'!"&amp;J$183)</f>
        <v>#REF!</v>
      </c>
      <c r="O208" s="88"/>
      <c r="P208" s="94"/>
      <c r="Q208" s="88"/>
      <c r="R208" s="94"/>
    </row>
    <row r="209" spans="1:18" s="1" customFormat="1" x14ac:dyDescent="0.3">
      <c r="A209" s="1" t="s">
        <v>234</v>
      </c>
      <c r="B209" s="402" cm="1">
        <f t="array" aca="1" ref="B209" ca="1">INDIRECT("'2"&amp;$A209&amp;"'!"&amp;B$183)/INDIRECT("'2"&amp;$A209&amp;"'!"&amp;$B$182)*100</f>
        <v>0.578429593419167</v>
      </c>
      <c r="C209" s="402" cm="1">
        <f t="array" aca="1" ref="C209" ca="1">INDIRECT("'2"&amp;$A209&amp;"'!"&amp;C$183)/INDIRECT("'2"&amp;$A209&amp;"'!"&amp;$B$182)*100</f>
        <v>0.54678593272846077</v>
      </c>
      <c r="F209" s="86" t="s">
        <v>307</v>
      </c>
      <c r="G209" s="371" t="e" cm="1">
        <f t="array" aca="1" ref="G209" ca="1">INDIRECT("'2"&amp;$F209&amp;"'!"&amp;G$183)</f>
        <v>#REF!</v>
      </c>
      <c r="H209" s="372" t="e">
        <f ca="1">MAX(1-Table291234[[#This Row],[Total Offset]],0)</f>
        <v>#REF!</v>
      </c>
      <c r="I209" s="419" t="e">
        <f ca="1">Table291234[[#This Row],[Total Offset]]-Table291234[[#This Row],[Offset through indexation]]</f>
        <v>#REF!</v>
      </c>
      <c r="J209" s="419" t="e" cm="1">
        <f t="array" aca="1" ref="J209" ca="1">INDIRECT("'2"&amp;$F209&amp;"'!"&amp;J$183)</f>
        <v>#REF!</v>
      </c>
      <c r="O209" s="88"/>
      <c r="P209" s="94"/>
      <c r="Q209" s="88"/>
      <c r="R209" s="94"/>
    </row>
    <row r="210" spans="1:18" s="1" customFormat="1" x14ac:dyDescent="0.3">
      <c r="A210" s="1" t="s">
        <v>245</v>
      </c>
      <c r="B210" s="402" cm="1">
        <f t="array" aca="1" ref="B210" ca="1">INDIRECT("'2"&amp;$A210&amp;"'!"&amp;B$183)/INDIRECT("'2"&amp;$A210&amp;"'!"&amp;$B$182)*100</f>
        <v>0.56395131410675292</v>
      </c>
      <c r="C210" s="402" cm="1">
        <f t="array" aca="1" ref="C210" ca="1">INDIRECT("'2"&amp;$A210&amp;"'!"&amp;C$183)/INDIRECT("'2"&amp;$A210&amp;"'!"&amp;$B$182)*100</f>
        <v>0.36254398981698416</v>
      </c>
      <c r="F210" s="86" t="s">
        <v>308</v>
      </c>
      <c r="G210" s="371" t="e" cm="1">
        <f t="array" aca="1" ref="G210" ca="1">INDIRECT("'2"&amp;$F210&amp;"'!"&amp;G$183)</f>
        <v>#REF!</v>
      </c>
      <c r="H210" s="372" t="e">
        <f ca="1">MAX(1-Table291234[[#This Row],[Total Offset]],0)</f>
        <v>#REF!</v>
      </c>
      <c r="I210" s="419" t="e">
        <f ca="1">Table291234[[#This Row],[Total Offset]]-Table291234[[#This Row],[Offset through indexation]]</f>
        <v>#REF!</v>
      </c>
      <c r="J210" s="419" t="e" cm="1">
        <f t="array" aca="1" ref="J210" ca="1">INDIRECT("'2"&amp;$F210&amp;"'!"&amp;J$183)</f>
        <v>#REF!</v>
      </c>
      <c r="O210" s="88"/>
      <c r="P210" s="94"/>
      <c r="Q210" s="88"/>
      <c r="R210" s="94"/>
    </row>
    <row r="211" spans="1:18" s="1" customFormat="1" x14ac:dyDescent="0.3">
      <c r="A211" s="1" t="s">
        <v>208</v>
      </c>
      <c r="B211" s="402" cm="1">
        <f t="array" aca="1" ref="B211" ca="1">INDIRECT("'2"&amp;$A211&amp;"'!"&amp;B$183)/INDIRECT("'2"&amp;$A211&amp;"'!"&amp;$B$182)*100</f>
        <v>0.55392900443352144</v>
      </c>
      <c r="C211" s="402" cm="1">
        <f t="array" aca="1" ref="C211" ca="1">INDIRECT("'2"&amp;$A211&amp;"'!"&amp;C$183)/INDIRECT("'2"&amp;$A211&amp;"'!"&amp;$B$182)*100</f>
        <v>0.38851661549579752</v>
      </c>
      <c r="F211" s="86" t="s">
        <v>309</v>
      </c>
      <c r="G211" s="371" t="e" cm="1">
        <f t="array" aca="1" ref="G211" ca="1">INDIRECT("'2"&amp;$F211&amp;"'!"&amp;G$183)</f>
        <v>#REF!</v>
      </c>
      <c r="H211" s="372" t="e">
        <f ca="1">MAX(1-Table291234[[#This Row],[Total Offset]],0)</f>
        <v>#REF!</v>
      </c>
      <c r="I211" s="419" t="e">
        <f ca="1">Table291234[[#This Row],[Total Offset]]-Table291234[[#This Row],[Offset through indexation]]</f>
        <v>#REF!</v>
      </c>
      <c r="J211" s="419" t="e" cm="1">
        <f t="array" aca="1" ref="J211" ca="1">INDIRECT("'2"&amp;$F211&amp;"'!"&amp;J$183)</f>
        <v>#REF!</v>
      </c>
      <c r="O211" s="89"/>
      <c r="P211" s="96"/>
      <c r="Q211" s="88"/>
      <c r="R211" s="96"/>
    </row>
    <row r="212" spans="1:18" s="1" customFormat="1" x14ac:dyDescent="0.3">
      <c r="A212" s="1" t="s">
        <v>217</v>
      </c>
      <c r="B212" s="402" cm="1">
        <f t="array" aca="1" ref="B212" ca="1">INDIRECT("'2"&amp;$A212&amp;"'!"&amp;B$183)/INDIRECT("'2"&amp;$A212&amp;"'!"&amp;$B$182)*100</f>
        <v>0.4468022462144931</v>
      </c>
      <c r="C212" s="402" cm="1">
        <f t="array" aca="1" ref="C212" ca="1">INDIRECT("'2"&amp;$A212&amp;"'!"&amp;C$183)/INDIRECT("'2"&amp;$A212&amp;"'!"&amp;$B$182)*100</f>
        <v>-5.4813801302976174E-2</v>
      </c>
      <c r="F212" s="86" t="s">
        <v>310</v>
      </c>
      <c r="G212" s="371" t="e" cm="1">
        <f t="array" aca="1" ref="G212" ca="1">INDIRECT("'2"&amp;$F212&amp;"'!"&amp;G$183)</f>
        <v>#REF!</v>
      </c>
      <c r="H212" s="372" t="e">
        <f ca="1">MAX(1-Table291234[[#This Row],[Total Offset]],0)</f>
        <v>#REF!</v>
      </c>
      <c r="I212" s="419" t="e">
        <f ca="1">Table291234[[#This Row],[Total Offset]]-Table291234[[#This Row],[Offset through indexation]]</f>
        <v>#REF!</v>
      </c>
      <c r="J212" s="419" t="e" cm="1">
        <f t="array" aca="1" ref="J212" ca="1">INDIRECT("'2"&amp;$F212&amp;"'!"&amp;J$183)</f>
        <v>#REF!</v>
      </c>
      <c r="O212" s="89"/>
      <c r="P212" s="96"/>
      <c r="Q212" s="88"/>
      <c r="R212" s="96"/>
    </row>
    <row r="213" spans="1:18" s="1" customFormat="1" x14ac:dyDescent="0.3">
      <c r="A213" s="1" t="s">
        <v>223</v>
      </c>
      <c r="B213" s="402" cm="1">
        <f t="array" aca="1" ref="B213" ca="1">INDIRECT("'2"&amp;$A213&amp;"'!"&amp;B$183)/INDIRECT("'2"&amp;$A213&amp;"'!"&amp;$B$182)*100</f>
        <v>0.56951025723665694</v>
      </c>
      <c r="C213" s="402" cm="1">
        <f t="array" aca="1" ref="C213" ca="1">INDIRECT("'2"&amp;$A213&amp;"'!"&amp;C$183)/INDIRECT("'2"&amp;$A213&amp;"'!"&amp;$B$182)*100</f>
        <v>-2.9572149033825323E-2</v>
      </c>
      <c r="F213" s="86" t="s">
        <v>311</v>
      </c>
      <c r="G213" s="371" t="e" cm="1">
        <f t="array" aca="1" ref="G213" ca="1">INDIRECT("'2"&amp;$F213&amp;"'!"&amp;G$183)</f>
        <v>#REF!</v>
      </c>
      <c r="H213" s="372" t="e">
        <f ca="1">MAX(1-Table291234[[#This Row],[Total Offset]],0)</f>
        <v>#REF!</v>
      </c>
      <c r="I213" s="419" t="e">
        <f ca="1">Table291234[[#This Row],[Total Offset]]-Table291234[[#This Row],[Offset through indexation]]</f>
        <v>#REF!</v>
      </c>
      <c r="J213" s="419" t="e" cm="1">
        <f t="array" aca="1" ref="J213" ca="1">INDIRECT("'2"&amp;$F213&amp;"'!"&amp;J$183)</f>
        <v>#REF!</v>
      </c>
      <c r="O213" s="88"/>
      <c r="P213" s="94"/>
      <c r="Q213" s="88"/>
      <c r="R213" s="94"/>
    </row>
    <row r="214" spans="1:18" s="1" customFormat="1" x14ac:dyDescent="0.3">
      <c r="O214" s="88"/>
      <c r="P214" s="94"/>
      <c r="Q214" s="88"/>
      <c r="R214" s="94"/>
    </row>
    <row r="215" spans="1:18" s="1" customFormat="1" x14ac:dyDescent="0.3">
      <c r="O215" s="88"/>
      <c r="P215" s="94"/>
      <c r="Q215" s="88"/>
      <c r="R215" s="94"/>
    </row>
    <row r="216" spans="1:18" s="1" customFormat="1" x14ac:dyDescent="0.3">
      <c r="O216" s="91"/>
      <c r="P216" s="95"/>
      <c r="Q216" s="91"/>
      <c r="R216" s="95"/>
    </row>
    <row r="217" spans="1:18" s="85" customFormat="1" ht="36.6" customHeight="1" x14ac:dyDescent="0.3">
      <c r="A217" s="183" t="s">
        <v>613</v>
      </c>
      <c r="B217" s="544"/>
      <c r="C217" s="544"/>
      <c r="D217" s="544"/>
      <c r="E217" s="544"/>
      <c r="F217" s="544"/>
      <c r="G217" s="544"/>
      <c r="O217" s="87"/>
      <c r="P217" s="93"/>
      <c r="R217" s="93"/>
    </row>
    <row r="218" spans="1:18" s="1" customFormat="1" x14ac:dyDescent="0.3">
      <c r="B218" s="1" t="s">
        <v>398</v>
      </c>
      <c r="O218" s="88"/>
      <c r="P218" s="94"/>
      <c r="R218" s="94"/>
    </row>
    <row r="219" spans="1:18" s="1" customFormat="1" x14ac:dyDescent="0.3">
      <c r="A219" s="1" t="s">
        <v>289</v>
      </c>
      <c r="B219" s="1" t="s">
        <v>433</v>
      </c>
      <c r="C219" s="1" t="s">
        <v>434</v>
      </c>
      <c r="D219" s="86"/>
      <c r="E219" s="86"/>
      <c r="F219" s="1" t="s">
        <v>289</v>
      </c>
      <c r="G219" s="1" t="s">
        <v>435</v>
      </c>
      <c r="J219" s="1" t="s">
        <v>436</v>
      </c>
      <c r="O219" s="88"/>
      <c r="P219" s="94"/>
      <c r="R219" s="94"/>
    </row>
    <row r="220" spans="1:18" s="1" customFormat="1" ht="28.8" x14ac:dyDescent="0.3">
      <c r="A220" s="109" t="s">
        <v>316</v>
      </c>
      <c r="B220" s="107" t="s">
        <v>164</v>
      </c>
      <c r="C220" s="107" t="s">
        <v>163</v>
      </c>
      <c r="D220" s="86"/>
      <c r="E220" s="86"/>
      <c r="F220" s="109" t="s">
        <v>316</v>
      </c>
      <c r="G220" s="107" t="s">
        <v>432</v>
      </c>
      <c r="H220" s="107" t="s">
        <v>163</v>
      </c>
      <c r="I220" s="119" t="s">
        <v>404</v>
      </c>
      <c r="J220" s="119" t="s">
        <v>405</v>
      </c>
      <c r="O220" s="88"/>
      <c r="P220" s="94"/>
      <c r="R220" s="94"/>
    </row>
    <row r="221" spans="1:18" s="1" customFormat="1" x14ac:dyDescent="0.3">
      <c r="A221" s="86" t="s">
        <v>304</v>
      </c>
      <c r="B221" s="401" t="e" cm="1">
        <f t="array" aca="1" ref="B221" ca="1">INDIRECT("'2"&amp;$A221&amp;"'!"&amp;B$219)/INDIRECT("'2"&amp;$A221&amp;"'!"&amp;$B$218)*100</f>
        <v>#REF!</v>
      </c>
      <c r="C221" s="401" t="e" cm="1">
        <f t="array" aca="1" ref="C221" ca="1">INDIRECT("'2"&amp;$A221&amp;"'!"&amp;C$219)/INDIRECT("'2"&amp;$A221&amp;"'!"&amp;$B$218)*100</f>
        <v>#REF!</v>
      </c>
      <c r="D221" s="86"/>
      <c r="E221" s="86"/>
      <c r="F221" s="1" t="s">
        <v>208</v>
      </c>
      <c r="G221" s="303" cm="1">
        <f t="array" aca="1" ref="G221" ca="1">INDIRECT("'2"&amp;$F221&amp;"'!"&amp;G$219)</f>
        <v>0.27398307668162941</v>
      </c>
      <c r="H221" s="372">
        <f ca="1">MAX(1-Table29123427[[#This Row],[Total Offset]],0)</f>
        <v>0.72601692331837064</v>
      </c>
      <c r="I221" s="419">
        <f ca="1">Table29123427[[#This Row],[Total Offset]]-Table29123427[[#This Row],[Offset through indexation]]</f>
        <v>0.27398307668162941</v>
      </c>
      <c r="J221" s="419" cm="1">
        <f t="array" aca="1" ref="J221" ca="1">INDIRECT("'2"&amp;$F221&amp;"'!"&amp;J$219)</f>
        <v>0</v>
      </c>
      <c r="O221" s="99"/>
      <c r="P221" s="100"/>
      <c r="Q221" s="99"/>
      <c r="R221" s="100"/>
    </row>
    <row r="222" spans="1:18" s="1" customFormat="1" x14ac:dyDescent="0.3">
      <c r="A222" s="86" t="s">
        <v>305</v>
      </c>
      <c r="B222" s="401" t="e" cm="1">
        <f t="array" aca="1" ref="B222" ca="1">INDIRECT("'2"&amp;$A222&amp;"'!"&amp;B$219)/INDIRECT("'2"&amp;$A222&amp;"'!"&amp;$B$218)*100</f>
        <v>#REF!</v>
      </c>
      <c r="C222" s="401" t="e" cm="1">
        <f t="array" aca="1" ref="C222" ca="1">INDIRECT("'2"&amp;$A222&amp;"'!"&amp;C$219)/INDIRECT("'2"&amp;$A222&amp;"'!"&amp;$B$218)*100</f>
        <v>#REF!</v>
      </c>
      <c r="D222" s="86"/>
      <c r="E222" s="86"/>
      <c r="F222" s="1" t="s">
        <v>218</v>
      </c>
      <c r="G222" s="303" cm="1">
        <f t="array" aca="1" ref="G222" ca="1">INDIRECT("'2"&amp;$F222&amp;"'!"&amp;G$219)</f>
        <v>0.32072980276918128</v>
      </c>
      <c r="H222" s="372">
        <f ca="1">MAX(1-Table29123427[[#This Row],[Total Offset]],0)</f>
        <v>0.67927019723081872</v>
      </c>
      <c r="I222" s="419">
        <f ca="1">Table29123427[[#This Row],[Total Offset]]-Table29123427[[#This Row],[Offset through indexation]]</f>
        <v>1.76382752234992E-2</v>
      </c>
      <c r="J222" s="303" cm="1">
        <f t="array" aca="1" ref="J222" ca="1">INDIRECT("'2"&amp;$F222&amp;"'!"&amp;J$219)</f>
        <v>0.30309152754568208</v>
      </c>
      <c r="O222" s="88"/>
      <c r="P222" s="94"/>
      <c r="Q222" s="88"/>
      <c r="R222" s="94"/>
    </row>
    <row r="223" spans="1:18" s="1" customFormat="1" x14ac:dyDescent="0.3">
      <c r="A223" s="86" t="s">
        <v>306</v>
      </c>
      <c r="B223" s="401" t="e" cm="1">
        <f t="array" aca="1" ref="B223" ca="1">INDIRECT("'2"&amp;$A223&amp;"'!"&amp;B$219)/INDIRECT("'2"&amp;$A223&amp;"'!"&amp;$B$218)*100</f>
        <v>#REF!</v>
      </c>
      <c r="C223" s="401" t="e" cm="1">
        <f t="array" aca="1" ref="C223" ca="1">INDIRECT("'2"&amp;$A223&amp;"'!"&amp;C$219)/INDIRECT("'2"&amp;$A223&amp;"'!"&amp;$B$218)*100</f>
        <v>#REF!</v>
      </c>
      <c r="D223" s="86"/>
      <c r="E223" s="86"/>
      <c r="F223" s="1" t="s">
        <v>234</v>
      </c>
      <c r="G223" s="303" cm="1">
        <f t="array" aca="1" ref="G223" ca="1">INDIRECT("'2"&amp;$F223&amp;"'!"&amp;G$219)</f>
        <v>0.39396606941321338</v>
      </c>
      <c r="H223" s="372">
        <f ca="1">MAX(1-Table29123427[[#This Row],[Total Offset]],0)</f>
        <v>0.60603393058678656</v>
      </c>
      <c r="I223" s="419">
        <f ca="1">Table29123427[[#This Row],[Total Offset]]-Table29123427[[#This Row],[Offset through indexation]]</f>
        <v>0.37884264288589792</v>
      </c>
      <c r="J223" s="419" cm="1">
        <f t="array" aca="1" ref="J223" ca="1">INDIRECT("'2"&amp;$F223&amp;"'!"&amp;J$219)</f>
        <v>1.5123426527315452E-2</v>
      </c>
      <c r="O223" s="89"/>
      <c r="P223" s="96"/>
      <c r="Q223" s="88"/>
      <c r="R223" s="96"/>
    </row>
    <row r="224" spans="1:18" s="1" customFormat="1" x14ac:dyDescent="0.3">
      <c r="A224" s="86" t="s">
        <v>307</v>
      </c>
      <c r="B224" s="401" t="e" cm="1">
        <f t="array" aca="1" ref="B224" ca="1">INDIRECT("'2"&amp;$A224&amp;"'!"&amp;B$219)/INDIRECT("'2"&amp;$A224&amp;"'!"&amp;$B$218)*100</f>
        <v>#REF!</v>
      </c>
      <c r="C224" s="401" t="e" cm="1">
        <f t="array" aca="1" ref="C224" ca="1">INDIRECT("'2"&amp;$A224&amp;"'!"&amp;C$219)/INDIRECT("'2"&amp;$A224&amp;"'!"&amp;$B$218)*100</f>
        <v>#REF!</v>
      </c>
      <c r="D224" s="86"/>
      <c r="E224" s="86"/>
      <c r="F224" s="1" t="s">
        <v>245</v>
      </c>
      <c r="G224" s="303" cm="1">
        <f t="array" aca="1" ref="G224" ca="1">INDIRECT("'2"&amp;$F224&amp;"'!"&amp;G$219)</f>
        <v>0.46153581253629178</v>
      </c>
      <c r="H224" s="372">
        <f ca="1">MAX(1-Table29123427[[#This Row],[Total Offset]],0)</f>
        <v>0.53846418746370817</v>
      </c>
      <c r="I224" s="419">
        <f ca="1">Table29123427[[#This Row],[Total Offset]]-Table29123427[[#This Row],[Offset through indexation]]</f>
        <v>0.34512917620387734</v>
      </c>
      <c r="J224" s="419" cm="1">
        <f t="array" aca="1" ref="J224" ca="1">INDIRECT("'2"&amp;$F224&amp;"'!"&amp;J$219)</f>
        <v>0.11640663633241445</v>
      </c>
      <c r="O224" s="88"/>
      <c r="P224" s="94"/>
      <c r="Q224" s="88"/>
      <c r="R224" s="94"/>
    </row>
    <row r="225" spans="1:18" s="1" customFormat="1" x14ac:dyDescent="0.3">
      <c r="A225" s="86" t="s">
        <v>308</v>
      </c>
      <c r="B225" s="401" t="e" cm="1">
        <f t="array" aca="1" ref="B225" ca="1">INDIRECT("'2"&amp;$A225&amp;"'!"&amp;B$219)/INDIRECT("'2"&amp;$A225&amp;"'!"&amp;$B$218)*100</f>
        <v>#REF!</v>
      </c>
      <c r="C225" s="401" t="e" cm="1">
        <f t="array" aca="1" ref="C225" ca="1">INDIRECT("'2"&amp;$A225&amp;"'!"&amp;C$219)/INDIRECT("'2"&amp;$A225&amp;"'!"&amp;$B$218)*100</f>
        <v>#REF!</v>
      </c>
      <c r="D225" s="86"/>
      <c r="E225" s="86"/>
      <c r="F225" s="1" t="s">
        <v>247</v>
      </c>
      <c r="G225" s="303" cm="1">
        <f t="array" aca="1" ref="G225" ca="1">INDIRECT("'2"&amp;$F225&amp;"'!"&amp;G$219)</f>
        <v>0.69409413734508096</v>
      </c>
      <c r="H225" s="372">
        <f ca="1">MAX(1-Table29123427[[#This Row],[Total Offset]],0)</f>
        <v>0.30590586265491904</v>
      </c>
      <c r="I225" s="419">
        <f ca="1">Table29123427[[#This Row],[Total Offset]]-Table29123427[[#This Row],[Offset through indexation]]</f>
        <v>4.3486050580082924E-2</v>
      </c>
      <c r="J225" s="419" cm="1">
        <f t="array" aca="1" ref="J225" ca="1">INDIRECT("'2"&amp;$F225&amp;"'!"&amp;J$219)</f>
        <v>0.65060808676499804</v>
      </c>
      <c r="O225" s="89"/>
      <c r="P225" s="96"/>
      <c r="Q225" s="88"/>
      <c r="R225" s="96"/>
    </row>
    <row r="226" spans="1:18" s="1" customFormat="1" x14ac:dyDescent="0.3">
      <c r="A226" s="86" t="s">
        <v>309</v>
      </c>
      <c r="B226" s="401" t="e" cm="1">
        <f t="array" aca="1" ref="B226" ca="1">INDIRECT("'2"&amp;$A226&amp;"'!"&amp;B$219)/INDIRECT("'2"&amp;$A226&amp;"'!"&amp;$B$218)*100</f>
        <v>#REF!</v>
      </c>
      <c r="C226" s="401" t="e" cm="1">
        <f t="array" aca="1" ref="C226" ca="1">INDIRECT("'2"&amp;$A226&amp;"'!"&amp;C$219)/INDIRECT("'2"&amp;$A226&amp;"'!"&amp;$B$218)*100</f>
        <v>#REF!</v>
      </c>
      <c r="D226" s="86"/>
      <c r="E226" s="86"/>
      <c r="F226" s="1" t="s">
        <v>214</v>
      </c>
      <c r="G226" s="303" cm="1">
        <f t="array" aca="1" ref="G226" ca="1">INDIRECT("'2"&amp;$F226&amp;"'!"&amp;G$219)</f>
        <v>0.79503578969951738</v>
      </c>
      <c r="H226" s="372">
        <f ca="1">MAX(1-Table29123427[[#This Row],[Total Offset]],0)</f>
        <v>0.20496421030048262</v>
      </c>
      <c r="I226" s="419">
        <f ca="1">Table29123427[[#This Row],[Total Offset]]-Table29123427[[#This Row],[Offset through indexation]]</f>
        <v>0.47010397430784157</v>
      </c>
      <c r="J226" s="419" cm="1">
        <f t="array" aca="1" ref="J226" ca="1">INDIRECT("'2"&amp;$F226&amp;"'!"&amp;J$219)</f>
        <v>0.32493181539167582</v>
      </c>
      <c r="O226" s="88"/>
      <c r="P226" s="94"/>
      <c r="Q226" s="88"/>
      <c r="R226" s="94"/>
    </row>
    <row r="227" spans="1:18" s="1" customFormat="1" x14ac:dyDescent="0.3">
      <c r="A227" s="86" t="s">
        <v>310</v>
      </c>
      <c r="B227" s="401" t="e" cm="1">
        <f t="array" aca="1" ref="B227" ca="1">INDIRECT("'2"&amp;$A227&amp;"'!"&amp;B$219)/INDIRECT("'2"&amp;$A227&amp;"'!"&amp;$B$218)*100</f>
        <v>#REF!</v>
      </c>
      <c r="C227" s="401" t="e" cm="1">
        <f t="array" aca="1" ref="C227" ca="1">INDIRECT("'2"&amp;$A227&amp;"'!"&amp;C$219)/INDIRECT("'2"&amp;$A227&amp;"'!"&amp;$B$218)*100</f>
        <v>#REF!</v>
      </c>
      <c r="D227" s="86"/>
      <c r="E227" s="86"/>
      <c r="F227" s="1" t="s">
        <v>227</v>
      </c>
      <c r="G227" s="303" cm="1">
        <f t="array" aca="1" ref="G227" ca="1">INDIRECT("'2"&amp;$F227&amp;"'!"&amp;G$219)</f>
        <v>0.81908276863875185</v>
      </c>
      <c r="H227" s="372">
        <f ca="1">MAX(1-Table29123427[[#This Row],[Total Offset]],0)</f>
        <v>0.18091723136124815</v>
      </c>
      <c r="I227" s="419">
        <f ca="1">Table29123427[[#This Row],[Total Offset]]-Table29123427[[#This Row],[Offset through indexation]]</f>
        <v>0.8191860284773107</v>
      </c>
      <c r="J227" s="419" cm="1">
        <f t="array" aca="1" ref="J227" ca="1">INDIRECT("'2"&amp;$F227&amp;"'!"&amp;J$219)</f>
        <v>-1.0325983855886058E-4</v>
      </c>
      <c r="O227" s="89"/>
      <c r="P227" s="96"/>
      <c r="Q227" s="88"/>
      <c r="R227" s="96"/>
    </row>
    <row r="228" spans="1:18" s="1" customFormat="1" x14ac:dyDescent="0.3">
      <c r="A228" s="86" t="s">
        <v>311</v>
      </c>
      <c r="B228" s="401" t="e" cm="1">
        <f t="array" aca="1" ref="B228" ca="1">INDIRECT("'2"&amp;$A228&amp;"'!"&amp;B$219)/INDIRECT("'2"&amp;$A228&amp;"'!"&amp;$B$218)*100</f>
        <v>#REF!</v>
      </c>
      <c r="C228" s="401" t="e" cm="1">
        <f t="array" aca="1" ref="C228" ca="1">INDIRECT("'2"&amp;$A228&amp;"'!"&amp;C$219)/INDIRECT("'2"&amp;$A228&amp;"'!"&amp;$B$218)*100</f>
        <v>#REF!</v>
      </c>
      <c r="D228" s="86"/>
      <c r="E228" s="86"/>
      <c r="F228" s="1" t="s">
        <v>204</v>
      </c>
      <c r="G228" s="303" cm="1">
        <f t="array" aca="1" ref="G228" ca="1">INDIRECT("'2"&amp;$F228&amp;"'!"&amp;G$219)</f>
        <v>0.87466014941474635</v>
      </c>
      <c r="H228" s="372">
        <f ca="1">MAX(1-Table29123427[[#This Row],[Total Offset]],0)</f>
        <v>0.12533985058525365</v>
      </c>
      <c r="I228" s="419">
        <f ca="1">Table29123427[[#This Row],[Total Offset]]-Table29123427[[#This Row],[Offset through indexation]]</f>
        <v>-7.3216224097847449E-2</v>
      </c>
      <c r="J228" s="419" cm="1">
        <f t="array" aca="1" ref="J228" ca="1">INDIRECT("'2"&amp;$F228&amp;"'!"&amp;J$219)</f>
        <v>0.9478763735125938</v>
      </c>
      <c r="O228" s="88"/>
      <c r="P228" s="94"/>
      <c r="Q228" s="88"/>
      <c r="R228" s="94"/>
    </row>
    <row r="229" spans="1:18" s="1" customFormat="1" x14ac:dyDescent="0.3">
      <c r="A229" s="1" t="s">
        <v>247</v>
      </c>
      <c r="B229" s="402" cm="1">
        <f t="array" aca="1" ref="B229" ca="1">INDIRECT("'2"&amp;$A229&amp;"'!"&amp;B$219)/INDIRECT("'2"&amp;$A229&amp;"'!"&amp;$B$218)*100</f>
        <v>1.6399820119516055</v>
      </c>
      <c r="C229" s="402" cm="1">
        <f t="array" aca="1" ref="C229" ca="1">INDIRECT("'2"&amp;$A229&amp;"'!"&amp;C$219)/INDIRECT("'2"&amp;$A229&amp;"'!"&amp;$B$218)*100</f>
        <v>0.50168011210460561</v>
      </c>
      <c r="F229" s="1" t="s">
        <v>222</v>
      </c>
      <c r="G229" s="303" cm="1">
        <f t="array" aca="1" ref="G229" ca="1">INDIRECT("'2"&amp;$F229&amp;"'!"&amp;G$219)</f>
        <v>0.94772194631986084</v>
      </c>
      <c r="H229" s="372">
        <f ca="1">MAX(1-Table29123427[[#This Row],[Total Offset]],0)</f>
        <v>5.2278053680139158E-2</v>
      </c>
      <c r="I229" s="419">
        <f ca="1">Table29123427[[#This Row],[Total Offset]]-Table29123427[[#This Row],[Offset through indexation]]</f>
        <v>0.22885395229360128</v>
      </c>
      <c r="J229" s="419" cm="1">
        <f t="array" aca="1" ref="J229" ca="1">INDIRECT("'2"&amp;$F229&amp;"'!"&amp;J$219)</f>
        <v>0.71886799402625956</v>
      </c>
      <c r="O229" s="88"/>
      <c r="P229" s="94"/>
      <c r="Q229" s="88"/>
      <c r="R229" s="94"/>
    </row>
    <row r="230" spans="1:18" s="1" customFormat="1" x14ac:dyDescent="0.3">
      <c r="A230" s="1" t="s">
        <v>204</v>
      </c>
      <c r="B230" s="402" cm="1">
        <f t="array" aca="1" ref="B230" ca="1">INDIRECT("'2"&amp;$A230&amp;"'!"&amp;B$219)/INDIRECT("'2"&amp;$A230&amp;"'!"&amp;$B$218)*100</f>
        <v>1.4735333441842886</v>
      </c>
      <c r="C230" s="402" cm="1">
        <f t="array" aca="1" ref="C230" ca="1">INDIRECT("'2"&amp;$A230&amp;"'!"&amp;C$219)/INDIRECT("'2"&amp;$A230&amp;"'!"&amp;$B$218)*100</f>
        <v>0.18469244919244782</v>
      </c>
      <c r="F230" s="1" t="s">
        <v>233</v>
      </c>
      <c r="G230" s="303" cm="1">
        <f t="array" aca="1" ref="G230" ca="1">INDIRECT("'2"&amp;$F230&amp;"'!"&amp;G$219)</f>
        <v>1.086342985412134</v>
      </c>
      <c r="H230" s="372">
        <f ca="1">MAX(1-Table29123427[[#This Row],[Total Offset]],0)</f>
        <v>0</v>
      </c>
      <c r="I230" s="419">
        <f ca="1">Table29123427[[#This Row],[Total Offset]]-Table29123427[[#This Row],[Offset through indexation]]</f>
        <v>0.19897248707226634</v>
      </c>
      <c r="J230" s="419" cm="1">
        <f t="array" aca="1" ref="J230" ca="1">INDIRECT("'2"&amp;$F230&amp;"'!"&amp;J$219)</f>
        <v>0.8873704983398677</v>
      </c>
      <c r="O230" s="88"/>
      <c r="P230" s="94"/>
      <c r="Q230" s="88"/>
      <c r="R230" s="94"/>
    </row>
    <row r="231" spans="1:18" s="1" customFormat="1" x14ac:dyDescent="0.3">
      <c r="A231" s="1" t="s">
        <v>3</v>
      </c>
      <c r="B231" s="402" cm="1">
        <f t="array" aca="1" ref="B231" ca="1">INDIRECT("'2"&amp;$A231&amp;"'!"&amp;B$219)/INDIRECT("'2"&amp;$A231&amp;"'!"&amp;$B$218)*100</f>
        <v>1.0762860113512311</v>
      </c>
      <c r="C231" s="402" cm="1">
        <f t="array" aca="1" ref="C231" ca="1">INDIRECT("'2"&amp;$A231&amp;"'!"&amp;C$219)/INDIRECT("'2"&amp;$A231&amp;"'!"&amp;$B$218)*100</f>
        <v>-0.5816322519803202</v>
      </c>
      <c r="F231" s="1" t="s">
        <v>223</v>
      </c>
      <c r="G231" s="303" cm="1">
        <f t="array" aca="1" ref="G231" ca="1">INDIRECT("'2"&amp;$F231&amp;"'!"&amp;G$219)</f>
        <v>1.1163228540260473</v>
      </c>
      <c r="H231" s="372">
        <f ca="1">MAX(1-Table29123427[[#This Row],[Total Offset]],0)</f>
        <v>0</v>
      </c>
      <c r="I231" s="419">
        <f ca="1">Table29123427[[#This Row],[Total Offset]]-Table29123427[[#This Row],[Offset through indexation]]</f>
        <v>0.85114229715284517</v>
      </c>
      <c r="J231" s="419" cm="1">
        <f t="array" aca="1" ref="J231" ca="1">INDIRECT("'2"&amp;$F231&amp;"'!"&amp;J$219)</f>
        <v>0.26518055687320208</v>
      </c>
      <c r="O231" s="89"/>
      <c r="P231" s="96"/>
      <c r="Q231" s="88"/>
      <c r="R231" s="96"/>
    </row>
    <row r="232" spans="1:18" s="1" customFormat="1" x14ac:dyDescent="0.3">
      <c r="A232" s="1" t="s">
        <v>240</v>
      </c>
      <c r="B232" s="402" cm="1">
        <f t="array" aca="1" ref="B232" ca="1">INDIRECT("'2"&amp;$A232&amp;"'!"&amp;B$219)/INDIRECT("'2"&amp;$A232&amp;"'!"&amp;$B$218)*100</f>
        <v>0.97126056321671395</v>
      </c>
      <c r="C232" s="402" cm="1">
        <f t="array" aca="1" ref="C232" ca="1">INDIRECT("'2"&amp;$A232&amp;"'!"&amp;C$219)/INDIRECT("'2"&amp;$A232&amp;"'!"&amp;$B$218)*100</f>
        <v>-0.34371985555995838</v>
      </c>
      <c r="F232" s="1" t="s">
        <v>217</v>
      </c>
      <c r="G232" s="303" cm="1">
        <f t="array" aca="1" ref="G232" ca="1">INDIRECT("'2"&amp;$F232&amp;"'!"&amp;G$219)</f>
        <v>1.1945841498544458</v>
      </c>
      <c r="H232" s="372">
        <f ca="1">MAX(1-Table29123427[[#This Row],[Total Offset]],0)</f>
        <v>0</v>
      </c>
      <c r="I232" s="419">
        <f ca="1">Table29123427[[#This Row],[Total Offset]]-Table29123427[[#This Row],[Offset through indexation]]</f>
        <v>1.1944178870819544</v>
      </c>
      <c r="J232" s="419" cm="1">
        <f t="array" aca="1" ref="J232" ca="1">INDIRECT("'2"&amp;$F232&amp;"'!"&amp;J$219)</f>
        <v>1.6626277249141185E-4</v>
      </c>
      <c r="O232" s="89"/>
      <c r="P232" s="96"/>
      <c r="Q232" s="88"/>
      <c r="R232" s="96"/>
    </row>
    <row r="233" spans="1:18" s="1" customFormat="1" x14ac:dyDescent="0.3">
      <c r="A233" s="1" t="s">
        <v>222</v>
      </c>
      <c r="B233" s="402" cm="1">
        <f t="array" aca="1" ref="B233" ca="1">INDIRECT("'2"&amp;$A233&amp;"'!"&amp;B$219)/INDIRECT("'2"&amp;$A233&amp;"'!"&amp;$B$218)*100</f>
        <v>0.96588704676354131</v>
      </c>
      <c r="C233" s="402" cm="1">
        <f t="array" aca="1" ref="C233" ca="1">INDIRECT("'2"&amp;$A233&amp;"'!"&amp;C$219)/INDIRECT("'2"&amp;$A233&amp;"'!"&amp;$B$218)*100</f>
        <v>5.0494694879655522E-2</v>
      </c>
      <c r="F233" s="1" t="s">
        <v>240</v>
      </c>
      <c r="G233" s="303" cm="1">
        <f t="array" aca="1" ref="G233" ca="1">INDIRECT("'2"&amp;$F233&amp;"'!"&amp;G$219)</f>
        <v>1.3538904683019291</v>
      </c>
      <c r="H233" s="372">
        <f ca="1">MAX(1-Table29123427[[#This Row],[Total Offset]],0)</f>
        <v>0</v>
      </c>
      <c r="I233" s="419">
        <f ca="1">Table29123427[[#This Row],[Total Offset]]-Table29123427[[#This Row],[Offset through indexation]]</f>
        <v>1.1643539451680129</v>
      </c>
      <c r="J233" s="419" cm="1">
        <f t="array" aca="1" ref="J233" ca="1">INDIRECT("'2"&amp;$F233&amp;"'!"&amp;J$219)</f>
        <v>0.18953652313391608</v>
      </c>
      <c r="O233" s="88"/>
      <c r="P233" s="94"/>
      <c r="Q233" s="88"/>
      <c r="R233" s="94"/>
    </row>
    <row r="234" spans="1:18" s="1" customFormat="1" x14ac:dyDescent="0.3">
      <c r="A234" s="1" t="s">
        <v>218</v>
      </c>
      <c r="B234" s="402" cm="1">
        <f t="array" aca="1" ref="B234" ca="1">INDIRECT("'2"&amp;$A234&amp;"'!"&amp;B$219)/INDIRECT("'2"&amp;$A234&amp;"'!"&amp;$B$218)*100</f>
        <v>0.92179038080602205</v>
      </c>
      <c r="C234" s="402" cm="1">
        <f t="array" aca="1" ref="C234" ca="1">INDIRECT("'2"&amp;$A234&amp;"'!"&amp;C$219)/INDIRECT("'2"&amp;$A234&amp;"'!"&amp;$B$218)*100</f>
        <v>0.62614473377557811</v>
      </c>
      <c r="F234" s="1" t="s">
        <v>249</v>
      </c>
      <c r="G234" s="303" cm="1">
        <f t="array" aca="1" ref="G234" ca="1">INDIRECT("'2"&amp;$F234&amp;"'!"&amp;G$219)</f>
        <v>1.4634316883572434</v>
      </c>
      <c r="H234" s="372">
        <f ca="1">MAX(1-Table29123427[[#This Row],[Total Offset]],0)</f>
        <v>0</v>
      </c>
      <c r="I234" s="419">
        <f ca="1">Table29123427[[#This Row],[Total Offset]]-Table29123427[[#This Row],[Offset through indexation]]</f>
        <v>1.2610091155919267</v>
      </c>
      <c r="J234" s="419" cm="1">
        <f t="array" aca="1" ref="J234" ca="1">INDIRECT("'2"&amp;$F234&amp;"'!"&amp;J$219)</f>
        <v>0.20242257276531653</v>
      </c>
      <c r="O234" s="88"/>
      <c r="P234" s="94"/>
      <c r="Q234" s="88"/>
      <c r="R234" s="94"/>
    </row>
    <row r="235" spans="1:18" s="1" customFormat="1" x14ac:dyDescent="0.3">
      <c r="A235" s="1" t="s">
        <v>234</v>
      </c>
      <c r="B235" s="402" cm="1">
        <f t="array" aca="1" ref="B235" ca="1">INDIRECT("'2"&amp;$A235&amp;"'!"&amp;B$219)/INDIRECT("'2"&amp;$A235&amp;"'!"&amp;$B$218)*100</f>
        <v>0.81918333400767229</v>
      </c>
      <c r="C235" s="402" cm="1">
        <f t="array" aca="1" ref="C235" ca="1">INDIRECT("'2"&amp;$A235&amp;"'!"&amp;C$219)/INDIRECT("'2"&amp;$A235&amp;"'!"&amp;$B$218)*100</f>
        <v>0.49645289577985802</v>
      </c>
      <c r="F235" s="1" t="s">
        <v>3</v>
      </c>
      <c r="G235" s="303" cm="1">
        <f t="array" aca="1" ref="G235" ca="1">INDIRECT("'2"&amp;$F235&amp;"'!"&amp;G$219)</f>
        <v>1.5404067746361452</v>
      </c>
      <c r="H235" s="372">
        <f ca="1">MAX(1-Table29123427[[#This Row],[Total Offset]],0)</f>
        <v>0</v>
      </c>
      <c r="I235" s="419">
        <f ca="1">Table29123427[[#This Row],[Total Offset]]-Table29123427[[#This Row],[Offset through indexation]]</f>
        <v>1.114935205193103</v>
      </c>
      <c r="J235" s="419" cm="1">
        <f t="array" aca="1" ref="J235" ca="1">INDIRECT("'2"&amp;$F235&amp;"'!"&amp;J$219)</f>
        <v>0.42547156944304221</v>
      </c>
      <c r="O235" s="88"/>
      <c r="P235" s="94"/>
      <c r="Q235" s="88"/>
      <c r="R235" s="94"/>
    </row>
    <row r="236" spans="1:18" s="1" customFormat="1" x14ac:dyDescent="0.3">
      <c r="A236" s="1" t="s">
        <v>214</v>
      </c>
      <c r="B236" s="402" cm="1">
        <f t="array" aca="1" ref="B236" ca="1">INDIRECT("'2"&amp;$A236&amp;"'!"&amp;B$219)/INDIRECT("'2"&amp;$A236&amp;"'!"&amp;$B$218)*100</f>
        <v>0.7860020837226197</v>
      </c>
      <c r="C236" s="402" cm="1">
        <f t="array" aca="1" ref="C236" ca="1">INDIRECT("'2"&amp;$A236&amp;"'!"&amp;C$219)/INDIRECT("'2"&amp;$A236&amp;"'!"&amp;$B$218)*100</f>
        <v>0.16110229638474058</v>
      </c>
      <c r="F236" s="1" t="s">
        <v>238</v>
      </c>
      <c r="G236" s="303" cm="1">
        <f t="array" aca="1" ref="G236" ca="1">INDIRECT("'2"&amp;$F236&amp;"'!"&amp;G$219)</f>
        <v>1.5707656180480212</v>
      </c>
      <c r="H236" s="372">
        <f ca="1">MAX(1-Table29123427[[#This Row],[Total Offset]],0)</f>
        <v>0</v>
      </c>
      <c r="I236" s="419">
        <f ca="1">Table29123427[[#This Row],[Total Offset]]-Table29123427[[#This Row],[Offset through indexation]]</f>
        <v>-0.203963936077459</v>
      </c>
      <c r="J236" s="419" cm="1">
        <f t="array" aca="1" ref="J236" ca="1">INDIRECT("'2"&amp;$F236&amp;"'!"&amp;J$219)</f>
        <v>1.7747295541254802</v>
      </c>
      <c r="O236" s="91"/>
      <c r="P236" s="95"/>
      <c r="Q236" s="91"/>
      <c r="R236" s="95"/>
    </row>
    <row r="237" spans="1:18" s="1" customFormat="1" x14ac:dyDescent="0.3">
      <c r="A237" s="1" t="s">
        <v>210</v>
      </c>
      <c r="B237" s="402" cm="1">
        <f t="array" aca="1" ref="B237" ca="1">INDIRECT("'2"&amp;$A237&amp;"'!"&amp;B$219)/INDIRECT("'2"&amp;$A237&amp;"'!"&amp;$B$218)*100</f>
        <v>0.74003415977837617</v>
      </c>
      <c r="C237" s="402" cm="1">
        <f t="array" aca="1" ref="C237" ca="1">INDIRECT("'2"&amp;$A237&amp;"'!"&amp;C$219)/INDIRECT("'2"&amp;$A237&amp;"'!"&amp;$B$218)*100</f>
        <v>-0.44464458643297322</v>
      </c>
      <c r="F237" s="1" t="s">
        <v>210</v>
      </c>
      <c r="G237" s="303" cm="1">
        <f t="array" aca="1" ref="G237" ca="1">INDIRECT("'2"&amp;$F237&amp;"'!"&amp;G$219)</f>
        <v>1.6008433267001276</v>
      </c>
      <c r="H237" s="372">
        <f ca="1">MAX(1-Table29123427[[#This Row],[Total Offset]],0)</f>
        <v>0</v>
      </c>
      <c r="I237" s="419">
        <f ca="1">Table29123427[[#This Row],[Total Offset]]-Table29123427[[#This Row],[Offset through indexation]]</f>
        <v>0.70138380465943995</v>
      </c>
      <c r="J237" s="419" cm="1">
        <f t="array" aca="1" ref="J237" ca="1">INDIRECT("'2"&amp;$F237&amp;"'!"&amp;J$219)</f>
        <v>0.89945952204068769</v>
      </c>
      <c r="O237" s="88"/>
      <c r="P237" s="94"/>
      <c r="Q237" s="99"/>
      <c r="R237" s="100"/>
    </row>
    <row r="238" spans="1:18" s="1" customFormat="1" x14ac:dyDescent="0.3">
      <c r="A238" s="1" t="s">
        <v>227</v>
      </c>
      <c r="B238" s="402" cm="1">
        <f t="array" aca="1" ref="B238" ca="1">INDIRECT("'2"&amp;$A238&amp;"'!"&amp;B$219)/INDIRECT("'2"&amp;$A238&amp;"'!"&amp;$B$218)*100</f>
        <v>0.69609219217529716</v>
      </c>
      <c r="C238" s="402" cm="1">
        <f t="array" aca="1" ref="C238" ca="1">INDIRECT("'2"&amp;$A238&amp;"'!"&amp;C$219)/INDIRECT("'2"&amp;$A238&amp;"'!"&amp;$B$218)*100</f>
        <v>0.12593507218053665</v>
      </c>
      <c r="F238" s="1" t="s">
        <v>225</v>
      </c>
      <c r="G238" s="303" cm="1">
        <f t="array" aca="1" ref="G238" ca="1">INDIRECT("'2"&amp;$F238&amp;"'!"&amp;G$219)</f>
        <v>1.9415178631229979</v>
      </c>
      <c r="H238" s="372">
        <f ca="1">MAX(1-Table29123427[[#This Row],[Total Offset]],0)</f>
        <v>0</v>
      </c>
      <c r="I238" s="419">
        <f ca="1">Table29123427[[#This Row],[Total Offset]]-Table29123427[[#This Row],[Offset through indexation]]</f>
        <v>1.9415178631229979</v>
      </c>
      <c r="J238" s="419" cm="1">
        <f t="array" aca="1" ref="J238" ca="1">INDIRECT("'2"&amp;$F238&amp;"'!"&amp;J$219)</f>
        <v>0</v>
      </c>
      <c r="O238" s="88"/>
      <c r="P238" s="94"/>
      <c r="Q238" s="88"/>
      <c r="R238" s="94"/>
    </row>
    <row r="239" spans="1:18" s="1" customFormat="1" x14ac:dyDescent="0.3">
      <c r="A239" s="1" t="s">
        <v>225</v>
      </c>
      <c r="B239" s="402" cm="1">
        <f t="array" aca="1" ref="B239" ca="1">INDIRECT("'2"&amp;$A239&amp;"'!"&amp;B$219)/INDIRECT("'2"&amp;$A239&amp;"'!"&amp;$B$218)*100</f>
        <v>0.63297169092859973</v>
      </c>
      <c r="C239" s="402" cm="1">
        <f t="array" aca="1" ref="C239" ca="1">INDIRECT("'2"&amp;$A239&amp;"'!"&amp;C$219)/INDIRECT("'2"&amp;$A239&amp;"'!"&amp;$B$218)*100</f>
        <v>-0.59595415386044592</v>
      </c>
      <c r="F239" s="1" t="s">
        <v>252</v>
      </c>
      <c r="G239" s="303" cm="1">
        <f t="array" aca="1" ref="G239" ca="1">INDIRECT("'2"&amp;$F239&amp;"'!"&amp;G$219)</f>
        <v>2.140186911537771</v>
      </c>
      <c r="H239" s="372">
        <f ca="1">MAX(1-Table29123427[[#This Row],[Total Offset]],0)</f>
        <v>0</v>
      </c>
      <c r="I239" s="419">
        <f ca="1">Table29123427[[#This Row],[Total Offset]]-Table29123427[[#This Row],[Offset through indexation]]</f>
        <v>2.0303186432956966</v>
      </c>
      <c r="J239" s="419" cm="1">
        <f t="array" aca="1" ref="J239" ca="1">INDIRECT("'2"&amp;$F239&amp;"'!"&amp;J$219)</f>
        <v>0.1098682682420745</v>
      </c>
      <c r="O239" s="89"/>
      <c r="P239" s="96"/>
      <c r="Q239" s="88"/>
      <c r="R239" s="96"/>
    </row>
    <row r="240" spans="1:18" s="1" customFormat="1" x14ac:dyDescent="0.3">
      <c r="A240" s="1" t="s">
        <v>249</v>
      </c>
      <c r="B240" s="402" cm="1">
        <f t="array" aca="1" ref="B240" ca="1">INDIRECT("'2"&amp;$A240&amp;"'!"&amp;B$219)/INDIRECT("'2"&amp;$A240&amp;"'!"&amp;$B$218)*100</f>
        <v>0.55061087812666176</v>
      </c>
      <c r="C240" s="402" cm="1">
        <f t="array" aca="1" ref="C240" ca="1">INDIRECT("'2"&amp;$A240&amp;"'!"&amp;C$219)/INDIRECT("'2"&amp;$A240&amp;"'!"&amp;$B$218)*100</f>
        <v>-0.2551705288781031</v>
      </c>
      <c r="F240" s="1" t="s">
        <v>254</v>
      </c>
      <c r="G240" s="303" cm="1">
        <f t="array" aca="1" ref="G240" ca="1">INDIRECT("'2"&amp;$F240&amp;"'!"&amp;G$219)</f>
        <v>2.3649146669695962</v>
      </c>
      <c r="H240" s="372">
        <f ca="1">MAX(1-Table29123427[[#This Row],[Total Offset]],0)</f>
        <v>0</v>
      </c>
      <c r="I240" s="419">
        <f ca="1">Table29123427[[#This Row],[Total Offset]]-Table29123427[[#This Row],[Offset through indexation]]</f>
        <v>1.6792193878864883</v>
      </c>
      <c r="J240" s="419" cm="1">
        <f t="array" aca="1" ref="J240" ca="1">INDIRECT("'2"&amp;$F240&amp;"'!"&amp;J$219)</f>
        <v>0.6856952790831079</v>
      </c>
      <c r="O240" s="88"/>
      <c r="P240" s="94"/>
      <c r="Q240" s="88"/>
      <c r="R240" s="94"/>
    </row>
    <row r="241" spans="1:18" s="1" customFormat="1" x14ac:dyDescent="0.3">
      <c r="A241" s="1" t="s">
        <v>223</v>
      </c>
      <c r="B241" s="402" cm="1">
        <f t="array" aca="1" ref="B241" ca="1">INDIRECT("'2"&amp;$A241&amp;"'!"&amp;B$219)/INDIRECT("'2"&amp;$A241&amp;"'!"&amp;$B$218)*100</f>
        <v>0.64164886118184983</v>
      </c>
      <c r="C241" s="402" cm="1">
        <f t="array" aca="1" ref="C241" ca="1">INDIRECT("'2"&amp;$A241&amp;"'!"&amp;C$219)/INDIRECT("'2"&amp;$A241&amp;"'!"&amp;$B$218)*100</f>
        <v>-7.4638426815235762E-2</v>
      </c>
      <c r="F241" s="1" t="s">
        <v>242</v>
      </c>
      <c r="G241" s="303" cm="1">
        <f t="array" aca="1" ref="G241" ca="1">INDIRECT("'2"&amp;$F241&amp;"'!"&amp;G$219)</f>
        <v>2.3700614955290811</v>
      </c>
      <c r="H241" s="372">
        <f ca="1">MAX(1-Table29123427[[#This Row],[Total Offset]],0)</f>
        <v>0</v>
      </c>
      <c r="I241" s="419">
        <f ca="1">Table29123427[[#This Row],[Total Offset]]-Table29123427[[#This Row],[Offset through indexation]]</f>
        <v>2.3700614955290811</v>
      </c>
      <c r="J241" s="419" cm="1">
        <f t="array" aca="1" ref="J241" ca="1">INDIRECT("'2"&amp;$F241&amp;"'!"&amp;J$219)</f>
        <v>0</v>
      </c>
      <c r="O241" s="89"/>
      <c r="P241" s="96"/>
      <c r="Q241" s="88"/>
      <c r="R241" s="96"/>
    </row>
    <row r="242" spans="1:18" s="1" customFormat="1" x14ac:dyDescent="0.3">
      <c r="A242" s="1" t="s">
        <v>242</v>
      </c>
      <c r="B242" s="402" cm="1">
        <f t="array" aca="1" ref="B242" ca="1">INDIRECT("'2"&amp;$A242&amp;"'!"&amp;B$219)/INDIRECT("'2"&amp;$A242&amp;"'!"&amp;$B$218)*100</f>
        <v>0.54524015944681392</v>
      </c>
      <c r="C242" s="402" cm="1">
        <f t="array" aca="1" ref="C242" ca="1">INDIRECT("'2"&amp;$A242&amp;"'!"&amp;C$219)/INDIRECT("'2"&amp;$A242&amp;"'!"&amp;$B$218)*100</f>
        <v>-0.7470125482742167</v>
      </c>
      <c r="F242" s="86" t="s">
        <v>304</v>
      </c>
      <c r="G242" s="371" t="e" cm="1">
        <f t="array" aca="1" ref="G242" ca="1">INDIRECT("'2"&amp;$F242&amp;"'!"&amp;G$219)</f>
        <v>#REF!</v>
      </c>
      <c r="H242" s="372" t="e">
        <f ca="1">MAX(1-Table29123427[[#This Row],[Total Offset]],0)</f>
        <v>#REF!</v>
      </c>
      <c r="I242" s="419" t="e">
        <f ca="1">Table29123427[[#This Row],[Total Offset]]-Table29123427[[#This Row],[Offset through indexation]]</f>
        <v>#REF!</v>
      </c>
      <c r="J242" s="419" t="e" cm="1">
        <f t="array" aca="1" ref="J242" ca="1">INDIRECT("'2"&amp;$F242&amp;"'!"&amp;J$219)</f>
        <v>#REF!</v>
      </c>
      <c r="O242" s="88"/>
      <c r="P242" s="94"/>
      <c r="Q242" s="88"/>
      <c r="R242" s="94"/>
    </row>
    <row r="243" spans="1:18" s="1" customFormat="1" x14ac:dyDescent="0.3">
      <c r="A243" s="1" t="s">
        <v>252</v>
      </c>
      <c r="B243" s="402" cm="1">
        <f t="array" aca="1" ref="B243" ca="1">INDIRECT("'2"&amp;$A243&amp;"'!"&amp;B$219)/INDIRECT("'2"&amp;$A243&amp;"'!"&amp;$B$218)*100</f>
        <v>0.53499907178465567</v>
      </c>
      <c r="C243" s="402" cm="1">
        <f t="array" aca="1" ref="C243" ca="1">INDIRECT("'2"&amp;$A243&amp;"'!"&amp;C$219)/INDIRECT("'2"&amp;$A243&amp;"'!"&amp;$B$218)*100</f>
        <v>-0.60999893933372085</v>
      </c>
      <c r="F243" s="86" t="s">
        <v>305</v>
      </c>
      <c r="G243" s="371" t="e" cm="1">
        <f t="array" aca="1" ref="G243" ca="1">INDIRECT("'2"&amp;$F243&amp;"'!"&amp;G$219)</f>
        <v>#REF!</v>
      </c>
      <c r="H243" s="372" t="e">
        <f ca="1">MAX(1-Table29123427[[#This Row],[Total Offset]],0)</f>
        <v>#REF!</v>
      </c>
      <c r="I243" s="419" t="e">
        <f ca="1">Table29123427[[#This Row],[Total Offset]]-Table29123427[[#This Row],[Offset through indexation]]</f>
        <v>#REF!</v>
      </c>
      <c r="J243" s="419" t="e" cm="1">
        <f t="array" aca="1" ref="J243" ca="1">INDIRECT("'2"&amp;$F243&amp;"'!"&amp;J$219)</f>
        <v>#REF!</v>
      </c>
      <c r="O243" s="89"/>
      <c r="P243" s="96"/>
      <c r="Q243" s="88"/>
      <c r="R243" s="96"/>
    </row>
    <row r="244" spans="1:18" s="1" customFormat="1" x14ac:dyDescent="0.3">
      <c r="A244" s="1" t="s">
        <v>254</v>
      </c>
      <c r="B244" s="402" cm="1">
        <f t="array" aca="1" ref="B244" ca="1">INDIRECT("'2"&amp;$A244&amp;"'!"&amp;B$219)/INDIRECT("'2"&amp;$A244&amp;"'!"&amp;$B$218)*100</f>
        <v>0.51647791599729942</v>
      </c>
      <c r="C244" s="402" cm="1">
        <f t="array" aca="1" ref="C244" ca="1">INDIRECT("'2"&amp;$A244&amp;"'!"&amp;C$219)/INDIRECT("'2"&amp;$A244&amp;"'!"&amp;$B$218)*100</f>
        <v>-0.70494828271060506</v>
      </c>
      <c r="F244" s="86" t="s">
        <v>306</v>
      </c>
      <c r="G244" s="371" t="e" cm="1">
        <f t="array" aca="1" ref="G244" ca="1">INDIRECT("'2"&amp;$F244&amp;"'!"&amp;G$219)</f>
        <v>#REF!</v>
      </c>
      <c r="H244" s="372" t="e">
        <f ca="1">MAX(1-Table29123427[[#This Row],[Total Offset]],0)</f>
        <v>#REF!</v>
      </c>
      <c r="I244" s="419" t="e">
        <f ca="1">Table29123427[[#This Row],[Total Offset]]-Table29123427[[#This Row],[Offset through indexation]]</f>
        <v>#REF!</v>
      </c>
      <c r="J244" s="419" t="e" cm="1">
        <f t="array" aca="1" ref="J244" ca="1">INDIRECT("'2"&amp;$F244&amp;"'!"&amp;J$219)</f>
        <v>#REF!</v>
      </c>
      <c r="O244" s="88"/>
      <c r="P244" s="94"/>
      <c r="Q244" s="88"/>
      <c r="R244" s="94"/>
    </row>
    <row r="245" spans="1:18" s="1" customFormat="1" x14ac:dyDescent="0.3">
      <c r="A245" s="1" t="s">
        <v>217</v>
      </c>
      <c r="B245" s="402" cm="1">
        <f t="array" aca="1" ref="B245" ca="1">INDIRECT("'2"&amp;$A245&amp;"'!"&amp;B$219)/INDIRECT("'2"&amp;$A245&amp;"'!"&amp;$B$218)*100</f>
        <v>0.51417078580267384</v>
      </c>
      <c r="C245" s="402" cm="1">
        <f t="array" aca="1" ref="C245" ca="1">INDIRECT("'2"&amp;$A245&amp;"'!"&amp;C$219)/INDIRECT("'2"&amp;$A245&amp;"'!"&amp;$B$218)*100</f>
        <v>-0.10004948523540562</v>
      </c>
      <c r="F245" s="86" t="s">
        <v>307</v>
      </c>
      <c r="G245" s="371" t="e" cm="1">
        <f t="array" aca="1" ref="G245" ca="1">INDIRECT("'2"&amp;$F245&amp;"'!"&amp;G$219)</f>
        <v>#REF!</v>
      </c>
      <c r="H245" s="372" t="e">
        <f ca="1">MAX(1-Table29123427[[#This Row],[Total Offset]],0)</f>
        <v>#REF!</v>
      </c>
      <c r="I245" s="419" t="e">
        <f ca="1">Table29123427[[#This Row],[Total Offset]]-Table29123427[[#This Row],[Offset through indexation]]</f>
        <v>#REF!</v>
      </c>
      <c r="J245" s="419" t="e" cm="1">
        <f t="array" aca="1" ref="J245" ca="1">INDIRECT("'2"&amp;$F245&amp;"'!"&amp;J$219)</f>
        <v>#REF!</v>
      </c>
      <c r="O245" s="88"/>
      <c r="P245" s="94"/>
      <c r="Q245" s="88"/>
      <c r="R245" s="94"/>
    </row>
    <row r="246" spans="1:18" s="1" customFormat="1" x14ac:dyDescent="0.3">
      <c r="A246" s="1" t="s">
        <v>245</v>
      </c>
      <c r="B246" s="402" cm="1">
        <f t="array" aca="1" ref="B246" ca="1">INDIRECT("'2"&amp;$A246&amp;"'!"&amp;B$219)/INDIRECT("'2"&amp;$A246&amp;"'!"&amp;$B$218)*100</f>
        <v>0.50112262132264229</v>
      </c>
      <c r="C246" s="402" cm="1">
        <f t="array" aca="1" ref="C246" ca="1">INDIRECT("'2"&amp;$A246&amp;"'!"&amp;C$219)/INDIRECT("'2"&amp;$A246&amp;"'!"&amp;$B$218)*100</f>
        <v>0.26983658511018016</v>
      </c>
      <c r="F246" s="86" t="s">
        <v>308</v>
      </c>
      <c r="G246" s="371" t="e" cm="1">
        <f t="array" aca="1" ref="G246" ca="1">INDIRECT("'2"&amp;$F246&amp;"'!"&amp;G$219)</f>
        <v>#REF!</v>
      </c>
      <c r="H246" s="372" t="e">
        <f ca="1">MAX(1-Table29123427[[#This Row],[Total Offset]],0)</f>
        <v>#REF!</v>
      </c>
      <c r="I246" s="419" t="e">
        <f ca="1">Table29123427[[#This Row],[Total Offset]]-Table29123427[[#This Row],[Offset through indexation]]</f>
        <v>#REF!</v>
      </c>
      <c r="J246" s="419" t="e" cm="1">
        <f t="array" aca="1" ref="J246" ca="1">INDIRECT("'2"&amp;$F246&amp;"'!"&amp;J$219)</f>
        <v>#REF!</v>
      </c>
      <c r="O246" s="88"/>
      <c r="P246" s="94"/>
      <c r="Q246" s="88"/>
      <c r="R246" s="94"/>
    </row>
    <row r="247" spans="1:18" s="1" customFormat="1" x14ac:dyDescent="0.3">
      <c r="A247" s="1" t="s">
        <v>238</v>
      </c>
      <c r="B247" s="402" cm="1">
        <f t="array" aca="1" ref="B247" ca="1">INDIRECT("'2"&amp;$A247&amp;"'!"&amp;B$219)/INDIRECT("'2"&amp;$A247&amp;"'!"&amp;$B$218)*100</f>
        <v>0.47378634042945661</v>
      </c>
      <c r="C247" s="402" cm="1">
        <f t="array" aca="1" ref="C247" ca="1">INDIRECT("'2"&amp;$A247&amp;"'!"&amp;C$219)/INDIRECT("'2"&amp;$A247&amp;"'!"&amp;$B$218)*100</f>
        <v>-0.27042095341792904</v>
      </c>
      <c r="F247" s="86" t="s">
        <v>309</v>
      </c>
      <c r="G247" s="371" t="e" cm="1">
        <f t="array" aca="1" ref="G247" ca="1">INDIRECT("'2"&amp;$F247&amp;"'!"&amp;G$219)</f>
        <v>#REF!</v>
      </c>
      <c r="H247" s="372" t="e">
        <f ca="1">MAX(1-Table29123427[[#This Row],[Total Offset]],0)</f>
        <v>#REF!</v>
      </c>
      <c r="I247" s="419" t="e">
        <f ca="1">Table29123427[[#This Row],[Total Offset]]-Table29123427[[#This Row],[Offset through indexation]]</f>
        <v>#REF!</v>
      </c>
      <c r="J247" s="419" t="e" cm="1">
        <f t="array" aca="1" ref="J247" ca="1">INDIRECT("'2"&amp;$F247&amp;"'!"&amp;J$219)</f>
        <v>#REF!</v>
      </c>
      <c r="O247" s="89"/>
      <c r="P247" s="96"/>
      <c r="Q247" s="88"/>
      <c r="R247" s="96"/>
    </row>
    <row r="248" spans="1:18" s="1" customFormat="1" x14ac:dyDescent="0.3">
      <c r="A248" s="1" t="s">
        <v>233</v>
      </c>
      <c r="B248" s="402" cm="1">
        <f t="array" aca="1" ref="B248" ca="1">INDIRECT("'2"&amp;$A248&amp;"'!"&amp;B$219)/INDIRECT("'2"&amp;$A248&amp;"'!"&amp;$B$218)*100</f>
        <v>0.51787662604816043</v>
      </c>
      <c r="C248" s="402" cm="1">
        <f t="array" aca="1" ref="C248" ca="1">INDIRECT("'2"&amp;$A248&amp;"'!"&amp;C$219)/INDIRECT("'2"&amp;$A248&amp;"'!"&amp;$B$218)*100</f>
        <v>-4.4715013968161521E-2</v>
      </c>
      <c r="F248" s="86" t="s">
        <v>310</v>
      </c>
      <c r="G248" s="371" t="e" cm="1">
        <f t="array" aca="1" ref="G248" ca="1">INDIRECT("'2"&amp;$F248&amp;"'!"&amp;G$219)</f>
        <v>#REF!</v>
      </c>
      <c r="H248" s="372" t="e">
        <f ca="1">MAX(1-Table29123427[[#This Row],[Total Offset]],0)</f>
        <v>#REF!</v>
      </c>
      <c r="I248" s="419" t="e">
        <f ca="1">Table29123427[[#This Row],[Total Offset]]-Table29123427[[#This Row],[Offset through indexation]]</f>
        <v>#REF!</v>
      </c>
      <c r="J248" s="419" t="e" cm="1">
        <f t="array" aca="1" ref="J248" ca="1">INDIRECT("'2"&amp;$F248&amp;"'!"&amp;J$219)</f>
        <v>#REF!</v>
      </c>
      <c r="O248" s="89"/>
      <c r="P248" s="96"/>
      <c r="Q248" s="88"/>
      <c r="R248" s="96"/>
    </row>
    <row r="249" spans="1:18" s="1" customFormat="1" x14ac:dyDescent="0.3">
      <c r="A249" s="1" t="s">
        <v>208</v>
      </c>
      <c r="B249" s="402" cm="1">
        <f t="array" aca="1" ref="B249" ca="1">INDIRECT("'2"&amp;$A249&amp;"'!"&amp;B$219)/INDIRECT("'2"&amp;$A249&amp;"'!"&amp;$B$218)*100</f>
        <v>0.38926201411594918</v>
      </c>
      <c r="C249" s="402" cm="1">
        <f t="array" aca="1" ref="C249" ca="1">INDIRECT("'2"&amp;$A249&amp;"'!"&amp;C$219)/INDIRECT("'2"&amp;$A249&amp;"'!"&amp;$B$218)*100</f>
        <v>0.28261080985317355</v>
      </c>
      <c r="F249" s="86" t="s">
        <v>311</v>
      </c>
      <c r="G249" s="371" t="e" cm="1">
        <f t="array" aca="1" ref="G249" ca="1">INDIRECT("'2"&amp;$F249&amp;"'!"&amp;G$219)</f>
        <v>#REF!</v>
      </c>
      <c r="H249" s="372" t="e">
        <f ca="1">MAX(1-Table29123427[[#This Row],[Total Offset]],0)</f>
        <v>#REF!</v>
      </c>
      <c r="I249" s="419" t="e">
        <f ca="1">Table29123427[[#This Row],[Total Offset]]-Table29123427[[#This Row],[Offset through indexation]]</f>
        <v>#REF!</v>
      </c>
      <c r="J249" s="419" t="e" cm="1">
        <f t="array" aca="1" ref="J249" ca="1">INDIRECT("'2"&amp;$F249&amp;"'!"&amp;J$219)</f>
        <v>#REF!</v>
      </c>
      <c r="O249" s="88"/>
      <c r="P249" s="94"/>
      <c r="Q249" s="88"/>
      <c r="R249" s="94"/>
    </row>
    <row r="250" spans="1:18" s="1" customFormat="1" x14ac:dyDescent="0.3">
      <c r="O250" s="88"/>
      <c r="P250" s="94"/>
      <c r="Q250" s="88"/>
      <c r="R250" s="94"/>
    </row>
    <row r="251" spans="1:18" s="1" customFormat="1" x14ac:dyDescent="0.3">
      <c r="O251" s="88"/>
      <c r="P251" s="94"/>
      <c r="Q251" s="88"/>
      <c r="R251" s="94"/>
    </row>
    <row r="252" spans="1:18" s="1" customFormat="1" x14ac:dyDescent="0.3">
      <c r="O252" s="91"/>
      <c r="P252" s="95"/>
      <c r="Q252" s="91"/>
      <c r="R252" s="95"/>
    </row>
    <row r="253" spans="1:18" s="85" customFormat="1" ht="36.6" customHeight="1" x14ac:dyDescent="0.3">
      <c r="A253" s="183" t="s">
        <v>614</v>
      </c>
      <c r="B253" s="544"/>
      <c r="C253" s="544"/>
      <c r="D253" s="544"/>
      <c r="E253" s="544"/>
      <c r="F253" s="544"/>
      <c r="G253" s="544"/>
      <c r="O253" s="87"/>
      <c r="P253" s="93"/>
      <c r="R253" s="93"/>
    </row>
    <row r="254" spans="1:18" s="1" customFormat="1" x14ac:dyDescent="0.3">
      <c r="B254" s="1" t="s">
        <v>398</v>
      </c>
      <c r="O254" s="88"/>
      <c r="P254" s="94"/>
      <c r="R254" s="94"/>
    </row>
    <row r="255" spans="1:18" s="1" customFormat="1" x14ac:dyDescent="0.3">
      <c r="A255" s="1" t="s">
        <v>289</v>
      </c>
      <c r="B255" s="1" t="s">
        <v>437</v>
      </c>
      <c r="C255" s="1" t="s">
        <v>438</v>
      </c>
      <c r="D255" s="86"/>
      <c r="E255" s="86"/>
      <c r="F255" s="1" t="s">
        <v>289</v>
      </c>
      <c r="G255" s="1" t="s">
        <v>439</v>
      </c>
      <c r="J255" s="1" t="s">
        <v>440</v>
      </c>
      <c r="O255" s="88"/>
      <c r="P255" s="94"/>
      <c r="R255" s="94"/>
    </row>
    <row r="256" spans="1:18" s="1" customFormat="1" ht="28.8" x14ac:dyDescent="0.3">
      <c r="A256" s="109" t="s">
        <v>316</v>
      </c>
      <c r="B256" s="107" t="s">
        <v>164</v>
      </c>
      <c r="C256" s="107" t="s">
        <v>163</v>
      </c>
      <c r="D256" s="86"/>
      <c r="E256" s="86"/>
      <c r="F256" s="109" t="s">
        <v>316</v>
      </c>
      <c r="G256" s="107" t="s">
        <v>432</v>
      </c>
      <c r="H256" s="107" t="s">
        <v>163</v>
      </c>
      <c r="I256" s="119" t="s">
        <v>404</v>
      </c>
      <c r="J256" s="119" t="s">
        <v>405</v>
      </c>
      <c r="O256" s="88"/>
      <c r="P256" s="94"/>
      <c r="R256" s="94"/>
    </row>
    <row r="257" spans="1:18" s="1" customFormat="1" x14ac:dyDescent="0.3">
      <c r="A257" s="86" t="s">
        <v>304</v>
      </c>
      <c r="B257" s="401" t="e" cm="1">
        <f t="array" aca="1" ref="B257" ca="1">INDIRECT("'2"&amp;$A257&amp;"'!"&amp;B$255)/INDIRECT("'2"&amp;$A257&amp;"'!"&amp;$B$254)*100</f>
        <v>#REF!</v>
      </c>
      <c r="C257" s="401" t="e" cm="1">
        <f t="array" aca="1" ref="C257" ca="1">INDIRECT("'2"&amp;$A257&amp;"'!"&amp;C$255)/INDIRECT("'2"&amp;$A257&amp;"'!"&amp;$B$254)*100</f>
        <v>#REF!</v>
      </c>
      <c r="D257" s="86"/>
      <c r="E257" s="86"/>
      <c r="F257" s="1" t="s">
        <v>208</v>
      </c>
      <c r="G257" s="303" cm="1">
        <f t="array" aca="1" ref="G257" ca="1">INDIRECT("'2"&amp;$F257&amp;"'!"&amp;G$255)</f>
        <v>0.19666007314888712</v>
      </c>
      <c r="H257" s="372">
        <f ca="1">MAX(1-Table29123436[[#This Row],[Total Offset]],0)</f>
        <v>0.80333992685111288</v>
      </c>
      <c r="I257" s="419">
        <f ca="1">Table29123436[[#This Row],[Total Offset]]-Table29123436[[#This Row],[Offset through indexation]]</f>
        <v>0.19666007314888712</v>
      </c>
      <c r="J257" s="419" cm="1">
        <f t="array" aca="1" ref="J257" ca="1">INDIRECT("'2"&amp;$F257&amp;"'!"&amp;J$255)</f>
        <v>0</v>
      </c>
      <c r="O257" s="99"/>
      <c r="P257" s="100"/>
      <c r="Q257" s="99"/>
      <c r="R257" s="100"/>
    </row>
    <row r="258" spans="1:18" s="1" customFormat="1" x14ac:dyDescent="0.3">
      <c r="A258" s="86" t="s">
        <v>305</v>
      </c>
      <c r="B258" s="401" t="e" cm="1">
        <f t="array" aca="1" ref="B258" ca="1">INDIRECT("'2"&amp;$A258&amp;"'!"&amp;B$255)/INDIRECT("'2"&amp;$A258&amp;"'!"&amp;$B$254)*100</f>
        <v>#REF!</v>
      </c>
      <c r="C258" s="401" t="e" cm="1">
        <f t="array" aca="1" ref="C258" ca="1">INDIRECT("'2"&amp;$A258&amp;"'!"&amp;C$255)/INDIRECT("'2"&amp;$A258&amp;"'!"&amp;$B$254)*100</f>
        <v>#REF!</v>
      </c>
      <c r="D258" s="86"/>
      <c r="E258" s="86"/>
      <c r="F258" s="1" t="s">
        <v>218</v>
      </c>
      <c r="G258" s="303" cm="1">
        <f t="array" aca="1" ref="G258" ca="1">INDIRECT("'2"&amp;$F258&amp;"'!"&amp;G$255)</f>
        <v>0.26243486928262372</v>
      </c>
      <c r="H258" s="372">
        <f ca="1">MAX(1-Table29123436[[#This Row],[Total Offset]],0)</f>
        <v>0.73756513071737628</v>
      </c>
      <c r="I258" s="419">
        <f ca="1">Table29123436[[#This Row],[Total Offset]]-Table29123436[[#This Row],[Offset through indexation]]</f>
        <v>1.4432392664118138E-2</v>
      </c>
      <c r="J258" s="303" cm="1">
        <f t="array" aca="1" ref="J258" ca="1">INDIRECT("'2"&amp;$F258&amp;"'!"&amp;J$255)</f>
        <v>0.24800247661850558</v>
      </c>
      <c r="O258" s="88"/>
      <c r="P258" s="94"/>
      <c r="Q258" s="88"/>
      <c r="R258" s="94"/>
    </row>
    <row r="259" spans="1:18" s="1" customFormat="1" x14ac:dyDescent="0.3">
      <c r="A259" s="86" t="s">
        <v>306</v>
      </c>
      <c r="B259" s="401" t="e" cm="1">
        <f t="array" aca="1" ref="B259" ca="1">INDIRECT("'2"&amp;$A259&amp;"'!"&amp;B$255)/INDIRECT("'2"&amp;$A259&amp;"'!"&amp;$B$254)*100</f>
        <v>#REF!</v>
      </c>
      <c r="C259" s="401" t="e" cm="1">
        <f t="array" aca="1" ref="C259" ca="1">INDIRECT("'2"&amp;$A259&amp;"'!"&amp;C$255)/INDIRECT("'2"&amp;$A259&amp;"'!"&amp;$B$254)*100</f>
        <v>#REF!</v>
      </c>
      <c r="D259" s="86"/>
      <c r="E259" s="86"/>
      <c r="F259" s="1" t="s">
        <v>234</v>
      </c>
      <c r="G259" s="303" cm="1">
        <f t="array" aca="1" ref="G259" ca="1">INDIRECT("'2"&amp;$F259&amp;"'!"&amp;G$255)</f>
        <v>0.26651316733921798</v>
      </c>
      <c r="H259" s="372">
        <f ca="1">MAX(1-Table29123436[[#This Row],[Total Offset]],0)</f>
        <v>0.73348683266078196</v>
      </c>
      <c r="I259" s="419">
        <f ca="1">Table29123436[[#This Row],[Total Offset]]-Table29123436[[#This Row],[Offset through indexation]]</f>
        <v>0.25628235657213821</v>
      </c>
      <c r="J259" s="419" cm="1">
        <f t="array" aca="1" ref="J259" ca="1">INDIRECT("'2"&amp;$F259&amp;"'!"&amp;J$255)</f>
        <v>1.023081076707975E-2</v>
      </c>
      <c r="O259" s="89"/>
      <c r="P259" s="96"/>
      <c r="Q259" s="88"/>
      <c r="R259" s="96"/>
    </row>
    <row r="260" spans="1:18" s="1" customFormat="1" x14ac:dyDescent="0.3">
      <c r="A260" s="86" t="s">
        <v>307</v>
      </c>
      <c r="B260" s="401" t="e" cm="1">
        <f t="array" aca="1" ref="B260" ca="1">INDIRECT("'2"&amp;$A260&amp;"'!"&amp;B$255)/INDIRECT("'2"&amp;$A260&amp;"'!"&amp;$B$254)*100</f>
        <v>#REF!</v>
      </c>
      <c r="C260" s="401" t="e" cm="1">
        <f t="array" aca="1" ref="C260" ca="1">INDIRECT("'2"&amp;$A260&amp;"'!"&amp;C$255)/INDIRECT("'2"&amp;$A260&amp;"'!"&amp;$B$254)*100</f>
        <v>#REF!</v>
      </c>
      <c r="D260" s="86"/>
      <c r="E260" s="86"/>
      <c r="F260" s="1" t="s">
        <v>245</v>
      </c>
      <c r="G260" s="303" cm="1">
        <f t="array" aca="1" ref="G260" ca="1">INDIRECT("'2"&amp;$F260&amp;"'!"&amp;G$255)</f>
        <v>0.32283755549401116</v>
      </c>
      <c r="H260" s="372">
        <f ca="1">MAX(1-Table29123436[[#This Row],[Total Offset]],0)</f>
        <v>0.67716244450598884</v>
      </c>
      <c r="I260" s="419">
        <f ca="1">Table29123436[[#This Row],[Total Offset]]-Table29123436[[#This Row],[Offset through indexation]]</f>
        <v>0.24141281466984821</v>
      </c>
      <c r="J260" s="419" cm="1">
        <f t="array" aca="1" ref="J260" ca="1">INDIRECT("'2"&amp;$F260&amp;"'!"&amp;J$255)</f>
        <v>8.1424740824162969E-2</v>
      </c>
      <c r="O260" s="88"/>
      <c r="P260" s="94"/>
      <c r="Q260" s="88"/>
      <c r="R260" s="94"/>
    </row>
    <row r="261" spans="1:18" s="1" customFormat="1" x14ac:dyDescent="0.3">
      <c r="A261" s="86" t="s">
        <v>308</v>
      </c>
      <c r="B261" s="401" t="e" cm="1">
        <f t="array" aca="1" ref="B261" ca="1">INDIRECT("'2"&amp;$A261&amp;"'!"&amp;B$255)/INDIRECT("'2"&amp;$A261&amp;"'!"&amp;$B$254)*100</f>
        <v>#REF!</v>
      </c>
      <c r="C261" s="401" t="e" cm="1">
        <f t="array" aca="1" ref="C261" ca="1">INDIRECT("'2"&amp;$A261&amp;"'!"&amp;C$255)/INDIRECT("'2"&amp;$A261&amp;"'!"&amp;$B$254)*100</f>
        <v>#REF!</v>
      </c>
      <c r="D261" s="86"/>
      <c r="E261" s="86"/>
      <c r="F261" s="1" t="s">
        <v>214</v>
      </c>
      <c r="G261" s="303" cm="1">
        <f t="array" aca="1" ref="G261" ca="1">INDIRECT("'2"&amp;$F261&amp;"'!"&amp;G$255)</f>
        <v>0.60869540863261207</v>
      </c>
      <c r="H261" s="372">
        <f ca="1">MAX(1-Table29123436[[#This Row],[Total Offset]],0)</f>
        <v>0.39130459136738793</v>
      </c>
      <c r="I261" s="419">
        <f ca="1">Table29123436[[#This Row],[Total Offset]]-Table29123436[[#This Row],[Offset through indexation]]</f>
        <v>0.35992106826948833</v>
      </c>
      <c r="J261" s="419" cm="1">
        <f t="array" aca="1" ref="J261" ca="1">INDIRECT("'2"&amp;$F261&amp;"'!"&amp;J$255)</f>
        <v>0.24877434036312374</v>
      </c>
      <c r="O261" s="89"/>
      <c r="P261" s="96"/>
      <c r="Q261" s="88"/>
      <c r="R261" s="96"/>
    </row>
    <row r="262" spans="1:18" s="1" customFormat="1" x14ac:dyDescent="0.3">
      <c r="A262" s="86" t="s">
        <v>309</v>
      </c>
      <c r="B262" s="401" t="e" cm="1">
        <f t="array" aca="1" ref="B262" ca="1">INDIRECT("'2"&amp;$A262&amp;"'!"&amp;B$255)/INDIRECT("'2"&amp;$A262&amp;"'!"&amp;$B$254)*100</f>
        <v>#REF!</v>
      </c>
      <c r="C262" s="401" t="e" cm="1">
        <f t="array" aca="1" ref="C262" ca="1">INDIRECT("'2"&amp;$A262&amp;"'!"&amp;C$255)/INDIRECT("'2"&amp;$A262&amp;"'!"&amp;$B$254)*100</f>
        <v>#REF!</v>
      </c>
      <c r="D262" s="86"/>
      <c r="E262" s="86"/>
      <c r="F262" s="1" t="s">
        <v>247</v>
      </c>
      <c r="G262" s="303" cm="1">
        <f t="array" aca="1" ref="G262" ca="1">INDIRECT("'2"&amp;$F262&amp;"'!"&amp;G$255)</f>
        <v>0.64536499266834613</v>
      </c>
      <c r="H262" s="372">
        <f ca="1">MAX(1-Table29123436[[#This Row],[Total Offset]],0)</f>
        <v>0.35463500733165387</v>
      </c>
      <c r="I262" s="419">
        <f ca="1">Table29123436[[#This Row],[Total Offset]]-Table29123436[[#This Row],[Offset through indexation]]</f>
        <v>4.0433095748563797E-2</v>
      </c>
      <c r="J262" s="419" cm="1">
        <f t="array" aca="1" ref="J262" ca="1">INDIRECT("'2"&amp;$F262&amp;"'!"&amp;J$255)</f>
        <v>0.60493189691978233</v>
      </c>
      <c r="O262" s="88"/>
      <c r="P262" s="94"/>
      <c r="Q262" s="88"/>
      <c r="R262" s="94"/>
    </row>
    <row r="263" spans="1:18" s="1" customFormat="1" x14ac:dyDescent="0.3">
      <c r="A263" s="86" t="s">
        <v>310</v>
      </c>
      <c r="B263" s="401" t="e" cm="1">
        <f t="array" aca="1" ref="B263" ca="1">INDIRECT("'2"&amp;$A263&amp;"'!"&amp;B$255)/INDIRECT("'2"&amp;$A263&amp;"'!"&amp;$B$254)*100</f>
        <v>#REF!</v>
      </c>
      <c r="C263" s="401" t="e" cm="1">
        <f t="array" aca="1" ref="C263" ca="1">INDIRECT("'2"&amp;$A263&amp;"'!"&amp;C$255)/INDIRECT("'2"&amp;$A263&amp;"'!"&amp;$B$254)*100</f>
        <v>#REF!</v>
      </c>
      <c r="D263" s="86"/>
      <c r="E263" s="86"/>
      <c r="F263" s="1" t="s">
        <v>222</v>
      </c>
      <c r="G263" s="303" cm="1">
        <f t="array" aca="1" ref="G263" ca="1">INDIRECT("'2"&amp;$F263&amp;"'!"&amp;G$255)</f>
        <v>0.72849144422275158</v>
      </c>
      <c r="H263" s="372">
        <f ca="1">MAX(1-Table29123436[[#This Row],[Total Offset]],0)</f>
        <v>0.27150855577724842</v>
      </c>
      <c r="I263" s="419">
        <f ca="1">Table29123436[[#This Row],[Total Offset]]-Table29123436[[#This Row],[Offset through indexation]]</f>
        <v>0.17591462017930537</v>
      </c>
      <c r="J263" s="419" cm="1">
        <f t="array" aca="1" ref="J263" ca="1">INDIRECT("'2"&amp;$F263&amp;"'!"&amp;J$255)</f>
        <v>0.55257682404344621</v>
      </c>
      <c r="O263" s="89"/>
      <c r="P263" s="96"/>
      <c r="Q263" s="88"/>
      <c r="R263" s="96"/>
    </row>
    <row r="264" spans="1:18" s="1" customFormat="1" x14ac:dyDescent="0.3">
      <c r="A264" s="86" t="s">
        <v>311</v>
      </c>
      <c r="B264" s="401" t="e" cm="1">
        <f t="array" aca="1" ref="B264" ca="1">INDIRECT("'2"&amp;$A264&amp;"'!"&amp;B$255)/INDIRECT("'2"&amp;$A264&amp;"'!"&amp;$B$254)*100</f>
        <v>#REF!</v>
      </c>
      <c r="C264" s="401" t="e" cm="1">
        <f t="array" aca="1" ref="C264" ca="1">INDIRECT("'2"&amp;$A264&amp;"'!"&amp;C$255)/INDIRECT("'2"&amp;$A264&amp;"'!"&amp;$B$254)*100</f>
        <v>#REF!</v>
      </c>
      <c r="D264" s="86"/>
      <c r="E264" s="86"/>
      <c r="F264" s="1" t="s">
        <v>227</v>
      </c>
      <c r="G264" s="303" cm="1">
        <f t="array" aca="1" ref="G264" ca="1">INDIRECT("'2"&amp;$F264&amp;"'!"&amp;G$255)</f>
        <v>0.74927588111259824</v>
      </c>
      <c r="H264" s="372">
        <f ca="1">MAX(1-Table29123436[[#This Row],[Total Offset]],0)</f>
        <v>0.25072411888740176</v>
      </c>
      <c r="I264" s="419">
        <f ca="1">Table29123436[[#This Row],[Total Offset]]-Table29123436[[#This Row],[Offset through indexation]]</f>
        <v>0.74937034056099849</v>
      </c>
      <c r="J264" s="419" cm="1">
        <f t="array" aca="1" ref="J264" ca="1">INDIRECT("'2"&amp;$F264&amp;"'!"&amp;J$255)</f>
        <v>-9.4459448400211938E-5</v>
      </c>
      <c r="O264" s="88"/>
      <c r="P264" s="94"/>
      <c r="Q264" s="88"/>
      <c r="R264" s="94"/>
    </row>
    <row r="265" spans="1:18" s="1" customFormat="1" x14ac:dyDescent="0.3">
      <c r="A265" s="1" t="s">
        <v>247</v>
      </c>
      <c r="B265" s="402" cm="1">
        <f t="array" aca="1" ref="B265" ca="1">INDIRECT("'2"&amp;$A265&amp;"'!"&amp;B$255)/INDIRECT("'2"&amp;$A265&amp;"'!"&amp;$B$254)*100</f>
        <v>1.7638110414705661</v>
      </c>
      <c r="C265" s="402" cm="1">
        <f t="array" aca="1" ref="C265" ca="1">INDIRECT("'2"&amp;$A265&amp;"'!"&amp;C$255)/INDIRECT("'2"&amp;$A265&amp;"'!"&amp;$B$254)*100</f>
        <v>0.62550914162356608</v>
      </c>
      <c r="F265" s="1" t="s">
        <v>233</v>
      </c>
      <c r="G265" s="303" cm="1">
        <f t="array" aca="1" ref="G265" ca="1">INDIRECT("'2"&amp;$F265&amp;"'!"&amp;G$255)</f>
        <v>0.77771944304384244</v>
      </c>
      <c r="H265" s="372">
        <f ca="1">MAX(1-Table29123436[[#This Row],[Total Offset]],0)</f>
        <v>0.22228055695615756</v>
      </c>
      <c r="I265" s="419">
        <f ca="1">Table29123436[[#This Row],[Total Offset]]-Table29123436[[#This Row],[Offset through indexation]]</f>
        <v>0.14244559398354706</v>
      </c>
      <c r="J265" s="419" cm="1">
        <f t="array" aca="1" ref="J265" ca="1">INDIRECT("'2"&amp;$F265&amp;"'!"&amp;J$255)</f>
        <v>0.63527384906029538</v>
      </c>
      <c r="O265" s="88"/>
      <c r="P265" s="94"/>
      <c r="Q265" s="88"/>
      <c r="R265" s="94"/>
    </row>
    <row r="266" spans="1:18" s="1" customFormat="1" x14ac:dyDescent="0.3">
      <c r="A266" s="1" t="s">
        <v>204</v>
      </c>
      <c r="B266" s="402" cm="1">
        <f t="array" aca="1" ref="B266" ca="1">INDIRECT("'2"&amp;$A266&amp;"'!"&amp;B$255)/INDIRECT("'2"&amp;$A266&amp;"'!"&amp;$B$254)*100</f>
        <v>1.5759708107718244</v>
      </c>
      <c r="C266" s="402" cm="1">
        <f t="array" aca="1" ref="C266" ca="1">INDIRECT("'2"&amp;$A266&amp;"'!"&amp;C$255)/INDIRECT("'2"&amp;$A266&amp;"'!"&amp;$B$254)*100</f>
        <v>0.28712991577998359</v>
      </c>
      <c r="F266" s="1" t="s">
        <v>204</v>
      </c>
      <c r="G266" s="303" cm="1">
        <f t="array" aca="1" ref="G266" ca="1">INDIRECT("'2"&amp;$F266&amp;"'!"&amp;G$255)</f>
        <v>0.81780759274382564</v>
      </c>
      <c r="H266" s="372">
        <f ca="1">MAX(1-Table29123436[[#This Row],[Total Offset]],0)</f>
        <v>0.18219240725617436</v>
      </c>
      <c r="I266" s="419">
        <f ca="1">Table29123436[[#This Row],[Total Offset]]-Table29123436[[#This Row],[Offset through indexation]]</f>
        <v>-6.8457199083916009E-2</v>
      </c>
      <c r="J266" s="419" cm="1">
        <f t="array" aca="1" ref="J266" ca="1">INDIRECT("'2"&amp;$F266&amp;"'!"&amp;J$255)</f>
        <v>0.88626479182774165</v>
      </c>
      <c r="O266" s="88"/>
      <c r="P266" s="94"/>
      <c r="Q266" s="88"/>
      <c r="R266" s="94"/>
    </row>
    <row r="267" spans="1:18" s="1" customFormat="1" x14ac:dyDescent="0.3">
      <c r="A267" s="1" t="s">
        <v>3</v>
      </c>
      <c r="B267" s="402" cm="1">
        <f t="array" aca="1" ref="B267" ca="1">INDIRECT("'2"&amp;$A267&amp;"'!"&amp;B$255)/INDIRECT("'2"&amp;$A267&amp;"'!"&amp;$B$254)*100</f>
        <v>1.5460428415377907</v>
      </c>
      <c r="C267" s="402" cm="1">
        <f t="array" aca="1" ref="C267" ca="1">INDIRECT("'2"&amp;$A267&amp;"'!"&amp;C$255)/INDIRECT("'2"&amp;$A267&amp;"'!"&amp;$B$254)*100</f>
        <v>-0.11187542179376057</v>
      </c>
      <c r="F267" s="1" t="s">
        <v>223</v>
      </c>
      <c r="G267" s="303" cm="1">
        <f t="array" aca="1" ref="G267" ca="1">INDIRECT("'2"&amp;$F267&amp;"'!"&amp;G$255)</f>
        <v>0.84369711182249618</v>
      </c>
      <c r="H267" s="372">
        <f ca="1">MAX(1-Table29123436[[#This Row],[Total Offset]],0)</f>
        <v>0.15630288817750382</v>
      </c>
      <c r="I267" s="419">
        <f ca="1">Table29123436[[#This Row],[Total Offset]]-Table29123436[[#This Row],[Offset through indexation]]</f>
        <v>0.64327832693557363</v>
      </c>
      <c r="J267" s="419" cm="1">
        <f t="array" aca="1" ref="J267" ca="1">INDIRECT("'2"&amp;$F267&amp;"'!"&amp;J$255)</f>
        <v>0.20041878488692252</v>
      </c>
      <c r="O267" s="89"/>
      <c r="P267" s="96"/>
      <c r="Q267" s="88"/>
      <c r="R267" s="96"/>
    </row>
    <row r="268" spans="1:18" s="1" customFormat="1" x14ac:dyDescent="0.3">
      <c r="A268" s="1" t="s">
        <v>222</v>
      </c>
      <c r="B268" s="402" cm="1">
        <f t="array" aca="1" ref="B268" ca="1">INDIRECT("'2"&amp;$A268&amp;"'!"&amp;B$255)/INDIRECT("'2"&amp;$A268&amp;"'!"&amp;$B$254)*100</f>
        <v>1.2565588232275593</v>
      </c>
      <c r="C268" s="402" cm="1">
        <f t="array" aca="1" ref="C268" ca="1">INDIRECT("'2"&amp;$A268&amp;"'!"&amp;C$255)/INDIRECT("'2"&amp;$A268&amp;"'!"&amp;$B$254)*100</f>
        <v>0.34116647134367339</v>
      </c>
      <c r="F268" s="1" t="s">
        <v>217</v>
      </c>
      <c r="G268" s="303" cm="1">
        <f t="array" aca="1" ref="G268" ca="1">INDIRECT("'2"&amp;$F268&amp;"'!"&amp;G$255)</f>
        <v>0.85635883369120414</v>
      </c>
      <c r="H268" s="372">
        <f ca="1">MAX(1-Table29123436[[#This Row],[Total Offset]],0)</f>
        <v>0.14364116630879586</v>
      </c>
      <c r="I268" s="419">
        <f ca="1">Table29123436[[#This Row],[Total Offset]]-Table29123436[[#This Row],[Offset through indexation]]</f>
        <v>0.8562396452740848</v>
      </c>
      <c r="J268" s="419" cm="1">
        <f t="array" aca="1" ref="J268" ca="1">INDIRECT("'2"&amp;$F268&amp;"'!"&amp;J$255)</f>
        <v>1.1918841711934637E-4</v>
      </c>
      <c r="O268" s="89"/>
      <c r="P268" s="96"/>
      <c r="Q268" s="88"/>
      <c r="R268" s="96"/>
    </row>
    <row r="269" spans="1:18" s="1" customFormat="1" x14ac:dyDescent="0.3">
      <c r="A269" s="1" t="s">
        <v>234</v>
      </c>
      <c r="B269" s="402" cm="1">
        <f t="array" aca="1" ref="B269" ca="1">INDIRECT("'2"&amp;$A269&amp;"'!"&amp;B$255)/INDIRECT("'2"&amp;$A269&amp;"'!"&amp;$B$254)*100</f>
        <v>1.2109361854419853</v>
      </c>
      <c r="C269" s="402" cm="1">
        <f t="array" aca="1" ref="C269" ca="1">INDIRECT("'2"&amp;$A269&amp;"'!"&amp;C$255)/INDIRECT("'2"&amp;$A269&amp;"'!"&amp;$B$254)*100</f>
        <v>0.88820574721417112</v>
      </c>
      <c r="F269" s="1" t="s">
        <v>249</v>
      </c>
      <c r="G269" s="303" cm="1">
        <f t="array" aca="1" ref="G269" ca="1">INDIRECT("'2"&amp;$F269&amp;"'!"&amp;G$255)</f>
        <v>0.9531926099803173</v>
      </c>
      <c r="H269" s="372">
        <f ca="1">MAX(1-Table29123436[[#This Row],[Total Offset]],0)</f>
        <v>4.6807390019682704E-2</v>
      </c>
      <c r="I269" s="419">
        <f ca="1">Table29123436[[#This Row],[Total Offset]]-Table29123436[[#This Row],[Offset through indexation]]</f>
        <v>0.82134655116653432</v>
      </c>
      <c r="J269" s="419" cm="1">
        <f t="array" aca="1" ref="J269" ca="1">INDIRECT("'2"&amp;$F269&amp;"'!"&amp;J$255)</f>
        <v>0.13184605881378292</v>
      </c>
      <c r="O269" s="88"/>
      <c r="P269" s="94"/>
      <c r="Q269" s="88"/>
      <c r="R269" s="94"/>
    </row>
    <row r="270" spans="1:18" s="1" customFormat="1" x14ac:dyDescent="0.3">
      <c r="A270" s="1" t="s">
        <v>218</v>
      </c>
      <c r="B270" s="402" cm="1">
        <f t="array" aca="1" ref="B270" ca="1">INDIRECT("'2"&amp;$A270&amp;"'!"&amp;B$255)/INDIRECT("'2"&amp;$A270&amp;"'!"&amp;$B$254)*100</f>
        <v>1.1265486474362321</v>
      </c>
      <c r="C270" s="402" cm="1">
        <f t="array" aca="1" ref="C270" ca="1">INDIRECT("'2"&amp;$A270&amp;"'!"&amp;C$255)/INDIRECT("'2"&amp;$A270&amp;"'!"&amp;$B$254)*100</f>
        <v>0.83090300040578791</v>
      </c>
      <c r="F270" s="1" t="s">
        <v>3</v>
      </c>
      <c r="G270" s="303" cm="1">
        <f t="array" aca="1" ref="G270" ca="1">INDIRECT("'2"&amp;$F270&amp;"'!"&amp;G$255)</f>
        <v>1.0723624331667823</v>
      </c>
      <c r="H270" s="372">
        <f ca="1">MAX(1-Table29123436[[#This Row],[Total Offset]],0)</f>
        <v>0</v>
      </c>
      <c r="I270" s="419">
        <f ca="1">Table29123436[[#This Row],[Total Offset]]-Table29123436[[#This Row],[Offset through indexation]]</f>
        <v>0.77616811945441744</v>
      </c>
      <c r="J270" s="419" cm="1">
        <f t="array" aca="1" ref="J270" ca="1">INDIRECT("'2"&amp;$F270&amp;"'!"&amp;J$255)</f>
        <v>0.29619431371236477</v>
      </c>
      <c r="O270" s="88"/>
      <c r="P270" s="94"/>
      <c r="Q270" s="88"/>
      <c r="R270" s="94"/>
    </row>
    <row r="271" spans="1:18" s="1" customFormat="1" x14ac:dyDescent="0.3">
      <c r="A271" s="1" t="s">
        <v>240</v>
      </c>
      <c r="B271" s="402" cm="1">
        <f t="array" aca="1" ref="B271" ca="1">INDIRECT("'2"&amp;$A271&amp;"'!"&amp;B$255)/INDIRECT("'2"&amp;$A271&amp;"'!"&amp;$B$254)*100</f>
        <v>1.0671926236048876</v>
      </c>
      <c r="C271" s="402" cm="1">
        <f t="array" aca="1" ref="C271" ca="1">INDIRECT("'2"&amp;$A271&amp;"'!"&amp;C$255)/INDIRECT("'2"&amp;$A271&amp;"'!"&amp;$B$254)*100</f>
        <v>-0.24778779517178454</v>
      </c>
      <c r="F271" s="1" t="s">
        <v>210</v>
      </c>
      <c r="G271" s="303" cm="1">
        <f t="array" aca="1" ref="G271" ca="1">INDIRECT("'2"&amp;$F271&amp;"'!"&amp;G$255)</f>
        <v>1.1926329446420714</v>
      </c>
      <c r="H271" s="372">
        <f ca="1">MAX(1-Table29123436[[#This Row],[Total Offset]],0)</f>
        <v>0</v>
      </c>
      <c r="I271" s="419">
        <f ca="1">Table29123436[[#This Row],[Total Offset]]-Table29123436[[#This Row],[Offset through indexation]]</f>
        <v>0.52253297891401984</v>
      </c>
      <c r="J271" s="419" cm="1">
        <f t="array" aca="1" ref="J271" ca="1">INDIRECT("'2"&amp;$F271&amp;"'!"&amp;J$255)</f>
        <v>0.67009996572805153</v>
      </c>
      <c r="O271" s="88"/>
      <c r="P271" s="94"/>
      <c r="Q271" s="88"/>
      <c r="R271" s="94"/>
    </row>
    <row r="272" spans="1:18" s="1" customFormat="1" x14ac:dyDescent="0.3">
      <c r="A272" s="1" t="s">
        <v>214</v>
      </c>
      <c r="B272" s="402" cm="1">
        <f t="array" aca="1" ref="B272" ca="1">INDIRECT("'2"&amp;$A272&amp;"'!"&amp;B$255)/INDIRECT("'2"&amp;$A272&amp;"'!"&amp;$B$254)*100</f>
        <v>1.0266214899528632</v>
      </c>
      <c r="C272" s="402" cm="1">
        <f t="array" aca="1" ref="C272" ca="1">INDIRECT("'2"&amp;$A272&amp;"'!"&amp;C$255)/INDIRECT("'2"&amp;$A272&amp;"'!"&amp;$B$254)*100</f>
        <v>0.40172170261498402</v>
      </c>
      <c r="F272" s="1" t="s">
        <v>238</v>
      </c>
      <c r="G272" s="303" cm="1">
        <f t="array" aca="1" ref="G272" ca="1">INDIRECT("'2"&amp;$F272&amp;"'!"&amp;G$255)</f>
        <v>1.2236852172501043</v>
      </c>
      <c r="H272" s="372">
        <f ca="1">MAX(1-Table29123436[[#This Row],[Total Offset]],0)</f>
        <v>0</v>
      </c>
      <c r="I272" s="419">
        <f ca="1">Table29123436[[#This Row],[Total Offset]]-Table29123436[[#This Row],[Offset through indexation]]</f>
        <v>-0.15889554148778218</v>
      </c>
      <c r="J272" s="419" cm="1">
        <f t="array" aca="1" ref="J272" ca="1">INDIRECT("'2"&amp;$F272&amp;"'!"&amp;J$255)</f>
        <v>1.3825807587378864</v>
      </c>
      <c r="O272" s="91"/>
      <c r="P272" s="95"/>
      <c r="Q272" s="91"/>
      <c r="R272" s="95"/>
    </row>
    <row r="273" spans="1:18" s="1" customFormat="1" x14ac:dyDescent="0.3">
      <c r="A273" s="1" t="s">
        <v>210</v>
      </c>
      <c r="B273" s="402" cm="1">
        <f t="array" aca="1" ref="B273" ca="1">INDIRECT("'2"&amp;$A273&amp;"'!"&amp;B$255)/INDIRECT("'2"&amp;$A273&amp;"'!"&amp;$B$254)*100</f>
        <v>0.99333055617283039</v>
      </c>
      <c r="C273" s="402" cm="1">
        <f t="array" aca="1" ref="C273" ca="1">INDIRECT("'2"&amp;$A273&amp;"'!"&amp;C$255)/INDIRECT("'2"&amp;$A273&amp;"'!"&amp;$B$254)*100</f>
        <v>-0.19134819003851888</v>
      </c>
      <c r="F273" s="1" t="s">
        <v>240</v>
      </c>
      <c r="G273" s="303" cm="1">
        <f t="array" aca="1" ref="G273" ca="1">INDIRECT("'2"&amp;$F273&amp;"'!"&amp;G$255)</f>
        <v>1.2321865703445156</v>
      </c>
      <c r="H273" s="372">
        <f ca="1">MAX(1-Table29123436[[#This Row],[Total Offset]],0)</f>
        <v>0</v>
      </c>
      <c r="I273" s="419">
        <f ca="1">Table29123436[[#This Row],[Total Offset]]-Table29123436[[#This Row],[Offset through indexation]]</f>
        <v>1.0596878609856122</v>
      </c>
      <c r="J273" s="419" cm="1">
        <f t="array" aca="1" ref="J273" ca="1">INDIRECT("'2"&amp;$F273&amp;"'!"&amp;J$255)</f>
        <v>0.17249870935890335</v>
      </c>
      <c r="O273" s="88"/>
      <c r="P273" s="94"/>
      <c r="Q273" s="99"/>
      <c r="R273" s="100"/>
    </row>
    <row r="274" spans="1:18" s="1" customFormat="1" x14ac:dyDescent="0.3">
      <c r="A274" s="1" t="s">
        <v>225</v>
      </c>
      <c r="B274" s="402" cm="1">
        <f t="array" aca="1" ref="B274" ca="1">INDIRECT("'2"&amp;$A274&amp;"'!"&amp;B$255)/INDIRECT("'2"&amp;$A274&amp;"'!"&amp;$B$254)*100</f>
        <v>0.95119512222320135</v>
      </c>
      <c r="C274" s="402" cm="1">
        <f t="array" aca="1" ref="C274" ca="1">INDIRECT("'2"&amp;$A274&amp;"'!"&amp;C$255)/INDIRECT("'2"&amp;$A274&amp;"'!"&amp;$B$254)*100</f>
        <v>-0.2777307225658443</v>
      </c>
      <c r="F274" s="1" t="s">
        <v>225</v>
      </c>
      <c r="G274" s="303" cm="1">
        <f t="array" aca="1" ref="G274" ca="1">INDIRECT("'2"&amp;$F274&amp;"'!"&amp;G$255)</f>
        <v>1.2919808103270254</v>
      </c>
      <c r="H274" s="372">
        <f ca="1">MAX(1-Table29123436[[#This Row],[Total Offset]],0)</f>
        <v>0</v>
      </c>
      <c r="I274" s="419">
        <f ca="1">Table29123436[[#This Row],[Total Offset]]-Table29123436[[#This Row],[Offset through indexation]]</f>
        <v>1.2919808103270254</v>
      </c>
      <c r="J274" s="419" cm="1">
        <f t="array" aca="1" ref="J274" ca="1">INDIRECT("'2"&amp;$F274&amp;"'!"&amp;J$255)</f>
        <v>0</v>
      </c>
      <c r="O274" s="88"/>
      <c r="P274" s="94"/>
      <c r="Q274" s="88"/>
      <c r="R274" s="94"/>
    </row>
    <row r="275" spans="1:18" s="1" customFormat="1" x14ac:dyDescent="0.3">
      <c r="A275" s="1" t="s">
        <v>249</v>
      </c>
      <c r="B275" s="402" cm="1">
        <f t="array" aca="1" ref="B275" ca="1">INDIRECT("'2"&amp;$A275&amp;"'!"&amp;B$255)/INDIRECT("'2"&amp;$A275&amp;"'!"&amp;$B$254)*100</f>
        <v>0.84535003583525858</v>
      </c>
      <c r="C275" s="402" cm="1">
        <f t="array" aca="1" ref="C275" ca="1">INDIRECT("'2"&amp;$A275&amp;"'!"&amp;C$255)/INDIRECT("'2"&amp;$A275&amp;"'!"&amp;$B$254)*100</f>
        <v>3.9568628830493696E-2</v>
      </c>
      <c r="F275" s="1" t="s">
        <v>252</v>
      </c>
      <c r="G275" s="303" cm="1">
        <f t="array" aca="1" ref="G275" ca="1">INDIRECT("'2"&amp;$F275&amp;"'!"&amp;G$255)</f>
        <v>1.4950946008057857</v>
      </c>
      <c r="H275" s="372">
        <f ca="1">MAX(1-Table29123436[[#This Row],[Total Offset]],0)</f>
        <v>0</v>
      </c>
      <c r="I275" s="419">
        <f ca="1">Table29123436[[#This Row],[Total Offset]]-Table29123436[[#This Row],[Offset through indexation]]</f>
        <v>1.4183426807921358</v>
      </c>
      <c r="J275" s="419" cm="1">
        <f t="array" aca="1" ref="J275" ca="1">INDIRECT("'2"&amp;$F275&amp;"'!"&amp;J$255)</f>
        <v>7.6751920013649874E-2</v>
      </c>
      <c r="O275" s="89"/>
      <c r="P275" s="96"/>
      <c r="Q275" s="88"/>
      <c r="R275" s="96"/>
    </row>
    <row r="276" spans="1:18" s="1" customFormat="1" x14ac:dyDescent="0.3">
      <c r="A276" s="1" t="s">
        <v>252</v>
      </c>
      <c r="B276" s="402" cm="1">
        <f t="array" aca="1" ref="B276" ca="1">INDIRECT("'2"&amp;$A276&amp;"'!"&amp;B$255)/INDIRECT("'2"&amp;$A276&amp;"'!"&amp;$B$254)*100</f>
        <v>0.76583649656769304</v>
      </c>
      <c r="C276" s="402" cm="1">
        <f t="array" aca="1" ref="C276" ca="1">INDIRECT("'2"&amp;$A276&amp;"'!"&amp;C$255)/INDIRECT("'2"&amp;$A276&amp;"'!"&amp;$B$254)*100</f>
        <v>-0.37916151455068348</v>
      </c>
      <c r="F276" s="1" t="s">
        <v>254</v>
      </c>
      <c r="G276" s="303" cm="1">
        <f t="array" aca="1" ref="G276" ca="1">INDIRECT("'2"&amp;$F276&amp;"'!"&amp;G$255)</f>
        <v>1.6423345515952728</v>
      </c>
      <c r="H276" s="372">
        <f ca="1">MAX(1-Table29123436[[#This Row],[Total Offset]],0)</f>
        <v>0</v>
      </c>
      <c r="I276" s="419">
        <f ca="1">Table29123436[[#This Row],[Total Offset]]-Table29123436[[#This Row],[Offset through indexation]]</f>
        <v>1.1661477933867874</v>
      </c>
      <c r="J276" s="419" cm="1">
        <f t="array" aca="1" ref="J276" ca="1">INDIRECT("'2"&amp;$F276&amp;"'!"&amp;J$255)</f>
        <v>0.47618675820848527</v>
      </c>
      <c r="O276" s="88"/>
      <c r="P276" s="94"/>
      <c r="Q276" s="88"/>
      <c r="R276" s="94"/>
    </row>
    <row r="277" spans="1:18" s="1" customFormat="1" x14ac:dyDescent="0.3">
      <c r="A277" s="1" t="s">
        <v>227</v>
      </c>
      <c r="B277" s="402" cm="1">
        <f t="array" aca="1" ref="B277" ca="1">INDIRECT("'2"&amp;$A277&amp;"'!"&amp;B$255)/INDIRECT("'2"&amp;$A277&amp;"'!"&amp;$B$254)*100</f>
        <v>0.76094417872911568</v>
      </c>
      <c r="C277" s="402" cm="1">
        <f t="array" aca="1" ref="C277" ca="1">INDIRECT("'2"&amp;$A277&amp;"'!"&amp;C$255)/INDIRECT("'2"&amp;$A277&amp;"'!"&amp;$B$254)*100</f>
        <v>0.19078705873435509</v>
      </c>
      <c r="F277" s="1" t="s">
        <v>242</v>
      </c>
      <c r="G277" s="303" cm="1">
        <f t="array" aca="1" ref="G277" ca="1">INDIRECT("'2"&amp;$F277&amp;"'!"&amp;G$255)</f>
        <v>1.8135621717548949</v>
      </c>
      <c r="H277" s="372">
        <f ca="1">MAX(1-Table29123436[[#This Row],[Total Offset]],0)</f>
        <v>0</v>
      </c>
      <c r="I277" s="419">
        <f ca="1">Table29123436[[#This Row],[Total Offset]]-Table29123436[[#This Row],[Offset through indexation]]</f>
        <v>1.8135621717548949</v>
      </c>
      <c r="J277" s="419" cm="1">
        <f t="array" aca="1" ref="J277" ca="1">INDIRECT("'2"&amp;$F277&amp;"'!"&amp;J$255)</f>
        <v>0</v>
      </c>
      <c r="O277" s="89"/>
      <c r="P277" s="96"/>
      <c r="Q277" s="88"/>
      <c r="R277" s="96"/>
    </row>
    <row r="278" spans="1:18" s="1" customFormat="1" x14ac:dyDescent="0.3">
      <c r="A278" s="1" t="s">
        <v>254</v>
      </c>
      <c r="B278" s="402" cm="1">
        <f t="array" aca="1" ref="B278" ca="1">INDIRECT("'2"&amp;$A278&amp;"'!"&amp;B$255)/INDIRECT("'2"&amp;$A278&amp;"'!"&amp;$B$254)*100</f>
        <v>0.74371339111235202</v>
      </c>
      <c r="C278" s="402" cm="1">
        <f t="array" aca="1" ref="C278" ca="1">INDIRECT("'2"&amp;$A278&amp;"'!"&amp;C$255)/INDIRECT("'2"&amp;$A278&amp;"'!"&amp;$B$254)*100</f>
        <v>-0.4777128075955524</v>
      </c>
      <c r="F278" s="86" t="s">
        <v>304</v>
      </c>
      <c r="G278" s="371" t="e" cm="1">
        <f t="array" aca="1" ref="G278" ca="1">INDIRECT("'2"&amp;$F278&amp;"'!"&amp;G$255)</f>
        <v>#REF!</v>
      </c>
      <c r="H278" s="372" t="e">
        <f ca="1">MAX(1-Table29123436[[#This Row],[Total Offset]],0)</f>
        <v>#REF!</v>
      </c>
      <c r="I278" s="419" t="e">
        <f ca="1">Table29123436[[#This Row],[Total Offset]]-Table29123436[[#This Row],[Offset through indexation]]</f>
        <v>#REF!</v>
      </c>
      <c r="J278" s="419" t="e" cm="1">
        <f t="array" aca="1" ref="J278" ca="1">INDIRECT("'2"&amp;$F278&amp;"'!"&amp;J$255)</f>
        <v>#REF!</v>
      </c>
      <c r="O278" s="88"/>
      <c r="P278" s="94"/>
      <c r="Q278" s="88"/>
      <c r="R278" s="94"/>
    </row>
    <row r="279" spans="1:18" s="1" customFormat="1" x14ac:dyDescent="0.3">
      <c r="A279" s="1" t="s">
        <v>223</v>
      </c>
      <c r="B279" s="402" cm="1">
        <f t="array" aca="1" ref="B279" ca="1">INDIRECT("'2"&amp;$A279&amp;"'!"&amp;B$255)/INDIRECT("'2"&amp;$A279&amp;"'!"&amp;$B$254)*100</f>
        <v>0.84898629847127394</v>
      </c>
      <c r="C279" s="402" cm="1">
        <f t="array" aca="1" ref="C279" ca="1">INDIRECT("'2"&amp;$A279&amp;"'!"&amp;C$255)/INDIRECT("'2"&amp;$A279&amp;"'!"&amp;$B$254)*100</f>
        <v>0.13269901047418839</v>
      </c>
      <c r="F279" s="86" t="s">
        <v>305</v>
      </c>
      <c r="G279" s="371" t="e" cm="1">
        <f t="array" aca="1" ref="G279" ca="1">INDIRECT("'2"&amp;$F279&amp;"'!"&amp;G$255)</f>
        <v>#REF!</v>
      </c>
      <c r="H279" s="372" t="e">
        <f ca="1">MAX(1-Table29123436[[#This Row],[Total Offset]],0)</f>
        <v>#REF!</v>
      </c>
      <c r="I279" s="419" t="e">
        <f ca="1">Table29123436[[#This Row],[Total Offset]]-Table29123436[[#This Row],[Offset through indexation]]</f>
        <v>#REF!</v>
      </c>
      <c r="J279" s="419" t="e" cm="1">
        <f t="array" aca="1" ref="J279" ca="1">INDIRECT("'2"&amp;$F279&amp;"'!"&amp;J$255)</f>
        <v>#REF!</v>
      </c>
      <c r="O279" s="89"/>
      <c r="P279" s="96"/>
      <c r="Q279" s="88"/>
      <c r="R279" s="96"/>
    </row>
    <row r="280" spans="1:18" s="1" customFormat="1" x14ac:dyDescent="0.3">
      <c r="A280" s="1" t="s">
        <v>217</v>
      </c>
      <c r="B280" s="402" cm="1">
        <f t="array" aca="1" ref="B280" ca="1">INDIRECT("'2"&amp;$A280&amp;"'!"&amp;B$255)/INDIRECT("'2"&amp;$A280&amp;"'!"&amp;$B$254)*100</f>
        <v>0.71724637718814277</v>
      </c>
      <c r="C280" s="402" cm="1">
        <f t="array" aca="1" ref="C280" ca="1">INDIRECT("'2"&amp;$A280&amp;"'!"&amp;C$255)/INDIRECT("'2"&amp;$A280&amp;"'!"&amp;$B$254)*100</f>
        <v>0.1030261061500634</v>
      </c>
      <c r="F280" s="86" t="s">
        <v>306</v>
      </c>
      <c r="G280" s="371" t="e" cm="1">
        <f t="array" aca="1" ref="G280" ca="1">INDIRECT("'2"&amp;$F280&amp;"'!"&amp;G$255)</f>
        <v>#REF!</v>
      </c>
      <c r="H280" s="372" t="e">
        <f ca="1">MAX(1-Table29123436[[#This Row],[Total Offset]],0)</f>
        <v>#REF!</v>
      </c>
      <c r="I280" s="419" t="e">
        <f ca="1">Table29123436[[#This Row],[Total Offset]]-Table29123436[[#This Row],[Offset through indexation]]</f>
        <v>#REF!</v>
      </c>
      <c r="J280" s="419" t="e" cm="1">
        <f t="array" aca="1" ref="J280" ca="1">INDIRECT("'2"&amp;$F280&amp;"'!"&amp;J$255)</f>
        <v>#REF!</v>
      </c>
      <c r="O280" s="88"/>
      <c r="P280" s="94"/>
      <c r="Q280" s="88"/>
      <c r="R280" s="94"/>
    </row>
    <row r="281" spans="1:18" s="1" customFormat="1" x14ac:dyDescent="0.3">
      <c r="A281" s="1" t="s">
        <v>245</v>
      </c>
      <c r="B281" s="402" cm="1">
        <f t="array" aca="1" ref="B281" ca="1">INDIRECT("'2"&amp;$A281&amp;"'!"&amp;B$255)/INDIRECT("'2"&amp;$A281&amp;"'!"&amp;$B$254)*100</f>
        <v>0.71641614265894382</v>
      </c>
      <c r="C281" s="402" cm="1">
        <f t="array" aca="1" ref="C281" ca="1">INDIRECT("'2"&amp;$A281&amp;"'!"&amp;C$255)/INDIRECT("'2"&amp;$A281&amp;"'!"&amp;$B$254)*100</f>
        <v>0.48513010644648158</v>
      </c>
      <c r="F281" s="86" t="s">
        <v>307</v>
      </c>
      <c r="G281" s="371" t="e" cm="1">
        <f t="array" aca="1" ref="G281" ca="1">INDIRECT("'2"&amp;$F281&amp;"'!"&amp;G$255)</f>
        <v>#REF!</v>
      </c>
      <c r="H281" s="372" t="e">
        <f ca="1">MAX(1-Table29123436[[#This Row],[Total Offset]],0)</f>
        <v>#REF!</v>
      </c>
      <c r="I281" s="419" t="e">
        <f ca="1">Table29123436[[#This Row],[Total Offset]]-Table29123436[[#This Row],[Offset through indexation]]</f>
        <v>#REF!</v>
      </c>
      <c r="J281" s="419" t="e" cm="1">
        <f t="array" aca="1" ref="J281" ca="1">INDIRECT("'2"&amp;$F281&amp;"'!"&amp;J$255)</f>
        <v>#REF!</v>
      </c>
      <c r="O281" s="88"/>
      <c r="P281" s="94"/>
      <c r="Q281" s="88"/>
      <c r="R281" s="94"/>
    </row>
    <row r="282" spans="1:18" s="1" customFormat="1" x14ac:dyDescent="0.3">
      <c r="A282" s="1" t="s">
        <v>242</v>
      </c>
      <c r="B282" s="402" cm="1">
        <f t="array" aca="1" ref="B282" ca="1">INDIRECT("'2"&amp;$A282&amp;"'!"&amp;B$255)/INDIRECT("'2"&amp;$A282&amp;"'!"&amp;$B$254)*100</f>
        <v>0.71254943880450561</v>
      </c>
      <c r="C282" s="402" cm="1">
        <f t="array" aca="1" ref="C282" ca="1">INDIRECT("'2"&amp;$A282&amp;"'!"&amp;C$255)/INDIRECT("'2"&amp;$A282&amp;"'!"&amp;$B$254)*100</f>
        <v>-0.57970326891652513</v>
      </c>
      <c r="F282" s="86" t="s">
        <v>308</v>
      </c>
      <c r="G282" s="371" t="e" cm="1">
        <f t="array" aca="1" ref="G282" ca="1">INDIRECT("'2"&amp;$F282&amp;"'!"&amp;G$255)</f>
        <v>#REF!</v>
      </c>
      <c r="H282" s="372" t="e">
        <f ca="1">MAX(1-Table29123436[[#This Row],[Total Offset]],0)</f>
        <v>#REF!</v>
      </c>
      <c r="I282" s="419" t="e">
        <f ca="1">Table29123436[[#This Row],[Total Offset]]-Table29123436[[#This Row],[Offset through indexation]]</f>
        <v>#REF!</v>
      </c>
      <c r="J282" s="419" t="e" cm="1">
        <f t="array" aca="1" ref="J282" ca="1">INDIRECT("'2"&amp;$F282&amp;"'!"&amp;J$255)</f>
        <v>#REF!</v>
      </c>
      <c r="O282" s="88"/>
      <c r="P282" s="94"/>
      <c r="Q282" s="88"/>
      <c r="R282" s="94"/>
    </row>
    <row r="283" spans="1:18" s="1" customFormat="1" x14ac:dyDescent="0.3">
      <c r="A283" s="1" t="s">
        <v>233</v>
      </c>
      <c r="B283" s="402" cm="1">
        <f t="array" aca="1" ref="B283" ca="1">INDIRECT("'2"&amp;$A283&amp;"'!"&amp;B$255)/INDIRECT("'2"&amp;$A283&amp;"'!"&amp;$B$254)*100</f>
        <v>0.72338636387235977</v>
      </c>
      <c r="C283" s="402" cm="1">
        <f t="array" aca="1" ref="C283" ca="1">INDIRECT("'2"&amp;$A283&amp;"'!"&amp;C$255)/INDIRECT("'2"&amp;$A283&amp;"'!"&amp;$B$254)*100</f>
        <v>0.16079472385603782</v>
      </c>
      <c r="F283" s="86" t="s">
        <v>309</v>
      </c>
      <c r="G283" s="371" t="e" cm="1">
        <f t="array" aca="1" ref="G283" ca="1">INDIRECT("'2"&amp;$F283&amp;"'!"&amp;G$255)</f>
        <v>#REF!</v>
      </c>
      <c r="H283" s="372" t="e">
        <f ca="1">MAX(1-Table29123436[[#This Row],[Total Offset]],0)</f>
        <v>#REF!</v>
      </c>
      <c r="I283" s="419" t="e">
        <f ca="1">Table29123436[[#This Row],[Total Offset]]-Table29123436[[#This Row],[Offset through indexation]]</f>
        <v>#REF!</v>
      </c>
      <c r="J283" s="419" t="e" cm="1">
        <f t="array" aca="1" ref="J283" ca="1">INDIRECT("'2"&amp;$F283&amp;"'!"&amp;J$255)</f>
        <v>#REF!</v>
      </c>
      <c r="O283" s="89"/>
      <c r="P283" s="96"/>
      <c r="Q283" s="88"/>
      <c r="R283" s="96"/>
    </row>
    <row r="284" spans="1:18" s="1" customFormat="1" x14ac:dyDescent="0.3">
      <c r="A284" s="1" t="s">
        <v>238</v>
      </c>
      <c r="B284" s="402" cm="1">
        <f t="array" aca="1" ref="B284" ca="1">INDIRECT("'2"&amp;$A284&amp;"'!"&amp;B$255)/INDIRECT("'2"&amp;$A284&amp;"'!"&amp;$B$254)*100</f>
        <v>0.60816890108371724</v>
      </c>
      <c r="C284" s="402" cm="1">
        <f t="array" aca="1" ref="C284" ca="1">INDIRECT("'2"&amp;$A284&amp;"'!"&amp;C$255)/INDIRECT("'2"&amp;$A284&amp;"'!"&amp;$B$254)*100</f>
        <v>-0.13603839276366841</v>
      </c>
      <c r="F284" s="86" t="s">
        <v>310</v>
      </c>
      <c r="G284" s="371" t="e" cm="1">
        <f t="array" aca="1" ref="G284" ca="1">INDIRECT("'2"&amp;$F284&amp;"'!"&amp;G$255)</f>
        <v>#REF!</v>
      </c>
      <c r="H284" s="372" t="e">
        <f ca="1">MAX(1-Table29123436[[#This Row],[Total Offset]],0)</f>
        <v>#REF!</v>
      </c>
      <c r="I284" s="419" t="e">
        <f ca="1">Table29123436[[#This Row],[Total Offset]]-Table29123436[[#This Row],[Offset through indexation]]</f>
        <v>#REF!</v>
      </c>
      <c r="J284" s="419" t="e" cm="1">
        <f t="array" aca="1" ref="J284" ca="1">INDIRECT("'2"&amp;$F284&amp;"'!"&amp;J$255)</f>
        <v>#REF!</v>
      </c>
      <c r="O284" s="89"/>
      <c r="P284" s="96"/>
      <c r="Q284" s="88"/>
      <c r="R284" s="96"/>
    </row>
    <row r="285" spans="1:18" s="1" customFormat="1" x14ac:dyDescent="0.3">
      <c r="A285" s="1" t="s">
        <v>208</v>
      </c>
      <c r="B285" s="402" cm="1">
        <f t="array" aca="1" ref="B285" ca="1">INDIRECT("'2"&amp;$A285&amp;"'!"&amp;B$255)/INDIRECT("'2"&amp;$A285&amp;"'!"&amp;$B$254)*100</f>
        <v>0.54231244072624896</v>
      </c>
      <c r="C285" s="402" cm="1">
        <f t="array" aca="1" ref="C285" ca="1">INDIRECT("'2"&amp;$A285&amp;"'!"&amp;C$255)/INDIRECT("'2"&amp;$A285&amp;"'!"&amp;$B$254)*100</f>
        <v>0.43566123646347332</v>
      </c>
      <c r="F285" s="86" t="s">
        <v>311</v>
      </c>
      <c r="G285" s="371" t="e" cm="1">
        <f t="array" aca="1" ref="G285" ca="1">INDIRECT("'2"&amp;$F285&amp;"'!"&amp;G$255)</f>
        <v>#REF!</v>
      </c>
      <c r="H285" s="372" t="e">
        <f ca="1">MAX(1-Table29123436[[#This Row],[Total Offset]],0)</f>
        <v>#REF!</v>
      </c>
      <c r="I285" s="419" t="e">
        <f ca="1">Table29123436[[#This Row],[Total Offset]]-Table29123436[[#This Row],[Offset through indexation]]</f>
        <v>#REF!</v>
      </c>
      <c r="J285" s="419" t="e" cm="1">
        <f t="array" aca="1" ref="J285" ca="1">INDIRECT("'2"&amp;$F285&amp;"'!"&amp;J$255)</f>
        <v>#REF!</v>
      </c>
      <c r="O285" s="88"/>
      <c r="P285" s="94"/>
      <c r="Q285" s="88"/>
      <c r="R285" s="94"/>
    </row>
    <row r="286" spans="1:18" s="1" customFormat="1" x14ac:dyDescent="0.3">
      <c r="O286" s="88"/>
      <c r="P286" s="94"/>
      <c r="Q286" s="88"/>
      <c r="R286" s="94"/>
    </row>
    <row r="287" spans="1:18" s="1" customFormat="1" x14ac:dyDescent="0.3">
      <c r="O287" s="88"/>
      <c r="P287" s="94"/>
      <c r="Q287" s="88"/>
      <c r="R287" s="94"/>
    </row>
    <row r="288" spans="1:18" s="1" customFormat="1" x14ac:dyDescent="0.3">
      <c r="O288" s="91"/>
      <c r="P288" s="95"/>
      <c r="Q288" s="91"/>
      <c r="R288" s="95"/>
    </row>
    <row r="289" spans="1:18" s="85" customFormat="1" ht="40.200000000000003" customHeight="1" x14ac:dyDescent="0.3">
      <c r="A289" s="183" t="s">
        <v>615</v>
      </c>
      <c r="B289" s="544"/>
      <c r="C289" s="544"/>
      <c r="D289" s="544"/>
      <c r="E289" s="544"/>
      <c r="F289" s="544"/>
      <c r="G289" s="544"/>
      <c r="O289" s="87"/>
      <c r="P289" s="93"/>
      <c r="R289" s="93"/>
    </row>
    <row r="290" spans="1:18" s="1" customFormat="1" ht="18" customHeight="1" x14ac:dyDescent="0.3">
      <c r="B290" s="1" t="s">
        <v>398</v>
      </c>
      <c r="O290" s="88"/>
      <c r="P290" s="94"/>
      <c r="R290" s="94"/>
    </row>
    <row r="291" spans="1:18" s="1" customFormat="1" x14ac:dyDescent="0.3">
      <c r="A291" s="1" t="s">
        <v>289</v>
      </c>
      <c r="B291" s="1" t="s">
        <v>399</v>
      </c>
      <c r="C291" s="1" t="s">
        <v>400</v>
      </c>
      <c r="D291" s="86"/>
      <c r="E291" s="86"/>
      <c r="F291" s="1" t="s">
        <v>289</v>
      </c>
      <c r="G291" s="1" t="s">
        <v>401</v>
      </c>
      <c r="I291" s="1" t="s">
        <v>401</v>
      </c>
      <c r="J291" s="1" t="s">
        <v>402</v>
      </c>
      <c r="O291" s="88"/>
      <c r="P291" s="94"/>
      <c r="R291" s="94"/>
    </row>
    <row r="292" spans="1:18" s="1" customFormat="1" ht="43.2" x14ac:dyDescent="0.3">
      <c r="A292" s="109" t="s">
        <v>316</v>
      </c>
      <c r="B292" s="107" t="s">
        <v>164</v>
      </c>
      <c r="C292" s="107" t="s">
        <v>163</v>
      </c>
      <c r="D292" s="86"/>
      <c r="E292" s="86"/>
      <c r="F292" s="109" t="s">
        <v>316</v>
      </c>
      <c r="G292" s="107" t="s">
        <v>534</v>
      </c>
      <c r="H292" s="451" t="s">
        <v>404</v>
      </c>
      <c r="I292" s="119" t="s">
        <v>536</v>
      </c>
      <c r="J292" s="119" t="s">
        <v>535</v>
      </c>
      <c r="K292" s="452" t="s">
        <v>405</v>
      </c>
      <c r="L292" s="1" t="s">
        <v>539</v>
      </c>
      <c r="O292" s="88"/>
      <c r="P292" s="94"/>
      <c r="R292" s="94"/>
    </row>
    <row r="293" spans="1:18" s="1" customFormat="1" x14ac:dyDescent="0.3">
      <c r="A293" s="86" t="s">
        <v>304</v>
      </c>
      <c r="B293" s="401" t="e" cm="1">
        <f t="array" aca="1" ref="B293" ca="1">INDIRECT("'2"&amp;$A293&amp;"'!"&amp;B$291)/INDIRECT("'2"&amp;$A293&amp;"'!"&amp;$B$290)*100</f>
        <v>#REF!</v>
      </c>
      <c r="C293" s="401" t="e" cm="1">
        <f t="array" aca="1" ref="C293" ca="1">INDIRECT("'2"&amp;$A293&amp;"'!"&amp;C$291)/INDIRECT("'2"&amp;$A293&amp;"'!"&amp;$B$290)*100</f>
        <v>#REF!</v>
      </c>
      <c r="D293" s="86"/>
      <c r="E293" s="86"/>
      <c r="F293" s="86" t="s">
        <v>304</v>
      </c>
      <c r="G293" s="303" t="e">
        <f ca="1">ABS(Table291221[[#This Row],[nom_Offset through indexation]])+ABS(Table291221[[#This Row],[nom_Offset through other reforms2]])</f>
        <v>#REF!</v>
      </c>
      <c r="H293" s="372" t="e">
        <f ca="1">Table291221[[#This Row],[nom_Offset through other reforms2]]/Table291221[[#This Row],[Offset Fiscal Drag ABS]]</f>
        <v>#REF!</v>
      </c>
      <c r="I293" s="419" t="e" cm="1">
        <f t="array" aca="1" ref="I293" ca="1">INDIRECT("'2"&amp;$F293&amp;"'!"&amp;I$291)-Table291221[[#This Row],[nom_Offset through indexation]]</f>
        <v>#REF!</v>
      </c>
      <c r="J293" s="419" t="e" cm="1">
        <f t="array" aca="1" ref="J293" ca="1">INDIRECT("'2"&amp;$F293&amp;"'!"&amp;J$39)</f>
        <v>#REF!</v>
      </c>
      <c r="K293" s="453" t="e">
        <f ca="1">ABS(Table291221[[#This Row],[nom_Offset through indexation]])/Table291221[[#This Row],[Offset Fiscal Drag ABS]]</f>
        <v>#REF!</v>
      </c>
      <c r="L293" s="454"/>
      <c r="O293" s="99"/>
      <c r="P293" s="100"/>
      <c r="Q293" s="99"/>
      <c r="R293" s="100"/>
    </row>
    <row r="294" spans="1:18" s="1" customFormat="1" x14ac:dyDescent="0.3">
      <c r="A294" s="86" t="s">
        <v>305</v>
      </c>
      <c r="B294" s="401" t="e" cm="1">
        <f t="array" aca="1" ref="B294" ca="1">INDIRECT("'2"&amp;$A294&amp;"'!"&amp;B$291)/INDIRECT("'2"&amp;$A294&amp;"'!"&amp;$B$290)*100</f>
        <v>#REF!</v>
      </c>
      <c r="C294" s="401" t="e" cm="1">
        <f t="array" aca="1" ref="C294" ca="1">INDIRECT("'2"&amp;$A294&amp;"'!"&amp;C$291)/INDIRECT("'2"&amp;$A294&amp;"'!"&amp;$B$290)*100</f>
        <v>#REF!</v>
      </c>
      <c r="D294" s="86"/>
      <c r="E294" s="86"/>
      <c r="F294" s="86" t="s">
        <v>305</v>
      </c>
      <c r="G294" s="303" t="e">
        <f ca="1">ABS(Table291221[[#This Row],[nom_Offset through indexation]])+ABS(Table291221[[#This Row],[nom_Offset through other reforms2]])</f>
        <v>#REF!</v>
      </c>
      <c r="H294" s="372" t="e">
        <f ca="1">Table291221[[#This Row],[nom_Offset through other reforms2]]/Table291221[[#This Row],[Offset Fiscal Drag ABS]]</f>
        <v>#REF!</v>
      </c>
      <c r="I294" s="419" t="e" cm="1">
        <f t="array" aca="1" ref="I294" ca="1">INDIRECT("'2"&amp;$F294&amp;"'!"&amp;I$291)-Table291221[[#This Row],[nom_Offset through indexation]]</f>
        <v>#REF!</v>
      </c>
      <c r="J294" s="419" t="e" cm="1">
        <f t="array" aca="1" ref="J294" ca="1">INDIRECT("'2"&amp;$F294&amp;"'!"&amp;J$39)</f>
        <v>#REF!</v>
      </c>
      <c r="K294" s="453" t="e">
        <f ca="1">ABS(Table291221[[#This Row],[nom_Offset through indexation]])/Table291221[[#This Row],[Offset Fiscal Drag ABS]]</f>
        <v>#REF!</v>
      </c>
      <c r="L294" s="454"/>
      <c r="O294" s="88"/>
      <c r="P294" s="94"/>
      <c r="Q294" s="88"/>
      <c r="R294" s="94"/>
    </row>
    <row r="295" spans="1:18" s="1" customFormat="1" x14ac:dyDescent="0.3">
      <c r="A295" s="86" t="s">
        <v>306</v>
      </c>
      <c r="B295" s="401" t="e" cm="1">
        <f t="array" aca="1" ref="B295" ca="1">INDIRECT("'2"&amp;$A295&amp;"'!"&amp;B$291)/INDIRECT("'2"&amp;$A295&amp;"'!"&amp;$B$290)*100</f>
        <v>#REF!</v>
      </c>
      <c r="C295" s="401" t="e" cm="1">
        <f t="array" aca="1" ref="C295" ca="1">INDIRECT("'2"&amp;$A295&amp;"'!"&amp;C$291)/INDIRECT("'2"&amp;$A295&amp;"'!"&amp;$B$290)*100</f>
        <v>#REF!</v>
      </c>
      <c r="D295" s="86"/>
      <c r="E295" s="86"/>
      <c r="F295" s="86" t="s">
        <v>306</v>
      </c>
      <c r="G295" s="303" t="e">
        <f ca="1">ABS(Table291221[[#This Row],[nom_Offset through indexation]])+ABS(Table291221[[#This Row],[nom_Offset through other reforms2]])</f>
        <v>#REF!</v>
      </c>
      <c r="H295" s="372" t="e">
        <f ca="1">Table291221[[#This Row],[nom_Offset through other reforms2]]/Table291221[[#This Row],[Offset Fiscal Drag ABS]]</f>
        <v>#REF!</v>
      </c>
      <c r="I295" s="419" t="e" cm="1">
        <f t="array" aca="1" ref="I295" ca="1">INDIRECT("'2"&amp;$F295&amp;"'!"&amp;I$291)-Table291221[[#This Row],[nom_Offset through indexation]]</f>
        <v>#REF!</v>
      </c>
      <c r="J295" s="419" t="e" cm="1">
        <f t="array" aca="1" ref="J295" ca="1">INDIRECT("'2"&amp;$F295&amp;"'!"&amp;J$39)</f>
        <v>#REF!</v>
      </c>
      <c r="K295" s="453" t="e">
        <f ca="1">ABS(Table291221[[#This Row],[nom_Offset through indexation]])/Table291221[[#This Row],[Offset Fiscal Drag ABS]]</f>
        <v>#REF!</v>
      </c>
      <c r="L295" s="454"/>
      <c r="O295" s="89"/>
      <c r="P295" s="96"/>
      <c r="Q295" s="88"/>
      <c r="R295" s="96"/>
    </row>
    <row r="296" spans="1:18" s="1" customFormat="1" x14ac:dyDescent="0.3">
      <c r="A296" s="86" t="s">
        <v>307</v>
      </c>
      <c r="B296" s="401" t="e" cm="1">
        <f t="array" aca="1" ref="B296" ca="1">INDIRECT("'2"&amp;$A296&amp;"'!"&amp;B$291)/INDIRECT("'2"&amp;$A296&amp;"'!"&amp;$B$290)*100</f>
        <v>#REF!</v>
      </c>
      <c r="C296" s="401" t="e" cm="1">
        <f t="array" aca="1" ref="C296" ca="1">INDIRECT("'2"&amp;$A296&amp;"'!"&amp;C$291)/INDIRECT("'2"&amp;$A296&amp;"'!"&amp;$B$290)*100</f>
        <v>#REF!</v>
      </c>
      <c r="D296" s="86"/>
      <c r="E296" s="86"/>
      <c r="F296" s="86" t="s">
        <v>307</v>
      </c>
      <c r="G296" s="303" t="e">
        <f ca="1">ABS(Table291221[[#This Row],[nom_Offset through indexation]])+ABS(Table291221[[#This Row],[nom_Offset through other reforms2]])</f>
        <v>#REF!</v>
      </c>
      <c r="H296" s="372" t="e">
        <f ca="1">Table291221[[#This Row],[nom_Offset through other reforms2]]/Table291221[[#This Row],[Offset Fiscal Drag ABS]]</f>
        <v>#REF!</v>
      </c>
      <c r="I296" s="419" t="e" cm="1">
        <f t="array" aca="1" ref="I296" ca="1">INDIRECT("'2"&amp;$F296&amp;"'!"&amp;I$291)-Table291221[[#This Row],[nom_Offset through indexation]]</f>
        <v>#REF!</v>
      </c>
      <c r="J296" s="419" t="e" cm="1">
        <f t="array" aca="1" ref="J296" ca="1">INDIRECT("'2"&amp;$F296&amp;"'!"&amp;J$39)</f>
        <v>#REF!</v>
      </c>
      <c r="K296" s="453" t="e">
        <f ca="1">ABS(Table291221[[#This Row],[nom_Offset through indexation]])/Table291221[[#This Row],[Offset Fiscal Drag ABS]]</f>
        <v>#REF!</v>
      </c>
      <c r="L296" s="454"/>
      <c r="O296" s="88"/>
      <c r="P296" s="94"/>
      <c r="Q296" s="88"/>
      <c r="R296" s="94"/>
    </row>
    <row r="297" spans="1:18" s="1" customFormat="1" x14ac:dyDescent="0.3">
      <c r="A297" s="86" t="s">
        <v>308</v>
      </c>
      <c r="B297" s="401" t="e" cm="1">
        <f t="array" aca="1" ref="B297" ca="1">INDIRECT("'2"&amp;$A297&amp;"'!"&amp;B$291)/INDIRECT("'2"&amp;$A297&amp;"'!"&amp;$B$290)*100</f>
        <v>#REF!</v>
      </c>
      <c r="C297" s="401" t="e" cm="1">
        <f t="array" aca="1" ref="C297" ca="1">INDIRECT("'2"&amp;$A297&amp;"'!"&amp;C$291)/INDIRECT("'2"&amp;$A297&amp;"'!"&amp;$B$290)*100</f>
        <v>#REF!</v>
      </c>
      <c r="D297" s="86"/>
      <c r="E297" s="86"/>
      <c r="F297" s="86" t="s">
        <v>308</v>
      </c>
      <c r="G297" s="303" t="e">
        <f ca="1">ABS(Table291221[[#This Row],[nom_Offset through indexation]])+ABS(Table291221[[#This Row],[nom_Offset through other reforms2]])</f>
        <v>#REF!</v>
      </c>
      <c r="H297" s="372" t="e">
        <f ca="1">Table291221[[#This Row],[nom_Offset through other reforms2]]/Table291221[[#This Row],[Offset Fiscal Drag ABS]]</f>
        <v>#REF!</v>
      </c>
      <c r="I297" s="419" t="e" cm="1">
        <f t="array" aca="1" ref="I297" ca="1">INDIRECT("'2"&amp;$F297&amp;"'!"&amp;I$291)-Table291221[[#This Row],[nom_Offset through indexation]]</f>
        <v>#REF!</v>
      </c>
      <c r="J297" s="419" t="e" cm="1">
        <f t="array" aca="1" ref="J297" ca="1">INDIRECT("'2"&amp;$F297&amp;"'!"&amp;J$39)</f>
        <v>#REF!</v>
      </c>
      <c r="K297" s="453" t="e">
        <f ca="1">ABS(Table291221[[#This Row],[nom_Offset through indexation]])/Table291221[[#This Row],[Offset Fiscal Drag ABS]]</f>
        <v>#REF!</v>
      </c>
      <c r="L297" s="454"/>
      <c r="O297" s="89"/>
      <c r="P297" s="96"/>
      <c r="Q297" s="88"/>
      <c r="R297" s="96"/>
    </row>
    <row r="298" spans="1:18" s="1" customFormat="1" x14ac:dyDescent="0.3">
      <c r="A298" s="86" t="s">
        <v>309</v>
      </c>
      <c r="B298" s="401" t="e" cm="1">
        <f t="array" aca="1" ref="B298" ca="1">INDIRECT("'2"&amp;$A298&amp;"'!"&amp;B$291)/INDIRECT("'2"&amp;$A298&amp;"'!"&amp;$B$290)*100</f>
        <v>#REF!</v>
      </c>
      <c r="C298" s="401" t="e" cm="1">
        <f t="array" aca="1" ref="C298" ca="1">INDIRECT("'2"&amp;$A298&amp;"'!"&amp;C$291)/INDIRECT("'2"&amp;$A298&amp;"'!"&amp;$B$290)*100</f>
        <v>#REF!</v>
      </c>
      <c r="D298" s="86"/>
      <c r="E298" s="86"/>
      <c r="F298" s="86" t="s">
        <v>309</v>
      </c>
      <c r="G298" s="303" t="e">
        <f ca="1">ABS(Table291221[[#This Row],[nom_Offset through indexation]])+ABS(Table291221[[#This Row],[nom_Offset through other reforms2]])</f>
        <v>#REF!</v>
      </c>
      <c r="H298" s="372" t="e">
        <f ca="1">Table291221[[#This Row],[nom_Offset through other reforms2]]/Table291221[[#This Row],[Offset Fiscal Drag ABS]]</f>
        <v>#REF!</v>
      </c>
      <c r="I298" s="419" t="e" cm="1">
        <f t="array" aca="1" ref="I298" ca="1">INDIRECT("'2"&amp;$F298&amp;"'!"&amp;I$291)-Table291221[[#This Row],[nom_Offset through indexation]]</f>
        <v>#REF!</v>
      </c>
      <c r="J298" s="419" t="e" cm="1">
        <f t="array" aca="1" ref="J298" ca="1">INDIRECT("'2"&amp;$F298&amp;"'!"&amp;J$39)</f>
        <v>#REF!</v>
      </c>
      <c r="K298" s="453" t="e">
        <f ca="1">ABS(Table291221[[#This Row],[nom_Offset through indexation]])/Table291221[[#This Row],[Offset Fiscal Drag ABS]]</f>
        <v>#REF!</v>
      </c>
      <c r="L298" s="454"/>
      <c r="O298" s="88"/>
      <c r="P298" s="94"/>
      <c r="Q298" s="88"/>
      <c r="R298" s="94"/>
    </row>
    <row r="299" spans="1:18" s="1" customFormat="1" x14ac:dyDescent="0.3">
      <c r="A299" s="86" t="s">
        <v>310</v>
      </c>
      <c r="B299" s="401" t="e" cm="1">
        <f t="array" aca="1" ref="B299" ca="1">INDIRECT("'2"&amp;$A299&amp;"'!"&amp;B$291)/INDIRECT("'2"&amp;$A299&amp;"'!"&amp;$B$290)*100</f>
        <v>#REF!</v>
      </c>
      <c r="C299" s="401" t="e" cm="1">
        <f t="array" aca="1" ref="C299" ca="1">INDIRECT("'2"&amp;$A299&amp;"'!"&amp;C$291)/INDIRECT("'2"&amp;$A299&amp;"'!"&amp;$B$290)*100</f>
        <v>#REF!</v>
      </c>
      <c r="D299" s="86"/>
      <c r="E299" s="86"/>
      <c r="F299" s="86" t="s">
        <v>310</v>
      </c>
      <c r="G299" s="303" t="e">
        <f ca="1">ABS(Table291221[[#This Row],[nom_Offset through indexation]])+ABS(Table291221[[#This Row],[nom_Offset through other reforms2]])</f>
        <v>#REF!</v>
      </c>
      <c r="H299" s="372" t="e">
        <f ca="1">Table291221[[#This Row],[nom_Offset through other reforms2]]/Table291221[[#This Row],[Offset Fiscal Drag ABS]]</f>
        <v>#REF!</v>
      </c>
      <c r="I299" s="419" t="e" cm="1">
        <f t="array" aca="1" ref="I299" ca="1">INDIRECT("'2"&amp;$F299&amp;"'!"&amp;I$291)-Table291221[[#This Row],[nom_Offset through indexation]]</f>
        <v>#REF!</v>
      </c>
      <c r="J299" s="419" t="e" cm="1">
        <f t="array" aca="1" ref="J299" ca="1">INDIRECT("'2"&amp;$F299&amp;"'!"&amp;J$39)</f>
        <v>#REF!</v>
      </c>
      <c r="K299" s="453" t="e">
        <f ca="1">ABS(Table291221[[#This Row],[nom_Offset through indexation]])/Table291221[[#This Row],[Offset Fiscal Drag ABS]]</f>
        <v>#REF!</v>
      </c>
      <c r="L299" s="454"/>
      <c r="O299" s="89"/>
      <c r="P299" s="96"/>
      <c r="Q299" s="88"/>
      <c r="R299" s="96"/>
    </row>
    <row r="300" spans="1:18" s="1" customFormat="1" x14ac:dyDescent="0.3">
      <c r="A300" s="86" t="s">
        <v>311</v>
      </c>
      <c r="B300" s="401" t="e" cm="1">
        <f t="array" aca="1" ref="B300" ca="1">INDIRECT("'2"&amp;$A300&amp;"'!"&amp;B$291)/INDIRECT("'2"&amp;$A300&amp;"'!"&amp;$B$290)*100</f>
        <v>#REF!</v>
      </c>
      <c r="C300" s="401" t="e" cm="1">
        <f t="array" aca="1" ref="C300" ca="1">INDIRECT("'2"&amp;$A300&amp;"'!"&amp;C$291)/INDIRECT("'2"&amp;$A300&amp;"'!"&amp;$B$290)*100</f>
        <v>#REF!</v>
      </c>
      <c r="D300" s="86"/>
      <c r="E300" s="86"/>
      <c r="F300" s="86" t="s">
        <v>311</v>
      </c>
      <c r="G300" s="303" t="e">
        <f ca="1">ABS(Table291221[[#This Row],[nom_Offset through indexation]])+ABS(Table291221[[#This Row],[nom_Offset through other reforms2]])</f>
        <v>#REF!</v>
      </c>
      <c r="H300" s="372" t="e">
        <f ca="1">Table291221[[#This Row],[nom_Offset through other reforms2]]/Table291221[[#This Row],[Offset Fiscal Drag ABS]]</f>
        <v>#REF!</v>
      </c>
      <c r="I300" s="419" t="e" cm="1">
        <f t="array" aca="1" ref="I300" ca="1">INDIRECT("'2"&amp;$F300&amp;"'!"&amp;I$291)-Table291221[[#This Row],[nom_Offset through indexation]]</f>
        <v>#REF!</v>
      </c>
      <c r="J300" s="419" t="e" cm="1">
        <f t="array" aca="1" ref="J300" ca="1">INDIRECT("'2"&amp;$F300&amp;"'!"&amp;J$39)</f>
        <v>#REF!</v>
      </c>
      <c r="K300" s="453" t="e">
        <f ca="1">ABS(Table291221[[#This Row],[nom_Offset through indexation]])/Table291221[[#This Row],[Offset Fiscal Drag ABS]]</f>
        <v>#REF!</v>
      </c>
      <c r="L300" s="454"/>
      <c r="O300" s="88"/>
      <c r="P300" s="94"/>
      <c r="Q300" s="88"/>
      <c r="R300" s="94"/>
    </row>
    <row r="301" spans="1:18" s="1" customFormat="1" x14ac:dyDescent="0.3">
      <c r="A301" s="1" t="s">
        <v>204</v>
      </c>
      <c r="B301" s="402" cm="1">
        <f t="array" aca="1" ref="B301" ca="1">INDIRECT("'2"&amp;$A301&amp;"'!"&amp;B$291)/INDIRECT("'2"&amp;$A301&amp;"'!"&amp;$B$290)*100</f>
        <v>1.6719950319268924</v>
      </c>
      <c r="C301" s="402" cm="1">
        <f t="array" aca="1" ref="C301" ca="1">INDIRECT("'2"&amp;$A301&amp;"'!"&amp;C$291)/INDIRECT("'2"&amp;$A301&amp;"'!"&amp;$B$290)*100</f>
        <v>0.38315413693505157</v>
      </c>
      <c r="F301" s="1" t="s">
        <v>218</v>
      </c>
      <c r="G301" s="303">
        <f ca="1">ABS(Table291221[[#This Row],[nom_Offset through indexation]])+ABS(Table291221[[#This Row],[nom_Offset through other reforms2]])</f>
        <v>0.30065867959445886</v>
      </c>
      <c r="H301" s="372">
        <f ca="1">Table291221[[#This Row],[nom_Offset through other reforms2]]/Table291221[[#This Row],[Offset Fiscal Drag ABS]]</f>
        <v>5.4994188476438347E-2</v>
      </c>
      <c r="I301" s="419" cm="1">
        <f t="array" aca="1" ref="I301" ca="1">INDIRECT("'2"&amp;$F301&amp;"'!"&amp;I$291)-Table291221[[#This Row],[nom_Offset through indexation]]</f>
        <v>1.6534480092694759E-2</v>
      </c>
      <c r="J301" s="303" cm="1">
        <f t="array" aca="1" ref="J301" ca="1">INDIRECT("'2"&amp;$F301&amp;"'!"&amp;J$39)</f>
        <v>0.2841241995017641</v>
      </c>
      <c r="K301" s="453">
        <f ca="1">ABS(Table291221[[#This Row],[nom_Offset through indexation]])/Table291221[[#This Row],[Offset Fiscal Drag ABS]]</f>
        <v>0.94500581152356167</v>
      </c>
      <c r="L301" s="454">
        <v>0</v>
      </c>
      <c r="O301" s="88"/>
      <c r="P301" s="94"/>
      <c r="Q301" s="88"/>
      <c r="R301" s="94"/>
    </row>
    <row r="302" spans="1:18" s="1" customFormat="1" x14ac:dyDescent="0.3">
      <c r="A302" s="1" t="s">
        <v>247</v>
      </c>
      <c r="B302" s="402" cm="1">
        <f t="array" aca="1" ref="B302" ca="1">INDIRECT("'2"&amp;$A302&amp;"'!"&amp;B$291)/INDIRECT("'2"&amp;$A302&amp;"'!"&amp;$B$290)*100</f>
        <v>1.5779454930269283</v>
      </c>
      <c r="C302" s="402" cm="1">
        <f t="array" aca="1" ref="C302" ca="1">INDIRECT("'2"&amp;$A302&amp;"'!"&amp;C$291)/INDIRECT("'2"&amp;$A302&amp;"'!"&amp;$B$290)*100</f>
        <v>0.43964359317992818</v>
      </c>
      <c r="F302" s="1" t="s">
        <v>247</v>
      </c>
      <c r="G302" s="303">
        <f ca="1">ABS(Table291221[[#This Row],[nom_Offset through indexation]])+ABS(Table291221[[#This Row],[nom_Offset through other reforms2]])</f>
        <v>0.73176575875430849</v>
      </c>
      <c r="H302" s="372">
        <f ca="1">Table291221[[#This Row],[nom_Offset through other reforms2]]/Table291221[[#This Row],[Offset Fiscal Drag ABS]]</f>
        <v>6.2651516905786866E-2</v>
      </c>
      <c r="I302" s="419" cm="1">
        <f t="array" aca="1" ref="I302" ca="1">INDIRECT("'2"&amp;$F302&amp;"'!"&amp;I$291)-Table291221[[#This Row],[nom_Offset through indexation]]</f>
        <v>4.5846234805671515E-2</v>
      </c>
      <c r="J302" s="419" cm="1">
        <f t="array" aca="1" ref="J302" ca="1">INDIRECT("'2"&amp;$F302&amp;"'!"&amp;J$39)</f>
        <v>0.68591952394863698</v>
      </c>
      <c r="K302" s="453">
        <f ca="1">ABS(Table291221[[#This Row],[nom_Offset through indexation]])/Table291221[[#This Row],[Offset Fiscal Drag ABS]]</f>
        <v>0.93734848309421315</v>
      </c>
      <c r="L302" s="454">
        <v>0</v>
      </c>
      <c r="O302" s="88"/>
      <c r="P302" s="94"/>
      <c r="Q302" s="88"/>
      <c r="R302" s="94"/>
    </row>
    <row r="303" spans="1:18" s="1" customFormat="1" x14ac:dyDescent="0.3">
      <c r="A303" s="1" t="s">
        <v>3</v>
      </c>
      <c r="B303" s="402" cm="1">
        <f t="array" aca="1" ref="B303" ca="1">INDIRECT("'2"&amp;$A303&amp;"'!"&amp;B$291)/INDIRECT("'2"&amp;$A303&amp;"'!"&amp;$B$290)*100</f>
        <v>1.2467353794730298</v>
      </c>
      <c r="C303" s="402" cm="1">
        <f t="array" aca="1" ref="C303" ca="1">INDIRECT("'2"&amp;$A303&amp;"'!"&amp;C$291)/INDIRECT("'2"&amp;$A303&amp;"'!"&amp;$B$290)*100</f>
        <v>-0.41118288385852159</v>
      </c>
      <c r="F303" s="1" t="s">
        <v>204</v>
      </c>
      <c r="G303" s="303">
        <f ca="1">ABS(Table291221[[#This Row],[nom_Offset through indexation]])+ABS(Table291221[[#This Row],[nom_Offset through other reforms2]])</f>
        <v>0.91364826869370142</v>
      </c>
      <c r="H303" s="372">
        <f ca="1">Table291221[[#This Row],[nom_Offset through other reforms2]]/Table291221[[#This Row],[Offset Fiscal Drag ABS]]</f>
        <v>-7.1703804600276116E-2</v>
      </c>
      <c r="I303" s="419" cm="1">
        <f t="array" aca="1" ref="I303" ca="1">INDIRECT("'2"&amp;$F303&amp;"'!"&amp;I$291)-Table291221[[#This Row],[nom_Offset through indexation]]</f>
        <v>-6.5512056931793738E-2</v>
      </c>
      <c r="J303" s="419" cm="1">
        <f t="array" aca="1" ref="J303" ca="1">INDIRECT("'2"&amp;$F303&amp;"'!"&amp;J$39)</f>
        <v>0.84813621176190768</v>
      </c>
      <c r="K303" s="453">
        <f ca="1">ABS(Table291221[[#This Row],[nom_Offset through indexation]])/Table291221[[#This Row],[Offset Fiscal Drag ABS]]</f>
        <v>0.92829619539972386</v>
      </c>
      <c r="L303" s="454">
        <v>0</v>
      </c>
      <c r="O303" s="89"/>
      <c r="P303" s="96"/>
      <c r="Q303" s="88"/>
      <c r="R303" s="96"/>
    </row>
    <row r="304" spans="1:18" s="1" customFormat="1" x14ac:dyDescent="0.3">
      <c r="A304" s="1" t="s">
        <v>240</v>
      </c>
      <c r="B304" s="402" cm="1">
        <f t="array" aca="1" ref="B304" ca="1">INDIRECT("'2"&amp;$A304&amp;"'!"&amp;B$291)/INDIRECT("'2"&amp;$A304&amp;"'!"&amp;$B$290)*100</f>
        <v>1.1014190951080285</v>
      </c>
      <c r="C304" s="402" cm="1">
        <f t="array" aca="1" ref="C304" ca="1">INDIRECT("'2"&amp;$A304&amp;"'!"&amp;C$291)/INDIRECT("'2"&amp;$A304&amp;"'!"&amp;$B$290)*100</f>
        <v>-0.2135613236686438</v>
      </c>
      <c r="F304" s="1" t="s">
        <v>238</v>
      </c>
      <c r="G304" s="303">
        <f ca="1">ABS(Table291221[[#This Row],[nom_Offset through indexation]])+ABS(Table291221[[#This Row],[nom_Offset through other reforms2]])</f>
        <v>1.5595674159453903</v>
      </c>
      <c r="H304" s="372">
        <f ca="1">Table291221[[#This Row],[nom_Offset through other reforms2]]/Table291221[[#This Row],[Offset Fiscal Drag ABS]]</f>
        <v>-0.1030801066902685</v>
      </c>
      <c r="I304" s="419" cm="1">
        <f t="array" aca="1" ref="I304" ca="1">INDIRECT("'2"&amp;$F304&amp;"'!"&amp;I$291)-Table291221[[#This Row],[nom_Offset through indexation]]</f>
        <v>-0.16076037562631718</v>
      </c>
      <c r="J304" s="419" cm="1">
        <f t="array" aca="1" ref="J304" ca="1">INDIRECT("'2"&amp;$F304&amp;"'!"&amp;J$39)</f>
        <v>1.3988070403190731</v>
      </c>
      <c r="K304" s="453">
        <f ca="1">ABS(Table291221[[#This Row],[nom_Offset through indexation]])/Table291221[[#This Row],[Offset Fiscal Drag ABS]]</f>
        <v>0.89691989330973154</v>
      </c>
      <c r="L304" s="454">
        <v>0</v>
      </c>
      <c r="O304" s="89"/>
      <c r="P304" s="96"/>
      <c r="Q304" s="88"/>
      <c r="R304" s="96"/>
    </row>
    <row r="305" spans="1:18" s="1" customFormat="1" x14ac:dyDescent="0.3">
      <c r="A305" s="1" t="s">
        <v>222</v>
      </c>
      <c r="B305" s="402" cm="1">
        <f t="array" aca="1" ref="B305" ca="1">INDIRECT("'2"&amp;$A305&amp;"'!"&amp;B$291)/INDIRECT("'2"&amp;$A305&amp;"'!"&amp;$B$290)*100</f>
        <v>1.0878053146662028</v>
      </c>
      <c r="C305" s="402" cm="1">
        <f t="array" aca="1" ref="C305" ca="1">INDIRECT("'2"&amp;$A305&amp;"'!"&amp;C$291)/INDIRECT("'2"&amp;$A305&amp;"'!"&amp;$B$290)*100</f>
        <v>0.17241296278231702</v>
      </c>
      <c r="F305" s="1" t="s">
        <v>233</v>
      </c>
      <c r="G305" s="303">
        <f ca="1">ABS(Table291221[[#This Row],[nom_Offset through indexation]])+ABS(Table291221[[#This Row],[nom_Offset through other reforms2]])</f>
        <v>0.8960094535430404</v>
      </c>
      <c r="H305" s="372">
        <f ca="1">Table291221[[#This Row],[nom_Offset through other reforms2]]/Table291221[[#This Row],[Offset Fiscal Drag ABS]]</f>
        <v>0.18315807230695258</v>
      </c>
      <c r="I305" s="419" cm="1">
        <f t="array" aca="1" ref="I305" ca="1">INDIRECT("'2"&amp;$F305&amp;"'!"&amp;I$291)-Table291221[[#This Row],[nom_Offset through indexation]]</f>
        <v>0.16411136427974926</v>
      </c>
      <c r="J305" s="419" cm="1">
        <f t="array" aca="1" ref="J305" ca="1">INDIRECT("'2"&amp;$F305&amp;"'!"&amp;J$39)</f>
        <v>0.73189808926329114</v>
      </c>
      <c r="K305" s="453">
        <f ca="1">ABS(Table291221[[#This Row],[nom_Offset through indexation]])/Table291221[[#This Row],[Offset Fiscal Drag ABS]]</f>
        <v>0.81684192769304742</v>
      </c>
      <c r="L305" s="454">
        <v>0</v>
      </c>
      <c r="O305" s="88"/>
      <c r="P305" s="94"/>
      <c r="Q305" s="88"/>
      <c r="R305" s="94"/>
    </row>
    <row r="306" spans="1:18" s="1" customFormat="1" x14ac:dyDescent="0.3">
      <c r="A306" s="1" t="s">
        <v>218</v>
      </c>
      <c r="B306" s="402" cm="1">
        <f t="array" aca="1" ref="B306" ca="1">INDIRECT("'2"&amp;$A306&amp;"'!"&amp;B$291)/INDIRECT("'2"&amp;$A306&amp;"'!"&amp;$B$290)*100</f>
        <v>0.99189208327143519</v>
      </c>
      <c r="C306" s="402" cm="1">
        <f t="array" aca="1" ref="C306" ca="1">INDIRECT("'2"&amp;$A306&amp;"'!"&amp;C$291)/INDIRECT("'2"&amp;$A306&amp;"'!"&amp;$B$290)*100</f>
        <v>0.69624643624099125</v>
      </c>
      <c r="F306" s="1" t="s">
        <v>222</v>
      </c>
      <c r="G306" s="303">
        <f ca="1">ABS(Table291221[[#This Row],[nom_Offset through indexation]])+ABS(Table291221[[#This Row],[nom_Offset through other reforms2]])</f>
        <v>0.85185936833192055</v>
      </c>
      <c r="H306" s="372">
        <f ca="1">Table291221[[#This Row],[nom_Offset through other reforms2]]/Table291221[[#This Row],[Offset Fiscal Drag ABS]]</f>
        <v>0.24147794950013957</v>
      </c>
      <c r="I306" s="419" cm="1">
        <f t="array" aca="1" ref="I306" ca="1">INDIRECT("'2"&amp;$F306&amp;"'!"&amp;I$291)-Table291221[[#This Row],[nom_Offset through indexation]]</f>
        <v>0.20570525352727631</v>
      </c>
      <c r="J306" s="419" cm="1">
        <f t="array" aca="1" ref="J306" ca="1">INDIRECT("'2"&amp;$F306&amp;"'!"&amp;J$39)</f>
        <v>0.64615411480464424</v>
      </c>
      <c r="K306" s="453">
        <f ca="1">ABS(Table291221[[#This Row],[nom_Offset through indexation]])/Table291221[[#This Row],[Offset Fiscal Drag ABS]]</f>
        <v>0.75852205049986043</v>
      </c>
      <c r="L306" s="454">
        <v>0</v>
      </c>
      <c r="O306" s="88"/>
      <c r="P306" s="94"/>
      <c r="Q306" s="88"/>
      <c r="R306" s="94"/>
    </row>
    <row r="307" spans="1:18" s="1" customFormat="1" x14ac:dyDescent="0.3">
      <c r="A307" s="1" t="s">
        <v>214</v>
      </c>
      <c r="B307" s="402" cm="1">
        <f t="array" aca="1" ref="B307" ca="1">INDIRECT("'2"&amp;$A307&amp;"'!"&amp;B$291)/INDIRECT("'2"&amp;$A307&amp;"'!"&amp;$B$290)*100</f>
        <v>0.97123743600236034</v>
      </c>
      <c r="C307" s="402" cm="1">
        <f t="array" aca="1" ref="C307" ca="1">INDIRECT("'2"&amp;$A307&amp;"'!"&amp;C$291)/INDIRECT("'2"&amp;$A307&amp;"'!"&amp;$B$290)*100</f>
        <v>0.3463376486644813</v>
      </c>
      <c r="F307" s="1" t="s">
        <v>210</v>
      </c>
      <c r="G307" s="303">
        <f ca="1">ABS(Table291221[[#This Row],[nom_Offset through indexation]])+ABS(Table291221[[#This Row],[nom_Offset through other reforms2]])</f>
        <v>1.4658366703758794</v>
      </c>
      <c r="H307" s="372">
        <f ca="1">Table291221[[#This Row],[nom_Offset through other reforms2]]/Table291221[[#This Row],[Offset Fiscal Drag ABS]]</f>
        <v>0.43813394662751043</v>
      </c>
      <c r="I307" s="419" cm="1">
        <f t="array" aca="1" ref="I307" ca="1">INDIRECT("'2"&amp;$F307&amp;"'!"&amp;I$291)-Table291221[[#This Row],[nom_Offset through indexation]]</f>
        <v>0.64223280550311312</v>
      </c>
      <c r="J307" s="419" cm="1">
        <f t="array" aca="1" ref="J307" ca="1">INDIRECT("'2"&amp;$F307&amp;"'!"&amp;J$39)</f>
        <v>0.82360386487276627</v>
      </c>
      <c r="K307" s="453">
        <f ca="1">ABS(Table291221[[#This Row],[nom_Offset through indexation]])/Table291221[[#This Row],[Offset Fiscal Drag ABS]]</f>
        <v>0.56186605337248963</v>
      </c>
      <c r="L307" s="454">
        <v>0</v>
      </c>
      <c r="O307" s="88"/>
      <c r="P307" s="94"/>
      <c r="Q307" s="88"/>
      <c r="R307" s="94"/>
    </row>
    <row r="308" spans="1:18" s="1" customFormat="1" x14ac:dyDescent="0.3">
      <c r="A308" s="1" t="s">
        <v>225</v>
      </c>
      <c r="B308" s="402" cm="1">
        <f t="array" aca="1" ref="B308" ca="1">INDIRECT("'2"&amp;$A308&amp;"'!"&amp;B$291)/INDIRECT("'2"&amp;$A308&amp;"'!"&amp;$B$290)*100</f>
        <v>0.87542159055249946</v>
      </c>
      <c r="C308" s="402" cm="1">
        <f t="array" aca="1" ref="C308" ca="1">INDIRECT("'2"&amp;$A308&amp;"'!"&amp;C$291)/INDIRECT("'2"&amp;$A308&amp;"'!"&amp;$B$290)*100</f>
        <v>-0.35350425423654624</v>
      </c>
      <c r="F308" s="1" t="s">
        <v>214</v>
      </c>
      <c r="G308" s="303">
        <f ca="1">ABS(Table291221[[#This Row],[nom_Offset through indexation]])+ABS(Table291221[[#This Row],[nom_Offset through other reforms2]])</f>
        <v>0.65708673248415206</v>
      </c>
      <c r="H308" s="372">
        <f ca="1">Table291221[[#This Row],[nom_Offset through other reforms2]]/Table291221[[#This Row],[Offset Fiscal Drag ABS]]</f>
        <v>0.59129913445219451</v>
      </c>
      <c r="I308" s="419" cm="1">
        <f t="array" aca="1" ref="I308" ca="1">INDIRECT("'2"&amp;$F308&amp;"'!"&amp;I$291)-Table291221[[#This Row],[nom_Offset through indexation]]</f>
        <v>0.38853481617789981</v>
      </c>
      <c r="J308" s="419" cm="1">
        <f t="array" aca="1" ref="J308" ca="1">INDIRECT("'2"&amp;$F308&amp;"'!"&amp;J$39)</f>
        <v>0.26855191630625225</v>
      </c>
      <c r="K308" s="453">
        <f ca="1">ABS(Table291221[[#This Row],[nom_Offset through indexation]])/Table291221[[#This Row],[Offset Fiscal Drag ABS]]</f>
        <v>0.40870086554780544</v>
      </c>
      <c r="L308" s="454">
        <v>0</v>
      </c>
      <c r="O308" s="91"/>
      <c r="P308" s="95"/>
      <c r="Q308" s="91"/>
      <c r="R308" s="95"/>
    </row>
    <row r="309" spans="1:18" s="1" customFormat="1" x14ac:dyDescent="0.3">
      <c r="A309" s="1" t="s">
        <v>234</v>
      </c>
      <c r="B309" s="402" cm="1">
        <f t="array" aca="1" ref="B309" ca="1">INDIRECT("'2"&amp;$A309&amp;"'!"&amp;B$291)/INDIRECT("'2"&amp;$A309&amp;"'!"&amp;$B$290)*100</f>
        <v>0.86951637095627499</v>
      </c>
      <c r="C309" s="402" cm="1">
        <f t="array" aca="1" ref="C309" ca="1">INDIRECT("'2"&amp;$A309&amp;"'!"&amp;C$291)/INDIRECT("'2"&amp;$A309&amp;"'!"&amp;$B$290)*100</f>
        <v>0.54678593272846077</v>
      </c>
      <c r="F309" s="1" t="s">
        <v>254</v>
      </c>
      <c r="G309" s="303">
        <f ca="1">ABS(Table291221[[#This Row],[nom_Offset through indexation]])+ABS(Table291221[[#This Row],[nom_Offset through other reforms2]])</f>
        <v>1.8655979639963856</v>
      </c>
      <c r="H309" s="372">
        <f ca="1">Table291221[[#This Row],[nom_Offset through other reforms2]]/Table291221[[#This Row],[Offset Fiscal Drag ABS]]</f>
        <v>0.71005495941984298</v>
      </c>
      <c r="I309" s="419" cm="1">
        <f t="array" aca="1" ref="I309" ca="1">INDIRECT("'2"&amp;$F309&amp;"'!"&amp;I$291)-Table291221[[#This Row],[nom_Offset through indexation]]</f>
        <v>1.3246770866191953</v>
      </c>
      <c r="J309" s="419" cm="1">
        <f t="array" aca="1" ref="J309" ca="1">INDIRECT("'2"&amp;$F309&amp;"'!"&amp;J$39)</f>
        <v>0.54092087737719019</v>
      </c>
      <c r="K309" s="453">
        <f ca="1">ABS(Table291221[[#This Row],[nom_Offset through indexation]])/Table291221[[#This Row],[Offset Fiscal Drag ABS]]</f>
        <v>0.28994504058015697</v>
      </c>
      <c r="L309" s="454">
        <v>0</v>
      </c>
      <c r="O309" s="88"/>
      <c r="P309" s="94"/>
      <c r="Q309" s="99"/>
      <c r="R309" s="100"/>
    </row>
    <row r="310" spans="1:18" s="1" customFormat="1" x14ac:dyDescent="0.3">
      <c r="A310" s="1" t="s">
        <v>210</v>
      </c>
      <c r="B310" s="402" cm="1">
        <f t="array" aca="1" ref="B310" ca="1">INDIRECT("'2"&amp;$A310&amp;"'!"&amp;B$291)/INDIRECT("'2"&amp;$A310&amp;"'!"&amp;$B$290)*100</f>
        <v>0.82397565080334423</v>
      </c>
      <c r="C310" s="402" cm="1">
        <f t="array" aca="1" ref="C310" ca="1">INDIRECT("'2"&amp;$A310&amp;"'!"&amp;C$291)/INDIRECT("'2"&amp;$A310&amp;"'!"&amp;$B$290)*100</f>
        <v>-0.36070309540800499</v>
      </c>
      <c r="F310" s="1" t="s">
        <v>3</v>
      </c>
      <c r="G310" s="303">
        <f ca="1">ABS(Table291221[[#This Row],[nom_Offset through indexation]])+ABS(Table291221[[#This Row],[nom_Offset through other reforms2]])</f>
        <v>1.3652880843403572</v>
      </c>
      <c r="H310" s="372">
        <f ca="1">Table291221[[#This Row],[nom_Offset through other reforms2]]/Table291221[[#This Row],[Offset Fiscal Drag ABS]]</f>
        <v>0.72379271732069494</v>
      </c>
      <c r="I310" s="419" cm="1">
        <f t="array" aca="1" ref="I310" ca="1">INDIRECT("'2"&amp;$F310&amp;"'!"&amp;I$291)-Table291221[[#This Row],[nom_Offset through indexation]]</f>
        <v>0.98818557249027328</v>
      </c>
      <c r="J310" s="419" cm="1">
        <f t="array" aca="1" ref="J310" ca="1">INDIRECT("'2"&amp;$F310&amp;"'!"&amp;J$39)</f>
        <v>0.37710251185008387</v>
      </c>
      <c r="K310" s="453">
        <f ca="1">ABS(Table291221[[#This Row],[nom_Offset through indexation]])/Table291221[[#This Row],[Offset Fiscal Drag ABS]]</f>
        <v>0.276207282679305</v>
      </c>
      <c r="L310" s="454">
        <v>0</v>
      </c>
      <c r="O310" s="88"/>
      <c r="P310" s="94"/>
      <c r="Q310" s="88"/>
      <c r="R310" s="94"/>
    </row>
    <row r="311" spans="1:18" s="1" customFormat="1" x14ac:dyDescent="0.3">
      <c r="A311" s="1" t="s">
        <v>249</v>
      </c>
      <c r="B311" s="402" cm="1">
        <f t="array" aca="1" ref="B311" ca="1">INDIRECT("'2"&amp;$A311&amp;"'!"&amp;B$291)/INDIRECT("'2"&amp;$A311&amp;"'!"&amp;$B$290)*100</f>
        <v>0.79463849741630666</v>
      </c>
      <c r="C311" s="402" cm="1">
        <f t="array" aca="1" ref="C311" ca="1">INDIRECT("'2"&amp;$A311&amp;"'!"&amp;C$291)/INDIRECT("'2"&amp;$A311&amp;"'!"&amp;$B$290)*100</f>
        <v>-1.1142909588458191E-2</v>
      </c>
      <c r="F311" s="1" t="s">
        <v>245</v>
      </c>
      <c r="G311" s="303">
        <f ca="1">ABS(Table291221[[#This Row],[nom_Offset through indexation]])+ABS(Table291221[[#This Row],[nom_Offset through other reforms2]])</f>
        <v>0.3981634649499643</v>
      </c>
      <c r="H311" s="372">
        <f ca="1">Table291221[[#This Row],[nom_Offset through other reforms2]]/Table291221[[#This Row],[Offset Fiscal Drag ABS]]</f>
        <v>0.74778417368584782</v>
      </c>
      <c r="I311" s="419" cm="1">
        <f t="array" aca="1" ref="I311" ca="1">INDIRECT("'2"&amp;$F311&amp;"'!"&amp;I$291)-Table291221[[#This Row],[nom_Offset through indexation]]</f>
        <v>0.29774033762950308</v>
      </c>
      <c r="J311" s="419" cm="1">
        <f t="array" aca="1" ref="J311" ca="1">INDIRECT("'2"&amp;$F311&amp;"'!"&amp;J$39)</f>
        <v>0.1004231273204612</v>
      </c>
      <c r="K311" s="453">
        <f ca="1">ABS(Table291221[[#This Row],[nom_Offset through indexation]])/Table291221[[#This Row],[Offset Fiscal Drag ABS]]</f>
        <v>0.25221582631415213</v>
      </c>
      <c r="L311" s="454">
        <v>0</v>
      </c>
      <c r="O311" s="89"/>
      <c r="P311" s="96"/>
      <c r="Q311" s="88"/>
      <c r="R311" s="96"/>
    </row>
    <row r="312" spans="1:18" s="1" customFormat="1" x14ac:dyDescent="0.3">
      <c r="A312" s="1" t="s">
        <v>252</v>
      </c>
      <c r="B312" s="402" cm="1">
        <f t="array" aca="1" ref="B312" ca="1">INDIRECT("'2"&amp;$A312&amp;"'!"&amp;B$291)/INDIRECT("'2"&amp;$A312&amp;"'!"&amp;$B$290)*100</f>
        <v>0.76777037341443899</v>
      </c>
      <c r="C312" s="402" cm="1">
        <f t="array" aca="1" ref="C312" ca="1">INDIRECT("'2"&amp;$A312&amp;"'!"&amp;C$291)/INDIRECT("'2"&amp;$A312&amp;"'!"&amp;$B$290)*100</f>
        <v>-0.37722763770393758</v>
      </c>
      <c r="F312" s="1" t="s">
        <v>223</v>
      </c>
      <c r="G312" s="303">
        <f ca="1">ABS(Table291221[[#This Row],[nom_Offset through indexation]])+ABS(Table291221[[#This Row],[nom_Offset through other reforms2]])</f>
        <v>1.0725816551155176</v>
      </c>
      <c r="H312" s="372">
        <f ca="1">Table291221[[#This Row],[nom_Offset through other reforms2]]/Table291221[[#This Row],[Offset Fiscal Drag ABS]]</f>
        <v>0.7624517352513015</v>
      </c>
      <c r="I312" s="419" cm="1">
        <f t="array" aca="1" ref="I312" ca="1">INDIRECT("'2"&amp;$F312&amp;"'!"&amp;I$291)-Table291221[[#This Row],[nom_Offset through indexation]]</f>
        <v>0.81779174414153943</v>
      </c>
      <c r="J312" s="419" cm="1">
        <f t="array" aca="1" ref="J312" ca="1">INDIRECT("'2"&amp;$F312&amp;"'!"&amp;J$39)</f>
        <v>0.25478991097397813</v>
      </c>
      <c r="K312" s="453">
        <f ca="1">ABS(Table291221[[#This Row],[nom_Offset through indexation]])/Table291221[[#This Row],[Offset Fiscal Drag ABS]]</f>
        <v>0.23754826474869842</v>
      </c>
      <c r="L312" s="454">
        <v>0</v>
      </c>
      <c r="O312" s="88"/>
      <c r="P312" s="94"/>
      <c r="Q312" s="88"/>
      <c r="R312" s="94"/>
    </row>
    <row r="313" spans="1:18" s="1" customFormat="1" x14ac:dyDescent="0.3">
      <c r="A313" s="1" t="s">
        <v>227</v>
      </c>
      <c r="B313" s="402" cm="1">
        <f t="array" aca="1" ref="B313" ca="1">INDIRECT("'2"&amp;$A313&amp;"'!"&amp;B$291)/INDIRECT("'2"&amp;$A313&amp;"'!"&amp;$B$290)*100</f>
        <v>0.72240454682896793</v>
      </c>
      <c r="C313" s="402" cm="1">
        <f t="array" aca="1" ref="C313" ca="1">INDIRECT("'2"&amp;$A313&amp;"'!"&amp;C$291)/INDIRECT("'2"&amp;$A313&amp;"'!"&amp;$B$290)*100</f>
        <v>0.15224742683420747</v>
      </c>
      <c r="F313" s="1" t="s">
        <v>240</v>
      </c>
      <c r="G313" s="303">
        <f ca="1">ABS(Table291221[[#This Row],[nom_Offset through indexation]])+ABS(Table291221[[#This Row],[nom_Offset through other reforms2]])</f>
        <v>1.2083089683906318</v>
      </c>
      <c r="H313" s="372">
        <f ca="1">Table291221[[#This Row],[nom_Offset through other reforms2]]/Table291221[[#This Row],[Offset Fiscal Drag ABS]]</f>
        <v>0.86000601409681554</v>
      </c>
      <c r="I313" s="419" cm="1">
        <f t="array" aca="1" ref="I313" ca="1">INDIRECT("'2"&amp;$F313&amp;"'!"&amp;I$291)-Table291221[[#This Row],[nom_Offset through indexation]]</f>
        <v>1.0391529797030623</v>
      </c>
      <c r="J313" s="419" cm="1">
        <f t="array" aca="1" ref="J313" ca="1">INDIRECT("'2"&amp;$F313&amp;"'!"&amp;J$39)</f>
        <v>0.16915598868756943</v>
      </c>
      <c r="K313" s="453">
        <f ca="1">ABS(Table291221[[#This Row],[nom_Offset through indexation]])/Table291221[[#This Row],[Offset Fiscal Drag ABS]]</f>
        <v>0.13999398590318443</v>
      </c>
      <c r="L313" s="454">
        <v>0</v>
      </c>
      <c r="O313" s="89"/>
      <c r="P313" s="96"/>
      <c r="Q313" s="88"/>
      <c r="R313" s="96"/>
    </row>
    <row r="314" spans="1:18" s="1" customFormat="1" x14ac:dyDescent="0.3">
      <c r="A314" s="1" t="s">
        <v>242</v>
      </c>
      <c r="B314" s="402" cm="1">
        <f t="array" aca="1" ref="B314" ca="1">INDIRECT("'2"&amp;$A314&amp;"'!"&amp;B$291)/INDIRECT("'2"&amp;$A314&amp;"'!"&amp;$B$290)*100</f>
        <v>0.71015877610219813</v>
      </c>
      <c r="C314" s="402" cm="1">
        <f t="array" aca="1" ref="C314" ca="1">INDIRECT("'2"&amp;$A314&amp;"'!"&amp;C$291)/INDIRECT("'2"&amp;$A314&amp;"'!"&amp;$B$290)*100</f>
        <v>-0.58209393161883272</v>
      </c>
      <c r="F314" s="1" t="s">
        <v>249</v>
      </c>
      <c r="G314" s="303">
        <f ca="1">ABS(Table291221[[#This Row],[nom_Offset through indexation]])+ABS(Table291221[[#This Row],[nom_Offset through other reforms2]])</f>
        <v>1.077410006737954</v>
      </c>
      <c r="H314" s="372">
        <f ca="1">Table291221[[#This Row],[nom_Offset through other reforms2]]/Table291221[[#This Row],[Offset Fiscal Drag ABS]]</f>
        <v>0.86167952055722985</v>
      </c>
      <c r="I314" s="419" cm="1">
        <f t="array" aca="1" ref="I314" ca="1">INDIRECT("'2"&amp;$F314&amp;"'!"&amp;I$291)-Table291221[[#This Row],[nom_Offset through indexation]]</f>
        <v>0.92838213804952197</v>
      </c>
      <c r="J314" s="419" cm="1">
        <f t="array" aca="1" ref="J314" ca="1">INDIRECT("'2"&amp;$F314&amp;"'!"&amp;J$39)</f>
        <v>0.14902786868843201</v>
      </c>
      <c r="K314" s="453">
        <f ca="1">ABS(Table291221[[#This Row],[nom_Offset through indexation]])/Table291221[[#This Row],[Offset Fiscal Drag ABS]]</f>
        <v>0.13832047944277015</v>
      </c>
      <c r="L314" s="454">
        <v>0</v>
      </c>
      <c r="O314" s="88"/>
      <c r="P314" s="94"/>
      <c r="Q314" s="88"/>
      <c r="R314" s="94"/>
    </row>
    <row r="315" spans="1:18" s="1" customFormat="1" x14ac:dyDescent="0.3">
      <c r="A315" s="1" t="s">
        <v>254</v>
      </c>
      <c r="B315" s="402" cm="1">
        <f t="array" aca="1" ref="B315" ca="1">INDIRECT("'2"&amp;$A315&amp;"'!"&amp;B$291)/INDIRECT("'2"&amp;$A315&amp;"'!"&amp;$B$290)*100</f>
        <v>0.67620131146804419</v>
      </c>
      <c r="C315" s="402" cm="1">
        <f t="array" aca="1" ref="C315" ca="1">INDIRECT("'2"&amp;$A315&amp;"'!"&amp;C$291)/INDIRECT("'2"&amp;$A315&amp;"'!"&amp;$B$290)*100</f>
        <v>-0.5452248872398604</v>
      </c>
      <c r="F315" s="1" t="s">
        <v>252</v>
      </c>
      <c r="G315" s="303">
        <f ca="1">ABS(Table291221[[#This Row],[nom_Offset through indexation]])+ABS(Table291221[[#This Row],[nom_Offset through other reforms2]])</f>
        <v>1.5924840070330584</v>
      </c>
      <c r="H315" s="372">
        <f ca="1">Table291221[[#This Row],[nom_Offset through other reforms2]]/Table291221[[#This Row],[Offset Fiscal Drag ABS]]</f>
        <v>0.94866417150307136</v>
      </c>
      <c r="I315" s="419" cm="1">
        <f t="array" aca="1" ref="I315" ca="1">INDIRECT("'2"&amp;$F315&amp;"'!"&amp;I$291)-Table291221[[#This Row],[nom_Offset through indexation]]</f>
        <v>1.5107325211639075</v>
      </c>
      <c r="J315" s="419" cm="1">
        <f t="array" aca="1" ref="J315" ca="1">INDIRECT("'2"&amp;$F315&amp;"'!"&amp;J$39)</f>
        <v>8.1751485869150875E-2</v>
      </c>
      <c r="K315" s="453">
        <f ca="1">ABS(Table291221[[#This Row],[nom_Offset through indexation]])/Table291221[[#This Row],[Offset Fiscal Drag ABS]]</f>
        <v>5.1335828496928693E-2</v>
      </c>
      <c r="L315" s="454">
        <v>0</v>
      </c>
      <c r="O315" s="89"/>
      <c r="P315" s="96"/>
      <c r="Q315" s="88"/>
      <c r="R315" s="96"/>
    </row>
    <row r="316" spans="1:18" s="1" customFormat="1" x14ac:dyDescent="0.3">
      <c r="A316" s="1" t="s">
        <v>238</v>
      </c>
      <c r="B316" s="402" cm="1">
        <f t="array" aca="1" ref="B316" ca="1">INDIRECT("'2"&amp;$A316&amp;"'!"&amp;B$291)/INDIRECT("'2"&amp;$A316&amp;"'!"&amp;$B$290)*100</f>
        <v>0.6303832054369819</v>
      </c>
      <c r="C316" s="402" cm="1">
        <f t="array" aca="1" ref="C316" ca="1">INDIRECT("'2"&amp;$A316&amp;"'!"&amp;C$291)/INDIRECT("'2"&amp;$A316&amp;"'!"&amp;$B$290)*100</f>
        <v>-0.1138240884104038</v>
      </c>
      <c r="F316" s="1" t="s">
        <v>234</v>
      </c>
      <c r="G316" s="303">
        <f ca="1">ABS(Table291221[[#This Row],[nom_Offset through indexation]])+ABS(Table291221[[#This Row],[nom_Offset through other reforms2]])</f>
        <v>0.40614057015901595</v>
      </c>
      <c r="H316" s="372">
        <f ca="1">Table291221[[#This Row],[nom_Offset through other reforms2]]/Table291221[[#This Row],[Offset Fiscal Drag ABS]]</f>
        <v>0.96161236283662499</v>
      </c>
      <c r="I316" s="419" cm="1">
        <f t="array" aca="1" ref="I316" ca="1">INDIRECT("'2"&amp;$F316&amp;"'!"&amp;I$291)-Table291221[[#This Row],[nom_Offset through indexation]]</f>
        <v>0.39054979331442541</v>
      </c>
      <c r="J316" s="419" cm="1">
        <f t="array" aca="1" ref="J316" ca="1">INDIRECT("'2"&amp;$F316&amp;"'!"&amp;J$39)</f>
        <v>1.559077684459056E-2</v>
      </c>
      <c r="K316" s="453">
        <f ca="1">ABS(Table291221[[#This Row],[nom_Offset through indexation]])/Table291221[[#This Row],[Offset Fiscal Drag ABS]]</f>
        <v>3.8387637163375017E-2</v>
      </c>
      <c r="L316" s="454">
        <v>0</v>
      </c>
      <c r="O316" s="88"/>
      <c r="P316" s="94"/>
      <c r="Q316" s="88"/>
      <c r="R316" s="94"/>
    </row>
    <row r="317" spans="1:18" s="1" customFormat="1" x14ac:dyDescent="0.3">
      <c r="A317" s="1" t="s">
        <v>233</v>
      </c>
      <c r="B317" s="402" cm="1">
        <f t="array" aca="1" ref="B317" ca="1">INDIRECT("'2"&amp;$A317&amp;"'!"&amp;B$291)/INDIRECT("'2"&amp;$A317&amp;"'!"&amp;$B$290)*100</f>
        <v>0.64134935465797438</v>
      </c>
      <c r="C317" s="402" cm="1">
        <f t="array" aca="1" ref="C317" ca="1">INDIRECT("'2"&amp;$A317&amp;"'!"&amp;C$291)/INDIRECT("'2"&amp;$A317&amp;"'!"&amp;$B$290)*100</f>
        <v>7.8757714641652529E-2</v>
      </c>
      <c r="F317" s="1" t="s">
        <v>217</v>
      </c>
      <c r="G317" s="303">
        <f ca="1">ABS(Table291221[[#This Row],[nom_Offset through indexation]])+ABS(Table291221[[#This Row],[nom_Offset through other reforms2]])</f>
        <v>1.1418819070494353</v>
      </c>
      <c r="H317" s="372">
        <f ca="1">Table291221[[#This Row],[nom_Offset through other reforms2]]/Table291221[[#This Row],[Offset Fiscal Drag ABS]]</f>
        <v>0.99986081953915784</v>
      </c>
      <c r="I317" s="419" cm="1">
        <f t="array" aca="1" ref="I317" ca="1">INDIRECT("'2"&amp;$F317&amp;"'!"&amp;I$291)-Table291221[[#This Row],[nom_Offset through indexation]]</f>
        <v>1.1417229793993848</v>
      </c>
      <c r="J317" s="419" cm="1">
        <f t="array" aca="1" ref="J317" ca="1">INDIRECT("'2"&amp;$F317&amp;"'!"&amp;J$39)</f>
        <v>1.5892765005039814E-4</v>
      </c>
      <c r="K317" s="453">
        <f ca="1">ABS(Table291221[[#This Row],[nom_Offset through indexation]])/Table291221[[#This Row],[Offset Fiscal Drag ABS]]</f>
        <v>1.3918046084210152E-4</v>
      </c>
      <c r="L317" s="454">
        <v>0</v>
      </c>
      <c r="O317" s="88"/>
      <c r="P317" s="94"/>
      <c r="Q317" s="88"/>
      <c r="R317" s="94"/>
    </row>
    <row r="318" spans="1:18" s="1" customFormat="1" x14ac:dyDescent="0.3">
      <c r="A318" s="1" t="s">
        <v>245</v>
      </c>
      <c r="B318" s="402" cm="1">
        <f t="array" aca="1" ref="B318" ca="1">INDIRECT("'2"&amp;$A318&amp;"'!"&amp;B$291)/INDIRECT("'2"&amp;$A318&amp;"'!"&amp;$B$290)*100</f>
        <v>0.59383002602944635</v>
      </c>
      <c r="C318" s="402" cm="1">
        <f t="array" aca="1" ref="C318" ca="1">INDIRECT("'2"&amp;$A318&amp;"'!"&amp;C$291)/INDIRECT("'2"&amp;$A318&amp;"'!"&amp;$B$290)*100</f>
        <v>0.36254398981698416</v>
      </c>
      <c r="F318" s="1" t="s">
        <v>227</v>
      </c>
      <c r="G318" s="303">
        <f ca="1">ABS(Table291221[[#This Row],[nom_Offset through indexation]])+ABS(Table291221[[#This Row],[nom_Offset through other reforms2]])</f>
        <v>0.79059808678143462</v>
      </c>
      <c r="H318" s="372">
        <f ca="1">Table291221[[#This Row],[nom_Offset through other reforms2]]/Table291221[[#This Row],[Offset Fiscal Drag ABS]]</f>
        <v>0.99987396412960416</v>
      </c>
      <c r="I318" s="419" cm="1">
        <f t="array" aca="1" ref="I318" ca="1">INDIRECT("'2"&amp;$F318&amp;"'!"&amp;I$291)-Table291221[[#This Row],[nom_Offset through indexation]]</f>
        <v>0.79049844306343386</v>
      </c>
      <c r="J318" s="419" cm="1">
        <f t="array" aca="1" ref="J318" ca="1">INDIRECT("'2"&amp;$F318&amp;"'!"&amp;J$39)</f>
        <v>-9.9643718000766259E-5</v>
      </c>
      <c r="K318" s="453">
        <f ca="1">ABS(Table291221[[#This Row],[nom_Offset through indexation]])/Table291221[[#This Row],[Offset Fiscal Drag ABS]]</f>
        <v>1.260358703958176E-4</v>
      </c>
      <c r="L318" s="454">
        <v>0</v>
      </c>
      <c r="O318" s="88"/>
      <c r="P318" s="94"/>
      <c r="Q318" s="88"/>
      <c r="R318" s="94"/>
    </row>
    <row r="319" spans="1:18" s="1" customFormat="1" x14ac:dyDescent="0.3">
      <c r="A319" s="1" t="s">
        <v>223</v>
      </c>
      <c r="B319" s="402" cm="1">
        <f t="array" aca="1" ref="B319" ca="1">INDIRECT("'2"&amp;$A319&amp;"'!"&amp;B$291)/INDIRECT("'2"&amp;$A319&amp;"'!"&amp;$B$290)*100</f>
        <v>0.6867151389632602</v>
      </c>
      <c r="C319" s="402" cm="1">
        <f t="array" aca="1" ref="C319" ca="1">INDIRECT("'2"&amp;$A319&amp;"'!"&amp;C$291)/INDIRECT("'2"&amp;$A319&amp;"'!"&amp;$B$290)*100</f>
        <v>-2.9572149033825323E-2</v>
      </c>
      <c r="F319" s="1" t="s">
        <v>208</v>
      </c>
      <c r="G319" s="303">
        <f ca="1">ABS(Table291221[[#This Row],[nom_Offset through indexation]])+ABS(Table291221[[#This Row],[nom_Offset through other reforms2]])</f>
        <v>0.22105967416499941</v>
      </c>
      <c r="H319" s="372">
        <f ca="1">Table291221[[#This Row],[nom_Offset through other reforms2]]/Table291221[[#This Row],[Offset Fiscal Drag ABS]]</f>
        <v>1</v>
      </c>
      <c r="I319" s="419" cm="1">
        <f t="array" aca="1" ref="I319" ca="1">INDIRECT("'2"&amp;$F319&amp;"'!"&amp;I$291)-Table291221[[#This Row],[nom_Offset through indexation]]</f>
        <v>0.22105967416499941</v>
      </c>
      <c r="J319" s="419" cm="1">
        <f t="array" aca="1" ref="J319" ca="1">INDIRECT("'2"&amp;$F319&amp;"'!"&amp;J$39)</f>
        <v>0</v>
      </c>
      <c r="K319" s="453">
        <f ca="1">ABS(Table291221[[#This Row],[nom_Offset through indexation]])/Table291221[[#This Row],[Offset Fiscal Drag ABS]]</f>
        <v>0</v>
      </c>
      <c r="L319" s="454">
        <v>0</v>
      </c>
      <c r="O319" s="89"/>
      <c r="P319" s="96"/>
      <c r="Q319" s="88"/>
      <c r="R319" s="96"/>
    </row>
    <row r="320" spans="1:18" s="1" customFormat="1" x14ac:dyDescent="0.3">
      <c r="A320" s="1" t="s">
        <v>217</v>
      </c>
      <c r="B320" s="402" cm="1">
        <f t="array" aca="1" ref="B320" ca="1">INDIRECT("'2"&amp;$A320&amp;"'!"&amp;B$291)/INDIRECT("'2"&amp;$A320&amp;"'!"&amp;$B$290)*100</f>
        <v>0.55940646973510333</v>
      </c>
      <c r="C320" s="402" cm="1">
        <f t="array" aca="1" ref="C320" ca="1">INDIRECT("'2"&amp;$A320&amp;"'!"&amp;C$291)/INDIRECT("'2"&amp;$A320&amp;"'!"&amp;$B$290)*100</f>
        <v>-5.4813801302976174E-2</v>
      </c>
      <c r="F320" s="1" t="s">
        <v>225</v>
      </c>
      <c r="G320" s="303">
        <f ca="1">ABS(Table291221[[#This Row],[nom_Offset through indexation]])+ABS(Table291221[[#This Row],[nom_Offset through other reforms2]])</f>
        <v>1.4709264049789919</v>
      </c>
      <c r="H320" s="372">
        <f ca="1">Table291221[[#This Row],[nom_Offset through other reforms2]]/Table291221[[#This Row],[Offset Fiscal Drag ABS]]</f>
        <v>1</v>
      </c>
      <c r="I320" s="419" cm="1">
        <f t="array" aca="1" ref="I320" ca="1">INDIRECT("'2"&amp;$F320&amp;"'!"&amp;I$291)-Table291221[[#This Row],[nom_Offset through indexation]]</f>
        <v>1.4709264049789919</v>
      </c>
      <c r="J320" s="419" cm="1">
        <f t="array" aca="1" ref="J320" ca="1">INDIRECT("'2"&amp;$F320&amp;"'!"&amp;J$39)</f>
        <v>0</v>
      </c>
      <c r="K320" s="453">
        <f ca="1">ABS(Table291221[[#This Row],[nom_Offset through indexation]])/Table291221[[#This Row],[Offset Fiscal Drag ABS]]</f>
        <v>0</v>
      </c>
      <c r="L320" s="454">
        <v>0</v>
      </c>
      <c r="O320" s="89"/>
      <c r="P320" s="96"/>
      <c r="Q320" s="88"/>
      <c r="R320" s="96"/>
    </row>
    <row r="321" spans="1:18" s="1" customFormat="1" x14ac:dyDescent="0.3">
      <c r="A321" s="1" t="s">
        <v>208</v>
      </c>
      <c r="B321" s="402" cm="1">
        <f t="array" aca="1" ref="B321" ca="1">INDIRECT("'2"&amp;$A321&amp;"'!"&amp;B$291)/INDIRECT("'2"&amp;$A321&amp;"'!"&amp;$B$290)*100</f>
        <v>0.49516781975857316</v>
      </c>
      <c r="C321" s="402" cm="1">
        <f t="array" aca="1" ref="C321" ca="1">INDIRECT("'2"&amp;$A321&amp;"'!"&amp;C$291)/INDIRECT("'2"&amp;$A321&amp;"'!"&amp;$B$290)*100</f>
        <v>0.38851661549579752</v>
      </c>
      <c r="F321" s="1" t="s">
        <v>242</v>
      </c>
      <c r="G321" s="303">
        <f ca="1">ABS(Table291221[[#This Row],[nom_Offset through indexation]])+ABS(Table291221[[#This Row],[nom_Offset through other reforms2]])</f>
        <v>1.8881328948330414</v>
      </c>
      <c r="H321" s="372">
        <f ca="1">Table291221[[#This Row],[nom_Offset through other reforms2]]/Table291221[[#This Row],[Offset Fiscal Drag ABS]]</f>
        <v>1</v>
      </c>
      <c r="I321" s="419" cm="1">
        <f t="array" aca="1" ref="I321" ca="1">INDIRECT("'2"&amp;$F321&amp;"'!"&amp;I$291)-Table291221[[#This Row],[nom_Offset through indexation]]</f>
        <v>1.8881328948330414</v>
      </c>
      <c r="J321" s="419" cm="1">
        <f t="array" aca="1" ref="J321" ca="1">INDIRECT("'2"&amp;$F321&amp;"'!"&amp;J$39)</f>
        <v>0</v>
      </c>
      <c r="K321" s="453">
        <f ca="1">ABS(Table291221[[#This Row],[nom_Offset through indexation]])/Table291221[[#This Row],[Offset Fiscal Drag ABS]]</f>
        <v>0</v>
      </c>
      <c r="L321" s="454">
        <v>0</v>
      </c>
      <c r="O321" s="88"/>
      <c r="P321" s="94"/>
      <c r="Q321" s="88"/>
      <c r="R321" s="94"/>
    </row>
    <row r="322" spans="1:18" s="1" customFormat="1" x14ac:dyDescent="0.3">
      <c r="O322" s="88"/>
      <c r="P322" s="94"/>
      <c r="Q322" s="88"/>
      <c r="R322" s="94"/>
    </row>
    <row r="323" spans="1:18" s="1" customFormat="1" x14ac:dyDescent="0.3">
      <c r="O323" s="88"/>
      <c r="P323" s="94"/>
      <c r="Q323" s="88"/>
      <c r="R323" s="94"/>
    </row>
    <row r="324" spans="1:18" s="1" customFormat="1" x14ac:dyDescent="0.3">
      <c r="O324" s="91"/>
      <c r="P324" s="95"/>
      <c r="Q324" s="91"/>
      <c r="R324" s="95"/>
    </row>
  </sheetData>
  <mergeCells count="5">
    <mergeCell ref="B181:G181"/>
    <mergeCell ref="B217:G217"/>
    <mergeCell ref="B253:G253"/>
    <mergeCell ref="B289:G289"/>
    <mergeCell ref="A37:G37"/>
  </mergeCells>
  <pageMargins left="0.7" right="0.7" top="0.75" bottom="0.75" header="0.3" footer="0.3"/>
  <pageSetup paperSize="9" scale="95" orientation="portrait" r:id="rId1"/>
  <drawing r:id="rId2"/>
  <tableParts count="15">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2995CC-0DC0-44FF-A594-32FB830CE454}">
  <dimension ref="B3:AC35"/>
  <sheetViews>
    <sheetView showGridLines="0" tabSelected="1" workbookViewId="0">
      <selection activeCell="T19" sqref="T19"/>
    </sheetView>
  </sheetViews>
  <sheetFormatPr baseColWidth="10" defaultColWidth="11.5546875" defaultRowHeight="14.4" x14ac:dyDescent="0.3"/>
  <cols>
    <col min="1" max="2" width="11.5546875" style="1"/>
    <col min="3" max="3" width="15.6640625" style="1" customWidth="1"/>
    <col min="4" max="4" width="12.6640625" style="1" customWidth="1"/>
    <col min="5" max="5" width="1.6640625" style="1" customWidth="1"/>
    <col min="6" max="6" width="11.5546875" style="1"/>
    <col min="7" max="10" width="9.6640625" style="1" customWidth="1"/>
    <col min="11" max="11" width="1.6640625" style="1" customWidth="1"/>
    <col min="12" max="12" width="9.6640625" style="1" customWidth="1"/>
    <col min="13" max="13" width="11" style="1" customWidth="1"/>
    <col min="14" max="14" width="12.33203125" style="1" customWidth="1"/>
    <col min="15" max="15" width="9.6640625" style="1" customWidth="1"/>
    <col min="16" max="16384" width="11.5546875" style="1"/>
  </cols>
  <sheetData>
    <row r="3" spans="2:29" x14ac:dyDescent="0.3">
      <c r="P3"/>
      <c r="Q3"/>
      <c r="R3"/>
      <c r="S3"/>
      <c r="T3"/>
      <c r="U3"/>
      <c r="V3"/>
      <c r="W3"/>
      <c r="X3"/>
      <c r="Y3"/>
    </row>
    <row r="4" spans="2:29" x14ac:dyDescent="0.3">
      <c r="D4" s="547"/>
      <c r="E4" s="547"/>
      <c r="F4" s="547"/>
      <c r="G4" s="547"/>
      <c r="H4" s="547"/>
      <c r="I4" s="547"/>
      <c r="J4" s="547"/>
      <c r="K4" s="547"/>
      <c r="L4" s="547"/>
      <c r="M4" s="547"/>
      <c r="N4" s="547"/>
      <c r="O4" s="547"/>
      <c r="P4"/>
      <c r="Q4"/>
      <c r="R4"/>
      <c r="S4"/>
      <c r="T4"/>
      <c r="U4"/>
      <c r="V4"/>
      <c r="W4"/>
      <c r="X4"/>
      <c r="Y4"/>
    </row>
    <row r="5" spans="2:29" x14ac:dyDescent="0.3">
      <c r="F5" s="546" t="s">
        <v>441</v>
      </c>
      <c r="G5" s="546"/>
      <c r="H5" s="546"/>
      <c r="I5" s="546"/>
      <c r="J5" s="546"/>
      <c r="K5" s="443"/>
      <c r="L5" s="546" t="s">
        <v>442</v>
      </c>
      <c r="M5" s="546"/>
      <c r="N5" s="546"/>
      <c r="O5" s="546"/>
      <c r="P5"/>
      <c r="Q5"/>
      <c r="R5"/>
      <c r="S5"/>
      <c r="T5"/>
      <c r="U5"/>
      <c r="V5"/>
      <c r="W5"/>
      <c r="X5"/>
      <c r="Y5"/>
    </row>
    <row r="6" spans="2:29" ht="42" customHeight="1" x14ac:dyDescent="0.3">
      <c r="D6" s="290" t="s">
        <v>443</v>
      </c>
      <c r="E6" s="450"/>
      <c r="F6" s="201" t="s">
        <v>444</v>
      </c>
      <c r="G6" s="201" t="s">
        <v>445</v>
      </c>
      <c r="H6" s="201" t="s">
        <v>446</v>
      </c>
      <c r="I6" s="201" t="s">
        <v>447</v>
      </c>
      <c r="J6" s="201" t="s">
        <v>38</v>
      </c>
      <c r="K6" s="370"/>
      <c r="L6" s="201" t="s">
        <v>448</v>
      </c>
      <c r="M6" s="201" t="s">
        <v>449</v>
      </c>
      <c r="N6" s="201" t="s">
        <v>450</v>
      </c>
      <c r="O6" s="201" t="s">
        <v>451</v>
      </c>
      <c r="P6"/>
      <c r="Q6"/>
      <c r="R6"/>
      <c r="S6"/>
      <c r="T6"/>
      <c r="U6"/>
      <c r="V6"/>
      <c r="W6"/>
      <c r="X6"/>
      <c r="Y6"/>
    </row>
    <row r="7" spans="2:29" ht="29.7" customHeight="1" x14ac:dyDescent="0.3">
      <c r="C7" s="92"/>
      <c r="D7" s="455" t="s">
        <v>452</v>
      </c>
      <c r="E7" s="455"/>
      <c r="F7" s="455" t="s">
        <v>453</v>
      </c>
      <c r="G7" s="455" t="s">
        <v>454</v>
      </c>
      <c r="H7" s="455" t="s">
        <v>455</v>
      </c>
      <c r="I7" s="455" t="s">
        <v>456</v>
      </c>
      <c r="J7" s="455" t="s">
        <v>457</v>
      </c>
      <c r="K7" s="455"/>
      <c r="L7" s="455" t="s">
        <v>458</v>
      </c>
      <c r="M7" s="455" t="s">
        <v>459</v>
      </c>
      <c r="N7" s="455" t="s">
        <v>460</v>
      </c>
      <c r="O7" s="455" t="s">
        <v>461</v>
      </c>
      <c r="P7"/>
      <c r="Q7"/>
      <c r="R7"/>
      <c r="S7"/>
      <c r="T7"/>
      <c r="U7"/>
      <c r="V7"/>
      <c r="W7"/>
      <c r="X7"/>
      <c r="Y7"/>
    </row>
    <row r="8" spans="2:29" x14ac:dyDescent="0.3">
      <c r="B8" s="199" t="s">
        <v>3</v>
      </c>
      <c r="C8" s="1" t="s">
        <v>462</v>
      </c>
      <c r="D8" s="32" cm="1">
        <f t="array" aca="1" ref="D8" ca="1">(INDIRECT("'1"&amp;$B8&amp;"'!W22"))</f>
        <v>1.8866256424887944</v>
      </c>
      <c r="E8" s="32"/>
      <c r="F8" s="200" cm="1">
        <f t="array" aca="1" ref="F8" ca="1">(INDIRECT("'1"&amp;$B8&amp;"'!AS22"))/100</f>
        <v>0.84309403720210452</v>
      </c>
      <c r="G8" s="200" cm="1">
        <f t="array" aca="1" ref="G8" ca="1">(INDIRECT("'1"&amp;$B8&amp;"'!AT22"))/100</f>
        <v>5.7827261666010064E-2</v>
      </c>
      <c r="H8" s="200" cm="1">
        <f t="array" aca="1" ref="H8" ca="1">(INDIRECT("'1"&amp;$B8&amp;"'!AU22"))/100</f>
        <v>4.2534166883004085E-2</v>
      </c>
      <c r="I8" s="200" cm="1">
        <f t="array" aca="1" ref="I8" ca="1">(INDIRECT("'1"&amp;$B8&amp;"'!AV22")+INDIRECT("'1"&amp;$B8&amp;"'!AW22")+INDIRECT("'1"&amp;$B8&amp;"'!AX22"))/100</f>
        <v>5.6544534248881319E-2</v>
      </c>
      <c r="J8" s="200" cm="1">
        <f t="array" aca="1" ref="J8" ca="1">(INDIRECT("'1"&amp;$B8&amp;"'!AR22"))/100</f>
        <v>0</v>
      </c>
      <c r="K8" s="200"/>
      <c r="L8" s="32" cm="1">
        <f t="array" aca="1" ref="L8" ca="1">(INDIRECT("'1"&amp;$B8&amp;"'!AD22"))</f>
        <v>1.8225671577828801</v>
      </c>
      <c r="M8" s="32" cm="1">
        <f t="array" aca="1" ref="M8" ca="1">(INDIRECT("'1"&amp;$B8&amp;"'!Ae22"))</f>
        <v>1.8725383772899549</v>
      </c>
      <c r="N8" s="32" cm="1">
        <f t="array" aca="1" ref="N8" ca="1">(INDIRECT("'1"&amp;$B8&amp;"'!Af22"))</f>
        <v>2.4075525797409782</v>
      </c>
      <c r="O8" s="32" cm="1">
        <f t="array" aca="1" ref="O8" ca="1">(INDIRECT("'1"&amp;$B8&amp;"'!Ag22"))</f>
        <v>2.0576559734182283</v>
      </c>
      <c r="P8"/>
      <c r="Q8"/>
      <c r="R8"/>
      <c r="S8"/>
      <c r="T8"/>
      <c r="U8"/>
      <c r="V8"/>
      <c r="W8"/>
      <c r="X8"/>
      <c r="Y8"/>
      <c r="AC8" s="206">
        <f t="shared" ref="AC8:AC28" ca="1" si="0">SUM(F8:J8)</f>
        <v>0.99999999999999989</v>
      </c>
    </row>
    <row r="9" spans="2:29" x14ac:dyDescent="0.3">
      <c r="B9" s="199" t="s">
        <v>204</v>
      </c>
      <c r="C9" s="1" t="s">
        <v>463</v>
      </c>
      <c r="D9" s="32" cm="1">
        <f t="array" aca="1" ref="D9" ca="1">(INDIRECT("'1"&amp;$B9&amp;"'!W22"))</f>
        <v>1.966454320802733</v>
      </c>
      <c r="E9" s="32"/>
      <c r="F9" s="200" cm="1">
        <f t="array" aca="1" ref="F9" ca="1">(INDIRECT("'1"&amp;$B9&amp;"'!AS22"))/100</f>
        <v>0.37164714670104959</v>
      </c>
      <c r="G9" s="200" cm="1">
        <f t="array" aca="1" ref="G9" ca="1">(INDIRECT("'1"&amp;$B9&amp;"'!AT22"))/100</f>
        <v>0.43778891745584081</v>
      </c>
      <c r="H9" s="200" cm="1">
        <f t="array" aca="1" ref="H9" ca="1">(INDIRECT("'1"&amp;$B9&amp;"'!AU22"))/100</f>
        <v>0.1487736083594858</v>
      </c>
      <c r="I9" s="200" cm="1">
        <f t="array" aca="1" ref="I9" ca="1">(INDIRECT("'1"&amp;$B9&amp;"'!AV22")+INDIRECT("'1"&amp;$B9&amp;"'!AW22")+INDIRECT("'1"&amp;$B9&amp;"'!AX22"))/100</f>
        <v>7.128487417082943E-3</v>
      </c>
      <c r="J9" s="200" cm="1">
        <f t="array" aca="1" ref="J9" ca="1">(INDIRECT("'1"&amp;$B9&amp;"'!AR22"))/100</f>
        <v>3.4661840066540946E-2</v>
      </c>
      <c r="K9" s="200"/>
      <c r="L9" s="32" cm="1">
        <f t="array" aca="1" ref="L9" ca="1">(INDIRECT("'1"&amp;$B9&amp;"'!AD22"))</f>
        <v>2.0854920937951134</v>
      </c>
      <c r="M9" s="32" cm="1">
        <f t="array" aca="1" ref="M9" ca="1">(INDIRECT("'1"&amp;$B9&amp;"'!Ae22"))</f>
        <v>1.7608154234504292</v>
      </c>
      <c r="N9" s="32" cm="1">
        <f t="array" aca="1" ref="N9" ca="1">(INDIRECT("'1"&amp;$B9&amp;"'!Af22"))</f>
        <v>1.9495121255522077</v>
      </c>
      <c r="O9" s="32" cm="1">
        <f t="array" aca="1" ref="O9" ca="1">(INDIRECT("'1"&amp;$B9&amp;"'!Ag22"))</f>
        <v>1.4640340832739966</v>
      </c>
      <c r="P9"/>
      <c r="Q9"/>
      <c r="R9"/>
      <c r="S9"/>
      <c r="T9"/>
      <c r="U9"/>
      <c r="V9"/>
      <c r="W9"/>
      <c r="X9"/>
      <c r="Y9"/>
      <c r="AC9" s="206">
        <f t="shared" ca="1" si="0"/>
        <v>1.0000000000000002</v>
      </c>
    </row>
    <row r="10" spans="2:29" x14ac:dyDescent="0.3">
      <c r="B10" s="199" t="s">
        <v>208</v>
      </c>
      <c r="C10" s="1" t="s">
        <v>464</v>
      </c>
      <c r="D10" s="32" cm="1">
        <f t="array" aca="1" ref="D10" ca="1">(INDIRECT("'1"&amp;$B10&amp;"'!W22"))</f>
        <v>2.2980633345266068</v>
      </c>
      <c r="E10" s="32"/>
      <c r="F10" s="200" cm="1">
        <f t="array" aca="1" ref="F10" ca="1">(INDIRECT("'1"&amp;$B10&amp;"'!AS22"))/100</f>
        <v>0.99644702856056411</v>
      </c>
      <c r="G10" s="200" cm="1">
        <f t="array" aca="1" ref="G10" ca="1">(INDIRECT("'1"&amp;$B10&amp;"'!AT22"))/100</f>
        <v>2.0307750656318518E-3</v>
      </c>
      <c r="H10" s="200" cm="1">
        <f t="array" aca="1" ref="H10" ca="1">(INDIRECT("'1"&amp;$B10&amp;"'!AU22"))/100</f>
        <v>0</v>
      </c>
      <c r="I10" s="200" cm="1">
        <f t="array" aca="1" ref="I10" ca="1">(INDIRECT("'1"&amp;$B10&amp;"'!AV22")+INDIRECT("'1"&amp;$B10&amp;"'!AW22")+INDIRECT("'1"&amp;$B10&amp;"'!AX22"))/100</f>
        <v>0</v>
      </c>
      <c r="J10" s="200" cm="1">
        <f t="array" aca="1" ref="J10" ca="1">(INDIRECT("'1"&amp;$B10&amp;"'!AR22"))/100</f>
        <v>1.5221963738038377E-3</v>
      </c>
      <c r="K10" s="200"/>
      <c r="L10" s="32" cm="1">
        <f t="array" aca="1" ref="L10" ca="1">(INDIRECT("'1"&amp;$B10&amp;"'!AD22"))</f>
        <v>2.3353021028384129</v>
      </c>
      <c r="M10" s="32" cm="1">
        <f t="array" aca="1" ref="M10" ca="1">(INDIRECT("'1"&amp;$B10&amp;"'!Ae22"))</f>
        <v>2.3723706605064598</v>
      </c>
      <c r="N10" s="32" cm="1">
        <f t="array" aca="1" ref="N10" ca="1">(INDIRECT("'1"&amp;$B10&amp;"'!Af22"))</f>
        <v>1.5044128799674092</v>
      </c>
      <c r="O10" s="32" cm="1">
        <f t="array" aca="1" ref="O10" ca="1">(INDIRECT("'1"&amp;$B10&amp;"'!Ag22"))</f>
        <v>2.0075492929301699</v>
      </c>
      <c r="P10"/>
      <c r="Q10"/>
      <c r="R10"/>
      <c r="S10"/>
      <c r="T10"/>
      <c r="U10"/>
      <c r="V10"/>
      <c r="W10"/>
      <c r="X10"/>
      <c r="Y10"/>
      <c r="AC10" s="206">
        <f t="shared" ca="1" si="0"/>
        <v>0.99999999999999978</v>
      </c>
    </row>
    <row r="11" spans="2:29" x14ac:dyDescent="0.3">
      <c r="B11" s="199" t="s">
        <v>210</v>
      </c>
      <c r="C11" s="1" t="s">
        <v>465</v>
      </c>
      <c r="D11" s="32" cm="1">
        <f t="array" aca="1" ref="D11" ca="1">(INDIRECT("'1"&amp;$B11&amp;"'!W22"))</f>
        <v>1.7103139797998415</v>
      </c>
      <c r="E11" s="32"/>
      <c r="F11" s="200" cm="1">
        <f t="array" aca="1" ref="F11" ca="1">(INDIRECT("'1"&amp;$B11&amp;"'!AS22"))/100</f>
        <v>0.70932505346713637</v>
      </c>
      <c r="G11" s="200" cm="1">
        <f t="array" aca="1" ref="G11" ca="1">(INDIRECT("'1"&amp;$B11&amp;"'!AT22"))/100</f>
        <v>0.17513614435761543</v>
      </c>
      <c r="H11" s="200" cm="1">
        <f t="array" aca="1" ref="H11" ca="1">(INDIRECT("'1"&amp;$B11&amp;"'!AU22"))/100</f>
        <v>4.9949611845247904E-2</v>
      </c>
      <c r="I11" s="200" cm="1">
        <f t="array" aca="1" ref="I11" ca="1">(INDIRECT("'1"&amp;$B11&amp;"'!AV22")+INDIRECT("'1"&amp;$B11&amp;"'!AW22")+INDIRECT("'1"&amp;$B11&amp;"'!AX22"))/100</f>
        <v>6.5589190330000338E-2</v>
      </c>
      <c r="J11" s="200" cm="1">
        <f t="array" aca="1" ref="J11" ca="1">(INDIRECT("'1"&amp;$B11&amp;"'!AR22"))/100</f>
        <v>0</v>
      </c>
      <c r="K11" s="200"/>
      <c r="L11" s="32" cm="1">
        <f t="array" aca="1" ref="L11" ca="1">(INDIRECT("'1"&amp;$B11&amp;"'!AD22"))</f>
        <v>1.8688044417274889</v>
      </c>
      <c r="M11" s="32" cm="1">
        <f t="array" aca="1" ref="M11" ca="1">(INDIRECT("'1"&amp;$B11&amp;"'!Ae22"))</f>
        <v>0.83796069764858772</v>
      </c>
      <c r="N11" s="32" cm="1">
        <f t="array" aca="1" ref="N11" ca="1">(INDIRECT("'1"&amp;$B11&amp;"'!Af22"))</f>
        <v>2.019445463646294</v>
      </c>
      <c r="O11" s="32" cm="1">
        <f t="array" aca="1" ref="O11" ca="1">(INDIRECT("'1"&amp;$B11&amp;"'!Ag22"))</f>
        <v>1.7758046351289409</v>
      </c>
      <c r="P11"/>
      <c r="Q11"/>
      <c r="R11"/>
      <c r="S11"/>
      <c r="T11"/>
      <c r="U11"/>
      <c r="V11"/>
      <c r="W11"/>
      <c r="X11"/>
      <c r="Y11"/>
      <c r="AC11" s="206">
        <f t="shared" ca="1" si="0"/>
        <v>1.0000000000000002</v>
      </c>
    </row>
    <row r="12" spans="2:29" x14ac:dyDescent="0.3">
      <c r="B12" s="199" t="s">
        <v>214</v>
      </c>
      <c r="C12" s="1" t="s">
        <v>466</v>
      </c>
      <c r="D12" s="32" cm="1">
        <f t="array" aca="1" ref="D12" ca="1">(INDIRECT("'1"&amp;$B12&amp;"'!W22"))</f>
        <v>1.6590608942486251</v>
      </c>
      <c r="E12" s="32"/>
      <c r="F12" s="200" cm="1">
        <f t="array" aca="1" ref="F12" ca="1">(INDIRECT("'1"&amp;$B12&amp;"'!AS22"))/100</f>
        <v>0</v>
      </c>
      <c r="G12" s="200" cm="1">
        <f t="array" aca="1" ref="G12" ca="1">(INDIRECT("'1"&amp;$B12&amp;"'!AT22"))/100</f>
        <v>0.95294433273378165</v>
      </c>
      <c r="H12" s="200" cm="1">
        <f t="array" aca="1" ref="H12" ca="1">(INDIRECT("'1"&amp;$B12&amp;"'!AU22"))/100</f>
        <v>2.5650198839392468E-2</v>
      </c>
      <c r="I12" s="200" cm="1">
        <f t="array" aca="1" ref="I12" ca="1">(INDIRECT("'1"&amp;$B12&amp;"'!AV22")+INDIRECT("'1"&amp;$B12&amp;"'!AW22")+INDIRECT("'1"&amp;$B12&amp;"'!AX22"))/100</f>
        <v>1.1095351928370172E-2</v>
      </c>
      <c r="J12" s="200" cm="1">
        <f t="array" aca="1" ref="J12" ca="1">(INDIRECT("'1"&amp;$B12&amp;"'!AR22"))/100</f>
        <v>1.0310116498455812E-2</v>
      </c>
      <c r="K12" s="200"/>
      <c r="L12" s="32" cm="1">
        <f t="array" aca="1" ref="L12" ca="1">(INDIRECT("'1"&amp;$B12&amp;"'!AD22"))</f>
        <v>1.7576094398382469</v>
      </c>
      <c r="M12" s="32" cm="1">
        <f t="array" aca="1" ref="M12" ca="1">(INDIRECT("'1"&amp;$B12&amp;"'!Ae22"))</f>
        <v>1.2307576473337651</v>
      </c>
      <c r="N12" s="32" cm="1">
        <f t="array" aca="1" ref="N12" ca="1">(INDIRECT("'1"&amp;$B12&amp;"'!Af22"))</f>
        <v>1.4118513561801462</v>
      </c>
      <c r="O12" s="32" cm="1">
        <f t="array" aca="1" ref="O12" ca="1">(INDIRECT("'1"&amp;$B12&amp;"'!Ag22"))</f>
        <v>1.660429316419471</v>
      </c>
      <c r="P12"/>
      <c r="Q12"/>
      <c r="R12"/>
      <c r="S12"/>
      <c r="T12"/>
      <c r="U12"/>
      <c r="V12"/>
      <c r="W12"/>
      <c r="X12"/>
      <c r="Y12"/>
      <c r="AC12" s="206">
        <f t="shared" ca="1" si="0"/>
        <v>1</v>
      </c>
    </row>
    <row r="13" spans="2:29" x14ac:dyDescent="0.3">
      <c r="B13" s="199" t="s">
        <v>217</v>
      </c>
      <c r="C13" s="1" t="s">
        <v>467</v>
      </c>
      <c r="D13" s="32" cm="1">
        <f t="array" aca="1" ref="D13" ca="1">(INDIRECT("'1"&amp;$B13&amp;"'!W22"))</f>
        <v>1.8032111978204031</v>
      </c>
      <c r="E13" s="32"/>
      <c r="F13" s="200" cm="1">
        <f t="array" aca="1" ref="F13" ca="1">(INDIRECT("'1"&amp;$B13&amp;"'!AS22"))/100</f>
        <v>0.19659717223686457</v>
      </c>
      <c r="G13" s="200" cm="1">
        <f t="array" aca="1" ref="G13" ca="1">(INDIRECT("'1"&amp;$B13&amp;"'!AT22"))/100</f>
        <v>0.80340282776313543</v>
      </c>
      <c r="H13" s="200" cm="1">
        <f t="array" aca="1" ref="H13" ca="1">(INDIRECT("'1"&amp;$B13&amp;"'!AU22"))/100</f>
        <v>0</v>
      </c>
      <c r="I13" s="200" cm="1">
        <f t="array" aca="1" ref="I13" ca="1">(INDIRECT("'1"&amp;$B13&amp;"'!AV22")+INDIRECT("'1"&amp;$B13&amp;"'!AW22")+INDIRECT("'1"&amp;$B13&amp;"'!AX22"))/100</f>
        <v>0</v>
      </c>
      <c r="J13" s="200" cm="1">
        <f t="array" aca="1" ref="J13" ca="1">(INDIRECT("'1"&amp;$B13&amp;"'!AR22"))/100</f>
        <v>0</v>
      </c>
      <c r="K13" s="200"/>
      <c r="L13" s="32" cm="1">
        <f t="array" aca="1" ref="L13" ca="1">(INDIRECT("'1"&amp;$B13&amp;"'!AD22"))</f>
        <v>1.929360819718092</v>
      </c>
      <c r="M13" s="32" cm="1">
        <f t="array" aca="1" ref="M13" ca="1">(INDIRECT("'1"&amp;$B13&amp;"'!Ae22"))</f>
        <v>1.1591095437536814</v>
      </c>
      <c r="N13" s="32" cm="1">
        <f t="array" aca="1" ref="N13" ca="1">(INDIRECT("'1"&amp;$B13&amp;"'!Af22"))</f>
        <v>2.5417012400277428</v>
      </c>
      <c r="O13" s="32" cm="1">
        <f t="array" aca="1" ref="O13" ca="1">(INDIRECT("'1"&amp;$B13&amp;"'!Ag22"))</f>
        <v>2.151172237402577</v>
      </c>
      <c r="P13"/>
      <c r="Q13"/>
      <c r="R13"/>
      <c r="S13"/>
      <c r="T13"/>
      <c r="U13"/>
      <c r="V13"/>
      <c r="W13"/>
      <c r="X13"/>
      <c r="Y13"/>
      <c r="AC13" s="206">
        <f t="shared" ca="1" si="0"/>
        <v>1</v>
      </c>
    </row>
    <row r="14" spans="2:29" x14ac:dyDescent="0.3">
      <c r="B14" s="199" t="s">
        <v>218</v>
      </c>
      <c r="C14" s="1" t="s">
        <v>468</v>
      </c>
      <c r="D14" s="32" cm="1">
        <f t="array" aca="1" ref="D14" ca="1">(INDIRECT("'1"&amp;$B14&amp;"'!W22"))</f>
        <v>2.0191248605309946</v>
      </c>
      <c r="E14" s="32"/>
      <c r="F14" s="200" cm="1">
        <f t="array" aca="1" ref="F14" ca="1">(INDIRECT("'1"&amp;$B14&amp;"'!AS22"))/100</f>
        <v>0.35604839072198385</v>
      </c>
      <c r="G14" s="200" cm="1">
        <f t="array" aca="1" ref="G14" ca="1">(INDIRECT("'1"&amp;$B14&amp;"'!AT22"))/100</f>
        <v>0.27294658008710349</v>
      </c>
      <c r="H14" s="200" cm="1">
        <f t="array" aca="1" ref="H14" ca="1">(INDIRECT("'1"&amp;$B14&amp;"'!AU22"))/100</f>
        <v>0.26999555107985551</v>
      </c>
      <c r="I14" s="200" cm="1">
        <f t="array" aca="1" ref="I14" ca="1">(INDIRECT("'1"&amp;$B14&amp;"'!AV22")+INDIRECT("'1"&amp;$B14&amp;"'!AW22")+INDIRECT("'1"&amp;$B14&amp;"'!AX22"))/100</f>
        <v>4.8080193324061188E-2</v>
      </c>
      <c r="J14" s="200" cm="1">
        <f t="array" aca="1" ref="J14" ca="1">(INDIRECT("'1"&amp;$B14&amp;"'!AR22"))/100</f>
        <v>5.2929284786995948E-2</v>
      </c>
      <c r="K14" s="200"/>
      <c r="L14" s="32" cm="1">
        <f t="array" aca="1" ref="L14" ca="1">(INDIRECT("'1"&amp;$B14&amp;"'!AD22"))</f>
        <v>2.0793244264470014</v>
      </c>
      <c r="M14" s="32" cm="1">
        <f t="array" aca="1" ref="M14" ca="1">(INDIRECT("'1"&amp;$B14&amp;"'!Ae22"))</f>
        <v>1.8762948618205961</v>
      </c>
      <c r="N14" s="32" cm="1">
        <f t="array" aca="1" ref="N14" ca="1">(INDIRECT("'1"&amp;$B14&amp;"'!Af22"))</f>
        <v>2.0679438662368117</v>
      </c>
      <c r="O14" s="32" cm="1">
        <f t="array" aca="1" ref="O14" ca="1">(INDIRECT("'1"&amp;$B14&amp;"'!Ag22"))</f>
        <v>1.7059627595037326</v>
      </c>
      <c r="P14"/>
      <c r="Q14"/>
      <c r="R14"/>
      <c r="S14"/>
      <c r="T14"/>
      <c r="U14"/>
      <c r="V14"/>
      <c r="W14"/>
      <c r="X14"/>
      <c r="Y14"/>
      <c r="AC14" s="206">
        <f t="shared" ca="1" si="0"/>
        <v>1</v>
      </c>
    </row>
    <row r="15" spans="2:29" x14ac:dyDescent="0.3">
      <c r="B15" s="199" t="s">
        <v>222</v>
      </c>
      <c r="C15" s="1" t="s">
        <v>469</v>
      </c>
      <c r="D15" s="32" cm="1">
        <f t="array" aca="1" ref="D15" ca="1">(INDIRECT("'1"&amp;$B15&amp;"'!W22"))</f>
        <v>1.7423543356823485</v>
      </c>
      <c r="E15" s="32"/>
      <c r="F15" s="200" cm="1">
        <f t="array" aca="1" ref="F15" ca="1">(INDIRECT("'1"&amp;$B15&amp;"'!AS22"))/100</f>
        <v>0.4771173697969347</v>
      </c>
      <c r="G15" s="200" cm="1">
        <f t="array" aca="1" ref="G15" ca="1">(INDIRECT("'1"&amp;$B15&amp;"'!AT22"))/100</f>
        <v>0.15086056851233973</v>
      </c>
      <c r="H15" s="200" cm="1">
        <f t="array" aca="1" ref="H15" ca="1">(INDIRECT("'1"&amp;$B15&amp;"'!AU22"))/100</f>
        <v>0.15434382556515169</v>
      </c>
      <c r="I15" s="200" cm="1">
        <f t="array" aca="1" ref="I15" ca="1">(INDIRECT("'1"&amp;$B15&amp;"'!AV22")+INDIRECT("'1"&amp;$B15&amp;"'!AW22")+INDIRECT("'1"&amp;$B15&amp;"'!AX22"))/100</f>
        <v>0.21460048748756563</v>
      </c>
      <c r="J15" s="200" cm="1">
        <f t="array" aca="1" ref="J15" ca="1">(INDIRECT("'1"&amp;$B15&amp;"'!AR22"))/100</f>
        <v>3.0777486380082542E-3</v>
      </c>
      <c r="K15" s="200"/>
      <c r="L15" s="32" cm="1">
        <f t="array" aca="1" ref="L15" ca="1">(INDIRECT("'1"&amp;$B15&amp;"'!AD22"))</f>
        <v>1.7592194742378242</v>
      </c>
      <c r="M15" s="32" cm="1">
        <f t="array" aca="1" ref="M15" ca="1">(INDIRECT("'1"&amp;$B15&amp;"'!Ae22"))</f>
        <v>1.8002256504988021</v>
      </c>
      <c r="N15" s="32" cm="1">
        <f t="array" aca="1" ref="N15" ca="1">(INDIRECT("'1"&amp;$B15&amp;"'!Af22"))</f>
        <v>1.2061332089795913</v>
      </c>
      <c r="O15" s="32" cm="1">
        <f t="array" aca="1" ref="O15" ca="1">(INDIRECT("'1"&amp;$B15&amp;"'!Ag22"))</f>
        <v>1.5757971404149997</v>
      </c>
      <c r="P15"/>
      <c r="Q15"/>
      <c r="R15"/>
      <c r="S15"/>
      <c r="T15"/>
      <c r="U15"/>
      <c r="V15"/>
      <c r="W15"/>
      <c r="X15"/>
      <c r="Y15"/>
      <c r="AC15" s="206">
        <f t="shared" ca="1" si="0"/>
        <v>1</v>
      </c>
    </row>
    <row r="16" spans="2:29" x14ac:dyDescent="0.3">
      <c r="B16" s="199" t="s">
        <v>223</v>
      </c>
      <c r="C16" s="1" t="s">
        <v>470</v>
      </c>
      <c r="D16" s="32" cm="1">
        <f t="array" aca="1" ref="D16" ca="1">(INDIRECT("'1"&amp;$B16&amp;"'!W22"))</f>
        <v>1.5415702152840249</v>
      </c>
      <c r="E16" s="32"/>
      <c r="F16" s="200" cm="1">
        <f t="array" aca="1" ref="F16" ca="1">(INDIRECT("'1"&amp;$B16&amp;"'!AS22"))/100</f>
        <v>0.67748246548945734</v>
      </c>
      <c r="G16" s="200" cm="1">
        <f t="array" aca="1" ref="G16" ca="1">(INDIRECT("'1"&amp;$B16&amp;"'!AT22"))/100</f>
        <v>0.11624573119048547</v>
      </c>
      <c r="H16" s="200" cm="1">
        <f t="array" aca="1" ref="H16" ca="1">(INDIRECT("'1"&amp;$B16&amp;"'!AU22"))/100</f>
        <v>0.1021779690724933</v>
      </c>
      <c r="I16" s="200" cm="1">
        <f t="array" aca="1" ref="I16" ca="1">(INDIRECT("'1"&amp;$B16&amp;"'!AV22")+INDIRECT("'1"&amp;$B16&amp;"'!AW22")+INDIRECT("'1"&amp;$B16&amp;"'!AX22"))/100</f>
        <v>0.10409383424756406</v>
      </c>
      <c r="J16" s="200" cm="1">
        <f t="array" aca="1" ref="J16" ca="1">(INDIRECT("'1"&amp;$B16&amp;"'!AR22"))/100</f>
        <v>0</v>
      </c>
      <c r="K16" s="200"/>
      <c r="L16" s="32" cm="1">
        <f t="array" aca="1" ref="L16" ca="1">(INDIRECT("'1"&amp;$B16&amp;"'!AD22"))</f>
        <v>1.5332977251311959</v>
      </c>
      <c r="M16" s="32" cm="1">
        <f t="array" aca="1" ref="M16" ca="1">(INDIRECT("'1"&amp;$B16&amp;"'!Ae22"))</f>
        <v>1.527852959594066</v>
      </c>
      <c r="N16" s="32" cm="1">
        <f t="array" aca="1" ref="N16" ca="1">(INDIRECT("'1"&amp;$B16&amp;"'!Af22"))</f>
        <v>1.4994579213571648</v>
      </c>
      <c r="O16" s="32" cm="1">
        <f t="array" aca="1" ref="O16" ca="1">(INDIRECT("'1"&amp;$B16&amp;"'!Ag22"))</f>
        <v>1.6431081444694662</v>
      </c>
      <c r="P16"/>
      <c r="Q16"/>
      <c r="R16"/>
      <c r="S16"/>
      <c r="T16"/>
      <c r="U16"/>
      <c r="V16"/>
      <c r="W16"/>
      <c r="X16"/>
      <c r="Y16"/>
      <c r="AC16" s="206">
        <f t="shared" ca="1" si="0"/>
        <v>1.0000000000000002</v>
      </c>
    </row>
    <row r="17" spans="2:29" x14ac:dyDescent="0.3">
      <c r="B17" s="199" t="s">
        <v>225</v>
      </c>
      <c r="C17" s="1" t="s">
        <v>471</v>
      </c>
      <c r="D17" s="32" cm="1">
        <f t="array" aca="1" ref="D17" ca="1">(INDIRECT("'1"&amp;$B17&amp;"'!W22"))</f>
        <v>2.355007449589813</v>
      </c>
      <c r="E17" s="32"/>
      <c r="F17" s="200" cm="1">
        <f t="array" aca="1" ref="F17" ca="1">(INDIRECT("'1"&amp;$B17&amp;"'!AS22"))/100</f>
        <v>9.0129676942735191E-3</v>
      </c>
      <c r="G17" s="200" cm="1">
        <f t="array" aca="1" ref="G17" ca="1">(INDIRECT("'1"&amp;$B17&amp;"'!AT22"))/100</f>
        <v>0.78134389500531265</v>
      </c>
      <c r="H17" s="200" cm="1">
        <f t="array" aca="1" ref="H17" ca="1">(INDIRECT("'1"&amp;$B17&amp;"'!AU22"))/100</f>
        <v>0.16810762210471353</v>
      </c>
      <c r="I17" s="200" cm="1">
        <f t="array" aca="1" ref="I17" ca="1">(INDIRECT("'1"&amp;$B17&amp;"'!AV22")+INDIRECT("'1"&amp;$B17&amp;"'!AW22")+INDIRECT("'1"&amp;$B17&amp;"'!AX22"))/100</f>
        <v>-3.7753766645825929E-3</v>
      </c>
      <c r="J17" s="200" cm="1">
        <f t="array" aca="1" ref="J17" ca="1">(INDIRECT("'1"&amp;$B17&amp;"'!AR22"))/100</f>
        <v>4.5310891860283163E-2</v>
      </c>
      <c r="K17" s="200"/>
      <c r="L17" s="32" cm="1">
        <f t="array" aca="1" ref="L17" ca="1">(INDIRECT("'1"&amp;$B17&amp;"'!AD22"))</f>
        <v>2.6884276693825342</v>
      </c>
      <c r="M17" s="32" cm="1">
        <f t="array" aca="1" ref="M17" ca="1">(INDIRECT("'1"&amp;$B17&amp;"'!Ae22"))</f>
        <v>1.0104123808023298</v>
      </c>
      <c r="N17" s="32" cm="1">
        <f t="array" aca="1" ref="N17" ca="1">(INDIRECT("'1"&amp;$B17&amp;"'!Af22"))</f>
        <v>3.5782659495015663</v>
      </c>
      <c r="O17" s="32" cm="1">
        <f t="array" aca="1" ref="O17" ca="1">(INDIRECT("'1"&amp;$B17&amp;"'!Ag22"))</f>
        <v>2.1853699236530271</v>
      </c>
      <c r="P17"/>
      <c r="Q17"/>
      <c r="R17"/>
      <c r="S17"/>
      <c r="T17"/>
      <c r="U17"/>
      <c r="V17"/>
      <c r="W17"/>
      <c r="X17"/>
      <c r="Y17"/>
      <c r="AC17" s="206">
        <f t="shared" ca="1" si="0"/>
        <v>1.0000000000000002</v>
      </c>
    </row>
    <row r="18" spans="2:29" x14ac:dyDescent="0.3">
      <c r="B18" s="199" t="s">
        <v>227</v>
      </c>
      <c r="C18" s="1" t="s">
        <v>472</v>
      </c>
      <c r="D18" s="32" cm="1">
        <f t="array" aca="1" ref="D18" ca="1">(INDIRECT("'1"&amp;$B18&amp;"'!W22"))</f>
        <v>1.0958061555302958</v>
      </c>
      <c r="E18" s="32"/>
      <c r="F18" s="200" cm="1">
        <f t="array" aca="1" ref="F18" ca="1">(INDIRECT("'1"&amp;$B18&amp;"'!AS22"))/100</f>
        <v>0</v>
      </c>
      <c r="G18" s="200" cm="1">
        <f t="array" aca="1" ref="G18" ca="1">(INDIRECT("'1"&amp;$B18&amp;"'!AT22"))/100</f>
        <v>1</v>
      </c>
      <c r="H18" s="200" cm="1">
        <f t="array" aca="1" ref="H18" ca="1">(INDIRECT("'1"&amp;$B18&amp;"'!AU22"))/100</f>
        <v>0</v>
      </c>
      <c r="I18" s="200" cm="1">
        <f t="array" aca="1" ref="I18" ca="1">(INDIRECT("'1"&amp;$B18&amp;"'!AV22")+INDIRECT("'1"&amp;$B18&amp;"'!AW22")+INDIRECT("'1"&amp;$B18&amp;"'!AX22"))/100</f>
        <v>0</v>
      </c>
      <c r="J18" s="200" cm="1">
        <f t="array" aca="1" ref="J18" ca="1">(INDIRECT("'1"&amp;$B18&amp;"'!AR22"))/100</f>
        <v>0</v>
      </c>
      <c r="K18" s="200"/>
      <c r="L18" s="32" cm="1">
        <f t="array" aca="1" ref="L18" ca="1">(INDIRECT("'1"&amp;$B18&amp;"'!AD22"))</f>
        <v>1.3679494214177452</v>
      </c>
      <c r="M18" s="32" cm="1">
        <f t="array" aca="1" ref="M18" ca="1">(INDIRECT("'1"&amp;$B18&amp;"'!Ae22"))</f>
        <v>1.5042242873058123E-2</v>
      </c>
      <c r="N18" s="32" cm="1">
        <f t="array" aca="1" ref="N18" ca="1">(INDIRECT("'1"&amp;$B18&amp;"'!Af22"))</f>
        <v>1.2502440477725676</v>
      </c>
      <c r="O18" s="32" cm="1">
        <f t="array" aca="1" ref="O18" ca="1">(INDIRECT("'1"&amp;$B18&amp;"'!Ag22"))</f>
        <v>1.3997285624545133</v>
      </c>
      <c r="P18"/>
      <c r="Q18"/>
      <c r="R18"/>
      <c r="S18"/>
      <c r="T18"/>
      <c r="U18"/>
      <c r="V18"/>
      <c r="W18"/>
      <c r="X18"/>
      <c r="Y18"/>
      <c r="AC18" s="206">
        <f t="shared" ca="1" si="0"/>
        <v>1</v>
      </c>
    </row>
    <row r="19" spans="2:29" x14ac:dyDescent="0.3">
      <c r="B19" s="199" t="s">
        <v>233</v>
      </c>
      <c r="C19" s="1" t="s">
        <v>473</v>
      </c>
      <c r="D19" s="32" cm="1">
        <f t="array" aca="1" ref="D19" ca="1">(INDIRECT("'1"&amp;$B19&amp;"'!W22"))</f>
        <v>1.8138953207581621</v>
      </c>
      <c r="E19" s="32"/>
      <c r="F19" s="200" cm="1">
        <f t="array" aca="1" ref="F19" ca="1">(INDIRECT("'1"&amp;$B19&amp;"'!AS22"))/100</f>
        <v>0.48144757678355565</v>
      </c>
      <c r="G19" s="200" cm="1">
        <f t="array" aca="1" ref="G19" ca="1">(INDIRECT("'1"&amp;$B19&amp;"'!AT22"))/100</f>
        <v>0.38406962092154179</v>
      </c>
      <c r="H19" s="200" cm="1">
        <f t="array" aca="1" ref="H19" ca="1">(INDIRECT("'1"&amp;$B19&amp;"'!AU22"))/100</f>
        <v>0.11478430303697326</v>
      </c>
      <c r="I19" s="200" cm="1">
        <f t="array" aca="1" ref="I19" ca="1">(INDIRECT("'1"&amp;$B19&amp;"'!AV22")+INDIRECT("'1"&amp;$B19&amp;"'!AW22")+INDIRECT("'1"&amp;$B19&amp;"'!AX22"))/100</f>
        <v>0</v>
      </c>
      <c r="J19" s="200" cm="1">
        <f t="array" aca="1" ref="J19" ca="1">(INDIRECT("'1"&amp;$B19&amp;"'!AR22"))/100</f>
        <v>1.9698499257929283E-2</v>
      </c>
      <c r="K19" s="200"/>
      <c r="L19" s="32" cm="1">
        <f t="array" aca="1" ref="L19" ca="1">(INDIRECT("'1"&amp;$B19&amp;"'!AD22"))</f>
        <v>1.970526294511352</v>
      </c>
      <c r="M19" s="32" cm="1">
        <f t="array" aca="1" ref="M19" ca="1">(INDIRECT("'1"&amp;$B19&amp;"'!Ae22"))</f>
        <v>0.70800073725099166</v>
      </c>
      <c r="N19" s="32" cm="1">
        <f t="array" aca="1" ref="N19" ca="1">(INDIRECT("'1"&amp;$B19&amp;"'!Af22"))</f>
        <v>2.1236932565563813</v>
      </c>
      <c r="O19" s="32" cm="1">
        <f t="array" aca="1" ref="O19" ca="1">(INDIRECT("'1"&amp;$B19&amp;"'!Ag22"))</f>
        <v>2.030635402414612</v>
      </c>
      <c r="P19"/>
      <c r="Q19"/>
      <c r="R19"/>
      <c r="S19"/>
      <c r="T19"/>
      <c r="U19"/>
      <c r="V19"/>
      <c r="W19"/>
      <c r="X19"/>
      <c r="Y19"/>
      <c r="AC19" s="206">
        <f t="shared" ca="1" si="0"/>
        <v>1</v>
      </c>
    </row>
    <row r="20" spans="2:29" x14ac:dyDescent="0.3">
      <c r="B20" s="199" t="s">
        <v>234</v>
      </c>
      <c r="C20" s="1" t="s">
        <v>474</v>
      </c>
      <c r="D20" s="32" cm="1">
        <f t="array" aca="1" ref="D20" ca="1">(INDIRECT("'1"&amp;$B20&amp;"'!W22"))</f>
        <v>1.8551616744290942</v>
      </c>
      <c r="E20" s="32"/>
      <c r="F20" s="200" cm="1">
        <f t="array" aca="1" ref="F20" ca="1">(INDIRECT("'1"&amp;$B20&amp;"'!AS22"))/100</f>
        <v>0.33456368538892783</v>
      </c>
      <c r="G20" s="200" cm="1">
        <f t="array" aca="1" ref="G20" ca="1">(INDIRECT("'1"&amp;$B20&amp;"'!AT22"))/100</f>
        <v>0.35374929883221062</v>
      </c>
      <c r="H20" s="200" cm="1">
        <f t="array" aca="1" ref="H20" ca="1">(INDIRECT("'1"&amp;$B20&amp;"'!AU22"))/100</f>
        <v>0.15746843397881927</v>
      </c>
      <c r="I20" s="200" cm="1">
        <f t="array" aca="1" ref="I20" ca="1">(INDIRECT("'1"&amp;$B20&amp;"'!AV22")+INDIRECT("'1"&amp;$B20&amp;"'!AW22")+INDIRECT("'1"&amp;$B20&amp;"'!AX22"))/100</f>
        <v>9.9023501310325862E-2</v>
      </c>
      <c r="J20" s="200" cm="1">
        <f t="array" aca="1" ref="J20" ca="1">(INDIRECT("'1"&amp;$B20&amp;"'!AR22"))/100</f>
        <v>5.5195080489716414E-2</v>
      </c>
      <c r="K20" s="200"/>
      <c r="L20" s="32" cm="1">
        <f t="array" aca="1" ref="L20" ca="1">(INDIRECT("'1"&amp;$B20&amp;"'!AD22"))</f>
        <v>1.9537493484105335</v>
      </c>
      <c r="M20" s="32" cm="1">
        <f t="array" aca="1" ref="M20" ca="1">(INDIRECT("'1"&amp;$B20&amp;"'!Ae22"))</f>
        <v>1.8591212509285036</v>
      </c>
      <c r="N20" s="32" cm="1">
        <f t="array" aca="1" ref="N20" ca="1">(INDIRECT("'1"&amp;$B20&amp;"'!Af22"))</f>
        <v>1.287581922864246</v>
      </c>
      <c r="O20" s="32" cm="1">
        <f t="array" aca="1" ref="O20" ca="1">(INDIRECT("'1"&amp;$B20&amp;"'!Ag22"))</f>
        <v>2.0030244186384594</v>
      </c>
      <c r="P20"/>
      <c r="Q20"/>
      <c r="R20"/>
      <c r="S20"/>
      <c r="T20"/>
      <c r="U20"/>
      <c r="V20"/>
      <c r="W20"/>
      <c r="X20"/>
      <c r="Y20"/>
      <c r="AC20" s="206">
        <f t="shared" ca="1" si="0"/>
        <v>1</v>
      </c>
    </row>
    <row r="21" spans="2:29" x14ac:dyDescent="0.3">
      <c r="B21" s="199" t="s">
        <v>238</v>
      </c>
      <c r="C21" s="1" t="s">
        <v>475</v>
      </c>
      <c r="D21" s="32" cm="1">
        <f t="array" aca="1" ref="D21" ca="1">(INDIRECT("'1"&amp;$B21&amp;"'!W22"))</f>
        <v>1.3144652982741332</v>
      </c>
      <c r="E21" s="32"/>
      <c r="F21" s="200" cm="1">
        <f t="array" aca="1" ref="F21" ca="1">(INDIRECT("'1"&amp;$B21&amp;"'!AS22"))/100</f>
        <v>0.23528898807241788</v>
      </c>
      <c r="G21" s="200" cm="1">
        <f t="array" aca="1" ref="G21" ca="1">(INDIRECT("'1"&amp;$B21&amp;"'!AT22"))/100</f>
        <v>0.72615948570489697</v>
      </c>
      <c r="H21" s="200" cm="1">
        <f t="array" aca="1" ref="H21" ca="1">(INDIRECT("'1"&amp;$B21&amp;"'!AU22"))/100</f>
        <v>0</v>
      </c>
      <c r="I21" s="200" cm="1">
        <f t="array" aca="1" ref="I21" ca="1">(INDIRECT("'1"&amp;$B21&amp;"'!AV22")+INDIRECT("'1"&amp;$B21&amp;"'!AW22")+INDIRECT("'1"&amp;$B21&amp;"'!AX22"))/100</f>
        <v>0</v>
      </c>
      <c r="J21" s="200" cm="1">
        <f t="array" aca="1" ref="J21" ca="1">(INDIRECT("'1"&amp;$B21&amp;"'!AR22"))/100</f>
        <v>3.8551526222685234E-2</v>
      </c>
      <c r="K21" s="200"/>
      <c r="L21" s="32" cm="1">
        <f t="array" aca="1" ref="L21" ca="1">(INDIRECT("'1"&amp;$B21&amp;"'!AD22"))</f>
        <v>1.4179586363622065</v>
      </c>
      <c r="M21" s="32" cm="1">
        <f t="array" aca="1" ref="M21" ca="1">(INDIRECT("'1"&amp;$B21&amp;"'!Ae22"))</f>
        <v>1.066709013371774</v>
      </c>
      <c r="N21" s="32" cm="1">
        <f t="array" aca="1" ref="N21" ca="1">(INDIRECT("'1"&amp;$B21&amp;"'!Af22"))</f>
        <v>0.73260968072054045</v>
      </c>
      <c r="O21" s="32" cm="1">
        <f t="array" aca="1" ref="O21" ca="1">(INDIRECT("'1"&amp;$B21&amp;"'!Ag22"))</f>
        <v>1.0105271462337075</v>
      </c>
      <c r="P21"/>
      <c r="Q21"/>
      <c r="R21"/>
      <c r="S21"/>
      <c r="T21"/>
      <c r="U21"/>
      <c r="V21"/>
      <c r="W21"/>
      <c r="X21"/>
      <c r="Y21"/>
      <c r="AC21" s="206">
        <f t="shared" ca="1" si="0"/>
        <v>1</v>
      </c>
    </row>
    <row r="22" spans="2:29" x14ac:dyDescent="0.3">
      <c r="B22" s="199" t="s">
        <v>240</v>
      </c>
      <c r="C22" s="1" t="s">
        <v>476</v>
      </c>
      <c r="D22" s="32" cm="1">
        <f t="array" aca="1" ref="D22" ca="1">(INDIRECT("'1"&amp;$B22&amp;"'!W22"))</f>
        <v>1.8727964639724985</v>
      </c>
      <c r="E22" s="32"/>
      <c r="F22" s="200" cm="1">
        <f t="array" aca="1" ref="F22" ca="1">(INDIRECT("'1"&amp;$B22&amp;"'!AS22"))/100</f>
        <v>0.84920709286519491</v>
      </c>
      <c r="G22" s="200" cm="1">
        <f t="array" aca="1" ref="G22" ca="1">(INDIRECT("'1"&amp;$B22&amp;"'!AT22"))/100</f>
        <v>7.1269247421502396E-2</v>
      </c>
      <c r="H22" s="200" cm="1">
        <f t="array" aca="1" ref="H22" ca="1">(INDIRECT("'1"&amp;$B22&amp;"'!AU22"))/100</f>
        <v>2.4668067723862749E-2</v>
      </c>
      <c r="I22" s="200" cm="1">
        <f t="array" aca="1" ref="I22" ca="1">(INDIRECT("'1"&amp;$B22&amp;"'!AV22")+INDIRECT("'1"&amp;$B22&amp;"'!AW22")+INDIRECT("'1"&amp;$B22&amp;"'!AX22"))/100</f>
        <v>4.3107940808851136E-2</v>
      </c>
      <c r="J22" s="200" cm="1">
        <f t="array" aca="1" ref="J22" ca="1">(INDIRECT("'1"&amp;$B22&amp;"'!AR22"))/100</f>
        <v>1.174765118058871E-2</v>
      </c>
      <c r="K22" s="200"/>
      <c r="L22" s="32" cm="1">
        <f t="array" aca="1" ref="L22" ca="1">(INDIRECT("'1"&amp;$B22&amp;"'!AD22"))</f>
        <v>1.8999946856387637</v>
      </c>
      <c r="M22" s="32" cm="1">
        <f t="array" aca="1" ref="M22" ca="1">(INDIRECT("'1"&amp;$B22&amp;"'!Ae22"))</f>
        <v>1.8809239920002523</v>
      </c>
      <c r="N22" s="32" cm="1">
        <f t="array" aca="1" ref="N22" ca="1">(INDIRECT("'1"&amp;$B22&amp;"'!Af22"))</f>
        <v>1.855599622654609</v>
      </c>
      <c r="O22" s="32" cm="1">
        <f t="array" aca="1" ref="O22" ca="1">(INDIRECT("'1"&amp;$B22&amp;"'!Ag22"))</f>
        <v>2.1375577352985529</v>
      </c>
      <c r="P22"/>
      <c r="Q22"/>
      <c r="R22"/>
      <c r="S22"/>
      <c r="T22"/>
      <c r="U22"/>
      <c r="V22"/>
      <c r="W22"/>
      <c r="X22"/>
      <c r="Y22"/>
      <c r="AC22" s="206">
        <f t="shared" ca="1" si="0"/>
        <v>1</v>
      </c>
    </row>
    <row r="23" spans="2:29" x14ac:dyDescent="0.3">
      <c r="B23" s="199" t="s">
        <v>242</v>
      </c>
      <c r="C23" s="1" t="s">
        <v>477</v>
      </c>
      <c r="D23" s="32" cm="1">
        <f t="array" aca="1" ref="D23" ca="1">(INDIRECT("'1"&amp;$B23&amp;"'!W22"))</f>
        <v>1.439871427179074</v>
      </c>
      <c r="E23" s="32"/>
      <c r="F23" s="200" cm="1">
        <f t="array" aca="1" ref="F23" ca="1">(INDIRECT("'1"&amp;$B23&amp;"'!AS22"))/100</f>
        <v>0.118498489576028</v>
      </c>
      <c r="G23" s="200" cm="1">
        <f t="array" aca="1" ref="G23" ca="1">(INDIRECT("'1"&amp;$B23&amp;"'!AT22"))/100</f>
        <v>0.68349299213704606</v>
      </c>
      <c r="H23" s="200" cm="1">
        <f t="array" aca="1" ref="H23" ca="1">(INDIRECT("'1"&amp;$B23&amp;"'!AU22"))/100</f>
        <v>0.18673273582215161</v>
      </c>
      <c r="I23" s="200" cm="1">
        <f t="array" aca="1" ref="I23" ca="1">(INDIRECT("'1"&amp;$B23&amp;"'!AV22")+INDIRECT("'1"&amp;$B23&amp;"'!AW22")+INDIRECT("'1"&amp;$B23&amp;"'!AX22"))/100</f>
        <v>0</v>
      </c>
      <c r="J23" s="200" cm="1">
        <f t="array" aca="1" ref="J23" ca="1">(INDIRECT("'1"&amp;$B23&amp;"'!AR22"))/100</f>
        <v>1.1275782464774347E-2</v>
      </c>
      <c r="K23" s="200"/>
      <c r="L23" s="32" cm="1">
        <f t="array" aca="1" ref="L23" ca="1">(INDIRECT("'1"&amp;$B23&amp;"'!AD22"))</f>
        <v>1.4601387143957609</v>
      </c>
      <c r="M23" s="32" cm="1">
        <f t="array" aca="1" ref="M23" ca="1">(INDIRECT("'1"&amp;$B23&amp;"'!Ae22"))</f>
        <v>1.3338340627050325</v>
      </c>
      <c r="N23" s="32" cm="1">
        <f t="array" aca="1" ref="N23" ca="1">(INDIRECT("'1"&amp;$B23&amp;"'!Af22"))</f>
        <v>1.4312187304648096</v>
      </c>
      <c r="O23" s="32" cm="1">
        <f t="array" aca="1" ref="O23" ca="1">(INDIRECT("'1"&amp;$B23&amp;"'!Ag22"))</f>
        <v>1.4974934921459935</v>
      </c>
      <c r="P23"/>
      <c r="Q23"/>
      <c r="R23"/>
      <c r="S23"/>
      <c r="T23"/>
      <c r="U23"/>
      <c r="V23"/>
      <c r="W23"/>
      <c r="X23"/>
      <c r="Y23"/>
      <c r="AC23" s="206">
        <f t="shared" ca="1" si="0"/>
        <v>1.0000000000000002</v>
      </c>
    </row>
    <row r="24" spans="2:29" x14ac:dyDescent="0.3">
      <c r="B24" s="199" t="s">
        <v>245</v>
      </c>
      <c r="C24" s="1" t="s">
        <v>478</v>
      </c>
      <c r="D24" s="32" cm="1">
        <f t="array" aca="1" ref="D24" ca="1">(INDIRECT("'1"&amp;$B24&amp;"'!W22"))</f>
        <v>1.8138346754056838</v>
      </c>
      <c r="E24" s="32"/>
      <c r="F24" s="200" cm="1">
        <f t="array" aca="1" ref="F24" ca="1">(INDIRECT("'1"&amp;$B24&amp;"'!AS22"))/100</f>
        <v>0.93934499519945158</v>
      </c>
      <c r="G24" s="200" cm="1">
        <f t="array" aca="1" ref="G24" ca="1">(INDIRECT("'1"&amp;$B24&amp;"'!AT22"))/100</f>
        <v>1.4935858415459705E-2</v>
      </c>
      <c r="H24" s="200" cm="1">
        <f t="array" aca="1" ref="H24" ca="1">(INDIRECT("'1"&amp;$B24&amp;"'!AU22"))/100</f>
        <v>3.5352910620894541E-3</v>
      </c>
      <c r="I24" s="200" cm="1">
        <f t="array" aca="1" ref="I24" ca="1">(INDIRECT("'1"&amp;$B24&amp;"'!AV22")+INDIRECT("'1"&amp;$B24&amp;"'!AW22")+INDIRECT("'1"&amp;$B24&amp;"'!AX22"))/100</f>
        <v>9.5161324277306201E-3</v>
      </c>
      <c r="J24" s="200" cm="1">
        <f t="array" aca="1" ref="J24" ca="1">(INDIRECT("'1"&amp;$B24&amp;"'!AR22"))/100</f>
        <v>3.2667722895268488E-2</v>
      </c>
      <c r="K24" s="200"/>
      <c r="L24" s="32" cm="1">
        <f t="array" aca="1" ref="L24" ca="1">(INDIRECT("'1"&amp;$B24&amp;"'!AD22"))</f>
        <v>1.9984210109142111</v>
      </c>
      <c r="M24" s="32" cm="1">
        <f t="array" aca="1" ref="M24" ca="1">(INDIRECT("'1"&amp;$B24&amp;"'!Ae22"))</f>
        <v>0.73848195880842593</v>
      </c>
      <c r="N24" s="32" cm="1">
        <f t="array" aca="1" ref="N24" ca="1">(INDIRECT("'1"&amp;$B24&amp;"'!Af22"))</f>
        <v>2.0026194552608425</v>
      </c>
      <c r="O24" s="32" cm="1">
        <f t="array" aca="1" ref="O24" ca="1">(INDIRECT("'1"&amp;$B24&amp;"'!Ag22"))</f>
        <v>1.6342452720963929</v>
      </c>
      <c r="P24"/>
      <c r="Q24"/>
      <c r="R24"/>
      <c r="S24"/>
      <c r="T24"/>
      <c r="U24"/>
      <c r="V24"/>
      <c r="W24"/>
      <c r="X24"/>
      <c r="Y24"/>
      <c r="AC24" s="206">
        <f t="shared" ca="1" si="0"/>
        <v>1</v>
      </c>
    </row>
    <row r="25" spans="2:29" x14ac:dyDescent="0.3">
      <c r="B25" s="199" t="s">
        <v>247</v>
      </c>
      <c r="C25" s="1" t="s">
        <v>479</v>
      </c>
      <c r="D25" s="32" cm="1">
        <f t="array" aca="1" ref="D25" ca="1">(INDIRECT("'1"&amp;$B25&amp;"'!W22"))</f>
        <v>2.1811011429483584</v>
      </c>
      <c r="E25" s="32"/>
      <c r="F25" s="200" cm="1">
        <f t="array" aca="1" ref="F25" ca="1">(INDIRECT("'1"&amp;$B25&amp;"'!AS22"))/100</f>
        <v>0.68726751695036681</v>
      </c>
      <c r="G25" s="200" cm="1">
        <f t="array" aca="1" ref="G25" ca="1">(INDIRECT("'1"&amp;$B25&amp;"'!AT22"))/100</f>
        <v>0.20284674971722286</v>
      </c>
      <c r="H25" s="200" cm="1">
        <f t="array" aca="1" ref="H25" ca="1">(INDIRECT("'1"&amp;$B25&amp;"'!AU22"))/100</f>
        <v>1.2733492342607731E-2</v>
      </c>
      <c r="I25" s="200" cm="1">
        <f t="array" aca="1" ref="I25" ca="1">(INDIRECT("'1"&amp;$B25&amp;"'!AV22")+INDIRECT("'1"&amp;$B25&amp;"'!AW22")+INDIRECT("'1"&amp;$B25&amp;"'!AX22"))/100</f>
        <v>5.6991882359697724E-3</v>
      </c>
      <c r="J25" s="200" cm="1">
        <f t="array" aca="1" ref="J25" ca="1">(INDIRECT("'1"&amp;$B25&amp;"'!AR22"))/100</f>
        <v>9.1453052753832503E-2</v>
      </c>
      <c r="K25" s="200"/>
      <c r="L25" s="32" cm="1">
        <f t="array" aca="1" ref="L25" ca="1">(INDIRECT("'1"&amp;$B25&amp;"'!AD22"))</f>
        <v>2.4690313683534573</v>
      </c>
      <c r="M25" s="32" cm="1">
        <f t="array" aca="1" ref="M25" ca="1">(INDIRECT("'1"&amp;$B25&amp;"'!Ae22"))</f>
        <v>1.6942098979905715</v>
      </c>
      <c r="N25" s="32" cm="1">
        <f t="array" aca="1" ref="N25" ca="1">(INDIRECT("'1"&amp;$B25&amp;"'!Af22"))</f>
        <v>2.0460719597729513</v>
      </c>
      <c r="O25" s="32" cm="1">
        <f t="array" aca="1" ref="O25" ca="1">(INDIRECT("'1"&amp;$B25&amp;"'!Ag22"))</f>
        <v>1.4510064346989677</v>
      </c>
      <c r="P25"/>
      <c r="Q25"/>
      <c r="R25"/>
      <c r="S25"/>
      <c r="T25"/>
      <c r="U25"/>
      <c r="V25"/>
      <c r="W25"/>
      <c r="X25"/>
      <c r="Y25"/>
      <c r="AC25" s="206">
        <f t="shared" ca="1" si="0"/>
        <v>0.99999999999999967</v>
      </c>
    </row>
    <row r="26" spans="2:29" x14ac:dyDescent="0.3">
      <c r="B26" s="199" t="s">
        <v>249</v>
      </c>
      <c r="C26" s="1" t="s">
        <v>480</v>
      </c>
      <c r="D26" s="32" cm="1">
        <f t="array" aca="1" ref="D26" ca="1">(INDIRECT("'1"&amp;$B26&amp;"'!W22"))</f>
        <v>1.9912797248057028</v>
      </c>
      <c r="E26" s="32"/>
      <c r="F26" s="200" cm="1">
        <f t="array" aca="1" ref="F26" ca="1">(INDIRECT("'1"&amp;$B26&amp;"'!AS22"))/100</f>
        <v>0.43779134252882401</v>
      </c>
      <c r="G26" s="200" cm="1">
        <f t="array" aca="1" ref="G26" ca="1">(INDIRECT("'1"&amp;$B26&amp;"'!AT22"))/100</f>
        <v>0.29247626957288336</v>
      </c>
      <c r="H26" s="200" cm="1">
        <f t="array" aca="1" ref="H26" ca="1">(INDIRECT("'1"&amp;$B26&amp;"'!AU22"))/100</f>
        <v>7.1429417915442064E-2</v>
      </c>
      <c r="I26" s="200" cm="1">
        <f t="array" aca="1" ref="I26" ca="1">(INDIRECT("'1"&amp;$B26&amp;"'!AV22")+INDIRECT("'1"&amp;$B26&amp;"'!AW22")+INDIRECT("'1"&amp;$B26&amp;"'!AX22"))/100</f>
        <v>0.13931542762294252</v>
      </c>
      <c r="J26" s="200" cm="1">
        <f t="array" aca="1" ref="J26" ca="1">(INDIRECT("'1"&amp;$B26&amp;"'!AR22"))/100</f>
        <v>5.8987542359908031E-2</v>
      </c>
      <c r="K26" s="200"/>
      <c r="L26" s="32" cm="1">
        <f t="array" aca="1" ref="L26" ca="1">(INDIRECT("'1"&amp;$B26&amp;"'!AD22"))</f>
        <v>2.1090928514088643</v>
      </c>
      <c r="M26" s="32" cm="1">
        <f t="array" aca="1" ref="M26" ca="1">(INDIRECT("'1"&amp;$B26&amp;"'!Ae22"))</f>
        <v>1.6647705593685156</v>
      </c>
      <c r="N26" s="32" cm="1">
        <f t="array" aca="1" ref="N26" ca="1">(INDIRECT("'1"&amp;$B26&amp;"'!Af22"))</f>
        <v>1.9320193275666571</v>
      </c>
      <c r="O26" s="32" cm="1">
        <f t="array" aca="1" ref="O26" ca="1">(INDIRECT("'1"&amp;$B26&amp;"'!Ag22"))</f>
        <v>2.4313184855918766</v>
      </c>
      <c r="P26"/>
      <c r="Q26"/>
      <c r="R26"/>
      <c r="S26"/>
      <c r="T26"/>
      <c r="U26"/>
      <c r="V26"/>
      <c r="W26"/>
      <c r="X26"/>
      <c r="Y26"/>
      <c r="AC26" s="206">
        <f t="shared" ca="1" si="0"/>
        <v>1</v>
      </c>
    </row>
    <row r="27" spans="2:29" x14ac:dyDescent="0.3">
      <c r="B27" s="199" t="s">
        <v>252</v>
      </c>
      <c r="C27" s="1" t="s">
        <v>481</v>
      </c>
      <c r="D27" s="32" cm="1">
        <f t="array" aca="1" ref="D27" ca="1">(INDIRECT("'1"&amp;$B27&amp;"'!W22"))</f>
        <v>1.8863476683839748</v>
      </c>
      <c r="E27" s="32"/>
      <c r="F27" s="200" cm="1">
        <f t="array" aca="1" ref="F27" ca="1">(INDIRECT("'1"&amp;$B27&amp;"'!AS22"))/100</f>
        <v>0.35867754081323577</v>
      </c>
      <c r="G27" s="200" cm="1">
        <f t="array" aca="1" ref="G27" ca="1">(INDIRECT("'1"&amp;$B27&amp;"'!AT22"))/100</f>
        <v>0.50690579127839841</v>
      </c>
      <c r="H27" s="200" cm="1">
        <f t="array" aca="1" ref="H27" ca="1">(INDIRECT("'1"&amp;$B27&amp;"'!AU22"))/100</f>
        <v>0.12587468220290379</v>
      </c>
      <c r="I27" s="200" cm="1">
        <f t="array" aca="1" ref="I27" ca="1">(INDIRECT("'1"&amp;$B27&amp;"'!AV22")+INDIRECT("'1"&amp;$B27&amp;"'!AW22")+INDIRECT("'1"&amp;$B27&amp;"'!AX22"))/100</f>
        <v>5.8396205597064765E-4</v>
      </c>
      <c r="J27" s="200" cm="1">
        <f t="array" aca="1" ref="J27" ca="1">(INDIRECT("'1"&amp;$B27&amp;"'!AR22"))/100</f>
        <v>7.9580236494913633E-3</v>
      </c>
      <c r="K27" s="200"/>
      <c r="L27" s="32" cm="1">
        <f t="array" aca="1" ref="L27" ca="1">(INDIRECT("'1"&amp;$B27&amp;"'!AD22"))</f>
        <v>2.2081156713004653</v>
      </c>
      <c r="M27" s="32" cm="1">
        <f t="array" aca="1" ref="M27" ca="1">(INDIRECT("'1"&amp;$B27&amp;"'!Ae22"))</f>
        <v>0.75577205303893757</v>
      </c>
      <c r="N27" s="32" cm="1">
        <f t="array" aca="1" ref="N27" ca="1">(INDIRECT("'1"&amp;$B27&amp;"'!Af22"))</f>
        <v>2.4834953306538483</v>
      </c>
      <c r="O27" s="32" cm="1">
        <f t="array" aca="1" ref="O27" ca="1">(INDIRECT("'1"&amp;$B27&amp;"'!Ag22"))</f>
        <v>2.49753074624559</v>
      </c>
      <c r="P27"/>
      <c r="Q27"/>
      <c r="R27"/>
      <c r="S27"/>
      <c r="T27"/>
      <c r="U27"/>
      <c r="V27"/>
      <c r="W27"/>
      <c r="X27"/>
      <c r="Y27"/>
      <c r="AC27" s="206">
        <f t="shared" ca="1" si="0"/>
        <v>1</v>
      </c>
    </row>
    <row r="28" spans="2:29" x14ac:dyDescent="0.3">
      <c r="B28" s="199" t="s">
        <v>254</v>
      </c>
      <c r="C28" s="92" t="s">
        <v>482</v>
      </c>
      <c r="D28" s="203" cm="1">
        <f t="array" aca="1" ref="D28" ca="1">(INDIRECT("'1"&amp;$B28&amp;"'!W22"))</f>
        <v>1.8516723283112846</v>
      </c>
      <c r="E28" s="203"/>
      <c r="F28" s="204" cm="1">
        <f t="array" aca="1" ref="F28" ca="1">(INDIRECT("'1"&amp;$B28&amp;"'!AS22"))/100</f>
        <v>4.6611833972468606E-3</v>
      </c>
      <c r="G28" s="204" cm="1">
        <f t="array" aca="1" ref="G28" ca="1">(INDIRECT("'1"&amp;$B28&amp;"'!AT22"))/100</f>
        <v>0.83819490649804773</v>
      </c>
      <c r="H28" s="204" cm="1">
        <f t="array" aca="1" ref="H28" ca="1">(INDIRECT("'1"&amp;$B28&amp;"'!AU22"))/100</f>
        <v>1.4089357043491684E-2</v>
      </c>
      <c r="I28" s="204" cm="1">
        <f t="array" aca="1" ref="I28" ca="1">(INDIRECT("'1"&amp;$B28&amp;"'!AV22")+INDIRECT("'1"&amp;$B28&amp;"'!AW22")+INDIRECT("'1"&amp;$B28&amp;"'!AX22"))/100</f>
        <v>0</v>
      </c>
      <c r="J28" s="204" cm="1">
        <f t="array" aca="1" ref="J28" ca="1">(INDIRECT("'1"&amp;$B28&amp;"'!AR22"))/100</f>
        <v>0.14305455306121376</v>
      </c>
      <c r="K28" s="204"/>
      <c r="L28" s="203" cm="1">
        <f t="array" aca="1" ref="L28" ca="1">(INDIRECT("'1"&amp;$B28&amp;"'!AD22"))</f>
        <v>1.9961548581214728</v>
      </c>
      <c r="M28" s="203" cm="1">
        <f t="array" aca="1" ref="M28" ca="1">(INDIRECT("'1"&amp;$B28&amp;"'!Ae22"))</f>
        <v>2.3756448304070346</v>
      </c>
      <c r="N28" s="203" cm="1">
        <f t="array" aca="1" ref="N28" ca="1">(INDIRECT("'1"&amp;$B28&amp;"'!Af22"))</f>
        <v>1.0011110900025455</v>
      </c>
      <c r="O28" s="203" cm="1">
        <f t="array" aca="1" ref="O28" ca="1">(INDIRECT("'1"&amp;$B28&amp;"'!Ag22"))</f>
        <v>1.6678959479585278</v>
      </c>
      <c r="P28"/>
      <c r="Q28"/>
      <c r="R28"/>
      <c r="S28"/>
      <c r="T28"/>
      <c r="U28"/>
      <c r="V28"/>
      <c r="W28"/>
      <c r="X28"/>
      <c r="Y28"/>
      <c r="AC28" s="206">
        <f t="shared" ca="1" si="0"/>
        <v>1</v>
      </c>
    </row>
    <row r="31" spans="2:29" ht="14.7" customHeight="1" x14ac:dyDescent="0.3">
      <c r="C31" s="548"/>
      <c r="D31" s="548"/>
      <c r="E31" s="548"/>
      <c r="F31" s="548"/>
      <c r="G31" s="548"/>
      <c r="H31" s="548"/>
      <c r="I31" s="548"/>
      <c r="J31" s="548"/>
      <c r="K31" s="548"/>
      <c r="L31" s="548"/>
      <c r="M31" s="548"/>
      <c r="N31" s="548"/>
      <c r="O31" s="548"/>
      <c r="P31" s="44"/>
      <c r="Q31" s="44"/>
      <c r="R31" s="44"/>
      <c r="S31" s="44"/>
      <c r="T31" s="44"/>
      <c r="U31" s="44"/>
    </row>
    <row r="32" spans="2:29" x14ac:dyDescent="0.3">
      <c r="C32" s="548"/>
      <c r="D32" s="548"/>
      <c r="E32" s="548"/>
      <c r="F32" s="548"/>
      <c r="G32" s="548"/>
      <c r="H32" s="548"/>
      <c r="I32" s="548"/>
      <c r="J32" s="548"/>
      <c r="K32" s="548"/>
      <c r="L32" s="548"/>
      <c r="M32" s="548"/>
      <c r="N32" s="548"/>
      <c r="O32" s="548"/>
      <c r="P32" s="44"/>
      <c r="Q32" s="44"/>
      <c r="R32" s="44"/>
      <c r="S32" s="44"/>
      <c r="T32" s="44"/>
      <c r="U32" s="44"/>
    </row>
    <row r="33" spans="3:21" x14ac:dyDescent="0.3">
      <c r="C33" s="548"/>
      <c r="D33" s="548"/>
      <c r="E33" s="548"/>
      <c r="F33" s="548"/>
      <c r="G33" s="548"/>
      <c r="H33" s="548"/>
      <c r="I33" s="548"/>
      <c r="J33" s="548"/>
      <c r="K33" s="548"/>
      <c r="L33" s="548"/>
      <c r="M33" s="548"/>
      <c r="N33" s="548"/>
      <c r="O33" s="548"/>
      <c r="P33" s="44"/>
      <c r="Q33" s="44"/>
      <c r="R33" s="44"/>
      <c r="S33" s="44"/>
      <c r="T33" s="44"/>
      <c r="U33" s="44"/>
    </row>
    <row r="34" spans="3:21" x14ac:dyDescent="0.3">
      <c r="C34" s="548"/>
      <c r="D34" s="548"/>
      <c r="E34" s="548"/>
      <c r="F34" s="548"/>
      <c r="G34" s="548"/>
      <c r="H34" s="548"/>
      <c r="I34" s="548"/>
      <c r="J34" s="548"/>
      <c r="K34" s="548"/>
      <c r="L34" s="548"/>
      <c r="M34" s="548"/>
      <c r="N34" s="548"/>
      <c r="O34" s="548"/>
      <c r="P34" s="44"/>
      <c r="Q34" s="44"/>
      <c r="R34" s="44"/>
      <c r="S34" s="44"/>
      <c r="T34" s="44"/>
      <c r="U34" s="44"/>
    </row>
    <row r="35" spans="3:21" x14ac:dyDescent="0.3">
      <c r="C35" s="548"/>
      <c r="D35" s="548"/>
      <c r="E35" s="548"/>
      <c r="F35" s="548"/>
      <c r="G35" s="548"/>
      <c r="H35" s="548"/>
      <c r="I35" s="548"/>
      <c r="J35" s="548"/>
      <c r="K35" s="548"/>
      <c r="L35" s="548"/>
      <c r="M35" s="548"/>
      <c r="N35" s="548"/>
      <c r="O35" s="548"/>
      <c r="P35" s="44"/>
      <c r="Q35" s="44"/>
      <c r="R35" s="44"/>
      <c r="S35" s="44"/>
      <c r="T35" s="44"/>
      <c r="U35" s="44"/>
    </row>
  </sheetData>
  <mergeCells count="4">
    <mergeCell ref="F5:J5"/>
    <mergeCell ref="L5:O5"/>
    <mergeCell ref="D4:O4"/>
    <mergeCell ref="C31:O35"/>
  </mergeCells>
  <phoneticPr fontId="24" type="noConversion"/>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18F67B-6569-4659-B864-2418856C9084}">
  <dimension ref="B3:R35"/>
  <sheetViews>
    <sheetView showGridLines="0" workbookViewId="0">
      <selection activeCell="P34" sqref="P34"/>
    </sheetView>
  </sheetViews>
  <sheetFormatPr baseColWidth="10" defaultColWidth="11.5546875" defaultRowHeight="14.4" x14ac:dyDescent="0.3"/>
  <cols>
    <col min="1" max="2" width="11.5546875" style="1"/>
    <col min="3" max="3" width="15.6640625" style="1" customWidth="1"/>
    <col min="4" max="4" width="12.6640625" style="1" customWidth="1"/>
    <col min="5" max="5" width="9.6640625" style="1" customWidth="1"/>
    <col min="6" max="6" width="11" style="1" customWidth="1"/>
    <col min="7" max="7" width="12.33203125" style="1" customWidth="1"/>
    <col min="8" max="8" width="9.6640625" style="1" customWidth="1"/>
    <col min="9" max="9" width="1.6640625" style="1" customWidth="1"/>
    <col min="10" max="16384" width="11.5546875" style="1"/>
  </cols>
  <sheetData>
    <row r="3" spans="2:18" x14ac:dyDescent="0.3">
      <c r="J3"/>
      <c r="K3"/>
      <c r="L3"/>
      <c r="M3"/>
      <c r="N3"/>
    </row>
    <row r="4" spans="2:18" x14ac:dyDescent="0.3">
      <c r="D4" s="547"/>
      <c r="E4" s="547"/>
      <c r="F4" s="547"/>
      <c r="G4" s="547"/>
      <c r="H4" s="547"/>
      <c r="I4" s="443"/>
      <c r="J4"/>
      <c r="K4"/>
      <c r="L4"/>
      <c r="M4"/>
      <c r="N4"/>
    </row>
    <row r="5" spans="2:18" x14ac:dyDescent="0.3">
      <c r="D5" s="92"/>
      <c r="E5" s="546" t="s">
        <v>261</v>
      </c>
      <c r="F5" s="546"/>
      <c r="G5" s="546"/>
      <c r="H5" s="546"/>
      <c r="I5" s="443"/>
      <c r="J5" s="549" t="s">
        <v>483</v>
      </c>
      <c r="K5" s="549"/>
      <c r="L5" s="549"/>
      <c r="M5" s="549"/>
      <c r="N5" s="549"/>
    </row>
    <row r="6" spans="2:18" ht="35.4" customHeight="1" x14ac:dyDescent="0.3">
      <c r="D6" s="450" t="s">
        <v>543</v>
      </c>
      <c r="E6" s="370" t="s">
        <v>448</v>
      </c>
      <c r="F6" s="370" t="s">
        <v>449</v>
      </c>
      <c r="G6" s="370" t="s">
        <v>450</v>
      </c>
      <c r="H6" s="370" t="s">
        <v>451</v>
      </c>
      <c r="I6" s="370"/>
      <c r="J6" s="450" t="s">
        <v>543</v>
      </c>
      <c r="K6" s="461" t="s">
        <v>448</v>
      </c>
      <c r="L6" s="461" t="s">
        <v>449</v>
      </c>
      <c r="M6" s="461" t="s">
        <v>450</v>
      </c>
      <c r="N6" s="461" t="s">
        <v>451</v>
      </c>
    </row>
    <row r="7" spans="2:18" ht="15.6" customHeight="1" x14ac:dyDescent="0.3">
      <c r="C7" s="92"/>
      <c r="D7" s="455" t="s">
        <v>452</v>
      </c>
      <c r="E7" s="455" t="s">
        <v>453</v>
      </c>
      <c r="F7" s="455" t="s">
        <v>454</v>
      </c>
      <c r="G7" s="455" t="s">
        <v>455</v>
      </c>
      <c r="H7" s="455" t="s">
        <v>456</v>
      </c>
      <c r="I7" s="455"/>
      <c r="J7" s="456" t="s">
        <v>457</v>
      </c>
      <c r="K7" s="456" t="s">
        <v>458</v>
      </c>
      <c r="L7" s="456" t="s">
        <v>459</v>
      </c>
      <c r="M7" s="456" t="s">
        <v>460</v>
      </c>
      <c r="N7" s="456" t="s">
        <v>461</v>
      </c>
    </row>
    <row r="8" spans="2:18" x14ac:dyDescent="0.3">
      <c r="B8" s="199" t="s">
        <v>3</v>
      </c>
      <c r="C8" s="1" t="s">
        <v>462</v>
      </c>
      <c r="D8" s="32" cm="1">
        <f t="array" aca="1" ref="D8" ca="1">(INDIRECT("'1"&amp;$B8&amp;"'!EV22"))</f>
        <v>1.9899027707242172</v>
      </c>
      <c r="E8" s="32" cm="1">
        <f t="array" aca="1" ref="E8" ca="1">(INDIRECT("'1"&amp;$B8&amp;"'!FB22"))</f>
        <v>1.9365548106970563</v>
      </c>
      <c r="F8" s="32" cm="1">
        <f t="array" aca="1" ref="F8" ca="1">(INDIRECT("'1"&amp;$B8&amp;"'!FC22"))</f>
        <v>1.9375453305900963</v>
      </c>
      <c r="G8" s="32" cm="1">
        <f t="array" aca="1" ref="G8" ca="1">(INDIRECT("'1"&amp;$B8&amp;"'!FD22"))</f>
        <v>2.5113079452123666</v>
      </c>
      <c r="H8" s="32" cm="1">
        <f t="array" aca="1" ref="H8" ca="1">(INDIRECT("'1"&amp;$B8&amp;"'!FE22"))</f>
        <v>2.2504535311663481</v>
      </c>
      <c r="I8" s="32"/>
      <c r="J8" s="299">
        <f ca="1">Table_A3!D8-Table_A2!D8</f>
        <v>0.10327712823542279</v>
      </c>
      <c r="K8" s="299">
        <f ca="1">Table_A3!E8-Table_A2!L8</f>
        <v>0.11398765291417612</v>
      </c>
      <c r="L8" s="299">
        <f ca="1">Table_A3!F8-Table_A2!M8</f>
        <v>6.500695330014139E-2</v>
      </c>
      <c r="M8" s="299">
        <f ca="1">Table_A3!G8-Table_A2!N8</f>
        <v>0.10375536547138831</v>
      </c>
      <c r="N8" s="299">
        <f ca="1">Table_A3!H8-Table_A2!O8</f>
        <v>0.1927975577481198</v>
      </c>
      <c r="R8" s="206"/>
    </row>
    <row r="9" spans="2:18" x14ac:dyDescent="0.3">
      <c r="B9" s="199" t="s">
        <v>204</v>
      </c>
      <c r="C9" s="1" t="s">
        <v>463</v>
      </c>
      <c r="D9" s="32" cm="1">
        <f t="array" aca="1" ref="D9" ca="1">(INDIRECT("'1"&amp;$B9&amp;"'!EV22"))</f>
        <v>1.8995893777832062</v>
      </c>
      <c r="E9" s="32" cm="1">
        <f t="array" aca="1" ref="E9" ca="1">(INDIRECT("'1"&amp;$B9&amp;"'!FB22"))</f>
        <v>1.9656472649186927</v>
      </c>
      <c r="F9" s="32" cm="1">
        <f t="array" aca="1" ref="F9" ca="1">(INDIRECT("'1"&amp;$B9&amp;"'!FC22"))</f>
        <v>1.7769226257844879</v>
      </c>
      <c r="G9" s="32" cm="1">
        <f t="array" aca="1" ref="G9" ca="1">(INDIRECT("'1"&amp;$B9&amp;"'!FD22"))</f>
        <v>1.7430596058776968</v>
      </c>
      <c r="H9" s="32" cm="1">
        <f t="array" aca="1" ref="H9" ca="1">(INDIRECT("'1"&amp;$B9&amp;"'!FE22"))</f>
        <v>1.1204810470705304</v>
      </c>
      <c r="I9" s="32"/>
      <c r="J9" s="299">
        <f ca="1">Table_A3!D9-Table_A2!D9</f>
        <v>-6.6864943019526724E-2</v>
      </c>
      <c r="K9" s="299">
        <f ca="1">Table_A3!E9-Table_A2!L9</f>
        <v>-0.11984482887642067</v>
      </c>
      <c r="L9" s="299">
        <f ca="1">Table_A3!F9-Table_A2!M9</f>
        <v>1.6107202334058712E-2</v>
      </c>
      <c r="M9" s="299">
        <f ca="1">Table_A3!G9-Table_A2!N9</f>
        <v>-0.20645251967451084</v>
      </c>
      <c r="N9" s="299">
        <f ca="1">Table_A3!H9-Table_A2!O9</f>
        <v>-0.34355303620346622</v>
      </c>
      <c r="R9" s="206"/>
    </row>
    <row r="10" spans="2:18" x14ac:dyDescent="0.3">
      <c r="B10" s="199" t="s">
        <v>208</v>
      </c>
      <c r="C10" s="1" t="s">
        <v>464</v>
      </c>
      <c r="D10" s="32" cm="1">
        <f t="array" aca="1" ref="D10" ca="1">(INDIRECT("'1"&amp;$B10&amp;"'!EV22"))</f>
        <v>2.2104423872692003</v>
      </c>
      <c r="E10" s="32" cm="1">
        <f t="array" aca="1" ref="E10" ca="1">(INDIRECT("'1"&amp;$B10&amp;"'!FB22"))</f>
        <v>2.2602178965105972</v>
      </c>
      <c r="F10" s="32" cm="1">
        <f t="array" aca="1" ref="F10" ca="1">(INDIRECT("'1"&amp;$B10&amp;"'!FC22"))</f>
        <v>2.1938826402738023</v>
      </c>
      <c r="G10" s="32" cm="1">
        <f t="array" aca="1" ref="G10" ca="1">(INDIRECT("'1"&amp;$B10&amp;"'!FD22"))</f>
        <v>1.4877641416225975</v>
      </c>
      <c r="H10" s="32" cm="1">
        <f t="array" aca="1" ref="H10" ca="1">(INDIRECT("'1"&amp;$B10&amp;"'!FE22"))</f>
        <v>1.8842267617848738</v>
      </c>
      <c r="I10" s="32"/>
      <c r="J10" s="299">
        <f ca="1">Table_A3!D10-Table_A2!D10</f>
        <v>-8.7620947257406545E-2</v>
      </c>
      <c r="K10" s="299">
        <f ca="1">Table_A3!E10-Table_A2!L10</f>
        <v>-7.508420632781565E-2</v>
      </c>
      <c r="L10" s="299">
        <f ca="1">Table_A3!F10-Table_A2!M10</f>
        <v>-0.17848802023265753</v>
      </c>
      <c r="M10" s="299">
        <f ca="1">Table_A3!G10-Table_A2!N10</f>
        <v>-1.6648738344811731E-2</v>
      </c>
      <c r="N10" s="299">
        <f ca="1">Table_A3!H10-Table_A2!O10</f>
        <v>-0.12332253114529612</v>
      </c>
      <c r="R10" s="206"/>
    </row>
    <row r="11" spans="2:18" x14ac:dyDescent="0.3">
      <c r="B11" s="199" t="s">
        <v>210</v>
      </c>
      <c r="C11" s="1" t="s">
        <v>465</v>
      </c>
      <c r="D11" s="32" cm="1">
        <f t="array" aca="1" ref="D11" ca="1">(INDIRECT("'1"&amp;$B11&amp;"'!EV22"))</f>
        <v>1.6290295714042031</v>
      </c>
      <c r="E11" s="32" cm="1">
        <f t="array" aca="1" ref="E11" ca="1">(INDIRECT("'1"&amp;$B11&amp;"'!FB22"))</f>
        <v>1.6900180113613701</v>
      </c>
      <c r="F11" s="32" cm="1">
        <f t="array" aca="1" ref="F11" ca="1">(INDIRECT("'1"&amp;$B11&amp;"'!FC22"))</f>
        <v>0.95108621776153679</v>
      </c>
      <c r="G11" s="32" cm="1">
        <f t="array" aca="1" ref="G11" ca="1">(INDIRECT("'1"&amp;$B11&amp;"'!FD22"))</f>
        <v>2.1134773904806665</v>
      </c>
      <c r="H11" s="32" cm="1">
        <f t="array" aca="1" ref="H11" ca="1">(INDIRECT("'1"&amp;$B11&amp;"'!FE22"))</f>
        <v>1.8365971670246448</v>
      </c>
      <c r="I11" s="32"/>
      <c r="J11" s="299">
        <f ca="1">Table_A3!D11-Table_A2!D11</f>
        <v>-8.128440839563833E-2</v>
      </c>
      <c r="K11" s="299">
        <f ca="1">Table_A3!E11-Table_A2!L11</f>
        <v>-0.17878643036611885</v>
      </c>
      <c r="L11" s="299">
        <f ca="1">Table_A3!F11-Table_A2!M11</f>
        <v>0.11312552011294907</v>
      </c>
      <c r="M11" s="299">
        <f ca="1">Table_A3!G11-Table_A2!N11</f>
        <v>9.4031926834372559E-2</v>
      </c>
      <c r="N11" s="299">
        <f ca="1">Table_A3!H11-Table_A2!O11</f>
        <v>6.0792531895703883E-2</v>
      </c>
      <c r="R11" s="206"/>
    </row>
    <row r="12" spans="2:18" x14ac:dyDescent="0.3">
      <c r="B12" s="199" t="s">
        <v>214</v>
      </c>
      <c r="C12" s="1" t="s">
        <v>466</v>
      </c>
      <c r="D12" s="32" cm="1">
        <f t="array" aca="1" ref="D12" ca="1">(INDIRECT("'1"&amp;$B12&amp;"'!EV22"))</f>
        <v>1.4994514856426371</v>
      </c>
      <c r="E12" s="32" cm="1">
        <f t="array" aca="1" ref="E12" ca="1">(INDIRECT("'1"&amp;$B12&amp;"'!FB22"))</f>
        <v>1.6144340539129198</v>
      </c>
      <c r="F12" s="32" cm="1">
        <f t="array" aca="1" ref="F12" ca="1">(INDIRECT("'1"&amp;$B12&amp;"'!FC22"))</f>
        <v>0.99009055326777473</v>
      </c>
      <c r="G12" s="32" cm="1">
        <f t="array" aca="1" ref="G12" ca="1">(INDIRECT("'1"&amp;$B12&amp;"'!FD22"))</f>
        <v>1.3321409088984189</v>
      </c>
      <c r="H12" s="32" cm="1">
        <f t="array" aca="1" ref="H12" ca="1">(INDIRECT("'1"&amp;$B12&amp;"'!FE22"))</f>
        <v>1.466358102297658</v>
      </c>
      <c r="I12" s="32"/>
      <c r="J12" s="299">
        <f ca="1">Table_A3!D12-Table_A2!D12</f>
        <v>-0.15960940860598805</v>
      </c>
      <c r="K12" s="299">
        <f ca="1">Table_A3!E12-Table_A2!L12</f>
        <v>-0.14317538592532708</v>
      </c>
      <c r="L12" s="299">
        <f ca="1">Table_A3!F12-Table_A2!M12</f>
        <v>-0.24066709406599041</v>
      </c>
      <c r="M12" s="299">
        <f ca="1">Table_A3!G12-Table_A2!N12</f>
        <v>-7.9710447281727381E-2</v>
      </c>
      <c r="N12" s="299">
        <f ca="1">Table_A3!H12-Table_A2!O12</f>
        <v>-0.19407121412181305</v>
      </c>
      <c r="R12" s="206"/>
    </row>
    <row r="13" spans="2:18" x14ac:dyDescent="0.3">
      <c r="B13" s="199" t="s">
        <v>217</v>
      </c>
      <c r="C13" s="1" t="s">
        <v>467</v>
      </c>
      <c r="D13" s="32" cm="1">
        <f t="array" aca="1" ref="D13" ca="1">(INDIRECT("'1"&amp;$B13&amp;"'!EV22"))</f>
        <v>1.9909439243321063</v>
      </c>
      <c r="E13" s="32" cm="1">
        <f t="array" aca="1" ref="E13" ca="1">(INDIRECT("'1"&amp;$B13&amp;"'!FB22"))</f>
        <v>2.1745284292021241</v>
      </c>
      <c r="F13" s="32" cm="1">
        <f t="array" aca="1" ref="F13" ca="1">(INDIRECT("'1"&amp;$B13&amp;"'!FC22"))</f>
        <v>1.0421611602778582</v>
      </c>
      <c r="G13" s="32" cm="1">
        <f t="array" aca="1" ref="G13" ca="1">(INDIRECT("'1"&amp;$B13&amp;"'!FD22"))</f>
        <v>3.0671470336117945</v>
      </c>
      <c r="H13" s="32" cm="1">
        <f t="array" aca="1" ref="H13" ca="1">(INDIRECT("'1"&amp;$B13&amp;"'!FE22"))</f>
        <v>2.2142563191965676</v>
      </c>
      <c r="I13" s="32"/>
      <c r="J13" s="299">
        <f ca="1">Table_A3!D13-Table_A2!D13</f>
        <v>0.18773272651170325</v>
      </c>
      <c r="K13" s="299">
        <f ca="1">Table_A3!E13-Table_A2!L13</f>
        <v>0.24516760948403205</v>
      </c>
      <c r="L13" s="299">
        <f ca="1">Table_A3!F13-Table_A2!M13</f>
        <v>-0.11694838347582315</v>
      </c>
      <c r="M13" s="299">
        <f ca="1">Table_A3!G13-Table_A2!N13</f>
        <v>0.52544579358405175</v>
      </c>
      <c r="N13" s="299">
        <f ca="1">Table_A3!H13-Table_A2!O13</f>
        <v>6.308408179399061E-2</v>
      </c>
      <c r="R13" s="206"/>
    </row>
    <row r="14" spans="2:18" x14ac:dyDescent="0.3">
      <c r="B14" s="199" t="s">
        <v>218</v>
      </c>
      <c r="C14" s="1" t="s">
        <v>468</v>
      </c>
      <c r="D14" s="32" cm="1">
        <f t="array" aca="1" ref="D14" ca="1">(INDIRECT("'1"&amp;$B14&amp;"'!EV22"))</f>
        <v>1.9786716903751562</v>
      </c>
      <c r="E14" s="32" cm="1">
        <f t="array" aca="1" ref="E14" ca="1">(INDIRECT("'1"&amp;$B14&amp;"'!FB22"))</f>
        <v>2.0486299718305347</v>
      </c>
      <c r="F14" s="32" cm="1">
        <f t="array" aca="1" ref="F14" ca="1">(INDIRECT("'1"&amp;$B14&amp;"'!FC22"))</f>
        <v>1.8322352987564074</v>
      </c>
      <c r="G14" s="32" cm="1">
        <f t="array" aca="1" ref="G14" ca="1">(INDIRECT("'1"&amp;$B14&amp;"'!FD22"))</f>
        <v>2.0146628926483077</v>
      </c>
      <c r="H14" s="32" cm="1">
        <f t="array" aca="1" ref="H14" ca="1">(INDIRECT("'1"&amp;$B14&amp;"'!FE22"))</f>
        <v>1.5968811420626978</v>
      </c>
      <c r="I14" s="32"/>
      <c r="J14" s="299">
        <f ca="1">Table_A3!D14-Table_A2!D14</f>
        <v>-4.045317015583838E-2</v>
      </c>
      <c r="K14" s="299">
        <f ca="1">Table_A3!E14-Table_A2!L14</f>
        <v>-3.0694454616466693E-2</v>
      </c>
      <c r="L14" s="299">
        <f ca="1">Table_A3!F14-Table_A2!M14</f>
        <v>-4.4059563064188678E-2</v>
      </c>
      <c r="M14" s="299">
        <f ca="1">Table_A3!G14-Table_A2!N14</f>
        <v>-5.3280973588504033E-2</v>
      </c>
      <c r="N14" s="299">
        <f ca="1">Table_A3!H14-Table_A2!O14</f>
        <v>-0.10908161744103473</v>
      </c>
      <c r="R14" s="206"/>
    </row>
    <row r="15" spans="2:18" x14ac:dyDescent="0.3">
      <c r="B15" s="199" t="s">
        <v>222</v>
      </c>
      <c r="C15" s="1" t="s">
        <v>469</v>
      </c>
      <c r="D15" s="32" cm="1">
        <f t="array" aca="1" ref="D15" ca="1">(INDIRECT("'1"&amp;$B15&amp;"'!EV22"))</f>
        <v>1.7851721953842885</v>
      </c>
      <c r="E15" s="32" cm="1">
        <f t="array" aca="1" ref="E15" ca="1">(INDIRECT("'1"&amp;$B15&amp;"'!FB22"))</f>
        <v>1.7978886626911899</v>
      </c>
      <c r="F15" s="32" cm="1">
        <f t="array" aca="1" ref="F15" ca="1">(INDIRECT("'1"&amp;$B15&amp;"'!FC22"))</f>
        <v>1.8654674475300641</v>
      </c>
      <c r="G15" s="32" cm="1">
        <f t="array" aca="1" ref="G15" ca="1">(INDIRECT("'1"&amp;$B15&amp;"'!FD22"))</f>
        <v>1.211755237220933</v>
      </c>
      <c r="H15" s="32" cm="1">
        <f t="array" aca="1" ref="H15" ca="1">(INDIRECT("'1"&amp;$B15&amp;"'!FE22"))</f>
        <v>1.576182140509591</v>
      </c>
      <c r="I15" s="32"/>
      <c r="J15" s="299">
        <f ca="1">Table_A3!D15-Table_A2!D15</f>
        <v>4.2817859701939964E-2</v>
      </c>
      <c r="K15" s="299">
        <f ca="1">Table_A3!E15-Table_A2!L15</f>
        <v>3.8669188453365644E-2</v>
      </c>
      <c r="L15" s="299">
        <f ca="1">Table_A3!F15-Table_A2!M15</f>
        <v>6.5241797031261983E-2</v>
      </c>
      <c r="M15" s="299">
        <f ca="1">Table_A3!G15-Table_A2!N15</f>
        <v>5.6220282413417255E-3</v>
      </c>
      <c r="N15" s="299">
        <f ca="1">Table_A3!H15-Table_A2!O15</f>
        <v>3.8500009459130347E-4</v>
      </c>
      <c r="R15" s="206"/>
    </row>
    <row r="16" spans="2:18" x14ac:dyDescent="0.3">
      <c r="B16" s="199" t="s">
        <v>223</v>
      </c>
      <c r="C16" s="1" t="s">
        <v>470</v>
      </c>
      <c r="D16" s="32" cm="1">
        <f t="array" aca="1" ref="D16" ca="1">(INDIRECT("'1"&amp;$B16&amp;"'!EV22"))</f>
        <v>1.52979171701526</v>
      </c>
      <c r="E16" s="32" cm="1">
        <f t="array" aca="1" ref="E16" ca="1">(INDIRECT("'1"&amp;$B16&amp;"'!FB22"))</f>
        <v>1.535945223440208</v>
      </c>
      <c r="F16" s="32" cm="1">
        <f t="array" aca="1" ref="F16" ca="1">(INDIRECT("'1"&amp;$B16&amp;"'!FC22"))</f>
        <v>1.4708160116810363</v>
      </c>
      <c r="G16" s="32" cm="1">
        <f t="array" aca="1" ref="G16" ca="1">(INDIRECT("'1"&amp;$B16&amp;"'!FD22"))</f>
        <v>1.5310547278516744</v>
      </c>
      <c r="H16" s="32" cm="1">
        <f t="array" aca="1" ref="H16" ca="1">(INDIRECT("'1"&amp;$B16&amp;"'!FE22"))</f>
        <v>1.6441449445203096</v>
      </c>
      <c r="I16" s="32"/>
      <c r="J16" s="299">
        <f ca="1">Table_A3!D16-Table_A2!D16</f>
        <v>-1.1778498268764981E-2</v>
      </c>
      <c r="K16" s="299">
        <f ca="1">Table_A3!E16-Table_A2!L16</f>
        <v>2.6474983090121196E-3</v>
      </c>
      <c r="L16" s="299">
        <f ca="1">Table_A3!F16-Table_A2!M16</f>
        <v>-5.7036947913029712E-2</v>
      </c>
      <c r="M16" s="299">
        <f ca="1">Table_A3!G16-Table_A2!N16</f>
        <v>3.1596806494509577E-2</v>
      </c>
      <c r="N16" s="299">
        <f ca="1">Table_A3!H16-Table_A2!O16</f>
        <v>1.0368000508433894E-3</v>
      </c>
      <c r="R16" s="206"/>
    </row>
    <row r="17" spans="2:18" x14ac:dyDescent="0.3">
      <c r="B17" s="199" t="s">
        <v>225</v>
      </c>
      <c r="C17" s="1" t="s">
        <v>471</v>
      </c>
      <c r="D17" s="32" cm="1">
        <f t="array" aca="1" ref="D17" ca="1">(INDIRECT("'1"&amp;$B17&amp;"'!EV22"))</f>
        <v>2.1197758316458399</v>
      </c>
      <c r="E17" s="32" cm="1">
        <f t="array" aca="1" ref="E17" ca="1">(INDIRECT("'1"&amp;$B17&amp;"'!FB22"))</f>
        <v>2.3820305872685403</v>
      </c>
      <c r="F17" s="32" cm="1">
        <f t="array" aca="1" ref="F17" ca="1">(INDIRECT("'1"&amp;$B17&amp;"'!FC22"))</f>
        <v>1.147204136093094</v>
      </c>
      <c r="G17" s="32" cm="1">
        <f t="array" aca="1" ref="G17" ca="1">(INDIRECT("'1"&amp;$B17&amp;"'!FD22"))</f>
        <v>2.7312984434201857</v>
      </c>
      <c r="H17" s="32" cm="1">
        <f t="array" aca="1" ref="H17" ca="1">(INDIRECT("'1"&amp;$B17&amp;"'!FE22"))</f>
        <v>1.8398962693539731</v>
      </c>
      <c r="I17" s="32"/>
      <c r="J17" s="299">
        <f ca="1">Table_A3!D17-Table_A2!D17</f>
        <v>-0.23523161794397307</v>
      </c>
      <c r="K17" s="299">
        <f ca="1">Table_A3!E17-Table_A2!L17</f>
        <v>-0.30639708211399386</v>
      </c>
      <c r="L17" s="299">
        <f ca="1">Table_A3!F17-Table_A2!M17</f>
        <v>0.13679175529076426</v>
      </c>
      <c r="M17" s="299">
        <f ca="1">Table_A3!G17-Table_A2!N17</f>
        <v>-0.84696750608138061</v>
      </c>
      <c r="N17" s="299">
        <f ca="1">Table_A3!H17-Table_A2!O17</f>
        <v>-0.34547365429905397</v>
      </c>
      <c r="R17" s="206"/>
    </row>
    <row r="18" spans="2:18" x14ac:dyDescent="0.3">
      <c r="B18" s="199" t="s">
        <v>227</v>
      </c>
      <c r="C18" s="1" t="s">
        <v>472</v>
      </c>
      <c r="D18" s="32" cm="1">
        <f t="array" aca="1" ref="D18" ca="1">(INDIRECT("'1"&amp;$B18&amp;"'!EV22"))</f>
        <v>1.0874497494580651</v>
      </c>
      <c r="E18" s="32" cm="1">
        <f t="array" aca="1" ref="E18" ca="1">(INDIRECT("'1"&amp;$B18&amp;"'!FB22"))</f>
        <v>1.4070510081340377</v>
      </c>
      <c r="F18" s="32" cm="1">
        <f t="array" aca="1" ref="F18" ca="1">(INDIRECT("'1"&amp;$B18&amp;"'!FC22"))</f>
        <v>1.1990321529269293E-2</v>
      </c>
      <c r="G18" s="32" cm="1">
        <f t="array" aca="1" ref="G18" ca="1">(INDIRECT("'1"&amp;$B18&amp;"'!FD22"))</f>
        <v>1.2600813374877335</v>
      </c>
      <c r="H18" s="32" cm="1">
        <f t="array" aca="1" ref="H18" ca="1">(INDIRECT("'1"&amp;$B18&amp;"'!FE22"))</f>
        <v>1.0521754643043588</v>
      </c>
      <c r="I18" s="32"/>
      <c r="J18" s="299">
        <f ca="1">Table_A3!D18-Table_A2!D18</f>
        <v>-8.3564060722307598E-3</v>
      </c>
      <c r="K18" s="299">
        <f ca="1">Table_A3!E18-Table_A2!L18</f>
        <v>3.9101586716292491E-2</v>
      </c>
      <c r="L18" s="299">
        <f ca="1">Table_A3!F18-Table_A2!M18</f>
        <v>-3.0519213437888298E-3</v>
      </c>
      <c r="M18" s="299">
        <f ca="1">Table_A3!G18-Table_A2!N18</f>
        <v>9.8372897151659533E-3</v>
      </c>
      <c r="N18" s="299">
        <f ca="1">Table_A3!H18-Table_A2!O18</f>
        <v>-0.34755309815015445</v>
      </c>
      <c r="R18" s="206"/>
    </row>
    <row r="19" spans="2:18" x14ac:dyDescent="0.3">
      <c r="B19" s="199" t="s">
        <v>233</v>
      </c>
      <c r="C19" s="1" t="s">
        <v>473</v>
      </c>
      <c r="D19" s="32" cm="1">
        <f t="array" aca="1" ref="D19" ca="1">(INDIRECT("'1"&amp;$B19&amp;"'!EV22"))</f>
        <v>1.7898077272934112</v>
      </c>
      <c r="E19" s="32" cm="1">
        <f t="array" aca="1" ref="E19" ca="1">(INDIRECT("'1"&amp;$B19&amp;"'!FB22"))</f>
        <v>1.9155563653824002</v>
      </c>
      <c r="F19" s="32" cm="1">
        <f t="array" aca="1" ref="F19" ca="1">(INDIRECT("'1"&amp;$B19&amp;"'!FC22"))</f>
        <v>0.70255868591644588</v>
      </c>
      <c r="G19" s="32" cm="1">
        <f t="array" aca="1" ref="G19" ca="1">(INDIRECT("'1"&amp;$B19&amp;"'!FD22"))</f>
        <v>2.156671645031917</v>
      </c>
      <c r="H19" s="32" cm="1">
        <f t="array" aca="1" ref="H19" ca="1">(INDIRECT("'1"&amp;$B19&amp;"'!FE22"))</f>
        <v>1.9836197210928037</v>
      </c>
      <c r="I19" s="32"/>
      <c r="J19" s="299">
        <f ca="1">Table_A3!D19-Table_A2!D19</f>
        <v>-2.4087593464750867E-2</v>
      </c>
      <c r="K19" s="299">
        <f ca="1">Table_A3!E19-Table_A2!L19</f>
        <v>-5.4969929128951822E-2</v>
      </c>
      <c r="L19" s="299">
        <f ca="1">Table_A3!F19-Table_A2!M19</f>
        <v>-5.4420513345457833E-3</v>
      </c>
      <c r="M19" s="299">
        <f ca="1">Table_A3!G19-Table_A2!N19</f>
        <v>3.2978388475535692E-2</v>
      </c>
      <c r="N19" s="299">
        <f ca="1">Table_A3!H19-Table_A2!O19</f>
        <v>-4.7015681321808334E-2</v>
      </c>
      <c r="R19" s="206"/>
    </row>
    <row r="20" spans="2:18" x14ac:dyDescent="0.3">
      <c r="B20" s="199" t="s">
        <v>234</v>
      </c>
      <c r="C20" s="1" t="s">
        <v>474</v>
      </c>
      <c r="D20" s="32" cm="1">
        <f t="array" aca="1" ref="D20" ca="1">(INDIRECT("'1"&amp;$B20&amp;"'!EV22"))</f>
        <v>1.8069585062535263</v>
      </c>
      <c r="E20" s="32" cm="1">
        <f t="array" aca="1" ref="E20" ca="1">(INDIRECT("'1"&amp;$B20&amp;"'!FB22"))</f>
        <v>1.8654892796959153</v>
      </c>
      <c r="F20" s="32" cm="1">
        <f t="array" aca="1" ref="F20" ca="1">(INDIRECT("'1"&amp;$B20&amp;"'!FC22"))</f>
        <v>1.8158186037050785</v>
      </c>
      <c r="G20" s="32" cm="1">
        <f t="array" aca="1" ref="G20" ca="1">(INDIRECT("'1"&amp;$B20&amp;"'!FD22"))</f>
        <v>1.3941957450629703</v>
      </c>
      <c r="H20" s="32" cm="1">
        <f t="array" aca="1" ref="H20" ca="1">(INDIRECT("'1"&amp;$B20&amp;"'!FE22"))</f>
        <v>2.0050342977562412</v>
      </c>
      <c r="I20" s="32"/>
      <c r="J20" s="299">
        <f ca="1">Table_A3!D20-Table_A2!D20</f>
        <v>-4.8203168175567912E-2</v>
      </c>
      <c r="K20" s="299">
        <f ca="1">Table_A3!E20-Table_A2!L20</f>
        <v>-8.8260068714618223E-2</v>
      </c>
      <c r="L20" s="299">
        <f ca="1">Table_A3!F20-Table_A2!M20</f>
        <v>-4.3302647223425028E-2</v>
      </c>
      <c r="M20" s="299">
        <f ca="1">Table_A3!G20-Table_A2!N20</f>
        <v>0.10661382219872428</v>
      </c>
      <c r="N20" s="299">
        <f ca="1">Table_A3!H20-Table_A2!O20</f>
        <v>2.009879117781832E-3</v>
      </c>
      <c r="R20" s="206"/>
    </row>
    <row r="21" spans="2:18" x14ac:dyDescent="0.3">
      <c r="B21" s="199" t="s">
        <v>238</v>
      </c>
      <c r="C21" s="1" t="s">
        <v>475</v>
      </c>
      <c r="D21" s="32" cm="1">
        <f t="array" aca="1" ref="D21" ca="1">(INDIRECT("'1"&amp;$B21&amp;"'!EV22"))</f>
        <v>1.4019447385138655</v>
      </c>
      <c r="E21" s="32" cm="1">
        <f t="array" aca="1" ref="E21" ca="1">(INDIRECT("'1"&amp;$B21&amp;"'!FB22"))</f>
        <v>1.5056254849783886</v>
      </c>
      <c r="F21" s="32" cm="1">
        <f t="array" aca="1" ref="F21" ca="1">(INDIRECT("'1"&amp;$B21&amp;"'!FC22"))</f>
        <v>1.10140150904698</v>
      </c>
      <c r="G21" s="32" cm="1">
        <f t="array" aca="1" ref="G21" ca="1">(INDIRECT("'1"&amp;$B21&amp;"'!FD22"))</f>
        <v>0.83153022099292073</v>
      </c>
      <c r="H21" s="32" cm="1">
        <f t="array" aca="1" ref="H21" ca="1">(INDIRECT("'1"&amp;$B21&amp;"'!FE22"))</f>
        <v>1.0212447449499646</v>
      </c>
      <c r="I21" s="32"/>
      <c r="J21" s="299">
        <f ca="1">Table_A3!D21-Table_A2!D21</f>
        <v>8.7479440239732309E-2</v>
      </c>
      <c r="K21" s="299">
        <f ca="1">Table_A3!E21-Table_A2!L21</f>
        <v>8.7666848616182014E-2</v>
      </c>
      <c r="L21" s="299">
        <f ca="1">Table_A3!F21-Table_A2!M21</f>
        <v>3.4692495675205937E-2</v>
      </c>
      <c r="M21" s="299">
        <f ca="1">Table_A3!G21-Table_A2!N21</f>
        <v>9.8920540272380286E-2</v>
      </c>
      <c r="N21" s="299">
        <f ca="1">Table_A3!H21-Table_A2!O21</f>
        <v>1.0717598716257104E-2</v>
      </c>
      <c r="R21" s="206"/>
    </row>
    <row r="22" spans="2:18" x14ac:dyDescent="0.3">
      <c r="B22" s="199" t="s">
        <v>240</v>
      </c>
      <c r="C22" s="1" t="s">
        <v>476</v>
      </c>
      <c r="D22" s="32" cm="1">
        <f t="array" aca="1" ref="D22" ca="1">(INDIRECT("'1"&amp;$B22&amp;"'!EV22"))</f>
        <v>1.9733745399896396</v>
      </c>
      <c r="E22" s="32" cm="1">
        <f t="array" aca="1" ref="E22" ca="1">(INDIRECT("'1"&amp;$B22&amp;"'!FB22"))</f>
        <v>1.995131234567999</v>
      </c>
      <c r="F22" s="32" cm="1">
        <f t="array" aca="1" ref="F22" ca="1">(INDIRECT("'1"&amp;$B22&amp;"'!FC22"))</f>
        <v>1.8660855163124692</v>
      </c>
      <c r="G22" s="32" cm="1">
        <f t="array" aca="1" ref="G22" ca="1">(INDIRECT("'1"&amp;$B22&amp;"'!FD22"))</f>
        <v>2.0311084875522374</v>
      </c>
      <c r="H22" s="32" cm="1">
        <f t="array" aca="1" ref="H22" ca="1">(INDIRECT("'1"&amp;$B22&amp;"'!FE22"))</f>
        <v>2.1776368803792376</v>
      </c>
      <c r="I22" s="32"/>
      <c r="J22" s="299">
        <f ca="1">Table_A3!D22-Table_A2!D22</f>
        <v>0.10057807601714108</v>
      </c>
      <c r="K22" s="299">
        <f ca="1">Table_A3!E22-Table_A2!L22</f>
        <v>9.5136548929235287E-2</v>
      </c>
      <c r="L22" s="299">
        <f ca="1">Table_A3!F22-Table_A2!M22</f>
        <v>-1.483847568778307E-2</v>
      </c>
      <c r="M22" s="299">
        <f ca="1">Table_A3!G22-Table_A2!N22</f>
        <v>0.1755088648976284</v>
      </c>
      <c r="N22" s="299">
        <f ca="1">Table_A3!H22-Table_A2!O22</f>
        <v>4.0079145080684775E-2</v>
      </c>
      <c r="R22" s="206"/>
    </row>
    <row r="23" spans="2:18" x14ac:dyDescent="0.3">
      <c r="B23" s="199" t="s">
        <v>242</v>
      </c>
      <c r="C23" s="1" t="s">
        <v>477</v>
      </c>
      <c r="D23" s="32" cm="1">
        <f t="array" aca="1" ref="D23" ca="1">(INDIRECT("'1"&amp;$B23&amp;"'!EV22"))</f>
        <v>1.5520385730066144</v>
      </c>
      <c r="E23" s="32" cm="1">
        <f t="array" aca="1" ref="E23" ca="1">(INDIRECT("'1"&amp;$B23&amp;"'!FB22"))</f>
        <v>1.6512993681137094</v>
      </c>
      <c r="F23" s="32" cm="1">
        <f t="array" aca="1" ref="F23" ca="1">(INDIRECT("'1"&amp;$B23&amp;"'!FC22"))</f>
        <v>1.0780885880994784</v>
      </c>
      <c r="G23" s="32" cm="1">
        <f t="array" aca="1" ref="G23" ca="1">(INDIRECT("'1"&amp;$B23&amp;"'!FD22"))</f>
        <v>1.4422540428816439</v>
      </c>
      <c r="H23" s="32" cm="1">
        <f t="array" aca="1" ref="H23" ca="1">(INDIRECT("'1"&amp;$B23&amp;"'!FE22"))</f>
        <v>1.6141220924710828</v>
      </c>
      <c r="I23" s="32"/>
      <c r="J23" s="299">
        <f ca="1">Table_A3!D23-Table_A2!D23</f>
        <v>0.11216714582754039</v>
      </c>
      <c r="K23" s="299">
        <f ca="1">Table_A3!E23-Table_A2!L23</f>
        <v>0.19116065371794844</v>
      </c>
      <c r="L23" s="299">
        <f ca="1">Table_A3!F23-Table_A2!M23</f>
        <v>-0.25574547460555408</v>
      </c>
      <c r="M23" s="299">
        <f ca="1">Table_A3!G23-Table_A2!N23</f>
        <v>1.1035312416834309E-2</v>
      </c>
      <c r="N23" s="299">
        <f ca="1">Table_A3!H23-Table_A2!O23</f>
        <v>0.11662860032508937</v>
      </c>
      <c r="R23" s="206"/>
    </row>
    <row r="24" spans="2:18" x14ac:dyDescent="0.3">
      <c r="B24" s="199" t="s">
        <v>245</v>
      </c>
      <c r="C24" s="1" t="s">
        <v>478</v>
      </c>
      <c r="D24" s="32" cm="1">
        <f t="array" aca="1" ref="D24" ca="1">(INDIRECT("'1"&amp;$B24&amp;"'!EV22"))</f>
        <v>1.736887552963867</v>
      </c>
      <c r="E24" s="32" cm="1">
        <f t="array" aca="1" ref="E24" ca="1">(INDIRECT("'1"&amp;$B24&amp;"'!FB22"))</f>
        <v>1.9610052561561566</v>
      </c>
      <c r="F24" s="32" cm="1">
        <f t="array" aca="1" ref="F24" ca="1">(INDIRECT("'1"&amp;$B24&amp;"'!FC22"))</f>
        <v>0.36033229568367736</v>
      </c>
      <c r="G24" s="32" cm="1">
        <f t="array" aca="1" ref="G24" ca="1">(INDIRECT("'1"&amp;$B24&amp;"'!FD22"))</f>
        <v>2.0119846098530507</v>
      </c>
      <c r="H24" s="32" cm="1">
        <f t="array" aca="1" ref="H24" ca="1">(INDIRECT("'1"&amp;$B24&amp;"'!FE22"))</f>
        <v>1.462911455859992</v>
      </c>
      <c r="I24" s="32"/>
      <c r="J24" s="299">
        <f ca="1">Table_A3!D24-Table_A2!D24</f>
        <v>-7.6947122441816784E-2</v>
      </c>
      <c r="K24" s="299">
        <f ca="1">Table_A3!E24-Table_A2!L24</f>
        <v>-3.7415754758054476E-2</v>
      </c>
      <c r="L24" s="299">
        <f ca="1">Table_A3!F24-Table_A2!M24</f>
        <v>-0.37814966312474857</v>
      </c>
      <c r="M24" s="299">
        <f ca="1">Table_A3!G24-Table_A2!N24</f>
        <v>9.3651545922082136E-3</v>
      </c>
      <c r="N24" s="299">
        <f ca="1">Table_A3!H24-Table_A2!O24</f>
        <v>-0.17133381623640087</v>
      </c>
      <c r="R24" s="206"/>
    </row>
    <row r="25" spans="2:18" x14ac:dyDescent="0.3">
      <c r="B25" s="199" t="s">
        <v>247</v>
      </c>
      <c r="C25" s="1" t="s">
        <v>479</v>
      </c>
      <c r="D25" s="32" cm="1">
        <f t="array" aca="1" ref="D25" ca="1">(INDIRECT("'1"&amp;$B25&amp;"'!EV22"))</f>
        <v>2.1862725625625448</v>
      </c>
      <c r="E25" s="32" cm="1">
        <f t="array" aca="1" ref="E25" ca="1">(INDIRECT("'1"&amp;$B25&amp;"'!FB22"))</f>
        <v>2.4736825259843007</v>
      </c>
      <c r="F25" s="32" cm="1">
        <f t="array" aca="1" ref="F25" ca="1">(INDIRECT("'1"&amp;$B25&amp;"'!FC22"))</f>
        <v>1.5536008149687903</v>
      </c>
      <c r="G25" s="32" cm="1">
        <f t="array" aca="1" ref="G25" ca="1">(INDIRECT("'1"&amp;$B25&amp;"'!FD22"))</f>
        <v>2.1748297670200345</v>
      </c>
      <c r="H25" s="32" cm="1">
        <f t="array" aca="1" ref="H25" ca="1">(INDIRECT("'1"&amp;$B25&amp;"'!FE22"))</f>
        <v>1.5596976123548223</v>
      </c>
      <c r="I25" s="32"/>
      <c r="J25" s="299">
        <f ca="1">Table_A3!D25-Table_A2!D25</f>
        <v>5.1714196141863233E-3</v>
      </c>
      <c r="K25" s="299">
        <f ca="1">Table_A3!E25-Table_A2!L25</f>
        <v>4.6511576308434499E-3</v>
      </c>
      <c r="L25" s="299">
        <f ca="1">Table_A3!F25-Table_A2!M25</f>
        <v>-0.14060908302178121</v>
      </c>
      <c r="M25" s="299">
        <f ca="1">Table_A3!G25-Table_A2!N25</f>
        <v>0.12875780724708319</v>
      </c>
      <c r="N25" s="299">
        <f ca="1">Table_A3!H25-Table_A2!O25</f>
        <v>0.10869117765585457</v>
      </c>
      <c r="R25" s="206"/>
    </row>
    <row r="26" spans="2:18" x14ac:dyDescent="0.3">
      <c r="B26" s="199" t="s">
        <v>249</v>
      </c>
      <c r="C26" s="1" t="s">
        <v>480</v>
      </c>
      <c r="D26" s="32" cm="1">
        <f t="array" aca="1" ref="D26" ca="1">(INDIRECT("'1"&amp;$B26&amp;"'!EV22"))</f>
        <v>1.9838769755472168</v>
      </c>
      <c r="E26" s="32" cm="1">
        <f t="array" aca="1" ref="E26" ca="1">(INDIRECT("'1"&amp;$B26&amp;"'!FB22"))</f>
        <v>2.1226382328852873</v>
      </c>
      <c r="F26" s="32" cm="1">
        <f t="array" aca="1" ref="F26" ca="1">(INDIRECT("'1"&amp;$B26&amp;"'!FC22"))</f>
        <v>1.5410659975143985</v>
      </c>
      <c r="G26" s="32" cm="1">
        <f t="array" aca="1" ref="G26" ca="1">(INDIRECT("'1"&amp;$B26&amp;"'!FD22"))</f>
        <v>1.8829739342705636</v>
      </c>
      <c r="H26" s="32" cm="1">
        <f t="array" aca="1" ref="H26" ca="1">(INDIRECT("'1"&amp;$B26&amp;"'!FE22"))</f>
        <v>2.2562912808370084</v>
      </c>
      <c r="I26" s="32"/>
      <c r="J26" s="299">
        <f ca="1">Table_A3!D26-Table_A2!D26</f>
        <v>-7.4027492584860521E-3</v>
      </c>
      <c r="K26" s="299">
        <f ca="1">Table_A3!E26-Table_A2!L26</f>
        <v>1.3545381476423035E-2</v>
      </c>
      <c r="L26" s="299">
        <f ca="1">Table_A3!F26-Table_A2!M26</f>
        <v>-0.12370456185411705</v>
      </c>
      <c r="M26" s="299">
        <f ca="1">Table_A3!G26-Table_A2!N26</f>
        <v>-4.9045393296093476E-2</v>
      </c>
      <c r="N26" s="299">
        <f ca="1">Table_A3!H26-Table_A2!O26</f>
        <v>-0.17502720475486822</v>
      </c>
      <c r="R26" s="206"/>
    </row>
    <row r="27" spans="2:18" x14ac:dyDescent="0.3">
      <c r="B27" s="199" t="s">
        <v>252</v>
      </c>
      <c r="C27" s="1" t="s">
        <v>481</v>
      </c>
      <c r="D27" s="32" cm="1">
        <f t="array" aca="1" ref="D27" ca="1">(INDIRECT("'1"&amp;$B27&amp;"'!EV22"))</f>
        <v>1.850006514498143</v>
      </c>
      <c r="E27" s="32" cm="1">
        <f t="array" aca="1" ref="E27" ca="1">(INDIRECT("'1"&amp;$B27&amp;"'!FB22"))</f>
        <v>2.177042776295222</v>
      </c>
      <c r="F27" s="32" cm="1">
        <f t="array" aca="1" ref="F27" ca="1">(INDIRECT("'1"&amp;$B27&amp;"'!FC22"))</f>
        <v>0.69064657617918013</v>
      </c>
      <c r="G27" s="32" cm="1">
        <f t="array" aca="1" ref="G27" ca="1">(INDIRECT("'1"&amp;$B27&amp;"'!FD22"))</f>
        <v>2.3535280824446203</v>
      </c>
      <c r="H27" s="32" cm="1">
        <f t="array" aca="1" ref="H27" ca="1">(INDIRECT("'1"&amp;$B27&amp;"'!FE22"))</f>
        <v>2.5474495056435833</v>
      </c>
      <c r="I27" s="32"/>
      <c r="J27" s="299">
        <f ca="1">Table_A3!D27-Table_A2!D27</f>
        <v>-3.6341153885831812E-2</v>
      </c>
      <c r="K27" s="299">
        <f ca="1">Table_A3!E27-Table_A2!L27</f>
        <v>-3.107289500524324E-2</v>
      </c>
      <c r="L27" s="299">
        <f ca="1">Table_A3!F27-Table_A2!M27</f>
        <v>-6.5125476859757447E-2</v>
      </c>
      <c r="M27" s="299">
        <f ca="1">Table_A3!G27-Table_A2!N27</f>
        <v>-0.129967248209228</v>
      </c>
      <c r="N27" s="299">
        <f ca="1">Table_A3!H27-Table_A2!O27</f>
        <v>4.9918759397993284E-2</v>
      </c>
      <c r="R27" s="206"/>
    </row>
    <row r="28" spans="2:18" x14ac:dyDescent="0.3">
      <c r="B28" s="199" t="s">
        <v>254</v>
      </c>
      <c r="C28" s="92" t="s">
        <v>482</v>
      </c>
      <c r="D28" s="203" cm="1">
        <f t="array" aca="1" ref="D28" ca="1">(INDIRECT("'1"&amp;$B28&amp;"'!EV22"))</f>
        <v>1.9155745818842449</v>
      </c>
      <c r="E28" s="203" cm="1">
        <f t="array" aca="1" ref="E28" ca="1">(INDIRECT("'1"&amp;$B28&amp;"'!FB22"))</f>
        <v>1.8931640140174886</v>
      </c>
      <c r="F28" s="203" cm="1">
        <f t="array" aca="1" ref="F28" ca="1">(INDIRECT("'1"&amp;$B28&amp;"'!FC22"))</f>
        <v>2.5944903876103993</v>
      </c>
      <c r="G28" s="203" cm="1">
        <f t="array" aca="1" ref="G28" ca="1">(INDIRECT("'1"&amp;$B28&amp;"'!FD22"))</f>
        <v>2.0569481787030504</v>
      </c>
      <c r="H28" s="203" cm="1">
        <f t="array" aca="1" ref="H28" ca="1">(INDIRECT("'1"&amp;$B28&amp;"'!FE22"))</f>
        <v>1.5045659006759822</v>
      </c>
      <c r="I28" s="203"/>
      <c r="J28" s="300">
        <f ca="1">Table_A3!D28-Table_A2!D28</f>
        <v>6.390225357296031E-2</v>
      </c>
      <c r="K28" s="300">
        <f ca="1">Table_A3!E28-Table_A2!L28</f>
        <v>-0.10299084410398418</v>
      </c>
      <c r="L28" s="300">
        <f ca="1">Table_A3!F28-Table_A2!M28</f>
        <v>0.21884555720336474</v>
      </c>
      <c r="M28" s="300">
        <f ca="1">Table_A3!G28-Table_A2!N28</f>
        <v>1.0558370887005049</v>
      </c>
      <c r="N28" s="300">
        <f ca="1">Table_A3!H28-Table_A2!O28</f>
        <v>-0.16333004728254563</v>
      </c>
      <c r="R28" s="206"/>
    </row>
    <row r="31" spans="2:18" ht="14.7" customHeight="1" x14ac:dyDescent="0.3">
      <c r="C31" s="548"/>
      <c r="D31" s="548"/>
      <c r="E31" s="548"/>
      <c r="F31" s="548"/>
      <c r="G31" s="548"/>
      <c r="H31" s="548"/>
      <c r="I31" s="548"/>
      <c r="J31" s="548"/>
      <c r="K31" s="548"/>
      <c r="L31" s="548"/>
      <c r="M31" s="548"/>
      <c r="N31" s="548"/>
    </row>
    <row r="32" spans="2:18" x14ac:dyDescent="0.3">
      <c r="C32" s="548"/>
      <c r="D32" s="548"/>
      <c r="E32" s="548"/>
      <c r="F32" s="548"/>
      <c r="G32" s="548"/>
      <c r="H32" s="548"/>
      <c r="I32" s="548"/>
      <c r="J32" s="548"/>
      <c r="K32" s="548"/>
      <c r="L32" s="548"/>
      <c r="M32" s="548"/>
      <c r="N32" s="548"/>
    </row>
    <row r="33" spans="3:14" x14ac:dyDescent="0.3">
      <c r="C33" s="548"/>
      <c r="D33" s="548"/>
      <c r="E33" s="548"/>
      <c r="F33" s="548"/>
      <c r="G33" s="548"/>
      <c r="H33" s="548"/>
      <c r="I33" s="548"/>
      <c r="J33" s="548"/>
      <c r="K33" s="548"/>
      <c r="L33" s="548"/>
      <c r="M33" s="548"/>
      <c r="N33" s="548"/>
    </row>
    <row r="34" spans="3:14" x14ac:dyDescent="0.3">
      <c r="C34" s="548"/>
      <c r="D34" s="548"/>
      <c r="E34" s="548"/>
      <c r="F34" s="548"/>
      <c r="G34" s="548"/>
      <c r="H34" s="548"/>
      <c r="I34" s="548"/>
      <c r="J34" s="548"/>
      <c r="K34" s="548"/>
      <c r="L34" s="548"/>
      <c r="M34" s="548"/>
      <c r="N34" s="548"/>
    </row>
    <row r="35" spans="3:14" x14ac:dyDescent="0.3">
      <c r="C35" s="548"/>
      <c r="D35" s="548"/>
      <c r="E35" s="548"/>
      <c r="F35" s="548"/>
      <c r="G35" s="548"/>
      <c r="H35" s="548"/>
      <c r="I35" s="548"/>
      <c r="J35" s="548"/>
      <c r="K35" s="548"/>
      <c r="L35" s="548"/>
      <c r="M35" s="548"/>
      <c r="N35" s="548"/>
    </row>
  </sheetData>
  <mergeCells count="4">
    <mergeCell ref="C31:N35"/>
    <mergeCell ref="D4:H4"/>
    <mergeCell ref="E5:H5"/>
    <mergeCell ref="J5:N5"/>
  </mergeCell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4780C-946D-4F2B-BB40-6F62788283A9}">
  <dimension ref="B4:AD34"/>
  <sheetViews>
    <sheetView showGridLines="0" topLeftCell="B1" zoomScale="85" zoomScaleNormal="85" workbookViewId="0">
      <selection activeCell="X43" sqref="X43"/>
    </sheetView>
  </sheetViews>
  <sheetFormatPr baseColWidth="10" defaultColWidth="11.5546875" defaultRowHeight="14.4" x14ac:dyDescent="0.3"/>
  <cols>
    <col min="1" max="2" width="11.5546875" style="1"/>
    <col min="3" max="3" width="15.6640625" style="1" customWidth="1"/>
    <col min="4" max="13" width="8.6640625" style="1" customWidth="1"/>
    <col min="14" max="14" width="2.6640625" style="1" customWidth="1"/>
    <col min="15" max="24" width="8" style="1" customWidth="1"/>
    <col min="25" max="25" width="2.5546875" style="1" customWidth="1"/>
    <col min="26" max="27" width="14.6640625" style="1" customWidth="1"/>
    <col min="28" max="16384" width="11.5546875" style="1"/>
  </cols>
  <sheetData>
    <row r="4" spans="2:30" x14ac:dyDescent="0.3">
      <c r="D4" s="546" t="s">
        <v>484</v>
      </c>
      <c r="E4" s="546"/>
      <c r="F4" s="546"/>
      <c r="G4" s="546"/>
      <c r="H4" s="546"/>
      <c r="I4" s="546"/>
      <c r="J4" s="546"/>
      <c r="K4" s="546"/>
      <c r="L4" s="546"/>
      <c r="M4" s="546"/>
      <c r="N4" s="443"/>
      <c r="O4" s="546" t="s">
        <v>542</v>
      </c>
      <c r="P4" s="546"/>
      <c r="Q4" s="546"/>
      <c r="R4" s="546"/>
      <c r="S4" s="546"/>
      <c r="T4" s="546"/>
      <c r="U4" s="546"/>
      <c r="V4" s="546"/>
      <c r="W4" s="546"/>
      <c r="X4" s="546"/>
      <c r="Y4" s="443"/>
      <c r="Z4" s="547"/>
      <c r="AA4" s="547"/>
    </row>
    <row r="5" spans="2:30" ht="29.7" customHeight="1" x14ac:dyDescent="0.3">
      <c r="D5" s="201" t="s">
        <v>485</v>
      </c>
      <c r="E5" s="201" t="s">
        <v>486</v>
      </c>
      <c r="F5" s="201" t="s">
        <v>487</v>
      </c>
      <c r="G5" s="201" t="s">
        <v>488</v>
      </c>
      <c r="H5" s="201" t="s">
        <v>489</v>
      </c>
      <c r="I5" s="201" t="s">
        <v>490</v>
      </c>
      <c r="J5" s="201" t="s">
        <v>491</v>
      </c>
      <c r="K5" s="201" t="s">
        <v>492</v>
      </c>
      <c r="L5" s="201" t="s">
        <v>493</v>
      </c>
      <c r="M5" s="201" t="s">
        <v>494</v>
      </c>
      <c r="N5" s="370"/>
      <c r="O5" s="201" t="s">
        <v>485</v>
      </c>
      <c r="P5" s="201" t="s">
        <v>486</v>
      </c>
      <c r="Q5" s="201" t="s">
        <v>487</v>
      </c>
      <c r="R5" s="201" t="s">
        <v>488</v>
      </c>
      <c r="S5" s="201" t="s">
        <v>489</v>
      </c>
      <c r="T5" s="201" t="s">
        <v>490</v>
      </c>
      <c r="U5" s="201" t="s">
        <v>491</v>
      </c>
      <c r="V5" s="201" t="s">
        <v>492</v>
      </c>
      <c r="W5" s="201" t="s">
        <v>493</v>
      </c>
      <c r="X5" s="201" t="s">
        <v>494</v>
      </c>
      <c r="Y5" s="370"/>
      <c r="Z5" s="201" t="s">
        <v>495</v>
      </c>
      <c r="AA5" s="201" t="s">
        <v>496</v>
      </c>
    </row>
    <row r="6" spans="2:30" ht="29.7" customHeight="1" x14ac:dyDescent="0.3">
      <c r="C6" s="92"/>
      <c r="D6" s="455" t="s">
        <v>452</v>
      </c>
      <c r="E6" s="455" t="s">
        <v>453</v>
      </c>
      <c r="F6" s="455" t="s">
        <v>454</v>
      </c>
      <c r="G6" s="455" t="s">
        <v>455</v>
      </c>
      <c r="H6" s="455" t="s">
        <v>456</v>
      </c>
      <c r="I6" s="455" t="s">
        <v>457</v>
      </c>
      <c r="J6" s="455" t="s">
        <v>458</v>
      </c>
      <c r="K6" s="455" t="s">
        <v>459</v>
      </c>
      <c r="L6" s="455" t="s">
        <v>460</v>
      </c>
      <c r="M6" s="455" t="s">
        <v>461</v>
      </c>
      <c r="N6" s="455"/>
      <c r="O6" s="455" t="s">
        <v>497</v>
      </c>
      <c r="P6" s="455" t="s">
        <v>498</v>
      </c>
      <c r="Q6" s="455" t="s">
        <v>499</v>
      </c>
      <c r="R6" s="455" t="s">
        <v>500</v>
      </c>
      <c r="S6" s="455" t="s">
        <v>501</v>
      </c>
      <c r="T6" s="455" t="s">
        <v>502</v>
      </c>
      <c r="U6" s="455" t="s">
        <v>503</v>
      </c>
      <c r="V6" s="455" t="s">
        <v>504</v>
      </c>
      <c r="W6" s="455" t="s">
        <v>505</v>
      </c>
      <c r="X6" s="455" t="s">
        <v>506</v>
      </c>
      <c r="Y6" s="455"/>
      <c r="Z6" s="455" t="s">
        <v>507</v>
      </c>
      <c r="AA6" s="455" t="s">
        <v>508</v>
      </c>
      <c r="AD6" s="205"/>
    </row>
    <row r="7" spans="2:30" x14ac:dyDescent="0.3">
      <c r="B7" s="199" t="s">
        <v>3</v>
      </c>
      <c r="C7" s="1" t="s">
        <v>462</v>
      </c>
      <c r="D7" s="32" cm="1">
        <f t="array" aca="1" ref="D7" ca="1">(INDIRECT("'1"&amp;$B7&amp;"'!W12"))</f>
        <v>0.55434578760135611</v>
      </c>
      <c r="E7" s="32" cm="1">
        <f t="array" aca="1" ref="E7" ca="1">(INDIRECT("'1"&amp;$B7&amp;"'!W13"))</f>
        <v>39.258922395439207</v>
      </c>
      <c r="F7" s="32" cm="1">
        <f t="array" aca="1" ref="F7" ca="1">(INDIRECT("'1"&amp;$B7&amp;"'!W14"))</f>
        <v>4.832524374012924</v>
      </c>
      <c r="G7" s="32" cm="1">
        <f t="array" aca="1" ref="G7" ca="1">(INDIRECT("'1"&amp;$B7&amp;"'!W15"))</f>
        <v>3.4818013600640869</v>
      </c>
      <c r="H7" s="32" cm="1">
        <f t="array" aca="1" ref="H7" ca="1">(INDIRECT("'1"&amp;$B7&amp;"'!W16"))</f>
        <v>2.798646774550321</v>
      </c>
      <c r="I7" s="32" cm="1">
        <f t="array" aca="1" ref="I7" ca="1">(INDIRECT("'1"&amp;$B7&amp;"'!W17"))</f>
        <v>2.4004676228137454</v>
      </c>
      <c r="J7" s="32" cm="1">
        <f t="array" aca="1" ref="J7" ca="1">(INDIRECT("'1"&amp;$B7&amp;"'!W18"))</f>
        <v>2.1587568811364899</v>
      </c>
      <c r="K7" s="32" cm="1">
        <f t="array" aca="1" ref="K7" ca="1">(INDIRECT("'1"&amp;$B7&amp;"'!W19"))</f>
        <v>2.0041935923233427</v>
      </c>
      <c r="L7" s="32" cm="1">
        <f t="array" aca="1" ref="L7" ca="1">(INDIRECT("'1"&amp;$B7&amp;"'!W20"))</f>
        <v>1.755348174531524</v>
      </c>
      <c r="M7" s="32" cm="1">
        <f t="array" aca="1" ref="M7" ca="1">(INDIRECT("'1"&amp;$B7&amp;"'!W21"))</f>
        <v>1.4049841818569087</v>
      </c>
      <c r="N7" s="32"/>
      <c r="O7" s="200" cm="1">
        <f t="array" aca="1" ref="O7" ca="1">(INDIRECT("'1"&amp;$B7&amp;"'!AS12"))/100</f>
        <v>0</v>
      </c>
      <c r="P7" s="200" cm="1">
        <f t="array" aca="1" ref="P7" ca="1">(INDIRECT("'1"&amp;$B7&amp;"'!AS13"))/100</f>
        <v>0.69009270461399841</v>
      </c>
      <c r="Q7" s="200" cm="1">
        <f t="array" aca="1" ref="Q7" ca="1">(INDIRECT("'1"&amp;$B7&amp;"'!AS14"))/100</f>
        <v>0.71690552791546969</v>
      </c>
      <c r="R7" s="200" cm="1">
        <f t="array" aca="1" ref="R7" ca="1">(INDIRECT("'1"&amp;$B7&amp;"'!AS15"))/100</f>
        <v>0.7651767458181814</v>
      </c>
      <c r="S7" s="200" cm="1">
        <f t="array" aca="1" ref="S7" ca="1">(INDIRECT("'1"&amp;$B7&amp;"'!AS16"))/100</f>
        <v>0.79382469476440132</v>
      </c>
      <c r="T7" s="200" cm="1">
        <f t="array" aca="1" ref="T7" ca="1">(INDIRECT("'1"&amp;$B7&amp;"'!AS17"))/100</f>
        <v>0.83471959271435736</v>
      </c>
      <c r="U7" s="200" cm="1">
        <f t="array" aca="1" ref="U7" ca="1">(INDIRECT("'1"&amp;$B7&amp;"'!AS18"))/100</f>
        <v>0.85989863188587246</v>
      </c>
      <c r="V7" s="200" cm="1">
        <f t="array" aca="1" ref="V7" ca="1">(INDIRECT("'1"&amp;$B7&amp;"'!AS19"))/100</f>
        <v>0.87292110169446713</v>
      </c>
      <c r="W7" s="200" cm="1">
        <f t="array" aca="1" ref="W7" ca="1">(INDIRECT("'1"&amp;$B7&amp;"'!AS20"))/100</f>
        <v>0.89733600425481508</v>
      </c>
      <c r="X7" s="200" cm="1">
        <f t="array" aca="1" ref="X7" ca="1">(INDIRECT("'1"&amp;$B7&amp;"'!AS21"))/100</f>
        <v>0.91534837312354211</v>
      </c>
      <c r="Y7" s="200"/>
      <c r="Z7" s="32" cm="1">
        <f t="array" aca="1" ref="Z7" ca="1" xml:space="preserve"> (INDIRECT("'1"&amp;$B7&amp;"'!O19")*INDIRECT("'1"&amp;$B7&amp;"'!W19")
+ INDIRECT("'1"&amp;$B7&amp;"'!O18")*INDIRECT("'1"&amp;$B7&amp;"'!W18")
+ INDIRECT("'1"&amp;$B7&amp;"'!O17")*INDIRECT("'1"&amp;$B7&amp;"'!W17")
+ INDIRECT("'1"&amp;$B7&amp;"'!O16")*INDIRECT("'1"&amp;$B7&amp;"'!W16")
+ INDIRECT("'1"&amp;$B7&amp;"'!O15")*INDIRECT("'1"&amp;$B7&amp;"'!W15")
+ INDIRECT("'1"&amp;$B7&amp;"'!O14")*INDIRECT("'1"&amp;$B7&amp;"'!W14")
+ INDIRECT("'1"&amp;$B7&amp;"'!O13")*INDIRECT("'1"&amp;$B7&amp;"'!W13")
+ INDIRECT("'1"&amp;$B7&amp;"'!O12")*INDIRECT("'1"&amp;$B7&amp;"'!W12"))
/
(INDIRECT("'1"&amp;$B7&amp;"'!O19")
+ INDIRECT("'1"&amp;$B7&amp;"'!O18")
+ INDIRECT("'1"&amp;$B7&amp;"'!O17")
+ INDIRECT("'1"&amp;$B7&amp;"'!O16")
+ INDIRECT("'1"&amp;$B7&amp;"'!O15")
+ INDIRECT("'1"&amp;$B7&amp;"'!O14")
+ INDIRECT("'1"&amp;$B7&amp;"'!O13")
+ INDIRECT("'1"&amp;$B7&amp;"'!O12"))-(INDIRECT("'1"&amp;$B7&amp;"'!O21")*INDIRECT("'1"&amp;$B7&amp;"'!W21")+INDIRECT("'1"&amp;$B7&amp;"'!O20")*INDIRECT("'1"&amp;$B7&amp;"'!W20"))/(INDIRECT("'1"&amp;$B7&amp;"'!O21")+INDIRECT("'1"&amp;$B7&amp;"'!O20"))</f>
        <v>1.0515305748942407</v>
      </c>
      <c r="AA7" s="32" cm="1">
        <f t="array" aca="1" ref="AA7" ca="1" xml:space="preserve"> (INDIRECT("'1"&amp;$B7&amp;"'!O20")*INDIRECT("'1"&amp;$B7&amp;"'!W20")+INDIRECT("'1"&amp;$B7&amp;"'!O19")*INDIRECT("'1"&amp;$B7&amp;"'!W19")
+ INDIRECT("'1"&amp;$B7&amp;"'!O18")*INDIRECT("'1"&amp;$B7&amp;"'!W18")
+ INDIRECT("'1"&amp;$B7&amp;"'!O17")*INDIRECT("'1"&amp;$B7&amp;"'!W17")
+ INDIRECT("'1"&amp;$B7&amp;"'!O16")*INDIRECT("'1"&amp;$B7&amp;"'!W16")
+ INDIRECT("'1"&amp;$B7&amp;"'!O15")*INDIRECT("'1"&amp;$B7&amp;"'!W15")
+ INDIRECT("'1"&amp;$B7&amp;"'!O14")*INDIRECT("'1"&amp;$B7&amp;"'!W14")
+ INDIRECT("'1"&amp;$B7&amp;"'!O13")*INDIRECT("'1"&amp;$B7&amp;"'!W13")
+ INDIRECT("'1"&amp;$B7&amp;"'!O12")*INDIRECT("'1"&amp;$B7&amp;"'!W12"))
/
(INDIRECT("'1"&amp;$B7&amp;"'!O20")+INDIRECT("'1"&amp;$B7&amp;"'!O19")
+ INDIRECT("'1"&amp;$B7&amp;"'!O18")
+ INDIRECT("'1"&amp;$B7&amp;"'!O17")
+ INDIRECT("'1"&amp;$B7&amp;"'!O16")
+ INDIRECT("'1"&amp;$B7&amp;"'!O15")
+ INDIRECT("'1"&amp;$B7&amp;"'!O14")
+ INDIRECT("'1"&amp;$B7&amp;"'!O13")
+ INDIRECT("'1"&amp;$B7&amp;"'!O12"))-INDIRECT("'1"&amp;$B7&amp;"'!W21")</f>
        <v>0.87988751453087688</v>
      </c>
      <c r="AD7"/>
    </row>
    <row r="8" spans="2:30" x14ac:dyDescent="0.3">
      <c r="B8" s="199" t="s">
        <v>204</v>
      </c>
      <c r="C8" s="1" t="s">
        <v>463</v>
      </c>
      <c r="D8" s="32" cm="1">
        <f t="array" aca="1" ref="D8" ca="1">(INDIRECT("'1"&amp;$B8&amp;"'!W12"))</f>
        <v>1.6516612639090991</v>
      </c>
      <c r="E8" s="32" cm="1">
        <f t="array" aca="1" ref="E8" ca="1">(INDIRECT("'1"&amp;$B8&amp;"'!W13"))</f>
        <v>34.733873368165071</v>
      </c>
      <c r="F8" s="32" cm="1">
        <f t="array" aca="1" ref="F8" ca="1">(INDIRECT("'1"&amp;$B8&amp;"'!W14"))</f>
        <v>6.5566762791833453</v>
      </c>
      <c r="G8" s="32" cm="1">
        <f t="array" aca="1" ref="G8" ca="1">(INDIRECT("'1"&amp;$B8&amp;"'!W15"))</f>
        <v>3.812103365591609</v>
      </c>
      <c r="H8" s="32" cm="1">
        <f t="array" aca="1" ref="H8" ca="1">(INDIRECT("'1"&amp;$B8&amp;"'!W16"))</f>
        <v>2.8988533014196487</v>
      </c>
      <c r="I8" s="32" cm="1">
        <f t="array" aca="1" ref="I8" ca="1">(INDIRECT("'1"&amp;$B8&amp;"'!W17"))</f>
        <v>2.4216367686788027</v>
      </c>
      <c r="J8" s="32" cm="1">
        <f t="array" aca="1" ref="J8" ca="1">(INDIRECT("'1"&amp;$B8&amp;"'!W18"))</f>
        <v>2.1119632464195872</v>
      </c>
      <c r="K8" s="32" cm="1">
        <f t="array" aca="1" ref="K8" ca="1">(INDIRECT("'1"&amp;$B8&amp;"'!W19"))</f>
        <v>1.9324757341212386</v>
      </c>
      <c r="L8" s="32" cm="1">
        <f t="array" aca="1" ref="L8" ca="1">(INDIRECT("'1"&amp;$B8&amp;"'!W20"))</f>
        <v>1.7453794529091013</v>
      </c>
      <c r="M8" s="32" cm="1">
        <f t="array" aca="1" ref="M8" ca="1">(INDIRECT("'1"&amp;$B8&amp;"'!W21"))</f>
        <v>1.3992366666065328</v>
      </c>
      <c r="N8" s="32"/>
      <c r="O8" s="200" cm="1">
        <f t="array" aca="1" ref="O8" ca="1">(INDIRECT("'1"&amp;$B8&amp;"'!AS12"))/100</f>
        <v>0.1492765560370882</v>
      </c>
      <c r="P8" s="200" cm="1">
        <f t="array" aca="1" ref="P8" ca="1">(INDIRECT("'1"&amp;$B8&amp;"'!AS13"))/100</f>
        <v>0.23088189593587713</v>
      </c>
      <c r="Q8" s="200" cm="1">
        <f t="array" aca="1" ref="Q8" ca="1">(INDIRECT("'1"&amp;$B8&amp;"'!AS14"))/100</f>
        <v>0.24728357651192673</v>
      </c>
      <c r="R8" s="200" cm="1">
        <f t="array" aca="1" ref="R8" ca="1">(INDIRECT("'1"&amp;$B8&amp;"'!AS15"))/100</f>
        <v>0.30154150813760394</v>
      </c>
      <c r="S8" s="200" cm="1">
        <f t="array" aca="1" ref="S8" ca="1">(INDIRECT("'1"&amp;$B8&amp;"'!AS16"))/100</f>
        <v>0.32584301435051877</v>
      </c>
      <c r="T8" s="200" cm="1">
        <f t="array" aca="1" ref="T8" ca="1">(INDIRECT("'1"&amp;$B8&amp;"'!AS17"))/100</f>
        <v>0.35718347751117663</v>
      </c>
      <c r="U8" s="200" cm="1">
        <f t="array" aca="1" ref="U8" ca="1">(INDIRECT("'1"&amp;$B8&amp;"'!AS18"))/100</f>
        <v>0.37020706095356909</v>
      </c>
      <c r="V8" s="200" cm="1">
        <f t="array" aca="1" ref="V8" ca="1">(INDIRECT("'1"&amp;$B8&amp;"'!AS19"))/100</f>
        <v>0.39973817617554597</v>
      </c>
      <c r="W8" s="200" cm="1">
        <f t="array" aca="1" ref="W8" ca="1">(INDIRECT("'1"&amp;$B8&amp;"'!AS20"))/100</f>
        <v>0.44087653876425181</v>
      </c>
      <c r="X8" s="200" cm="1">
        <f t="array" aca="1" ref="X8" ca="1">(INDIRECT("'1"&amp;$B8&amp;"'!AS21"))/100</f>
        <v>0.48154149957834069</v>
      </c>
      <c r="Y8" s="200"/>
      <c r="Z8" s="32" cm="1">
        <f t="array" aca="1" ref="Z8" ca="1" xml:space="preserve"> (INDIRECT("'1"&amp;$B8&amp;"'!O19")*INDIRECT("'1"&amp;$B8&amp;"'!W19")
+ INDIRECT("'1"&amp;$B8&amp;"'!O18")*INDIRECT("'1"&amp;$B8&amp;"'!W18")
+ INDIRECT("'1"&amp;$B8&amp;"'!O17")*INDIRECT("'1"&amp;$B8&amp;"'!W17")
+ INDIRECT("'1"&amp;$B8&amp;"'!O16")*INDIRECT("'1"&amp;$B8&amp;"'!W16")
+ INDIRECT("'1"&amp;$B8&amp;"'!O15")*INDIRECT("'1"&amp;$B8&amp;"'!W15")
+ INDIRECT("'1"&amp;$B8&amp;"'!O14")*INDIRECT("'1"&amp;$B8&amp;"'!W14")
+ INDIRECT("'1"&amp;$B8&amp;"'!O13")*INDIRECT("'1"&amp;$B8&amp;"'!W13")
+ INDIRECT("'1"&amp;$B8&amp;"'!O12")*INDIRECT("'1"&amp;$B8&amp;"'!W12"))
/
(INDIRECT("'1"&amp;$B8&amp;"'!O19")
+ INDIRECT("'1"&amp;$B8&amp;"'!O18")
+ INDIRECT("'1"&amp;$B8&amp;"'!O17")
+ INDIRECT("'1"&amp;$B8&amp;"'!O16")
+ INDIRECT("'1"&amp;$B8&amp;"'!O15")
+ INDIRECT("'1"&amp;$B8&amp;"'!O14")
+ INDIRECT("'1"&amp;$B8&amp;"'!O13")
+ INDIRECT("'1"&amp;$B8&amp;"'!O12"))-(INDIRECT("'1"&amp;$B8&amp;"'!O21")*INDIRECT("'1"&amp;$B8&amp;"'!W21")+INDIRECT("'1"&amp;$B8&amp;"'!O20")*INDIRECT("'1"&amp;$B8&amp;"'!W20"))/(INDIRECT("'1"&amp;$B8&amp;"'!O21")+INDIRECT("'1"&amp;$B8&amp;"'!O20"))</f>
        <v>1.0788679977703668</v>
      </c>
      <c r="AA8" s="32" cm="1">
        <f t="array" aca="1" ref="AA8" ca="1" xml:space="preserve"> (INDIRECT("'1"&amp;$B8&amp;"'!O20")*INDIRECT("'1"&amp;$B8&amp;"'!W20")+INDIRECT("'1"&amp;$B8&amp;"'!O19")*INDIRECT("'1"&amp;$B8&amp;"'!W19")
+ INDIRECT("'1"&amp;$B8&amp;"'!O18")*INDIRECT("'1"&amp;$B8&amp;"'!W18")
+ INDIRECT("'1"&amp;$B8&amp;"'!O17")*INDIRECT("'1"&amp;$B8&amp;"'!W17")
+ INDIRECT("'1"&amp;$B8&amp;"'!O16")*INDIRECT("'1"&amp;$B8&amp;"'!W16")
+ INDIRECT("'1"&amp;$B8&amp;"'!O15")*INDIRECT("'1"&amp;$B8&amp;"'!W15")
+ INDIRECT("'1"&amp;$B8&amp;"'!O14")*INDIRECT("'1"&amp;$B8&amp;"'!W14")
+ INDIRECT("'1"&amp;$B8&amp;"'!O13")*INDIRECT("'1"&amp;$B8&amp;"'!W13")
+ INDIRECT("'1"&amp;$B8&amp;"'!O12")*INDIRECT("'1"&amp;$B8&amp;"'!W12"))
/
(INDIRECT("'1"&amp;$B8&amp;"'!O20")+INDIRECT("'1"&amp;$B8&amp;"'!O19")
+ INDIRECT("'1"&amp;$B8&amp;"'!O18")
+ INDIRECT("'1"&amp;$B8&amp;"'!O17")
+ INDIRECT("'1"&amp;$B8&amp;"'!O16")
+ INDIRECT("'1"&amp;$B8&amp;"'!O15")
+ INDIRECT("'1"&amp;$B8&amp;"'!O14")
+ INDIRECT("'1"&amp;$B8&amp;"'!O13")
+ INDIRECT("'1"&amp;$B8&amp;"'!O12"))-INDIRECT("'1"&amp;$B8&amp;"'!W21")</f>
        <v>0.92224648184275004</v>
      </c>
      <c r="AD8"/>
    </row>
    <row r="9" spans="2:30" x14ac:dyDescent="0.3">
      <c r="B9" s="199" t="s">
        <v>208</v>
      </c>
      <c r="C9" s="1" t="s">
        <v>464</v>
      </c>
      <c r="D9" s="32" cm="1">
        <f t="array" aca="1" ref="D9" ca="1">(INDIRECT("'1"&amp;$B9&amp;"'!W12"))</f>
        <v>0</v>
      </c>
      <c r="E9" s="32" cm="1">
        <f t="array" aca="1" ref="E9" ca="1">(INDIRECT("'1"&amp;$B9&amp;"'!W13"))</f>
        <v>10.173885062297899</v>
      </c>
      <c r="F9" s="32" cm="1">
        <f t="array" aca="1" ref="F9" ca="1">(INDIRECT("'1"&amp;$B9&amp;"'!W14"))</f>
        <v>10.642336890791634</v>
      </c>
      <c r="G9" s="32" cm="1">
        <f t="array" aca="1" ref="G9" ca="1">(INDIRECT("'1"&amp;$B9&amp;"'!W15"))</f>
        <v>5.8958205225046205</v>
      </c>
      <c r="H9" s="32" cm="1">
        <f t="array" aca="1" ref="H9" ca="1">(INDIRECT("'1"&amp;$B9&amp;"'!W16"))</f>
        <v>5.3208202651603616</v>
      </c>
      <c r="I9" s="32" cm="1">
        <f t="array" aca="1" ref="I9" ca="1">(INDIRECT("'1"&amp;$B9&amp;"'!W17"))</f>
        <v>4.5290819299792622</v>
      </c>
      <c r="J9" s="32" cm="1">
        <f t="array" aca="1" ref="J9" ca="1">(INDIRECT("'1"&amp;$B9&amp;"'!W18"))</f>
        <v>3.8279643033919375</v>
      </c>
      <c r="K9" s="32" cm="1">
        <f t="array" aca="1" ref="K9" ca="1">(INDIRECT("'1"&amp;$B9&amp;"'!W19"))</f>
        <v>3.2686567666616191</v>
      </c>
      <c r="L9" s="32" cm="1">
        <f t="array" aca="1" ref="L9" ca="1">(INDIRECT("'1"&amp;$B9&amp;"'!W20"))</f>
        <v>2.6862996178553158</v>
      </c>
      <c r="M9" s="32" cm="1">
        <f t="array" aca="1" ref="M9" ca="1">(INDIRECT("'1"&amp;$B9&amp;"'!W21"))</f>
        <v>1.7703998280948667</v>
      </c>
      <c r="N9" s="32"/>
      <c r="O9" s="200" cm="1">
        <f t="array" aca="1" ref="O9" ca="1">(INDIRECT("'1"&amp;$B9&amp;"'!AS12"))/100</f>
        <v>0</v>
      </c>
      <c r="P9" s="200" cm="1">
        <f t="array" aca="1" ref="P9" ca="1">(INDIRECT("'1"&amp;$B9&amp;"'!AS13"))/100</f>
        <v>1</v>
      </c>
      <c r="Q9" s="200" cm="1">
        <f t="array" aca="1" ref="Q9" ca="1">(INDIRECT("'1"&amp;$B9&amp;"'!AS14"))/100</f>
        <v>0.99975355291832169</v>
      </c>
      <c r="R9" s="200" cm="1">
        <f t="array" aca="1" ref="R9" ca="1">(INDIRECT("'1"&amp;$B9&amp;"'!AS15"))/100</f>
        <v>1</v>
      </c>
      <c r="S9" s="200" cm="1">
        <f t="array" aca="1" ref="S9" ca="1">(INDIRECT("'1"&amp;$B9&amp;"'!AS16"))/100</f>
        <v>0.99951698523627797</v>
      </c>
      <c r="T9" s="200" cm="1">
        <f t="array" aca="1" ref="T9" ca="1">(INDIRECT("'1"&amp;$B9&amp;"'!AS17"))/100</f>
        <v>0.99911411608872658</v>
      </c>
      <c r="U9" s="200" cm="1">
        <f t="array" aca="1" ref="U9" ca="1">(INDIRECT("'1"&amp;$B9&amp;"'!AS18"))/100</f>
        <v>0.99876587110270454</v>
      </c>
      <c r="V9" s="200" cm="1">
        <f t="array" aca="1" ref="V9" ca="1">(INDIRECT("'1"&amp;$B9&amp;"'!AS19"))/100</f>
        <v>0.99884838751048721</v>
      </c>
      <c r="W9" s="200" cm="1">
        <f t="array" aca="1" ref="W9" ca="1">(INDIRECT("'1"&amp;$B9&amp;"'!AS20"))/100</f>
        <v>0.99845313017034765</v>
      </c>
      <c r="X9" s="200" cm="1">
        <f t="array" aca="1" ref="X9" ca="1">(INDIRECT("'1"&amp;$B9&amp;"'!AS21"))/100</f>
        <v>0.99262433623362367</v>
      </c>
      <c r="Y9" s="200"/>
      <c r="Z9" s="32" cm="1">
        <f t="array" aca="1" ref="Z9" ca="1" xml:space="preserve"> (INDIRECT("'1"&amp;$B9&amp;"'!O19")*INDIRECT("'1"&amp;$B9&amp;"'!W19")
+ INDIRECT("'1"&amp;$B9&amp;"'!O18")*INDIRECT("'1"&amp;$B9&amp;"'!W18")
+ INDIRECT("'1"&amp;$B9&amp;"'!O17")*INDIRECT("'1"&amp;$B9&amp;"'!W17")
+ INDIRECT("'1"&amp;$B9&amp;"'!O16")*INDIRECT("'1"&amp;$B9&amp;"'!W16")
+ INDIRECT("'1"&amp;$B9&amp;"'!O15")*INDIRECT("'1"&amp;$B9&amp;"'!W15")
+ INDIRECT("'1"&amp;$B9&amp;"'!O14")*INDIRECT("'1"&amp;$B9&amp;"'!W14")
+ INDIRECT("'1"&amp;$B9&amp;"'!O13")*INDIRECT("'1"&amp;$B9&amp;"'!W13")
+ INDIRECT("'1"&amp;$B9&amp;"'!O12")*INDIRECT("'1"&amp;$B9&amp;"'!W12"))
/
(INDIRECT("'1"&amp;$B9&amp;"'!O19")
+ INDIRECT("'1"&amp;$B9&amp;"'!O18")
+ INDIRECT("'1"&amp;$B9&amp;"'!O17")
+ INDIRECT("'1"&amp;$B9&amp;"'!O16")
+ INDIRECT("'1"&amp;$B9&amp;"'!O15")
+ INDIRECT("'1"&amp;$B9&amp;"'!O14")
+ INDIRECT("'1"&amp;$B9&amp;"'!O13")
+ INDIRECT("'1"&amp;$B9&amp;"'!O12"))-(INDIRECT("'1"&amp;$B9&amp;"'!O21")*INDIRECT("'1"&amp;$B9&amp;"'!W21")+INDIRECT("'1"&amp;$B9&amp;"'!O20")*INDIRECT("'1"&amp;$B9&amp;"'!W20"))/(INDIRECT("'1"&amp;$B9&amp;"'!O21")+INDIRECT("'1"&amp;$B9&amp;"'!O20"))</f>
        <v>1.8951647076521418</v>
      </c>
      <c r="AA9" s="32" cm="1">
        <f t="array" aca="1" ref="AA9" ca="1" xml:space="preserve"> (INDIRECT("'1"&amp;$B9&amp;"'!O20")*INDIRECT("'1"&amp;$B9&amp;"'!W20")+INDIRECT("'1"&amp;$B9&amp;"'!O19")*INDIRECT("'1"&amp;$B9&amp;"'!W19")
+ INDIRECT("'1"&amp;$B9&amp;"'!O18")*INDIRECT("'1"&amp;$B9&amp;"'!W18")
+ INDIRECT("'1"&amp;$B9&amp;"'!O17")*INDIRECT("'1"&amp;$B9&amp;"'!W17")
+ INDIRECT("'1"&amp;$B9&amp;"'!O16")*INDIRECT("'1"&amp;$B9&amp;"'!W16")
+ INDIRECT("'1"&amp;$B9&amp;"'!O15")*INDIRECT("'1"&amp;$B9&amp;"'!W15")
+ INDIRECT("'1"&amp;$B9&amp;"'!O14")*INDIRECT("'1"&amp;$B9&amp;"'!W14")
+ INDIRECT("'1"&amp;$B9&amp;"'!O13")*INDIRECT("'1"&amp;$B9&amp;"'!W13")
+ INDIRECT("'1"&amp;$B9&amp;"'!O12")*INDIRECT("'1"&amp;$B9&amp;"'!W12"))
/
(INDIRECT("'1"&amp;$B9&amp;"'!O20")+INDIRECT("'1"&amp;$B9&amp;"'!O19")
+ INDIRECT("'1"&amp;$B9&amp;"'!O18")
+ INDIRECT("'1"&amp;$B9&amp;"'!O17")
+ INDIRECT("'1"&amp;$B9&amp;"'!O16")
+ INDIRECT("'1"&amp;$B9&amp;"'!O15")
+ INDIRECT("'1"&amp;$B9&amp;"'!O14")
+ INDIRECT("'1"&amp;$B9&amp;"'!O13")
+ INDIRECT("'1"&amp;$B9&amp;"'!O12"))-INDIRECT("'1"&amp;$B9&amp;"'!W21")</f>
        <v>1.4929756878573537</v>
      </c>
      <c r="AD9"/>
    </row>
    <row r="10" spans="2:30" x14ac:dyDescent="0.3">
      <c r="B10" s="199" t="s">
        <v>210</v>
      </c>
      <c r="C10" s="1" t="s">
        <v>465</v>
      </c>
      <c r="D10" s="32" cm="1">
        <f t="array" aca="1" ref="D10" ca="1">(INDIRECT("'1"&amp;$B10&amp;"'!W12"))</f>
        <v>4.2214879824822802</v>
      </c>
      <c r="E10" s="32" cm="1">
        <f t="array" aca="1" ref="E10" ca="1">(INDIRECT("'1"&amp;$B10&amp;"'!W13"))</f>
        <v>5.0300264705273428</v>
      </c>
      <c r="F10" s="32" cm="1">
        <f t="array" aca="1" ref="F10" ca="1">(INDIRECT("'1"&amp;$B10&amp;"'!W14"))</f>
        <v>3.5174475366260394</v>
      </c>
      <c r="G10" s="32" cm="1">
        <f t="array" aca="1" ref="G10" ca="1">(INDIRECT("'1"&amp;$B10&amp;"'!W15"))</f>
        <v>2.9069726759151968</v>
      </c>
      <c r="H10" s="32" cm="1">
        <f t="array" aca="1" ref="H10" ca="1">(INDIRECT("'1"&amp;$B10&amp;"'!W16"))</f>
        <v>2.4773035811815651</v>
      </c>
      <c r="I10" s="32" cm="1">
        <f t="array" aca="1" ref="I10" ca="1">(INDIRECT("'1"&amp;$B10&amp;"'!W17"))</f>
        <v>2.1041270228059767</v>
      </c>
      <c r="J10" s="32" cm="1">
        <f t="array" aca="1" ref="J10" ca="1">(INDIRECT("'1"&amp;$B10&amp;"'!W18"))</f>
        <v>1.9487734471247906</v>
      </c>
      <c r="K10" s="32" cm="1">
        <f t="array" aca="1" ref="K10" ca="1">(INDIRECT("'1"&amp;$B10&amp;"'!W19"))</f>
        <v>1.8498040901994646</v>
      </c>
      <c r="L10" s="32" cm="1">
        <f t="array" aca="1" ref="L10" ca="1">(INDIRECT("'1"&amp;$B10&amp;"'!W20"))</f>
        <v>1.699210404222472</v>
      </c>
      <c r="M10" s="32" cm="1">
        <f t="array" aca="1" ref="M10" ca="1">(INDIRECT("'1"&amp;$B10&amp;"'!W21"))</f>
        <v>1.3566735793159437</v>
      </c>
      <c r="N10" s="32"/>
      <c r="O10" s="200" cm="1">
        <f t="array" aca="1" ref="O10" ca="1">(INDIRECT("'1"&amp;$B10&amp;"'!AS12"))/100</f>
        <v>0.14356983766000386</v>
      </c>
      <c r="P10" s="200" cm="1">
        <f t="array" aca="1" ref="P10" ca="1">(INDIRECT("'1"&amp;$B10&amp;"'!AS13"))/100</f>
        <v>0.23843739607371806</v>
      </c>
      <c r="Q10" s="200" cm="1">
        <f t="array" aca="1" ref="Q10" ca="1">(INDIRECT("'1"&amp;$B10&amp;"'!AS14"))/100</f>
        <v>0.50601110486788592</v>
      </c>
      <c r="R10" s="200" cm="1">
        <f t="array" aca="1" ref="R10" ca="1">(INDIRECT("'1"&amp;$B10&amp;"'!AS15"))/100</f>
        <v>0.55459833088329535</v>
      </c>
      <c r="S10" s="200" cm="1">
        <f t="array" aca="1" ref="S10" ca="1">(INDIRECT("'1"&amp;$B10&amp;"'!AS16"))/100</f>
        <v>0.61380551773133907</v>
      </c>
      <c r="T10" s="200" cm="1">
        <f t="array" aca="1" ref="T10" ca="1">(INDIRECT("'1"&amp;$B10&amp;"'!AS17"))/100</f>
        <v>0.7054139582819059</v>
      </c>
      <c r="U10" s="200" cm="1">
        <f t="array" aca="1" ref="U10" ca="1">(INDIRECT("'1"&amp;$B10&amp;"'!AS18"))/100</f>
        <v>0.7181958250170265</v>
      </c>
      <c r="V10" s="200" cm="1">
        <f t="array" aca="1" ref="V10" ca="1">(INDIRECT("'1"&amp;$B10&amp;"'!AS19"))/100</f>
        <v>0.72579397903474918</v>
      </c>
      <c r="W10" s="200" cm="1">
        <f t="array" aca="1" ref="W10" ca="1">(INDIRECT("'1"&amp;$B10&amp;"'!AS20"))/100</f>
        <v>0.79767453993785931</v>
      </c>
      <c r="X10" s="200" cm="1">
        <f t="array" aca="1" ref="X10" ca="1">(INDIRECT("'1"&amp;$B10&amp;"'!AS21"))/100</f>
        <v>0.81125702365066232</v>
      </c>
      <c r="Y10" s="200"/>
      <c r="Z10" s="32" cm="1">
        <f t="array" aca="1" ref="Z10" ca="1" xml:space="preserve"> (INDIRECT("'1"&amp;$B10&amp;"'!O19")*INDIRECT("'1"&amp;$B10&amp;"'!W19")
+ INDIRECT("'1"&amp;$B10&amp;"'!O18")*INDIRECT("'1"&amp;$B10&amp;"'!W18")
+ INDIRECT("'1"&amp;$B10&amp;"'!O17")*INDIRECT("'1"&amp;$B10&amp;"'!W17")
+ INDIRECT("'1"&amp;$B10&amp;"'!O16")*INDIRECT("'1"&amp;$B10&amp;"'!W16")
+ INDIRECT("'1"&amp;$B10&amp;"'!O15")*INDIRECT("'1"&amp;$B10&amp;"'!W15")
+ INDIRECT("'1"&amp;$B10&amp;"'!O14")*INDIRECT("'1"&amp;$B10&amp;"'!W14")
+ INDIRECT("'1"&amp;$B10&amp;"'!O13")*INDIRECT("'1"&amp;$B10&amp;"'!W13")
+ INDIRECT("'1"&amp;$B10&amp;"'!O12")*INDIRECT("'1"&amp;$B10&amp;"'!W12"))
/
(INDIRECT("'1"&amp;$B10&amp;"'!O19")
+ INDIRECT("'1"&amp;$B10&amp;"'!O18")
+ INDIRECT("'1"&amp;$B10&amp;"'!O17")
+ INDIRECT("'1"&amp;$B10&amp;"'!O16")
+ INDIRECT("'1"&amp;$B10&amp;"'!O15")
+ INDIRECT("'1"&amp;$B10&amp;"'!O14")
+ INDIRECT("'1"&amp;$B10&amp;"'!O13")
+ INDIRECT("'1"&amp;$B10&amp;"'!O12"))-(INDIRECT("'1"&amp;$B10&amp;"'!O21")*INDIRECT("'1"&amp;$B10&amp;"'!W21")+INDIRECT("'1"&amp;$B10&amp;"'!O20")*INDIRECT("'1"&amp;$B10&amp;"'!W20"))/(INDIRECT("'1"&amp;$B10&amp;"'!O21")+INDIRECT("'1"&amp;$B10&amp;"'!O20"))</f>
        <v>0.7230254940326164</v>
      </c>
      <c r="AA10" s="32" cm="1">
        <f t="array" aca="1" ref="AA10" ca="1" xml:space="preserve"> (INDIRECT("'1"&amp;$B10&amp;"'!O20")*INDIRECT("'1"&amp;$B10&amp;"'!W20")+INDIRECT("'1"&amp;$B10&amp;"'!O19")*INDIRECT("'1"&amp;$B10&amp;"'!W19")
+ INDIRECT("'1"&amp;$B10&amp;"'!O18")*INDIRECT("'1"&amp;$B10&amp;"'!W18")
+ INDIRECT("'1"&amp;$B10&amp;"'!O17")*INDIRECT("'1"&amp;$B10&amp;"'!W17")
+ INDIRECT("'1"&amp;$B10&amp;"'!O16")*INDIRECT("'1"&amp;$B10&amp;"'!W16")
+ INDIRECT("'1"&amp;$B10&amp;"'!O15")*INDIRECT("'1"&amp;$B10&amp;"'!W15")
+ INDIRECT("'1"&amp;$B10&amp;"'!O14")*INDIRECT("'1"&amp;$B10&amp;"'!W14")
+ INDIRECT("'1"&amp;$B10&amp;"'!O13")*INDIRECT("'1"&amp;$B10&amp;"'!W13")
+ INDIRECT("'1"&amp;$B10&amp;"'!O12")*INDIRECT("'1"&amp;$B10&amp;"'!W12"))
/
(INDIRECT("'1"&amp;$B10&amp;"'!O20")+INDIRECT("'1"&amp;$B10&amp;"'!O19")
+ INDIRECT("'1"&amp;$B10&amp;"'!O18")
+ INDIRECT("'1"&amp;$B10&amp;"'!O17")
+ INDIRECT("'1"&amp;$B10&amp;"'!O16")
+ INDIRECT("'1"&amp;$B10&amp;"'!O15")
+ INDIRECT("'1"&amp;$B10&amp;"'!O14")
+ INDIRECT("'1"&amp;$B10&amp;"'!O13")
+ INDIRECT("'1"&amp;$B10&amp;"'!O12"))-INDIRECT("'1"&amp;$B10&amp;"'!W21")</f>
        <v>0.65896549685596617</v>
      </c>
      <c r="AD10"/>
    </row>
    <row r="11" spans="2:30" x14ac:dyDescent="0.3">
      <c r="B11" s="199" t="s">
        <v>214</v>
      </c>
      <c r="C11" s="1" t="s">
        <v>466</v>
      </c>
      <c r="D11" s="32" cm="1">
        <f t="array" aca="1" ref="D11" ca="1">(INDIRECT("'1"&amp;$B11&amp;"'!W12"))</f>
        <v>8.1591160342684876</v>
      </c>
      <c r="E11" s="32" cm="1">
        <f t="array" aca="1" ref="E11" ca="1">(INDIRECT("'1"&amp;$B11&amp;"'!W13"))</f>
        <v>9.5987096876873075</v>
      </c>
      <c r="F11" s="32" cm="1">
        <f t="array" aca="1" ref="F11" ca="1">(INDIRECT("'1"&amp;$B11&amp;"'!W14"))</f>
        <v>5.0077523282219527</v>
      </c>
      <c r="G11" s="32" cm="1">
        <f t="array" aca="1" ref="G11" ca="1">(INDIRECT("'1"&amp;$B11&amp;"'!W15"))</f>
        <v>3.129749571892217</v>
      </c>
      <c r="H11" s="32" cm="1">
        <f t="array" aca="1" ref="H11" ca="1">(INDIRECT("'1"&amp;$B11&amp;"'!W16"))</f>
        <v>2.3554159436952098</v>
      </c>
      <c r="I11" s="32" cm="1">
        <f t="array" aca="1" ref="I11" ca="1">(INDIRECT("'1"&amp;$B11&amp;"'!W17"))</f>
        <v>2.0809882349877284</v>
      </c>
      <c r="J11" s="32" cm="1">
        <f t="array" aca="1" ref="J11" ca="1">(INDIRECT("'1"&amp;$B11&amp;"'!W18"))</f>
        <v>2.0394404274479792</v>
      </c>
      <c r="K11" s="32" cm="1">
        <f t="array" aca="1" ref="K11" ca="1">(INDIRECT("'1"&amp;$B11&amp;"'!W19"))</f>
        <v>1.7497828861156026</v>
      </c>
      <c r="L11" s="32" cm="1">
        <f t="array" aca="1" ref="L11" ca="1">(INDIRECT("'1"&amp;$B11&amp;"'!W20"))</f>
        <v>1.4713941155967467</v>
      </c>
      <c r="M11" s="32" cm="1">
        <f t="array" aca="1" ref="M11" ca="1">(INDIRECT("'1"&amp;$B11&amp;"'!W21"))</f>
        <v>1.1238414002702861</v>
      </c>
      <c r="N11" s="32"/>
      <c r="O11" s="200" cm="1">
        <f t="array" aca="1" ref="O11" ca="1">(INDIRECT("'1"&amp;$B11&amp;"'!AS12"))/100</f>
        <v>0</v>
      </c>
      <c r="P11" s="200" cm="1">
        <f t="array" aca="1" ref="P11" ca="1">(INDIRECT("'1"&amp;$B11&amp;"'!AS13"))/100</f>
        <v>0</v>
      </c>
      <c r="Q11" s="200" cm="1">
        <f t="array" aca="1" ref="Q11" ca="1">(INDIRECT("'1"&amp;$B11&amp;"'!AS14"))/100</f>
        <v>0</v>
      </c>
      <c r="R11" s="200" cm="1">
        <f t="array" aca="1" ref="R11" ca="1">(INDIRECT("'1"&amp;$B11&amp;"'!AS15"))/100</f>
        <v>0</v>
      </c>
      <c r="S11" s="200" cm="1">
        <f t="array" aca="1" ref="S11" ca="1">(INDIRECT("'1"&amp;$B11&amp;"'!AS16"))/100</f>
        <v>0</v>
      </c>
      <c r="T11" s="200" cm="1">
        <f t="array" aca="1" ref="T11" ca="1">(INDIRECT("'1"&amp;$B11&amp;"'!AS17"))/100</f>
        <v>0</v>
      </c>
      <c r="U11" s="200" cm="1">
        <f t="array" aca="1" ref="U11" ca="1">(INDIRECT("'1"&amp;$B11&amp;"'!AS18"))/100</f>
        <v>0</v>
      </c>
      <c r="V11" s="200" cm="1">
        <f t="array" aca="1" ref="V11" ca="1">(INDIRECT("'1"&amp;$B11&amp;"'!AS19"))/100</f>
        <v>0</v>
      </c>
      <c r="W11" s="200" cm="1">
        <f t="array" aca="1" ref="W11" ca="1">(INDIRECT("'1"&amp;$B11&amp;"'!AS20"))/100</f>
        <v>0</v>
      </c>
      <c r="X11" s="200" cm="1">
        <f t="array" aca="1" ref="X11" ca="1">(INDIRECT("'1"&amp;$B11&amp;"'!AS21"))/100</f>
        <v>0</v>
      </c>
      <c r="Y11" s="200"/>
      <c r="Z11" s="32" cm="1">
        <f t="array" aca="1" ref="Z11" ca="1" xml:space="preserve"> (INDIRECT("'1"&amp;$B11&amp;"'!O19")*INDIRECT("'1"&amp;$B11&amp;"'!W19")
+ INDIRECT("'1"&amp;$B11&amp;"'!O18")*INDIRECT("'1"&amp;$B11&amp;"'!W18")
+ INDIRECT("'1"&amp;$B11&amp;"'!O17")*INDIRECT("'1"&amp;$B11&amp;"'!W17")
+ INDIRECT("'1"&amp;$B11&amp;"'!O16")*INDIRECT("'1"&amp;$B11&amp;"'!W16")
+ INDIRECT("'1"&amp;$B11&amp;"'!O15")*INDIRECT("'1"&amp;$B11&amp;"'!W15")
+ INDIRECT("'1"&amp;$B11&amp;"'!O14")*INDIRECT("'1"&amp;$B11&amp;"'!W14")
+ INDIRECT("'1"&amp;$B11&amp;"'!O13")*INDIRECT("'1"&amp;$B11&amp;"'!W13")
+ INDIRECT("'1"&amp;$B11&amp;"'!O12")*INDIRECT("'1"&amp;$B11&amp;"'!W12"))
/
(INDIRECT("'1"&amp;$B11&amp;"'!O19")
+ INDIRECT("'1"&amp;$B11&amp;"'!O18")
+ INDIRECT("'1"&amp;$B11&amp;"'!O17")
+ INDIRECT("'1"&amp;$B11&amp;"'!O16")
+ INDIRECT("'1"&amp;$B11&amp;"'!O15")
+ INDIRECT("'1"&amp;$B11&amp;"'!O14")
+ INDIRECT("'1"&amp;$B11&amp;"'!O13")
+ INDIRECT("'1"&amp;$B11&amp;"'!O12"))-(INDIRECT("'1"&amp;$B11&amp;"'!O21")*INDIRECT("'1"&amp;$B11&amp;"'!W21")+INDIRECT("'1"&amp;$B11&amp;"'!O20")*INDIRECT("'1"&amp;$B11&amp;"'!W20"))/(INDIRECT("'1"&amp;$B11&amp;"'!O21")+INDIRECT("'1"&amp;$B11&amp;"'!O20"))</f>
        <v>0.97635367879894885</v>
      </c>
      <c r="AA11" s="32" cm="1">
        <f t="array" aca="1" ref="AA11" ca="1" xml:space="preserve"> (INDIRECT("'1"&amp;$B11&amp;"'!O20")*INDIRECT("'1"&amp;$B11&amp;"'!W20")+INDIRECT("'1"&amp;$B11&amp;"'!O19")*INDIRECT("'1"&amp;$B11&amp;"'!W19")
+ INDIRECT("'1"&amp;$B11&amp;"'!O18")*INDIRECT("'1"&amp;$B11&amp;"'!W18")
+ INDIRECT("'1"&amp;$B11&amp;"'!O17")*INDIRECT("'1"&amp;$B11&amp;"'!W17")
+ INDIRECT("'1"&amp;$B11&amp;"'!O16")*INDIRECT("'1"&amp;$B11&amp;"'!W16")
+ INDIRECT("'1"&amp;$B11&amp;"'!O15")*INDIRECT("'1"&amp;$B11&amp;"'!W15")
+ INDIRECT("'1"&amp;$B11&amp;"'!O14")*INDIRECT("'1"&amp;$B11&amp;"'!W14")
+ INDIRECT("'1"&amp;$B11&amp;"'!O13")*INDIRECT("'1"&amp;$B11&amp;"'!W13")
+ INDIRECT("'1"&amp;$B11&amp;"'!O12")*INDIRECT("'1"&amp;$B11&amp;"'!W12"))
/
(INDIRECT("'1"&amp;$B11&amp;"'!O20")+INDIRECT("'1"&amp;$B11&amp;"'!O19")
+ INDIRECT("'1"&amp;$B11&amp;"'!O18")
+ INDIRECT("'1"&amp;$B11&amp;"'!O17")
+ INDIRECT("'1"&amp;$B11&amp;"'!O16")
+ INDIRECT("'1"&amp;$B11&amp;"'!O15")
+ INDIRECT("'1"&amp;$B11&amp;"'!O14")
+ INDIRECT("'1"&amp;$B11&amp;"'!O13")
+ INDIRECT("'1"&amp;$B11&amp;"'!O12"))-INDIRECT("'1"&amp;$B11&amp;"'!W21")</f>
        <v>0.8541029489218126</v>
      </c>
      <c r="AD11"/>
    </row>
    <row r="12" spans="2:30" x14ac:dyDescent="0.3">
      <c r="B12" s="199" t="s">
        <v>217</v>
      </c>
      <c r="C12" s="1" t="s">
        <v>467</v>
      </c>
      <c r="D12" s="32" cm="1">
        <f t="array" aca="1" ref="D12" ca="1">(INDIRECT("'1"&amp;$B12&amp;"'!W12"))</f>
        <v>1.1873596696487376</v>
      </c>
      <c r="E12" s="32" cm="1">
        <f t="array" aca="1" ref="E12" ca="1">(INDIRECT("'1"&amp;$B12&amp;"'!W13"))</f>
        <v>2.001109194301343</v>
      </c>
      <c r="F12" s="32" cm="1">
        <f t="array" aca="1" ref="F12" ca="1">(INDIRECT("'1"&amp;$B12&amp;"'!W14"))</f>
        <v>2.564465630005222</v>
      </c>
      <c r="G12" s="32" cm="1">
        <f t="array" aca="1" ref="G12" ca="1">(INDIRECT("'1"&amp;$B12&amp;"'!W15"))</f>
        <v>2.3366092740559461</v>
      </c>
      <c r="H12" s="32" cm="1">
        <f t="array" aca="1" ref="H12" ca="1">(INDIRECT("'1"&amp;$B12&amp;"'!W16"))</f>
        <v>2.5461338368098563</v>
      </c>
      <c r="I12" s="32" cm="1">
        <f t="array" aca="1" ref="I12" ca="1">(INDIRECT("'1"&amp;$B12&amp;"'!W17"))</f>
        <v>2.6362127014930095</v>
      </c>
      <c r="J12" s="32" cm="1">
        <f t="array" aca="1" ref="J12" ca="1">(INDIRECT("'1"&amp;$B12&amp;"'!W18"))</f>
        <v>2.2942323670459368</v>
      </c>
      <c r="K12" s="32" cm="1">
        <f t="array" aca="1" ref="K12" ca="1">(INDIRECT("'1"&amp;$B12&amp;"'!W19"))</f>
        <v>2.1402592383045724</v>
      </c>
      <c r="L12" s="32" cm="1">
        <f t="array" aca="1" ref="L12" ca="1">(INDIRECT("'1"&amp;$B12&amp;"'!W20"))</f>
        <v>1.957626924796801</v>
      </c>
      <c r="M12" s="32" cm="1">
        <f t="array" aca="1" ref="M12" ca="1">(INDIRECT("'1"&amp;$B12&amp;"'!W21"))</f>
        <v>1.4536998987554921</v>
      </c>
      <c r="N12" s="32"/>
      <c r="O12" s="200" cm="1">
        <f t="array" aca="1" ref="O12" ca="1">(INDIRECT("'1"&amp;$B12&amp;"'!AS12"))/100</f>
        <v>0</v>
      </c>
      <c r="P12" s="200" cm="1">
        <f t="array" aca="1" ref="P12" ca="1">(INDIRECT("'1"&amp;$B12&amp;"'!AS13"))/100</f>
        <v>0</v>
      </c>
      <c r="Q12" s="200" cm="1">
        <f t="array" aca="1" ref="Q12" ca="1">(INDIRECT("'1"&amp;$B12&amp;"'!AS14"))/100</f>
        <v>0</v>
      </c>
      <c r="R12" s="200" cm="1">
        <f t="array" aca="1" ref="R12" ca="1">(INDIRECT("'1"&amp;$B12&amp;"'!AS15"))/100</f>
        <v>0</v>
      </c>
      <c r="S12" s="200" cm="1">
        <f t="array" aca="1" ref="S12" ca="1">(INDIRECT("'1"&amp;$B12&amp;"'!AS16"))/100</f>
        <v>8.4199575346926674E-3</v>
      </c>
      <c r="T12" s="200" cm="1">
        <f t="array" aca="1" ref="T12" ca="1">(INDIRECT("'1"&amp;$B12&amp;"'!AS17"))/100</f>
        <v>2.5029506227652831E-2</v>
      </c>
      <c r="U12" s="200" cm="1">
        <f t="array" aca="1" ref="U12" ca="1">(INDIRECT("'1"&amp;$B12&amp;"'!AS18"))/100</f>
        <v>4.8445483361351356E-2</v>
      </c>
      <c r="V12" s="200" cm="1">
        <f t="array" aca="1" ref="V12" ca="1">(INDIRECT("'1"&amp;$B12&amp;"'!AS19"))/100</f>
        <v>4.0808109253659325E-2</v>
      </c>
      <c r="W12" s="200" cm="1">
        <f t="array" aca="1" ref="W12" ca="1">(INDIRECT("'1"&amp;$B12&amp;"'!AS20"))/100</f>
        <v>0.10549306026354645</v>
      </c>
      <c r="X12" s="200" cm="1">
        <f t="array" aca="1" ref="X12" ca="1">(INDIRECT("'1"&amp;$B12&amp;"'!AS21"))/100</f>
        <v>0.53778660925970512</v>
      </c>
      <c r="Y12" s="200"/>
      <c r="Z12" s="32" cm="1">
        <f t="array" aca="1" ref="Z12" ca="1" xml:space="preserve"> (INDIRECT("'1"&amp;$B12&amp;"'!O19")*INDIRECT("'1"&amp;$B12&amp;"'!W19")
+ INDIRECT("'1"&amp;$B12&amp;"'!O18")*INDIRECT("'1"&amp;$B12&amp;"'!W18")
+ INDIRECT("'1"&amp;$B12&amp;"'!O17")*INDIRECT("'1"&amp;$B12&amp;"'!W17")
+ INDIRECT("'1"&amp;$B12&amp;"'!O16")*INDIRECT("'1"&amp;$B12&amp;"'!W16")
+ INDIRECT("'1"&amp;$B12&amp;"'!O15")*INDIRECT("'1"&amp;$B12&amp;"'!W15")
+ INDIRECT("'1"&amp;$B12&amp;"'!O14")*INDIRECT("'1"&amp;$B12&amp;"'!W14")
+ INDIRECT("'1"&amp;$B12&amp;"'!O13")*INDIRECT("'1"&amp;$B12&amp;"'!W13")
+ INDIRECT("'1"&amp;$B12&amp;"'!O12")*INDIRECT("'1"&amp;$B12&amp;"'!W12"))
/
(INDIRECT("'1"&amp;$B12&amp;"'!O19")
+ INDIRECT("'1"&amp;$B12&amp;"'!O18")
+ INDIRECT("'1"&amp;$B12&amp;"'!O17")
+ INDIRECT("'1"&amp;$B12&amp;"'!O16")
+ INDIRECT("'1"&amp;$B12&amp;"'!O15")
+ INDIRECT("'1"&amp;$B12&amp;"'!O14")
+ INDIRECT("'1"&amp;$B12&amp;"'!O13")
+ INDIRECT("'1"&amp;$B12&amp;"'!O12"))-(INDIRECT("'1"&amp;$B12&amp;"'!O21")*INDIRECT("'1"&amp;$B12&amp;"'!W21")+INDIRECT("'1"&amp;$B12&amp;"'!O20")*INDIRECT("'1"&amp;$B12&amp;"'!W20"))/(INDIRECT("'1"&amp;$B12&amp;"'!O21")+INDIRECT("'1"&amp;$B12&amp;"'!O20"))</f>
        <v>0.75930497450370527</v>
      </c>
      <c r="AA12" s="32" cm="1">
        <f t="array" aca="1" ref="AA12" ca="1" xml:space="preserve"> (INDIRECT("'1"&amp;$B12&amp;"'!O20")*INDIRECT("'1"&amp;$B12&amp;"'!W20")+INDIRECT("'1"&amp;$B12&amp;"'!O19")*INDIRECT("'1"&amp;$B12&amp;"'!W19")
+ INDIRECT("'1"&amp;$B12&amp;"'!O18")*INDIRECT("'1"&amp;$B12&amp;"'!W18")
+ INDIRECT("'1"&amp;$B12&amp;"'!O17")*INDIRECT("'1"&amp;$B12&amp;"'!W17")
+ INDIRECT("'1"&amp;$B12&amp;"'!O16")*INDIRECT("'1"&amp;$B12&amp;"'!W16")
+ INDIRECT("'1"&amp;$B12&amp;"'!O15")*INDIRECT("'1"&amp;$B12&amp;"'!W15")
+ INDIRECT("'1"&amp;$B12&amp;"'!O14")*INDIRECT("'1"&amp;$B12&amp;"'!W14")
+ INDIRECT("'1"&amp;$B12&amp;"'!O13")*INDIRECT("'1"&amp;$B12&amp;"'!W13")
+ INDIRECT("'1"&amp;$B12&amp;"'!O12")*INDIRECT("'1"&amp;$B12&amp;"'!W12"))
/
(INDIRECT("'1"&amp;$B12&amp;"'!O20")+INDIRECT("'1"&amp;$B12&amp;"'!O19")
+ INDIRECT("'1"&amp;$B12&amp;"'!O18")
+ INDIRECT("'1"&amp;$B12&amp;"'!O17")
+ INDIRECT("'1"&amp;$B12&amp;"'!O16")
+ INDIRECT("'1"&amp;$B12&amp;"'!O15")
+ INDIRECT("'1"&amp;$B12&amp;"'!O14")
+ INDIRECT("'1"&amp;$B12&amp;"'!O13")
+ INDIRECT("'1"&amp;$B12&amp;"'!O12"))-INDIRECT("'1"&amp;$B12&amp;"'!W21")</f>
        <v>0.75139006891550908</v>
      </c>
      <c r="AD12"/>
    </row>
    <row r="13" spans="2:30" x14ac:dyDescent="0.3">
      <c r="B13" s="199" t="s">
        <v>218</v>
      </c>
      <c r="C13" s="1" t="s">
        <v>468</v>
      </c>
      <c r="D13" s="32" cm="1">
        <f t="array" aca="1" ref="D13" ca="1">(INDIRECT("'1"&amp;$B13&amp;"'!W12"))</f>
        <v>0.33059280583769052</v>
      </c>
      <c r="E13" s="32" cm="1">
        <f t="array" aca="1" ref="E13" ca="1">(INDIRECT("'1"&amp;$B13&amp;"'!W13"))</f>
        <v>8.9742156649527871</v>
      </c>
      <c r="F13" s="32" cm="1">
        <f t="array" aca="1" ref="F13" ca="1">(INDIRECT("'1"&amp;$B13&amp;"'!W14"))</f>
        <v>6.7310808421808632</v>
      </c>
      <c r="G13" s="32" cm="1">
        <f t="array" aca="1" ref="G13" ca="1">(INDIRECT("'1"&amp;$B13&amp;"'!W15"))</f>
        <v>5.0714687227231074</v>
      </c>
      <c r="H13" s="32" cm="1">
        <f t="array" aca="1" ref="H13" ca="1">(INDIRECT("'1"&amp;$B13&amp;"'!W16"))</f>
        <v>4.1317823115763526</v>
      </c>
      <c r="I13" s="32" cm="1">
        <f t="array" aca="1" ref="I13" ca="1">(INDIRECT("'1"&amp;$B13&amp;"'!W17"))</f>
        <v>2.8116961321894856</v>
      </c>
      <c r="J13" s="32" cm="1">
        <f t="array" aca="1" ref="J13" ca="1">(INDIRECT("'1"&amp;$B13&amp;"'!W18"))</f>
        <v>2.4751734962454619</v>
      </c>
      <c r="K13" s="32" cm="1">
        <f t="array" aca="1" ref="K13" ca="1">(INDIRECT("'1"&amp;$B13&amp;"'!W19"))</f>
        <v>2.1105429630647743</v>
      </c>
      <c r="L13" s="32" cm="1">
        <f t="array" aca="1" ref="L13" ca="1">(INDIRECT("'1"&amp;$B13&amp;"'!W20"))</f>
        <v>1.8573203063007306</v>
      </c>
      <c r="M13" s="32" cm="1">
        <f t="array" aca="1" ref="M13" ca="1">(INDIRECT("'1"&amp;$B13&amp;"'!W21"))</f>
        <v>1.5540696096411757</v>
      </c>
      <c r="N13" s="32"/>
      <c r="O13" s="200" cm="1">
        <f t="array" aca="1" ref="O13" ca="1">(INDIRECT("'1"&amp;$B13&amp;"'!AS12"))/100</f>
        <v>0</v>
      </c>
      <c r="P13" s="200" cm="1">
        <f t="array" aca="1" ref="P13" ca="1">(INDIRECT("'1"&amp;$B13&amp;"'!AS13"))/100</f>
        <v>4.474948632077954E-2</v>
      </c>
      <c r="Q13" s="200" cm="1">
        <f t="array" aca="1" ref="Q13" ca="1">(INDIRECT("'1"&amp;$B13&amp;"'!AS14"))/100</f>
        <v>6.5552363727221577E-2</v>
      </c>
      <c r="R13" s="200" cm="1">
        <f t="array" aca="1" ref="R13" ca="1">(INDIRECT("'1"&amp;$B13&amp;"'!AS15"))/100</f>
        <v>9.9877514387128177E-2</v>
      </c>
      <c r="S13" s="200" cm="1">
        <f t="array" aca="1" ref="S13" ca="1">(INDIRECT("'1"&amp;$B13&amp;"'!AS16"))/100</f>
        <v>0.11996769891280783</v>
      </c>
      <c r="T13" s="200" cm="1">
        <f t="array" aca="1" ref="T13" ca="1">(INDIRECT("'1"&amp;$B13&amp;"'!AS17"))/100</f>
        <v>0.20930784560730717</v>
      </c>
      <c r="U13" s="200" cm="1">
        <f t="array" aca="1" ref="U13" ca="1">(INDIRECT("'1"&amp;$B13&amp;"'!AS18"))/100</f>
        <v>0.25927865209311396</v>
      </c>
      <c r="V13" s="200" cm="1">
        <f t="array" aca="1" ref="V13" ca="1">(INDIRECT("'1"&amp;$B13&amp;"'!AS19"))/100</f>
        <v>0.3552884402190371</v>
      </c>
      <c r="W13" s="200" cm="1">
        <f t="array" aca="1" ref="W13" ca="1">(INDIRECT("'1"&amp;$B13&amp;"'!AS20"))/100</f>
        <v>0.44554794953088511</v>
      </c>
      <c r="X13" s="200" cm="1">
        <f t="array" aca="1" ref="X13" ca="1">(INDIRECT("'1"&amp;$B13&amp;"'!AS21"))/100</f>
        <v>0.60821462856075492</v>
      </c>
      <c r="Y13" s="200"/>
      <c r="Z13" s="32" cm="1">
        <f t="array" aca="1" ref="Z13" ca="1" xml:space="preserve"> (INDIRECT("'1"&amp;$B13&amp;"'!O19")*INDIRECT("'1"&amp;$B13&amp;"'!W19")
+ INDIRECT("'1"&amp;$B13&amp;"'!O18")*INDIRECT("'1"&amp;$B13&amp;"'!W18")
+ INDIRECT("'1"&amp;$B13&amp;"'!O17")*INDIRECT("'1"&amp;$B13&amp;"'!W17")
+ INDIRECT("'1"&amp;$B13&amp;"'!O16")*INDIRECT("'1"&amp;$B13&amp;"'!W16")
+ INDIRECT("'1"&amp;$B13&amp;"'!O15")*INDIRECT("'1"&amp;$B13&amp;"'!W15")
+ INDIRECT("'1"&amp;$B13&amp;"'!O14")*INDIRECT("'1"&amp;$B13&amp;"'!W14")
+ INDIRECT("'1"&amp;$B13&amp;"'!O13")*INDIRECT("'1"&amp;$B13&amp;"'!W13")
+ INDIRECT("'1"&amp;$B13&amp;"'!O12")*INDIRECT("'1"&amp;$B13&amp;"'!W12"))
/
(INDIRECT("'1"&amp;$B13&amp;"'!O19")
+ INDIRECT("'1"&amp;$B13&amp;"'!O18")
+ INDIRECT("'1"&amp;$B13&amp;"'!O17")
+ INDIRECT("'1"&amp;$B13&amp;"'!O16")
+ INDIRECT("'1"&amp;$B13&amp;"'!O15")
+ INDIRECT("'1"&amp;$B13&amp;"'!O14")
+ INDIRECT("'1"&amp;$B13&amp;"'!O13")
+ INDIRECT("'1"&amp;$B13&amp;"'!O12"))-(INDIRECT("'1"&amp;$B13&amp;"'!O21")*INDIRECT("'1"&amp;$B13&amp;"'!W21")+INDIRECT("'1"&amp;$B13&amp;"'!O20")*INDIRECT("'1"&amp;$B13&amp;"'!W20"))/(INDIRECT("'1"&amp;$B13&amp;"'!O21")+INDIRECT("'1"&amp;$B13&amp;"'!O20"))</f>
        <v>1.1073315107671746</v>
      </c>
      <c r="AA13" s="32" cm="1">
        <f t="array" aca="1" ref="AA13" ca="1" xml:space="preserve"> (INDIRECT("'1"&amp;$B13&amp;"'!O20")*INDIRECT("'1"&amp;$B13&amp;"'!W20")+INDIRECT("'1"&amp;$B13&amp;"'!O19")*INDIRECT("'1"&amp;$B13&amp;"'!W19")
+ INDIRECT("'1"&amp;$B13&amp;"'!O18")*INDIRECT("'1"&amp;$B13&amp;"'!W18")
+ INDIRECT("'1"&amp;$B13&amp;"'!O17")*INDIRECT("'1"&amp;$B13&amp;"'!W17")
+ INDIRECT("'1"&amp;$B13&amp;"'!O16")*INDIRECT("'1"&amp;$B13&amp;"'!W16")
+ INDIRECT("'1"&amp;$B13&amp;"'!O15")*INDIRECT("'1"&amp;$B13&amp;"'!W15")
+ INDIRECT("'1"&amp;$B13&amp;"'!O14")*INDIRECT("'1"&amp;$B13&amp;"'!W14")
+ INDIRECT("'1"&amp;$B13&amp;"'!O13")*INDIRECT("'1"&amp;$B13&amp;"'!W13")
+ INDIRECT("'1"&amp;$B13&amp;"'!O12")*INDIRECT("'1"&amp;$B13&amp;"'!W12"))
/
(INDIRECT("'1"&amp;$B13&amp;"'!O20")+INDIRECT("'1"&amp;$B13&amp;"'!O19")
+ INDIRECT("'1"&amp;$B13&amp;"'!O18")
+ INDIRECT("'1"&amp;$B13&amp;"'!O17")
+ INDIRECT("'1"&amp;$B13&amp;"'!O16")
+ INDIRECT("'1"&amp;$B13&amp;"'!O15")
+ INDIRECT("'1"&amp;$B13&amp;"'!O14")
+ INDIRECT("'1"&amp;$B13&amp;"'!O13")
+ INDIRECT("'1"&amp;$B13&amp;"'!O12"))-INDIRECT("'1"&amp;$B13&amp;"'!W21")</f>
        <v>0.86356412872020205</v>
      </c>
      <c r="AD13"/>
    </row>
    <row r="14" spans="2:30" x14ac:dyDescent="0.3">
      <c r="B14" s="199" t="s">
        <v>222</v>
      </c>
      <c r="C14" s="1" t="s">
        <v>469</v>
      </c>
      <c r="D14" s="32" cm="1">
        <f t="array" aca="1" ref="D14" ca="1">(INDIRECT("'1"&amp;$B14&amp;"'!W12"))</f>
        <v>0.76209665482387212</v>
      </c>
      <c r="E14" s="32" cm="1">
        <f t="array" aca="1" ref="E14" ca="1">(INDIRECT("'1"&amp;$B14&amp;"'!W13"))</f>
        <v>3.0954839101514788</v>
      </c>
      <c r="F14" s="32" cm="1">
        <f t="array" aca="1" ref="F14" ca="1">(INDIRECT("'1"&amp;$B14&amp;"'!W14"))</f>
        <v>2.3801545144265766</v>
      </c>
      <c r="G14" s="32" cm="1">
        <f t="array" aca="1" ref="G14" ca="1">(INDIRECT("'1"&amp;$B14&amp;"'!W15"))</f>
        <v>2.1288145166071337</v>
      </c>
      <c r="H14" s="32" cm="1">
        <f t="array" aca="1" ref="H14" ca="1">(INDIRECT("'1"&amp;$B14&amp;"'!W16"))</f>
        <v>2.0233410644730911</v>
      </c>
      <c r="I14" s="32" cm="1">
        <f t="array" aca="1" ref="I14" ca="1">(INDIRECT("'1"&amp;$B14&amp;"'!W17"))</f>
        <v>2.0186965791648412</v>
      </c>
      <c r="J14" s="32" cm="1">
        <f t="array" aca="1" ref="J14" ca="1">(INDIRECT("'1"&amp;$B14&amp;"'!W18"))</f>
        <v>1.9065465682091418</v>
      </c>
      <c r="K14" s="32" cm="1">
        <f t="array" aca="1" ref="K14" ca="1">(INDIRECT("'1"&amp;$B14&amp;"'!W19"))</f>
        <v>1.7974313155006783</v>
      </c>
      <c r="L14" s="32" cm="1">
        <f t="array" aca="1" ref="L14" ca="1">(INDIRECT("'1"&amp;$B14&amp;"'!W20"))</f>
        <v>1.6946722549176536</v>
      </c>
      <c r="M14" s="32" cm="1">
        <f t="array" aca="1" ref="M14" ca="1">(INDIRECT("'1"&amp;$B14&amp;"'!W21"))</f>
        <v>1.4227458805019833</v>
      </c>
      <c r="N14" s="32"/>
      <c r="O14" s="200" cm="1">
        <f t="array" aca="1" ref="O14" ca="1">(INDIRECT("'1"&amp;$B14&amp;"'!AS12"))/100</f>
        <v>0</v>
      </c>
      <c r="P14" s="200" cm="1">
        <f t="array" aca="1" ref="P14" ca="1">(INDIRECT("'1"&amp;$B14&amp;"'!AS13"))/100</f>
        <v>9.0315112265793709E-2</v>
      </c>
      <c r="Q14" s="200" cm="1">
        <f t="array" aca="1" ref="Q14" ca="1">(INDIRECT("'1"&amp;$B14&amp;"'!AS14"))/100</f>
        <v>0.14347522969393425</v>
      </c>
      <c r="R14" s="200" cm="1">
        <f t="array" aca="1" ref="R14" ca="1">(INDIRECT("'1"&amp;$B14&amp;"'!AS15"))/100</f>
        <v>0.25145023658127413</v>
      </c>
      <c r="S14" s="200" cm="1">
        <f t="array" aca="1" ref="S14" ca="1">(INDIRECT("'1"&amp;$B14&amp;"'!AS16"))/100</f>
        <v>0.38809495529342747</v>
      </c>
      <c r="T14" s="200" cm="1">
        <f t="array" aca="1" ref="T14" ca="1">(INDIRECT("'1"&amp;$B14&amp;"'!AS17"))/100</f>
        <v>0.46517597058596638</v>
      </c>
      <c r="U14" s="200" cm="1">
        <f t="array" aca="1" ref="U14" ca="1">(INDIRECT("'1"&amp;$B14&amp;"'!AS18"))/100</f>
        <v>0.49046002735665661</v>
      </c>
      <c r="V14" s="200" cm="1">
        <f t="array" aca="1" ref="V14" ca="1">(INDIRECT("'1"&amp;$B14&amp;"'!AS19"))/100</f>
        <v>0.53447176825868004</v>
      </c>
      <c r="W14" s="200" cm="1">
        <f t="array" aca="1" ref="W14" ca="1">(INDIRECT("'1"&amp;$B14&amp;"'!AS20"))/100</f>
        <v>0.58589414313948995</v>
      </c>
      <c r="X14" s="200" cm="1">
        <f t="array" aca="1" ref="X14" ca="1">(INDIRECT("'1"&amp;$B14&amp;"'!AS21"))/100</f>
        <v>0.68985515326912761</v>
      </c>
      <c r="Y14" s="200"/>
      <c r="Z14" s="32" cm="1">
        <f t="array" aca="1" ref="Z14" ca="1" xml:space="preserve"> (INDIRECT("'1"&amp;$B14&amp;"'!O19")*INDIRECT("'1"&amp;$B14&amp;"'!W19")
+ INDIRECT("'1"&amp;$B14&amp;"'!O18")*INDIRECT("'1"&amp;$B14&amp;"'!W18")
+ INDIRECT("'1"&amp;$B14&amp;"'!O17")*INDIRECT("'1"&amp;$B14&amp;"'!W17")
+ INDIRECT("'1"&amp;$B14&amp;"'!O16")*INDIRECT("'1"&amp;$B14&amp;"'!W16")
+ INDIRECT("'1"&amp;$B14&amp;"'!O15")*INDIRECT("'1"&amp;$B14&amp;"'!W15")
+ INDIRECT("'1"&amp;$B14&amp;"'!O14")*INDIRECT("'1"&amp;$B14&amp;"'!W14")
+ INDIRECT("'1"&amp;$B14&amp;"'!O13")*INDIRECT("'1"&amp;$B14&amp;"'!W13")
+ INDIRECT("'1"&amp;$B14&amp;"'!O12")*INDIRECT("'1"&amp;$B14&amp;"'!W12"))
/
(INDIRECT("'1"&amp;$B14&amp;"'!O19")
+ INDIRECT("'1"&amp;$B14&amp;"'!O18")
+ INDIRECT("'1"&amp;$B14&amp;"'!O17")
+ INDIRECT("'1"&amp;$B14&amp;"'!O16")
+ INDIRECT("'1"&amp;$B14&amp;"'!O15")
+ INDIRECT("'1"&amp;$B14&amp;"'!O14")
+ INDIRECT("'1"&amp;$B14&amp;"'!O13")
+ INDIRECT("'1"&amp;$B14&amp;"'!O12"))-(INDIRECT("'1"&amp;$B14&amp;"'!O21")*INDIRECT("'1"&amp;$B14&amp;"'!W21")+INDIRECT("'1"&amp;$B14&amp;"'!O20")*INDIRECT("'1"&amp;$B14&amp;"'!W20"))/(INDIRECT("'1"&amp;$B14&amp;"'!O21")+INDIRECT("'1"&amp;$B14&amp;"'!O20"))</f>
        <v>0.49192145887058114</v>
      </c>
      <c r="AA14" s="32" cm="1">
        <f t="array" aca="1" ref="AA14" ca="1" xml:space="preserve"> (INDIRECT("'1"&amp;$B14&amp;"'!O20")*INDIRECT("'1"&amp;$B14&amp;"'!W20")+INDIRECT("'1"&amp;$B14&amp;"'!O19")*INDIRECT("'1"&amp;$B14&amp;"'!W19")
+ INDIRECT("'1"&amp;$B14&amp;"'!O18")*INDIRECT("'1"&amp;$B14&amp;"'!W18")
+ INDIRECT("'1"&amp;$B14&amp;"'!O17")*INDIRECT("'1"&amp;$B14&amp;"'!W17")
+ INDIRECT("'1"&amp;$B14&amp;"'!O16")*INDIRECT("'1"&amp;$B14&amp;"'!W16")
+ INDIRECT("'1"&amp;$B14&amp;"'!O15")*INDIRECT("'1"&amp;$B14&amp;"'!W15")
+ INDIRECT("'1"&amp;$B14&amp;"'!O14")*INDIRECT("'1"&amp;$B14&amp;"'!W14")
+ INDIRECT("'1"&amp;$B14&amp;"'!O13")*INDIRECT("'1"&amp;$B14&amp;"'!W13")
+ INDIRECT("'1"&amp;$B14&amp;"'!O12")*INDIRECT("'1"&amp;$B14&amp;"'!W12"))
/
(INDIRECT("'1"&amp;$B14&amp;"'!O20")+INDIRECT("'1"&amp;$B14&amp;"'!O19")
+ INDIRECT("'1"&amp;$B14&amp;"'!O18")
+ INDIRECT("'1"&amp;$B14&amp;"'!O17")
+ INDIRECT("'1"&amp;$B14&amp;"'!O16")
+ INDIRECT("'1"&amp;$B14&amp;"'!O15")
+ INDIRECT("'1"&amp;$B14&amp;"'!O14")
+ INDIRECT("'1"&amp;$B14&amp;"'!O13")
+ INDIRECT("'1"&amp;$B14&amp;"'!O12"))-INDIRECT("'1"&amp;$B14&amp;"'!W21")</f>
        <v>0.49911255247059216</v>
      </c>
      <c r="AD14"/>
    </row>
    <row r="15" spans="2:30" x14ac:dyDescent="0.3">
      <c r="B15" s="199" t="s">
        <v>223</v>
      </c>
      <c r="C15" s="1" t="s">
        <v>470</v>
      </c>
      <c r="D15" s="32" cm="1">
        <f t="array" aca="1" ref="D15" ca="1">(INDIRECT("'1"&amp;$B15&amp;"'!W12"))</f>
        <v>0.90278629537027755</v>
      </c>
      <c r="E15" s="32" cm="1">
        <f t="array" aca="1" ref="E15" ca="1">(INDIRECT("'1"&amp;$B15&amp;"'!W13"))</f>
        <v>1.1801462501452338</v>
      </c>
      <c r="F15" s="32" cm="1">
        <f t="array" aca="1" ref="F15" ca="1">(INDIRECT("'1"&amp;$B15&amp;"'!W14"))</f>
        <v>1.7330708640206507</v>
      </c>
      <c r="G15" s="32" cm="1">
        <f t="array" aca="1" ref="G15" ca="1">(INDIRECT("'1"&amp;$B15&amp;"'!W15"))</f>
        <v>1.6401093001349627</v>
      </c>
      <c r="H15" s="32" cm="1">
        <f t="array" aca="1" ref="H15" ca="1">(INDIRECT("'1"&amp;$B15&amp;"'!W16"))</f>
        <v>1.6207610827623675</v>
      </c>
      <c r="I15" s="32" cm="1">
        <f t="array" aca="1" ref="I15" ca="1">(INDIRECT("'1"&amp;$B15&amp;"'!W17"))</f>
        <v>2.1150540373862929</v>
      </c>
      <c r="J15" s="32" cm="1">
        <f t="array" aca="1" ref="J15" ca="1">(INDIRECT("'1"&amp;$B15&amp;"'!W18"))</f>
        <v>1.8814362787763077</v>
      </c>
      <c r="K15" s="32" cm="1">
        <f t="array" aca="1" ref="K15" ca="1">(INDIRECT("'1"&amp;$B15&amp;"'!W19"))</f>
        <v>1.6594060782605164</v>
      </c>
      <c r="L15" s="32" cm="1">
        <f t="array" aca="1" ref="L15" ca="1">(INDIRECT("'1"&amp;$B15&amp;"'!W20"))</f>
        <v>1.5442849722923557</v>
      </c>
      <c r="M15" s="32" cm="1">
        <f t="array" aca="1" ref="M15" ca="1">(INDIRECT("'1"&amp;$B15&amp;"'!W21"))</f>
        <v>1.3490482268475614</v>
      </c>
      <c r="N15" s="32"/>
      <c r="O15" s="200" cm="1">
        <f t="array" aca="1" ref="O15" ca="1">(INDIRECT("'1"&amp;$B15&amp;"'!AS12"))/100</f>
        <v>0</v>
      </c>
      <c r="P15" s="200" cm="1">
        <f t="array" aca="1" ref="P15" ca="1">(INDIRECT("'1"&amp;$B15&amp;"'!AS13"))/100</f>
        <v>6.7768004671802259E-2</v>
      </c>
      <c r="Q15" s="200" cm="1">
        <f t="array" aca="1" ref="Q15" ca="1">(INDIRECT("'1"&amp;$B15&amp;"'!AS14"))/100</f>
        <v>4.8566287640374392E-2</v>
      </c>
      <c r="R15" s="200" cm="1">
        <f t="array" aca="1" ref="R15" ca="1">(INDIRECT("'1"&amp;$B15&amp;"'!AS15"))/100</f>
        <v>0.15090459988247368</v>
      </c>
      <c r="S15" s="200" cm="1">
        <f t="array" aca="1" ref="S15" ca="1">(INDIRECT("'1"&amp;$B15&amp;"'!AS16"))/100</f>
        <v>0.58387652501762644</v>
      </c>
      <c r="T15" s="200" cm="1">
        <f t="array" aca="1" ref="T15" ca="1">(INDIRECT("'1"&amp;$B15&amp;"'!AS17"))/100</f>
        <v>0.55055065093559352</v>
      </c>
      <c r="U15" s="200" cm="1">
        <f t="array" aca="1" ref="U15" ca="1">(INDIRECT("'1"&amp;$B15&amp;"'!AS18"))/100</f>
        <v>0.58969634259400394</v>
      </c>
      <c r="V15" s="200" cm="1">
        <f t="array" aca="1" ref="V15" ca="1">(INDIRECT("'1"&amp;$B15&amp;"'!AS19"))/100</f>
        <v>0.66935878776018654</v>
      </c>
      <c r="W15" s="200" cm="1">
        <f t="array" aca="1" ref="W15" ca="1">(INDIRECT("'1"&amp;$B15&amp;"'!AS20"))/100</f>
        <v>0.84604765383364333</v>
      </c>
      <c r="X15" s="200" cm="1">
        <f t="array" aca="1" ref="X15" ca="1">(INDIRECT("'1"&amp;$B15&amp;"'!AS21"))/100</f>
        <v>0.88289905826380854</v>
      </c>
      <c r="Y15" s="200"/>
      <c r="Z15" s="32" cm="1">
        <f t="array" aca="1" ref="Z15" ca="1" xml:space="preserve"> (INDIRECT("'1"&amp;$B15&amp;"'!O19")*INDIRECT("'1"&amp;$B15&amp;"'!W19")
+ INDIRECT("'1"&amp;$B15&amp;"'!O18")*INDIRECT("'1"&amp;$B15&amp;"'!W18")
+ INDIRECT("'1"&amp;$B15&amp;"'!O17")*INDIRECT("'1"&amp;$B15&amp;"'!W17")
+ INDIRECT("'1"&amp;$B15&amp;"'!O16")*INDIRECT("'1"&amp;$B15&amp;"'!W16")
+ INDIRECT("'1"&amp;$B15&amp;"'!O15")*INDIRECT("'1"&amp;$B15&amp;"'!W15")
+ INDIRECT("'1"&amp;$B15&amp;"'!O14")*INDIRECT("'1"&amp;$B15&amp;"'!W14")
+ INDIRECT("'1"&amp;$B15&amp;"'!O13")*INDIRECT("'1"&amp;$B15&amp;"'!W13")
+ INDIRECT("'1"&amp;$B15&amp;"'!O12")*INDIRECT("'1"&amp;$B15&amp;"'!W12"))
/
(INDIRECT("'1"&amp;$B15&amp;"'!O19")
+ INDIRECT("'1"&amp;$B15&amp;"'!O18")
+ INDIRECT("'1"&amp;$B15&amp;"'!O17")
+ INDIRECT("'1"&amp;$B15&amp;"'!O16")
+ INDIRECT("'1"&amp;$B15&amp;"'!O15")
+ INDIRECT("'1"&amp;$B15&amp;"'!O14")
+ INDIRECT("'1"&amp;$B15&amp;"'!O13")
+ INDIRECT("'1"&amp;$B15&amp;"'!O12"))-(INDIRECT("'1"&amp;$B15&amp;"'!O21")*INDIRECT("'1"&amp;$B15&amp;"'!W21")+INDIRECT("'1"&amp;$B15&amp;"'!O20")*INDIRECT("'1"&amp;$B15&amp;"'!W20"))/(INDIRECT("'1"&amp;$B15&amp;"'!O21")+INDIRECT("'1"&amp;$B15&amp;"'!O20"))</f>
        <v>0.34917211470361886</v>
      </c>
      <c r="AA15" s="32" cm="1">
        <f t="array" aca="1" ref="AA15" ca="1" xml:space="preserve"> (INDIRECT("'1"&amp;$B15&amp;"'!O20")*INDIRECT("'1"&amp;$B15&amp;"'!W20")+INDIRECT("'1"&amp;$B15&amp;"'!O19")*INDIRECT("'1"&amp;$B15&amp;"'!W19")
+ INDIRECT("'1"&amp;$B15&amp;"'!O18")*INDIRECT("'1"&amp;$B15&amp;"'!W18")
+ INDIRECT("'1"&amp;$B15&amp;"'!O17")*INDIRECT("'1"&amp;$B15&amp;"'!W17")
+ INDIRECT("'1"&amp;$B15&amp;"'!O16")*INDIRECT("'1"&amp;$B15&amp;"'!W16")
+ INDIRECT("'1"&amp;$B15&amp;"'!O15")*INDIRECT("'1"&amp;$B15&amp;"'!W15")
+ INDIRECT("'1"&amp;$B15&amp;"'!O14")*INDIRECT("'1"&amp;$B15&amp;"'!W14")
+ INDIRECT("'1"&amp;$B15&amp;"'!O13")*INDIRECT("'1"&amp;$B15&amp;"'!W13")
+ INDIRECT("'1"&amp;$B15&amp;"'!O12")*INDIRECT("'1"&amp;$B15&amp;"'!W12"))
/
(INDIRECT("'1"&amp;$B15&amp;"'!O20")+INDIRECT("'1"&amp;$B15&amp;"'!O19")
+ INDIRECT("'1"&amp;$B15&amp;"'!O18")
+ INDIRECT("'1"&amp;$B15&amp;"'!O17")
+ INDIRECT("'1"&amp;$B15&amp;"'!O16")
+ INDIRECT("'1"&amp;$B15&amp;"'!O15")
+ INDIRECT("'1"&amp;$B15&amp;"'!O14")
+ INDIRECT("'1"&amp;$B15&amp;"'!O13")
+ INDIRECT("'1"&amp;$B15&amp;"'!O12"))-INDIRECT("'1"&amp;$B15&amp;"'!W21")</f>
        <v>0.34284750783071205</v>
      </c>
      <c r="AD15"/>
    </row>
    <row r="16" spans="2:30" x14ac:dyDescent="0.3">
      <c r="B16" s="199" t="s">
        <v>225</v>
      </c>
      <c r="C16" s="1" t="s">
        <v>471</v>
      </c>
      <c r="D16" s="32" cm="1">
        <f t="array" aca="1" ref="D16" ca="1">(INDIRECT("'1"&amp;$B16&amp;"'!W12"))</f>
        <v>0.59771322429424978</v>
      </c>
      <c r="E16" s="32" cm="1">
        <f t="array" aca="1" ref="E16" ca="1">(INDIRECT("'1"&amp;$B16&amp;"'!W13"))</f>
        <v>0.45081005311959216</v>
      </c>
      <c r="F16" s="32" cm="1">
        <f t="array" aca="1" ref="F16" ca="1">(INDIRECT("'1"&amp;$B16&amp;"'!W14"))</f>
        <v>1.577422428111817</v>
      </c>
      <c r="G16" s="32" cm="1">
        <f t="array" aca="1" ref="G16" ca="1">(INDIRECT("'1"&amp;$B16&amp;"'!W15"))</f>
        <v>4.6770048075209276</v>
      </c>
      <c r="H16" s="32" cm="1">
        <f t="array" aca="1" ref="H16" ca="1">(INDIRECT("'1"&amp;$B16&amp;"'!W16"))</f>
        <v>4.9162960738622949</v>
      </c>
      <c r="I16" s="32" cm="1">
        <f t="array" aca="1" ref="I16" ca="1">(INDIRECT("'1"&amp;$B16&amp;"'!W17"))</f>
        <v>4.5013008801310956</v>
      </c>
      <c r="J16" s="32" cm="1">
        <f t="array" aca="1" ref="J16" ca="1">(INDIRECT("'1"&amp;$B16&amp;"'!W18"))</f>
        <v>4.3435438594701727</v>
      </c>
      <c r="K16" s="32" cm="1">
        <f t="array" aca="1" ref="K16" ca="1">(INDIRECT("'1"&amp;$B16&amp;"'!W19"))</f>
        <v>3.2106535584312219</v>
      </c>
      <c r="L16" s="32" cm="1">
        <f t="array" aca="1" ref="L16" ca="1">(INDIRECT("'1"&amp;$B16&amp;"'!W20"))</f>
        <v>2.5251353424848126</v>
      </c>
      <c r="M16" s="32" cm="1">
        <f t="array" aca="1" ref="M16" ca="1">(INDIRECT("'1"&amp;$B16&amp;"'!W21"))</f>
        <v>1.6773312742730913</v>
      </c>
      <c r="N16" s="32"/>
      <c r="O16" s="200" cm="1">
        <f t="array" aca="1" ref="O16" ca="1">(INDIRECT("'1"&amp;$B16&amp;"'!AS12"))/100</f>
        <v>0</v>
      </c>
      <c r="P16" s="200" cm="1">
        <f t="array" aca="1" ref="P16" ca="1">(INDIRECT("'1"&amp;$B16&amp;"'!AS13"))/100</f>
        <v>0</v>
      </c>
      <c r="Q16" s="200" cm="1">
        <f t="array" aca="1" ref="Q16" ca="1">(INDIRECT("'1"&amp;$B16&amp;"'!AS14"))/100</f>
        <v>0</v>
      </c>
      <c r="R16" s="200" cm="1">
        <f t="array" aca="1" ref="R16" ca="1">(INDIRECT("'1"&amp;$B16&amp;"'!AS15"))/100</f>
        <v>0</v>
      </c>
      <c r="S16" s="200" cm="1">
        <f t="array" aca="1" ref="S16" ca="1">(INDIRECT("'1"&amp;$B16&amp;"'!AS16"))/100</f>
        <v>0</v>
      </c>
      <c r="T16" s="200" cm="1">
        <f t="array" aca="1" ref="T16" ca="1">(INDIRECT("'1"&amp;$B16&amp;"'!AS17"))/100</f>
        <v>0</v>
      </c>
      <c r="U16" s="200" cm="1">
        <f t="array" aca="1" ref="U16" ca="1">(INDIRECT("'1"&amp;$B16&amp;"'!AS18"))/100</f>
        <v>0</v>
      </c>
      <c r="V16" s="200" cm="1">
        <f t="array" aca="1" ref="V16" ca="1">(INDIRECT("'1"&amp;$B16&amp;"'!AS19"))/100</f>
        <v>0</v>
      </c>
      <c r="W16" s="200" cm="1">
        <f t="array" aca="1" ref="W16" ca="1">(INDIRECT("'1"&amp;$B16&amp;"'!AS20"))/100</f>
        <v>0</v>
      </c>
      <c r="X16" s="200" cm="1">
        <f t="array" aca="1" ref="X16" ca="1">(INDIRECT("'1"&amp;$B16&amp;"'!AS21"))/100</f>
        <v>3.2754357276076417E-2</v>
      </c>
      <c r="Y16" s="200"/>
      <c r="Z16" s="32" cm="1">
        <f t="array" aca="1" ref="Z16" ca="1" xml:space="preserve"> (INDIRECT("'1"&amp;$B16&amp;"'!O19")*INDIRECT("'1"&amp;$B16&amp;"'!W19")
+ INDIRECT("'1"&amp;$B16&amp;"'!O18")*INDIRECT("'1"&amp;$B16&amp;"'!W18")
+ INDIRECT("'1"&amp;$B16&amp;"'!O17")*INDIRECT("'1"&amp;$B16&amp;"'!W17")
+ INDIRECT("'1"&amp;$B16&amp;"'!O16")*INDIRECT("'1"&amp;$B16&amp;"'!W16")
+ INDIRECT("'1"&amp;$B16&amp;"'!O15")*INDIRECT("'1"&amp;$B16&amp;"'!W15")
+ INDIRECT("'1"&amp;$B16&amp;"'!O14")*INDIRECT("'1"&amp;$B16&amp;"'!W14")
+ INDIRECT("'1"&amp;$B16&amp;"'!O13")*INDIRECT("'1"&amp;$B16&amp;"'!W13")
+ INDIRECT("'1"&amp;$B16&amp;"'!O12")*INDIRECT("'1"&amp;$B16&amp;"'!W12"))
/
(INDIRECT("'1"&amp;$B16&amp;"'!O19")
+ INDIRECT("'1"&amp;$B16&amp;"'!O18")
+ INDIRECT("'1"&amp;$B16&amp;"'!O17")
+ INDIRECT("'1"&amp;$B16&amp;"'!O16")
+ INDIRECT("'1"&amp;$B16&amp;"'!O15")
+ INDIRECT("'1"&amp;$B16&amp;"'!O14")
+ INDIRECT("'1"&amp;$B16&amp;"'!O13")
+ INDIRECT("'1"&amp;$B16&amp;"'!O12"))-(INDIRECT("'1"&amp;$B16&amp;"'!O21")*INDIRECT("'1"&amp;$B16&amp;"'!W21")+INDIRECT("'1"&amp;$B16&amp;"'!O20")*INDIRECT("'1"&amp;$B16&amp;"'!W20"))/(INDIRECT("'1"&amp;$B16&amp;"'!O21")+INDIRECT("'1"&amp;$B16&amp;"'!O20"))</f>
        <v>1.8638906187339797</v>
      </c>
      <c r="AA16" s="32" cm="1">
        <f t="array" aca="1" ref="AA16" ca="1" xml:space="preserve"> (INDIRECT("'1"&amp;$B16&amp;"'!O20")*INDIRECT("'1"&amp;$B16&amp;"'!W20")+INDIRECT("'1"&amp;$B16&amp;"'!O19")*INDIRECT("'1"&amp;$B16&amp;"'!W19")
+ INDIRECT("'1"&amp;$B16&amp;"'!O18")*INDIRECT("'1"&amp;$B16&amp;"'!W18")
+ INDIRECT("'1"&amp;$B16&amp;"'!O17")*INDIRECT("'1"&amp;$B16&amp;"'!W17")
+ INDIRECT("'1"&amp;$B16&amp;"'!O16")*INDIRECT("'1"&amp;$B16&amp;"'!W16")
+ INDIRECT("'1"&amp;$B16&amp;"'!O15")*INDIRECT("'1"&amp;$B16&amp;"'!W15")
+ INDIRECT("'1"&amp;$B16&amp;"'!O14")*INDIRECT("'1"&amp;$B16&amp;"'!W14")
+ INDIRECT("'1"&amp;$B16&amp;"'!O13")*INDIRECT("'1"&amp;$B16&amp;"'!W13")
+ INDIRECT("'1"&amp;$B16&amp;"'!O12")*INDIRECT("'1"&amp;$B16&amp;"'!W12"))
/
(INDIRECT("'1"&amp;$B16&amp;"'!O20")+INDIRECT("'1"&amp;$B16&amp;"'!O19")
+ INDIRECT("'1"&amp;$B16&amp;"'!O18")
+ INDIRECT("'1"&amp;$B16&amp;"'!O17")
+ INDIRECT("'1"&amp;$B16&amp;"'!O16")
+ INDIRECT("'1"&amp;$B16&amp;"'!O15")
+ INDIRECT("'1"&amp;$B16&amp;"'!O14")
+ INDIRECT("'1"&amp;$B16&amp;"'!O13")
+ INDIRECT("'1"&amp;$B16&amp;"'!O12"))-INDIRECT("'1"&amp;$B16&amp;"'!W21")</f>
        <v>1.507588753240712</v>
      </c>
      <c r="AD16"/>
    </row>
    <row r="17" spans="2:30" x14ac:dyDescent="0.3">
      <c r="B17" s="199" t="s">
        <v>227</v>
      </c>
      <c r="C17" s="1" t="s">
        <v>472</v>
      </c>
      <c r="D17" s="32" cm="1">
        <f t="array" aca="1" ref="D17" ca="1">(INDIRECT("'1"&amp;$B17&amp;"'!W12"))</f>
        <v>1.0066093271628136</v>
      </c>
      <c r="E17" s="32" cm="1">
        <f t="array" aca="1" ref="E17" ca="1">(INDIRECT("'1"&amp;$B17&amp;"'!W13"))</f>
        <v>1.1189075985628421</v>
      </c>
      <c r="F17" s="32" cm="1">
        <f t="array" aca="1" ref="F17" ca="1">(INDIRECT("'1"&amp;$B17&amp;"'!W14"))</f>
        <v>1.1707202707124909</v>
      </c>
      <c r="G17" s="32" cm="1">
        <f t="array" aca="1" ref="G17" ca="1">(INDIRECT("'1"&amp;$B17&amp;"'!W15"))</f>
        <v>1.204407618899819</v>
      </c>
      <c r="H17" s="32" cm="1">
        <f t="array" aca="1" ref="H17" ca="1">(INDIRECT("'1"&amp;$B17&amp;"'!W16"))</f>
        <v>1.1721479017149541</v>
      </c>
      <c r="I17" s="32" cm="1">
        <f t="array" aca="1" ref="I17" ca="1">(INDIRECT("'1"&amp;$B17&amp;"'!W17"))</f>
        <v>1.110735953572292</v>
      </c>
      <c r="J17" s="32" cm="1">
        <f t="array" aca="1" ref="J17" ca="1">(INDIRECT("'1"&amp;$B17&amp;"'!W18"))</f>
        <v>1.1188798540499287</v>
      </c>
      <c r="K17" s="32" cm="1">
        <f t="array" aca="1" ref="K17" ca="1">(INDIRECT("'1"&amp;$B17&amp;"'!W19"))</f>
        <v>1.1009486261189956</v>
      </c>
      <c r="L17" s="32" cm="1">
        <f t="array" aca="1" ref="L17" ca="1">(INDIRECT("'1"&amp;$B17&amp;"'!W20"))</f>
        <v>1.0891439345183196</v>
      </c>
      <c r="M17" s="32" cm="1">
        <f t="array" aca="1" ref="M17" ca="1">(INDIRECT("'1"&amp;$B17&amp;"'!W21"))</f>
        <v>1.0419513367188951</v>
      </c>
      <c r="N17" s="32"/>
      <c r="O17" s="200" cm="1">
        <f t="array" aca="1" ref="O17" ca="1">(INDIRECT("'1"&amp;$B17&amp;"'!AS12"))/100</f>
        <v>0</v>
      </c>
      <c r="P17" s="200" cm="1">
        <f t="array" aca="1" ref="P17" ca="1">(INDIRECT("'1"&amp;$B17&amp;"'!AS13"))/100</f>
        <v>0</v>
      </c>
      <c r="Q17" s="200" cm="1">
        <f t="array" aca="1" ref="Q17" ca="1">(INDIRECT("'1"&amp;$B17&amp;"'!AS14"))/100</f>
        <v>0</v>
      </c>
      <c r="R17" s="200" cm="1">
        <f t="array" aca="1" ref="R17" ca="1">(INDIRECT("'1"&amp;$B17&amp;"'!AS15"))/100</f>
        <v>0</v>
      </c>
      <c r="S17" s="200" cm="1">
        <f t="array" aca="1" ref="S17" ca="1">(INDIRECT("'1"&amp;$B17&amp;"'!AS16"))/100</f>
        <v>0</v>
      </c>
      <c r="T17" s="200" cm="1">
        <f t="array" aca="1" ref="T17" ca="1">(INDIRECT("'1"&amp;$B17&amp;"'!AS17"))/100</f>
        <v>0</v>
      </c>
      <c r="U17" s="200" cm="1">
        <f t="array" aca="1" ref="U17" ca="1">(INDIRECT("'1"&amp;$B17&amp;"'!AS18"))/100</f>
        <v>0</v>
      </c>
      <c r="V17" s="200" cm="1">
        <f t="array" aca="1" ref="V17" ca="1">(INDIRECT("'1"&amp;$B17&amp;"'!AS19"))/100</f>
        <v>0</v>
      </c>
      <c r="W17" s="200" cm="1">
        <f t="array" aca="1" ref="W17" ca="1">(INDIRECT("'1"&amp;$B17&amp;"'!AS20"))/100</f>
        <v>0</v>
      </c>
      <c r="X17" s="200" cm="1">
        <f t="array" aca="1" ref="X17" ca="1">(INDIRECT("'1"&amp;$B17&amp;"'!AS21"))/100</f>
        <v>0</v>
      </c>
      <c r="Y17" s="200"/>
      <c r="Z17" s="32" cm="1">
        <f t="array" aca="1" ref="Z17" ca="1" xml:space="preserve"> (INDIRECT("'1"&amp;$B17&amp;"'!O19")*INDIRECT("'1"&amp;$B17&amp;"'!W19")
+ INDIRECT("'1"&amp;$B17&amp;"'!O18")*INDIRECT("'1"&amp;$B17&amp;"'!W18")
+ INDIRECT("'1"&amp;$B17&amp;"'!O17")*INDIRECT("'1"&amp;$B17&amp;"'!W17")
+ INDIRECT("'1"&amp;$B17&amp;"'!O16")*INDIRECT("'1"&amp;$B17&amp;"'!W16")
+ INDIRECT("'1"&amp;$B17&amp;"'!O15")*INDIRECT("'1"&amp;$B17&amp;"'!W15")
+ INDIRECT("'1"&amp;$B17&amp;"'!O14")*INDIRECT("'1"&amp;$B17&amp;"'!W14")
+ INDIRECT("'1"&amp;$B17&amp;"'!O13")*INDIRECT("'1"&amp;$B17&amp;"'!W13")
+ INDIRECT("'1"&amp;$B17&amp;"'!O12")*INDIRECT("'1"&amp;$B17&amp;"'!W12"))
/
(INDIRECT("'1"&amp;$B17&amp;"'!O19")
+ INDIRECT("'1"&amp;$B17&amp;"'!O18")
+ INDIRECT("'1"&amp;$B17&amp;"'!O17")
+ INDIRECT("'1"&amp;$B17&amp;"'!O16")
+ INDIRECT("'1"&amp;$B17&amp;"'!O15")
+ INDIRECT("'1"&amp;$B17&amp;"'!O14")
+ INDIRECT("'1"&amp;$B17&amp;"'!O13")
+ INDIRECT("'1"&amp;$B17&amp;"'!O12"))-(INDIRECT("'1"&amp;$B17&amp;"'!O21")*INDIRECT("'1"&amp;$B17&amp;"'!W21")+INDIRECT("'1"&amp;$B17&amp;"'!O20")*INDIRECT("'1"&amp;$B17&amp;"'!W20"))/(INDIRECT("'1"&amp;$B17&amp;"'!O21")+INDIRECT("'1"&amp;$B17&amp;"'!O20"))</f>
        <v>7.2131887380246118E-2</v>
      </c>
      <c r="AA17" s="32" cm="1">
        <f t="array" aca="1" ref="AA17" ca="1" xml:space="preserve"> (INDIRECT("'1"&amp;$B17&amp;"'!O20")*INDIRECT("'1"&amp;$B17&amp;"'!W20")+INDIRECT("'1"&amp;$B17&amp;"'!O19")*INDIRECT("'1"&amp;$B17&amp;"'!W19")
+ INDIRECT("'1"&amp;$B17&amp;"'!O18")*INDIRECT("'1"&amp;$B17&amp;"'!W18")
+ INDIRECT("'1"&amp;$B17&amp;"'!O17")*INDIRECT("'1"&amp;$B17&amp;"'!W17")
+ INDIRECT("'1"&amp;$B17&amp;"'!O16")*INDIRECT("'1"&amp;$B17&amp;"'!W16")
+ INDIRECT("'1"&amp;$B17&amp;"'!O15")*INDIRECT("'1"&amp;$B17&amp;"'!W15")
+ INDIRECT("'1"&amp;$B17&amp;"'!O14")*INDIRECT("'1"&amp;$B17&amp;"'!W14")
+ INDIRECT("'1"&amp;$B17&amp;"'!O13")*INDIRECT("'1"&amp;$B17&amp;"'!W13")
+ INDIRECT("'1"&amp;$B17&amp;"'!O12")*INDIRECT("'1"&amp;$B17&amp;"'!W12"))
/
(INDIRECT("'1"&amp;$B17&amp;"'!O20")+INDIRECT("'1"&amp;$B17&amp;"'!O19")
+ INDIRECT("'1"&amp;$B17&amp;"'!O18")
+ INDIRECT("'1"&amp;$B17&amp;"'!O17")
+ INDIRECT("'1"&amp;$B17&amp;"'!O16")
+ INDIRECT("'1"&amp;$B17&amp;"'!O15")
+ INDIRECT("'1"&amp;$B17&amp;"'!O14")
+ INDIRECT("'1"&amp;$B17&amp;"'!O13")
+ INDIRECT("'1"&amp;$B17&amp;"'!O12"))-INDIRECT("'1"&amp;$B17&amp;"'!W21")</f>
        <v>7.8525932179418501E-2</v>
      </c>
      <c r="AD17"/>
    </row>
    <row r="18" spans="2:30" x14ac:dyDescent="0.3">
      <c r="B18" s="199" t="s">
        <v>233</v>
      </c>
      <c r="C18" s="1" t="s">
        <v>473</v>
      </c>
      <c r="D18" s="32" cm="1">
        <f t="array" aca="1" ref="D18" ca="1">(INDIRECT("'1"&amp;$B18&amp;"'!W12"))</f>
        <v>8.0407309226227213</v>
      </c>
      <c r="E18" s="32" cm="1">
        <f t="array" aca="1" ref="E18" ca="1">(INDIRECT("'1"&amp;$B18&amp;"'!W13"))</f>
        <v>4.8364625097589817</v>
      </c>
      <c r="F18" s="32" cm="1">
        <f t="array" aca="1" ref="F18" ca="1">(INDIRECT("'1"&amp;$B18&amp;"'!W14"))</f>
        <v>3.8078169319602013</v>
      </c>
      <c r="G18" s="32" cm="1">
        <f t="array" aca="1" ref="G18" ca="1">(INDIRECT("'1"&amp;$B18&amp;"'!W15"))</f>
        <v>3.6587815984593366</v>
      </c>
      <c r="H18" s="32" cm="1">
        <f t="array" aca="1" ref="H18" ca="1">(INDIRECT("'1"&amp;$B18&amp;"'!W16"))</f>
        <v>3.0227611618913155</v>
      </c>
      <c r="I18" s="32" cm="1">
        <f t="array" aca="1" ref="I18" ca="1">(INDIRECT("'1"&amp;$B18&amp;"'!W17"))</f>
        <v>2.5381151220467291</v>
      </c>
      <c r="J18" s="32" cm="1">
        <f t="array" aca="1" ref="J18" ca="1">(INDIRECT("'1"&amp;$B18&amp;"'!W18"))</f>
        <v>2.3459228873241842</v>
      </c>
      <c r="K18" s="32" cm="1">
        <f t="array" aca="1" ref="K18" ca="1">(INDIRECT("'1"&amp;$B18&amp;"'!W19"))</f>
        <v>2.0519807042005245</v>
      </c>
      <c r="L18" s="32" cm="1">
        <f t="array" aca="1" ref="L18" ca="1">(INDIRECT("'1"&amp;$B18&amp;"'!W20"))</f>
        <v>1.8634028040315309</v>
      </c>
      <c r="M18" s="32" cm="1">
        <f t="array" aca="1" ref="M18" ca="1">(INDIRECT("'1"&amp;$B18&amp;"'!W21"))</f>
        <v>1.4133856559588167</v>
      </c>
      <c r="N18" s="32"/>
      <c r="O18" s="200" cm="1">
        <f t="array" aca="1" ref="O18" ca="1">(INDIRECT("'1"&amp;$B18&amp;"'!AS12"))/100</f>
        <v>0</v>
      </c>
      <c r="P18" s="200" cm="1">
        <f t="array" aca="1" ref="P18" ca="1">(INDIRECT("'1"&amp;$B18&amp;"'!AS13"))/100</f>
        <v>2.7035454288897219E-2</v>
      </c>
      <c r="Q18" s="200" cm="1">
        <f t="array" aca="1" ref="Q18" ca="1">(INDIRECT("'1"&amp;$B18&amp;"'!AS14"))/100</f>
        <v>0.11589494399358678</v>
      </c>
      <c r="R18" s="200" cm="1">
        <f t="array" aca="1" ref="R18" ca="1">(INDIRECT("'1"&amp;$B18&amp;"'!AS15"))/100</f>
        <v>0.26717177363661609</v>
      </c>
      <c r="S18" s="200" cm="1">
        <f t="array" aca="1" ref="S18" ca="1">(INDIRECT("'1"&amp;$B18&amp;"'!AS16"))/100</f>
        <v>0.32209513376716686</v>
      </c>
      <c r="T18" s="200" cm="1">
        <f t="array" aca="1" ref="T18" ca="1">(INDIRECT("'1"&amp;$B18&amp;"'!AS17"))/100</f>
        <v>0.39321866464686428</v>
      </c>
      <c r="U18" s="200" cm="1">
        <f t="array" aca="1" ref="U18" ca="1">(INDIRECT("'1"&amp;$B18&amp;"'!AS18"))/100</f>
        <v>0.4790182688586655</v>
      </c>
      <c r="V18" s="200" cm="1">
        <f t="array" aca="1" ref="V18" ca="1">(INDIRECT("'1"&amp;$B18&amp;"'!AS19"))/100</f>
        <v>0.55018309500654727</v>
      </c>
      <c r="W18" s="200" cm="1">
        <f t="array" aca="1" ref="W18" ca="1">(INDIRECT("'1"&amp;$B18&amp;"'!AS20"))/100</f>
        <v>0.56236589522683533</v>
      </c>
      <c r="X18" s="200" cm="1">
        <f t="array" aca="1" ref="X18" ca="1">(INDIRECT("'1"&amp;$B18&amp;"'!AS21"))/100</f>
        <v>0.52803380955694712</v>
      </c>
      <c r="Y18" s="200"/>
      <c r="Z18" s="32" cm="1">
        <f t="array" aca="1" ref="Z18" ca="1" xml:space="preserve"> (INDIRECT("'1"&amp;$B18&amp;"'!O19")*INDIRECT("'1"&amp;$B18&amp;"'!W19")
+ INDIRECT("'1"&amp;$B18&amp;"'!O18")*INDIRECT("'1"&amp;$B18&amp;"'!W18")
+ INDIRECT("'1"&amp;$B18&amp;"'!O17")*INDIRECT("'1"&amp;$B18&amp;"'!W17")
+ INDIRECT("'1"&amp;$B18&amp;"'!O16")*INDIRECT("'1"&amp;$B18&amp;"'!W16")
+ INDIRECT("'1"&amp;$B18&amp;"'!O15")*INDIRECT("'1"&amp;$B18&amp;"'!W15")
+ INDIRECT("'1"&amp;$B18&amp;"'!O14")*INDIRECT("'1"&amp;$B18&amp;"'!W14")
+ INDIRECT("'1"&amp;$B18&amp;"'!O13")*INDIRECT("'1"&amp;$B18&amp;"'!W13")
+ INDIRECT("'1"&amp;$B18&amp;"'!O12")*INDIRECT("'1"&amp;$B18&amp;"'!W12"))
/
(INDIRECT("'1"&amp;$B18&amp;"'!O19")
+ INDIRECT("'1"&amp;$B18&amp;"'!O18")
+ INDIRECT("'1"&amp;$B18&amp;"'!O17")
+ INDIRECT("'1"&amp;$B18&amp;"'!O16")
+ INDIRECT("'1"&amp;$B18&amp;"'!O15")
+ INDIRECT("'1"&amp;$B18&amp;"'!O14")
+ INDIRECT("'1"&amp;$B18&amp;"'!O13")
+ INDIRECT("'1"&amp;$B18&amp;"'!O12"))-(INDIRECT("'1"&amp;$B18&amp;"'!O21")*INDIRECT("'1"&amp;$B18&amp;"'!W21")+INDIRECT("'1"&amp;$B18&amp;"'!O20")*INDIRECT("'1"&amp;$B18&amp;"'!W20"))/(INDIRECT("'1"&amp;$B18&amp;"'!O21")+INDIRECT("'1"&amp;$B18&amp;"'!O20"))</f>
        <v>0.86074711239087054</v>
      </c>
      <c r="AA18" s="32" cm="1">
        <f t="array" aca="1" ref="AA18" ca="1" xml:space="preserve"> (INDIRECT("'1"&amp;$B18&amp;"'!O20")*INDIRECT("'1"&amp;$B18&amp;"'!W20")+INDIRECT("'1"&amp;$B18&amp;"'!O19")*INDIRECT("'1"&amp;$B18&amp;"'!W19")
+ INDIRECT("'1"&amp;$B18&amp;"'!O18")*INDIRECT("'1"&amp;$B18&amp;"'!W18")
+ INDIRECT("'1"&amp;$B18&amp;"'!O17")*INDIRECT("'1"&amp;$B18&amp;"'!W17")
+ INDIRECT("'1"&amp;$B18&amp;"'!O16")*INDIRECT("'1"&amp;$B18&amp;"'!W16")
+ INDIRECT("'1"&amp;$B18&amp;"'!O15")*INDIRECT("'1"&amp;$B18&amp;"'!W15")
+ INDIRECT("'1"&amp;$B18&amp;"'!O14")*INDIRECT("'1"&amp;$B18&amp;"'!W14")
+ INDIRECT("'1"&amp;$B18&amp;"'!O13")*INDIRECT("'1"&amp;$B18&amp;"'!W13")
+ INDIRECT("'1"&amp;$B18&amp;"'!O12")*INDIRECT("'1"&amp;$B18&amp;"'!W12"))
/
(INDIRECT("'1"&amp;$B18&amp;"'!O20")+INDIRECT("'1"&amp;$B18&amp;"'!O19")
+ INDIRECT("'1"&amp;$B18&amp;"'!O18")
+ INDIRECT("'1"&amp;$B18&amp;"'!O17")
+ INDIRECT("'1"&amp;$B18&amp;"'!O16")
+ INDIRECT("'1"&amp;$B18&amp;"'!O15")
+ INDIRECT("'1"&amp;$B18&amp;"'!O14")
+ INDIRECT("'1"&amp;$B18&amp;"'!O13")
+ INDIRECT("'1"&amp;$B18&amp;"'!O12"))-INDIRECT("'1"&amp;$B18&amp;"'!W21")</f>
        <v>0.78100577675793148</v>
      </c>
      <c r="AD18"/>
    </row>
    <row r="19" spans="2:30" x14ac:dyDescent="0.3">
      <c r="B19" s="199" t="s">
        <v>234</v>
      </c>
      <c r="C19" s="1" t="s">
        <v>474</v>
      </c>
      <c r="D19" s="32" cm="1">
        <f t="array" aca="1" ref="D19" ca="1">(INDIRECT("'1"&amp;$B19&amp;"'!W12"))</f>
        <v>10.176960036495631</v>
      </c>
      <c r="E19" s="32" cm="1">
        <f t="array" aca="1" ref="E19" ca="1">(INDIRECT("'1"&amp;$B19&amp;"'!W13"))</f>
        <v>6.6110463234210801</v>
      </c>
      <c r="F19" s="32" cm="1">
        <f t="array" aca="1" ref="F19" ca="1">(INDIRECT("'1"&amp;$B19&amp;"'!W14"))</f>
        <v>5.4354831472658027</v>
      </c>
      <c r="G19" s="32" cm="1">
        <f t="array" aca="1" ref="G19" ca="1">(INDIRECT("'1"&amp;$B19&amp;"'!W15"))</f>
        <v>2.9734202227731155</v>
      </c>
      <c r="H19" s="32" cm="1">
        <f t="array" aca="1" ref="H19" ca="1">(INDIRECT("'1"&amp;$B19&amp;"'!W16"))</f>
        <v>2.5618634414760444</v>
      </c>
      <c r="I19" s="32" cm="1">
        <f t="array" aca="1" ref="I19" ca="1">(INDIRECT("'1"&amp;$B19&amp;"'!W17"))</f>
        <v>2.2941101748976651</v>
      </c>
      <c r="J19" s="32" cm="1">
        <f t="array" aca="1" ref="J19" ca="1">(INDIRECT("'1"&amp;$B19&amp;"'!W18"))</f>
        <v>2.1304914923572551</v>
      </c>
      <c r="K19" s="32" cm="1">
        <f t="array" aca="1" ref="K19" ca="1">(INDIRECT("'1"&amp;$B19&amp;"'!W19"))</f>
        <v>2.1318951490954854</v>
      </c>
      <c r="L19" s="32" cm="1">
        <f t="array" aca="1" ref="L19" ca="1">(INDIRECT("'1"&amp;$B19&amp;"'!W20"))</f>
        <v>1.809302171879404</v>
      </c>
      <c r="M19" s="32" cm="1">
        <f t="array" aca="1" ref="M19" ca="1">(INDIRECT("'1"&amp;$B19&amp;"'!W21"))</f>
        <v>1.3729934990390535</v>
      </c>
      <c r="N19" s="32"/>
      <c r="O19" s="200" cm="1">
        <f t="array" aca="1" ref="O19" ca="1">(INDIRECT("'1"&amp;$B19&amp;"'!AS12"))/100</f>
        <v>0</v>
      </c>
      <c r="P19" s="200" cm="1">
        <f t="array" aca="1" ref="P19" ca="1">(INDIRECT("'1"&amp;$B19&amp;"'!AS13"))/100</f>
        <v>1.1513134495827283E-2</v>
      </c>
      <c r="Q19" s="200" cm="1">
        <f t="array" aca="1" ref="Q19" ca="1">(INDIRECT("'1"&amp;$B19&amp;"'!AS14"))/100</f>
        <v>7.1629339304073655E-2</v>
      </c>
      <c r="R19" s="200" cm="1">
        <f t="array" aca="1" ref="R19" ca="1">(INDIRECT("'1"&amp;$B19&amp;"'!AS15"))/100</f>
        <v>0.11843415695055089</v>
      </c>
      <c r="S19" s="200" cm="1">
        <f t="array" aca="1" ref="S19" ca="1">(INDIRECT("'1"&amp;$B19&amp;"'!AS16"))/100</f>
        <v>0.1787263171720696</v>
      </c>
      <c r="T19" s="200" cm="1">
        <f t="array" aca="1" ref="T19" ca="1">(INDIRECT("'1"&amp;$B19&amp;"'!AS17"))/100</f>
        <v>0.24446602124502925</v>
      </c>
      <c r="U19" s="200" cm="1">
        <f t="array" aca="1" ref="U19" ca="1">(INDIRECT("'1"&amp;$B19&amp;"'!AS18"))/100</f>
        <v>0.26930068484970893</v>
      </c>
      <c r="V19" s="200" cm="1">
        <f t="array" aca="1" ref="V19" ca="1">(INDIRECT("'1"&amp;$B19&amp;"'!AS19"))/100</f>
        <v>0.29532019380538876</v>
      </c>
      <c r="W19" s="200" cm="1">
        <f t="array" aca="1" ref="W19" ca="1">(INDIRECT("'1"&amp;$B19&amp;"'!AS20"))/100</f>
        <v>0.42385693312265249</v>
      </c>
      <c r="X19" s="200" cm="1">
        <f t="array" aca="1" ref="X19" ca="1">(INDIRECT("'1"&amp;$B19&amp;"'!AS21"))/100</f>
        <v>0.6440646943995193</v>
      </c>
      <c r="Y19" s="200"/>
      <c r="Z19" s="32" cm="1">
        <f t="array" aca="1" ref="Z19" ca="1" xml:space="preserve"> (INDIRECT("'1"&amp;$B19&amp;"'!O19")*INDIRECT("'1"&amp;$B19&amp;"'!W19")
+ INDIRECT("'1"&amp;$B19&amp;"'!O18")*INDIRECT("'1"&amp;$B19&amp;"'!W18")
+ INDIRECT("'1"&amp;$B19&amp;"'!O17")*INDIRECT("'1"&amp;$B19&amp;"'!W17")
+ INDIRECT("'1"&amp;$B19&amp;"'!O16")*INDIRECT("'1"&amp;$B19&amp;"'!W16")
+ INDIRECT("'1"&amp;$B19&amp;"'!O15")*INDIRECT("'1"&amp;$B19&amp;"'!W15")
+ INDIRECT("'1"&amp;$B19&amp;"'!O14")*INDIRECT("'1"&amp;$B19&amp;"'!W14")
+ INDIRECT("'1"&amp;$B19&amp;"'!O13")*INDIRECT("'1"&amp;$B19&amp;"'!W13")
+ INDIRECT("'1"&amp;$B19&amp;"'!O12")*INDIRECT("'1"&amp;$B19&amp;"'!W12"))
/
(INDIRECT("'1"&amp;$B19&amp;"'!O19")
+ INDIRECT("'1"&amp;$B19&amp;"'!O18")
+ INDIRECT("'1"&amp;$B19&amp;"'!O17")
+ INDIRECT("'1"&amp;$B19&amp;"'!O16")
+ INDIRECT("'1"&amp;$B19&amp;"'!O15")
+ INDIRECT("'1"&amp;$B19&amp;"'!O14")
+ INDIRECT("'1"&amp;$B19&amp;"'!O13")
+ INDIRECT("'1"&amp;$B19&amp;"'!O12"))-(INDIRECT("'1"&amp;$B19&amp;"'!O21")*INDIRECT("'1"&amp;$B19&amp;"'!W21")+INDIRECT("'1"&amp;$B19&amp;"'!O20")*INDIRECT("'1"&amp;$B19&amp;"'!W20"))/(INDIRECT("'1"&amp;$B19&amp;"'!O21")+INDIRECT("'1"&amp;$B19&amp;"'!O20"))</f>
        <v>0.85246116182875142</v>
      </c>
      <c r="AA19" s="32" cm="1">
        <f t="array" aca="1" ref="AA19" ca="1" xml:space="preserve"> (INDIRECT("'1"&amp;$B19&amp;"'!O20")*INDIRECT("'1"&amp;$B19&amp;"'!W20")+INDIRECT("'1"&amp;$B19&amp;"'!O19")*INDIRECT("'1"&amp;$B19&amp;"'!W19")
+ INDIRECT("'1"&amp;$B19&amp;"'!O18")*INDIRECT("'1"&amp;$B19&amp;"'!W18")
+ INDIRECT("'1"&amp;$B19&amp;"'!O17")*INDIRECT("'1"&amp;$B19&amp;"'!W17")
+ INDIRECT("'1"&amp;$B19&amp;"'!O16")*INDIRECT("'1"&amp;$B19&amp;"'!W16")
+ INDIRECT("'1"&amp;$B19&amp;"'!O15")*INDIRECT("'1"&amp;$B19&amp;"'!W15")
+ INDIRECT("'1"&amp;$B19&amp;"'!O14")*INDIRECT("'1"&amp;$B19&amp;"'!W14")
+ INDIRECT("'1"&amp;$B19&amp;"'!O13")*INDIRECT("'1"&amp;$B19&amp;"'!W13")
+ INDIRECT("'1"&amp;$B19&amp;"'!O12")*INDIRECT("'1"&amp;$B19&amp;"'!W12"))
/
(INDIRECT("'1"&amp;$B19&amp;"'!O20")+INDIRECT("'1"&amp;$B19&amp;"'!O19")
+ INDIRECT("'1"&amp;$B19&amp;"'!O18")
+ INDIRECT("'1"&amp;$B19&amp;"'!O17")
+ INDIRECT("'1"&amp;$B19&amp;"'!O16")
+ INDIRECT("'1"&amp;$B19&amp;"'!O15")
+ INDIRECT("'1"&amp;$B19&amp;"'!O14")
+ INDIRECT("'1"&amp;$B19&amp;"'!O13")
+ INDIRECT("'1"&amp;$B19&amp;"'!O12"))-INDIRECT("'1"&amp;$B19&amp;"'!W21")</f>
        <v>0.80762180872167666</v>
      </c>
      <c r="AD19"/>
    </row>
    <row r="20" spans="2:30" x14ac:dyDescent="0.3">
      <c r="B20" s="199" t="s">
        <v>238</v>
      </c>
      <c r="C20" s="1" t="s">
        <v>475</v>
      </c>
      <c r="D20" s="32" cm="1">
        <f t="array" aca="1" ref="D20" ca="1">(INDIRECT("'1"&amp;$B20&amp;"'!W12"))</f>
        <v>0</v>
      </c>
      <c r="E20" s="32" cm="1">
        <f t="array" aca="1" ref="E20" ca="1">(INDIRECT("'1"&amp;$B20&amp;"'!W13"))</f>
        <v>1.0968861645266013</v>
      </c>
      <c r="F20" s="32" cm="1">
        <f t="array" aca="1" ref="F20" ca="1">(INDIRECT("'1"&amp;$B20&amp;"'!W14"))</f>
        <v>2.1911868274257578</v>
      </c>
      <c r="G20" s="32" cm="1">
        <f t="array" aca="1" ref="G20" ca="1">(INDIRECT("'1"&amp;$B20&amp;"'!W15"))</f>
        <v>1.8190011035410312</v>
      </c>
      <c r="H20" s="32" cm="1">
        <f t="array" aca="1" ref="H20" ca="1">(INDIRECT("'1"&amp;$B20&amp;"'!W16"))</f>
        <v>1.6375303540218633</v>
      </c>
      <c r="I20" s="32" cm="1">
        <f t="array" aca="1" ref="I20" ca="1">(INDIRECT("'1"&amp;$B20&amp;"'!W17"))</f>
        <v>1.530867884528863</v>
      </c>
      <c r="J20" s="32" cm="1">
        <f t="array" aca="1" ref="J20" ca="1">(INDIRECT("'1"&amp;$B20&amp;"'!W18"))</f>
        <v>1.4479699062021951</v>
      </c>
      <c r="K20" s="32" cm="1">
        <f t="array" aca="1" ref="K20" ca="1">(INDIRECT("'1"&amp;$B20&amp;"'!W19"))</f>
        <v>1.373067685460025</v>
      </c>
      <c r="L20" s="32" cm="1">
        <f t="array" aca="1" ref="L20" ca="1">(INDIRECT("'1"&amp;$B20&amp;"'!W20"))</f>
        <v>1.2830278811605633</v>
      </c>
      <c r="M20" s="32" cm="1">
        <f t="array" aca="1" ref="M20" ca="1">(INDIRECT("'1"&amp;$B20&amp;"'!W21"))</f>
        <v>1.0891632655382597</v>
      </c>
      <c r="N20" s="32"/>
      <c r="O20" s="200" cm="1">
        <f t="array" aca="1" ref="O20" ca="1">(INDIRECT("'1"&amp;$B20&amp;"'!AS12"))/100</f>
        <v>0</v>
      </c>
      <c r="P20" s="200" cm="1">
        <f t="array" aca="1" ref="P20" ca="1">(INDIRECT("'1"&amp;$B20&amp;"'!AS13"))/100</f>
        <v>0</v>
      </c>
      <c r="Q20" s="200" cm="1">
        <f t="array" aca="1" ref="Q20" ca="1">(INDIRECT("'1"&amp;$B20&amp;"'!AS14"))/100</f>
        <v>0.11821460244039945</v>
      </c>
      <c r="R20" s="200" cm="1">
        <f t="array" aca="1" ref="R20" ca="1">(INDIRECT("'1"&amp;$B20&amp;"'!AS15"))/100</f>
        <v>0.18163070368030851</v>
      </c>
      <c r="S20" s="200" cm="1">
        <f t="array" aca="1" ref="S20" ca="1">(INDIRECT("'1"&amp;$B20&amp;"'!AS16"))/100</f>
        <v>0.19330949551043253</v>
      </c>
      <c r="T20" s="200" cm="1">
        <f t="array" aca="1" ref="T20" ca="1">(INDIRECT("'1"&amp;$B20&amp;"'!AS17"))/100</f>
        <v>0.22870667357277841</v>
      </c>
      <c r="U20" s="200" cm="1">
        <f t="array" aca="1" ref="U20" ca="1">(INDIRECT("'1"&amp;$B20&amp;"'!AS18"))/100</f>
        <v>0.2278908120671036</v>
      </c>
      <c r="V20" s="200" cm="1">
        <f t="array" aca="1" ref="V20" ca="1">(INDIRECT("'1"&amp;$B20&amp;"'!AS19"))/100</f>
        <v>0.24771217298924927</v>
      </c>
      <c r="W20" s="200" cm="1">
        <f t="array" aca="1" ref="W20" ca="1">(INDIRECT("'1"&amp;$B20&amp;"'!AS20"))/100</f>
        <v>0.29016081749541917</v>
      </c>
      <c r="X20" s="200" cm="1">
        <f t="array" aca="1" ref="X20" ca="1">(INDIRECT("'1"&amp;$B20&amp;"'!AS21"))/100</f>
        <v>0.30379339876510808</v>
      </c>
      <c r="Y20" s="200"/>
      <c r="Z20" s="32" cm="1">
        <f t="array" aca="1" ref="Z20" ca="1" xml:space="preserve"> (INDIRECT("'1"&amp;$B20&amp;"'!O19")*INDIRECT("'1"&amp;$B20&amp;"'!W19")
+ INDIRECT("'1"&amp;$B20&amp;"'!O18")*INDIRECT("'1"&amp;$B20&amp;"'!W18")
+ INDIRECT("'1"&amp;$B20&amp;"'!O17")*INDIRECT("'1"&amp;$B20&amp;"'!W17")
+ INDIRECT("'1"&amp;$B20&amp;"'!O16")*INDIRECT("'1"&amp;$B20&amp;"'!W16")
+ INDIRECT("'1"&amp;$B20&amp;"'!O15")*INDIRECT("'1"&amp;$B20&amp;"'!W15")
+ INDIRECT("'1"&amp;$B20&amp;"'!O14")*INDIRECT("'1"&amp;$B20&amp;"'!W14")
+ INDIRECT("'1"&amp;$B20&amp;"'!O13")*INDIRECT("'1"&amp;$B20&amp;"'!W13")
+ INDIRECT("'1"&amp;$B20&amp;"'!O12")*INDIRECT("'1"&amp;$B20&amp;"'!W12"))
/
(INDIRECT("'1"&amp;$B20&amp;"'!O19")
+ INDIRECT("'1"&amp;$B20&amp;"'!O18")
+ INDIRECT("'1"&amp;$B20&amp;"'!O17")
+ INDIRECT("'1"&amp;$B20&amp;"'!O16")
+ INDIRECT("'1"&amp;$B20&amp;"'!O15")
+ INDIRECT("'1"&amp;$B20&amp;"'!O14")
+ INDIRECT("'1"&amp;$B20&amp;"'!O13")
+ INDIRECT("'1"&amp;$B20&amp;"'!O12"))-(INDIRECT("'1"&amp;$B20&amp;"'!O21")*INDIRECT("'1"&amp;$B20&amp;"'!W21")+INDIRECT("'1"&amp;$B20&amp;"'!O20")*INDIRECT("'1"&amp;$B20&amp;"'!W20"))/(INDIRECT("'1"&amp;$B20&amp;"'!O21")+INDIRECT("'1"&amp;$B20&amp;"'!O20"))</f>
        <v>0.36200423270874382</v>
      </c>
      <c r="AA20" s="32" cm="1">
        <f t="array" aca="1" ref="AA20" ca="1" xml:space="preserve"> (INDIRECT("'1"&amp;$B20&amp;"'!O20")*INDIRECT("'1"&amp;$B20&amp;"'!W20")+INDIRECT("'1"&amp;$B20&amp;"'!O19")*INDIRECT("'1"&amp;$B20&amp;"'!W19")
+ INDIRECT("'1"&amp;$B20&amp;"'!O18")*INDIRECT("'1"&amp;$B20&amp;"'!W18")
+ INDIRECT("'1"&amp;$B20&amp;"'!O17")*INDIRECT("'1"&amp;$B20&amp;"'!W17")
+ INDIRECT("'1"&amp;$B20&amp;"'!O16")*INDIRECT("'1"&amp;$B20&amp;"'!W16")
+ INDIRECT("'1"&amp;$B20&amp;"'!O15")*INDIRECT("'1"&amp;$B20&amp;"'!W15")
+ INDIRECT("'1"&amp;$B20&amp;"'!O14")*INDIRECT("'1"&amp;$B20&amp;"'!W14")
+ INDIRECT("'1"&amp;$B20&amp;"'!O13")*INDIRECT("'1"&amp;$B20&amp;"'!W13")
+ INDIRECT("'1"&amp;$B20&amp;"'!O12")*INDIRECT("'1"&amp;$B20&amp;"'!W12"))
/
(INDIRECT("'1"&amp;$B20&amp;"'!O20")+INDIRECT("'1"&amp;$B20&amp;"'!O19")
+ INDIRECT("'1"&amp;$B20&amp;"'!O18")
+ INDIRECT("'1"&amp;$B20&amp;"'!O17")
+ INDIRECT("'1"&amp;$B20&amp;"'!O16")
+ INDIRECT("'1"&amp;$B20&amp;"'!O15")
+ INDIRECT("'1"&amp;$B20&amp;"'!O14")
+ INDIRECT("'1"&amp;$B20&amp;"'!O13")
+ INDIRECT("'1"&amp;$B20&amp;"'!O12"))-INDIRECT("'1"&amp;$B20&amp;"'!W21")</f>
        <v>0.3570788215750893</v>
      </c>
      <c r="AD20"/>
    </row>
    <row r="21" spans="2:30" x14ac:dyDescent="0.3">
      <c r="B21" s="199" t="s">
        <v>240</v>
      </c>
      <c r="C21" s="1" t="s">
        <v>476</v>
      </c>
      <c r="D21" s="32" cm="1">
        <f t="array" aca="1" ref="D21" ca="1">(INDIRECT("'1"&amp;$B21&amp;"'!W12"))</f>
        <v>-0.70865843757807334</v>
      </c>
      <c r="E21" s="32" cm="1">
        <f t="array" aca="1" ref="E21" ca="1">(INDIRECT("'1"&amp;$B21&amp;"'!W13"))</f>
        <v>7.5481019628528223</v>
      </c>
      <c r="F21" s="32" cm="1">
        <f t="array" aca="1" ref="F21" ca="1">(INDIRECT("'1"&amp;$B21&amp;"'!W14"))</f>
        <v>4.6976017993460104</v>
      </c>
      <c r="G21" s="32" cm="1">
        <f t="array" aca="1" ref="G21" ca="1">(INDIRECT("'1"&amp;$B21&amp;"'!W15"))</f>
        <v>3.5095736152714343</v>
      </c>
      <c r="H21" s="32" cm="1">
        <f t="array" aca="1" ref="H21" ca="1">(INDIRECT("'1"&amp;$B21&amp;"'!W16"))</f>
        <v>2.8736736602673778</v>
      </c>
      <c r="I21" s="32" cm="1">
        <f t="array" aca="1" ref="I21" ca="1">(INDIRECT("'1"&amp;$B21&amp;"'!W17"))</f>
        <v>2.6768850099337183</v>
      </c>
      <c r="J21" s="32" cm="1">
        <f t="array" aca="1" ref="J21" ca="1">(INDIRECT("'1"&amp;$B21&amp;"'!W18"))</f>
        <v>2.4574731350534349</v>
      </c>
      <c r="K21" s="32" cm="1">
        <f t="array" aca="1" ref="K21" ca="1">(INDIRECT("'1"&amp;$B21&amp;"'!W19"))</f>
        <v>2.018120016847087</v>
      </c>
      <c r="L21" s="32" cm="1">
        <f t="array" aca="1" ref="L21" ca="1">(INDIRECT("'1"&amp;$B21&amp;"'!W20"))</f>
        <v>1.7291724967299147</v>
      </c>
      <c r="M21" s="32" cm="1">
        <f t="array" aca="1" ref="M21" ca="1">(INDIRECT("'1"&amp;$B21&amp;"'!W21"))</f>
        <v>1.3633281779389856</v>
      </c>
      <c r="N21" s="32"/>
      <c r="O21" s="200" cm="1">
        <f t="array" aca="1" ref="O21" ca="1">(INDIRECT("'1"&amp;$B21&amp;"'!AS12"))/100</f>
        <v>0</v>
      </c>
      <c r="P21" s="200" cm="1">
        <f t="array" aca="1" ref="P21" ca="1">(INDIRECT("'1"&amp;$B21&amp;"'!AS13"))/100</f>
        <v>0.9061731985699284</v>
      </c>
      <c r="Q21" s="200" cm="1">
        <f t="array" aca="1" ref="Q21" ca="1">(INDIRECT("'1"&amp;$B21&amp;"'!AS14"))/100</f>
        <v>0.71780486340389316</v>
      </c>
      <c r="R21" s="200" cm="1">
        <f t="array" aca="1" ref="R21" ca="1">(INDIRECT("'1"&amp;$B21&amp;"'!AS15"))/100</f>
        <v>0.7826806280519466</v>
      </c>
      <c r="S21" s="200" cm="1">
        <f t="array" aca="1" ref="S21" ca="1">(INDIRECT("'1"&amp;$B21&amp;"'!AS16"))/100</f>
        <v>0.85959514364139755</v>
      </c>
      <c r="T21" s="200" cm="1">
        <f t="array" aca="1" ref="T21" ca="1">(INDIRECT("'1"&amp;$B21&amp;"'!AS17"))/100</f>
        <v>0.8325953511884514</v>
      </c>
      <c r="U21" s="200" cm="1">
        <f t="array" aca="1" ref="U21" ca="1">(INDIRECT("'1"&amp;$B21&amp;"'!AS18"))/100</f>
        <v>0.76831402036048746</v>
      </c>
      <c r="V21" s="200" cm="1">
        <f t="array" aca="1" ref="V21" ca="1">(INDIRECT("'1"&amp;$B21&amp;"'!AS19"))/100</f>
        <v>0.83954742688994732</v>
      </c>
      <c r="W21" s="200" cm="1">
        <f t="array" aca="1" ref="W21" ca="1">(INDIRECT("'1"&amp;$B21&amp;"'!AS20"))/100</f>
        <v>0.86300706815706751</v>
      </c>
      <c r="X21" s="200" cm="1">
        <f t="array" aca="1" ref="X21" ca="1">(INDIRECT("'1"&amp;$B21&amp;"'!AS21"))/100</f>
        <v>0.87483582062184628</v>
      </c>
      <c r="Y21" s="200"/>
      <c r="Z21" s="32" cm="1">
        <f t="array" aca="1" ref="Z21" ca="1" xml:space="preserve"> (INDIRECT("'1"&amp;$B21&amp;"'!O19")*INDIRECT("'1"&amp;$B21&amp;"'!W19")
+ INDIRECT("'1"&amp;$B21&amp;"'!O18")*INDIRECT("'1"&amp;$B21&amp;"'!W18")
+ INDIRECT("'1"&amp;$B21&amp;"'!O17")*INDIRECT("'1"&amp;$B21&amp;"'!W17")
+ INDIRECT("'1"&amp;$B21&amp;"'!O16")*INDIRECT("'1"&amp;$B21&amp;"'!W16")
+ INDIRECT("'1"&amp;$B21&amp;"'!O15")*INDIRECT("'1"&amp;$B21&amp;"'!W15")
+ INDIRECT("'1"&amp;$B21&amp;"'!O14")*INDIRECT("'1"&amp;$B21&amp;"'!W14")
+ INDIRECT("'1"&amp;$B21&amp;"'!O13")*INDIRECT("'1"&amp;$B21&amp;"'!W13")
+ INDIRECT("'1"&amp;$B21&amp;"'!O12")*INDIRECT("'1"&amp;$B21&amp;"'!W12"))
/
(INDIRECT("'1"&amp;$B21&amp;"'!O19")
+ INDIRECT("'1"&amp;$B21&amp;"'!O18")
+ INDIRECT("'1"&amp;$B21&amp;"'!O17")
+ INDIRECT("'1"&amp;$B21&amp;"'!O16")
+ INDIRECT("'1"&amp;$B21&amp;"'!O15")
+ INDIRECT("'1"&amp;$B21&amp;"'!O14")
+ INDIRECT("'1"&amp;$B21&amp;"'!O13")
+ INDIRECT("'1"&amp;$B21&amp;"'!O12"))-(INDIRECT("'1"&amp;$B21&amp;"'!O21")*INDIRECT("'1"&amp;$B21&amp;"'!W21")+INDIRECT("'1"&amp;$B21&amp;"'!O20")*INDIRECT("'1"&amp;$B21&amp;"'!W20"))/(INDIRECT("'1"&amp;$B21&amp;"'!O21")+INDIRECT("'1"&amp;$B21&amp;"'!O20"))</f>
        <v>1.1022236134824694</v>
      </c>
      <c r="AA21" s="32" cm="1">
        <f t="array" aca="1" ref="AA21" ca="1" xml:space="preserve"> (INDIRECT("'1"&amp;$B21&amp;"'!O20")*INDIRECT("'1"&amp;$B21&amp;"'!W20")+INDIRECT("'1"&amp;$B21&amp;"'!O19")*INDIRECT("'1"&amp;$B21&amp;"'!W19")
+ INDIRECT("'1"&amp;$B21&amp;"'!O18")*INDIRECT("'1"&amp;$B21&amp;"'!W18")
+ INDIRECT("'1"&amp;$B21&amp;"'!O17")*INDIRECT("'1"&amp;$B21&amp;"'!W17")
+ INDIRECT("'1"&amp;$B21&amp;"'!O16")*INDIRECT("'1"&amp;$B21&amp;"'!W16")
+ INDIRECT("'1"&amp;$B21&amp;"'!O15")*INDIRECT("'1"&amp;$B21&amp;"'!W15")
+ INDIRECT("'1"&amp;$B21&amp;"'!O14")*INDIRECT("'1"&amp;$B21&amp;"'!W14")
+ INDIRECT("'1"&amp;$B21&amp;"'!O13")*INDIRECT("'1"&amp;$B21&amp;"'!W13")
+ INDIRECT("'1"&amp;$B21&amp;"'!O12")*INDIRECT("'1"&amp;$B21&amp;"'!W12"))
/
(INDIRECT("'1"&amp;$B21&amp;"'!O20")+INDIRECT("'1"&amp;$B21&amp;"'!O19")
+ INDIRECT("'1"&amp;$B21&amp;"'!O18")
+ INDIRECT("'1"&amp;$B21&amp;"'!O17")
+ INDIRECT("'1"&amp;$B21&amp;"'!O16")
+ INDIRECT("'1"&amp;$B21&amp;"'!O15")
+ INDIRECT("'1"&amp;$B21&amp;"'!O14")
+ INDIRECT("'1"&amp;$B21&amp;"'!O13")
+ INDIRECT("'1"&amp;$B21&amp;"'!O12"))-INDIRECT("'1"&amp;$B21&amp;"'!W21")</f>
        <v>0.91784030391141447</v>
      </c>
      <c r="AD21"/>
    </row>
    <row r="22" spans="2:30" x14ac:dyDescent="0.3">
      <c r="B22" s="199" t="s">
        <v>242</v>
      </c>
      <c r="C22" s="1" t="s">
        <v>477</v>
      </c>
      <c r="D22" s="32" cm="1">
        <f t="array" aca="1" ref="D22" ca="1">(INDIRECT("'1"&amp;$B22&amp;"'!W12"))</f>
        <v>5.2567288659840612</v>
      </c>
      <c r="E22" s="32" cm="1">
        <f t="array" aca="1" ref="E22" ca="1">(INDIRECT("'1"&amp;$B22&amp;"'!W13"))</f>
        <v>4.8528057753338167</v>
      </c>
      <c r="F22" s="32" cm="1">
        <f t="array" aca="1" ref="F22" ca="1">(INDIRECT("'1"&amp;$B22&amp;"'!W14"))</f>
        <v>3.1226058467560698</v>
      </c>
      <c r="G22" s="32" cm="1">
        <f t="array" aca="1" ref="G22" ca="1">(INDIRECT("'1"&amp;$B22&amp;"'!W15"))</f>
        <v>2.3104676491882539</v>
      </c>
      <c r="H22" s="32" cm="1">
        <f t="array" aca="1" ref="H22" ca="1">(INDIRECT("'1"&amp;$B22&amp;"'!W16"))</f>
        <v>1.9407948740047405</v>
      </c>
      <c r="I22" s="32" cm="1">
        <f t="array" aca="1" ref="I22" ca="1">(INDIRECT("'1"&amp;$B22&amp;"'!W17"))</f>
        <v>1.6665530500494499</v>
      </c>
      <c r="J22" s="32" cm="1">
        <f t="array" aca="1" ref="J22" ca="1">(INDIRECT("'1"&amp;$B22&amp;"'!W18"))</f>
        <v>1.477704709003155</v>
      </c>
      <c r="K22" s="32" cm="1">
        <f t="array" aca="1" ref="K22" ca="1">(INDIRECT("'1"&amp;$B22&amp;"'!W19"))</f>
        <v>1.3522471093406883</v>
      </c>
      <c r="L22" s="32" cm="1">
        <f t="array" aca="1" ref="L22" ca="1">(INDIRECT("'1"&amp;$B22&amp;"'!W20"))</f>
        <v>1.2518000962140323</v>
      </c>
      <c r="M22" s="32" cm="1">
        <f t="array" aca="1" ref="M22" ca="1">(INDIRECT("'1"&amp;$B22&amp;"'!W21"))</f>
        <v>1.1433629732405111</v>
      </c>
      <c r="N22" s="32"/>
      <c r="O22" s="200" cm="1">
        <f t="array" aca="1" ref="O22" ca="1">(INDIRECT("'1"&amp;$B22&amp;"'!AS12"))/100</f>
        <v>0</v>
      </c>
      <c r="P22" s="200" cm="1">
        <f t="array" aca="1" ref="P22" ca="1">(INDIRECT("'1"&amp;$B22&amp;"'!AS13"))/100</f>
        <v>3.4693741339876655E-3</v>
      </c>
      <c r="Q22" s="200" cm="1">
        <f t="array" aca="1" ref="Q22" ca="1">(INDIRECT("'1"&amp;$B22&amp;"'!AS14"))/100</f>
        <v>3.6964564600805334E-3</v>
      </c>
      <c r="R22" s="200" cm="1">
        <f t="array" aca="1" ref="R22" ca="1">(INDIRECT("'1"&amp;$B22&amp;"'!AS15"))/100</f>
        <v>1.2591095447096978E-2</v>
      </c>
      <c r="S22" s="200" cm="1">
        <f t="array" aca="1" ref="S22" ca="1">(INDIRECT("'1"&amp;$B22&amp;"'!AS16"))/100</f>
        <v>1.9450020240592017E-2</v>
      </c>
      <c r="T22" s="200" cm="1">
        <f t="array" aca="1" ref="T22" ca="1">(INDIRECT("'1"&amp;$B22&amp;"'!AS17"))/100</f>
        <v>3.9653373889147844E-2</v>
      </c>
      <c r="U22" s="200" cm="1">
        <f t="array" aca="1" ref="U22" ca="1">(INDIRECT("'1"&amp;$B22&amp;"'!AS18"))/100</f>
        <v>5.8600621512129566E-2</v>
      </c>
      <c r="V22" s="200" cm="1">
        <f t="array" aca="1" ref="V22" ca="1">(INDIRECT("'1"&amp;$B22&amp;"'!AS19"))/100</f>
        <v>0.12024763049431483</v>
      </c>
      <c r="W22" s="200" cm="1">
        <f t="array" aca="1" ref="W22" ca="1">(INDIRECT("'1"&amp;$B22&amp;"'!AS20"))/100</f>
        <v>0.28826527592351142</v>
      </c>
      <c r="X22" s="200" cm="1">
        <f t="array" aca="1" ref="X22" ca="1">(INDIRECT("'1"&amp;$B22&amp;"'!AS21"))/100</f>
        <v>0.48993531731197409</v>
      </c>
      <c r="Y22" s="200"/>
      <c r="Z22" s="32" cm="1">
        <f t="array" aca="1" ref="Z22" ca="1" xml:space="preserve"> (INDIRECT("'1"&amp;$B22&amp;"'!O19")*INDIRECT("'1"&amp;$B22&amp;"'!W19")
+ INDIRECT("'1"&amp;$B22&amp;"'!O18")*INDIRECT("'1"&amp;$B22&amp;"'!W18")
+ INDIRECT("'1"&amp;$B22&amp;"'!O17")*INDIRECT("'1"&amp;$B22&amp;"'!W17")
+ INDIRECT("'1"&amp;$B22&amp;"'!O16")*INDIRECT("'1"&amp;$B22&amp;"'!W16")
+ INDIRECT("'1"&amp;$B22&amp;"'!O15")*INDIRECT("'1"&amp;$B22&amp;"'!W15")
+ INDIRECT("'1"&amp;$B22&amp;"'!O14")*INDIRECT("'1"&amp;$B22&amp;"'!W14")
+ INDIRECT("'1"&amp;$B22&amp;"'!O13")*INDIRECT("'1"&amp;$B22&amp;"'!W13")
+ INDIRECT("'1"&amp;$B22&amp;"'!O12")*INDIRECT("'1"&amp;$B22&amp;"'!W12"))
/
(INDIRECT("'1"&amp;$B22&amp;"'!O19")
+ INDIRECT("'1"&amp;$B22&amp;"'!O18")
+ INDIRECT("'1"&amp;$B22&amp;"'!O17")
+ INDIRECT("'1"&amp;$B22&amp;"'!O16")
+ INDIRECT("'1"&amp;$B22&amp;"'!O15")
+ INDIRECT("'1"&amp;$B22&amp;"'!O14")
+ INDIRECT("'1"&amp;$B22&amp;"'!O13")
+ INDIRECT("'1"&amp;$B22&amp;"'!O12"))-(INDIRECT("'1"&amp;$B22&amp;"'!O21")*INDIRECT("'1"&amp;$B22&amp;"'!W21")+INDIRECT("'1"&amp;$B22&amp;"'!O20")*INDIRECT("'1"&amp;$B22&amp;"'!W20"))/(INDIRECT("'1"&amp;$B22&amp;"'!O21")+INDIRECT("'1"&amp;$B22&amp;"'!O20"))</f>
        <v>0.58519219931411359</v>
      </c>
      <c r="AA22" s="32" cm="1">
        <f t="array" aca="1" ref="AA22" ca="1" xml:space="preserve"> (INDIRECT("'1"&amp;$B22&amp;"'!O20")*INDIRECT("'1"&amp;$B22&amp;"'!W20")+INDIRECT("'1"&amp;$B22&amp;"'!O19")*INDIRECT("'1"&amp;$B22&amp;"'!W19")
+ INDIRECT("'1"&amp;$B22&amp;"'!O18")*INDIRECT("'1"&amp;$B22&amp;"'!W18")
+ INDIRECT("'1"&amp;$B22&amp;"'!O17")*INDIRECT("'1"&amp;$B22&amp;"'!W17")
+ INDIRECT("'1"&amp;$B22&amp;"'!O16")*INDIRECT("'1"&amp;$B22&amp;"'!W16")
+ INDIRECT("'1"&amp;$B22&amp;"'!O15")*INDIRECT("'1"&amp;$B22&amp;"'!W15")
+ INDIRECT("'1"&amp;$B22&amp;"'!O14")*INDIRECT("'1"&amp;$B22&amp;"'!W14")
+ INDIRECT("'1"&amp;$B22&amp;"'!O13")*INDIRECT("'1"&amp;$B22&amp;"'!W13")
+ INDIRECT("'1"&amp;$B22&amp;"'!O12")*INDIRECT("'1"&amp;$B22&amp;"'!W12"))
/
(INDIRECT("'1"&amp;$B22&amp;"'!O20")+INDIRECT("'1"&amp;$B22&amp;"'!O19")
+ INDIRECT("'1"&amp;$B22&amp;"'!O18")
+ INDIRECT("'1"&amp;$B22&amp;"'!O17")
+ INDIRECT("'1"&amp;$B22&amp;"'!O16")
+ INDIRECT("'1"&amp;$B22&amp;"'!O15")
+ INDIRECT("'1"&amp;$B22&amp;"'!O14")
+ INDIRECT("'1"&amp;$B22&amp;"'!O13")
+ INDIRECT("'1"&amp;$B22&amp;"'!O12"))-INDIRECT("'1"&amp;$B22&amp;"'!W21")</f>
        <v>0.4692250596883214</v>
      </c>
      <c r="AD22"/>
    </row>
    <row r="23" spans="2:30" x14ac:dyDescent="0.3">
      <c r="B23" s="199" t="s">
        <v>245</v>
      </c>
      <c r="C23" s="1" t="s">
        <v>478</v>
      </c>
      <c r="D23" s="32" cm="1">
        <f t="array" aca="1" ref="D23" ca="1">(INDIRECT("'1"&amp;$B23&amp;"'!W12"))</f>
        <v>3.6154776719313695</v>
      </c>
      <c r="E23" s="32" cm="1">
        <f t="array" aca="1" ref="E23" ca="1">(INDIRECT("'1"&amp;$B23&amp;"'!W13"))</f>
        <v>3.9776430315533631</v>
      </c>
      <c r="F23" s="32" cm="1">
        <f t="array" aca="1" ref="F23" ca="1">(INDIRECT("'1"&amp;$B23&amp;"'!W14"))</f>
        <v>3.8854532925614009</v>
      </c>
      <c r="G23" s="32" cm="1">
        <f t="array" aca="1" ref="G23" ca="1">(INDIRECT("'1"&amp;$B23&amp;"'!W15"))</f>
        <v>3.4640462135509202</v>
      </c>
      <c r="H23" s="32" cm="1">
        <f t="array" aca="1" ref="H23" ca="1">(INDIRECT("'1"&amp;$B23&amp;"'!W16"))</f>
        <v>3.0386061337658186</v>
      </c>
      <c r="I23" s="32" cm="1">
        <f t="array" aca="1" ref="I23" ca="1">(INDIRECT("'1"&amp;$B23&amp;"'!W17"))</f>
        <v>2.684236202377758</v>
      </c>
      <c r="J23" s="32" cm="1">
        <f t="array" aca="1" ref="J23" ca="1">(INDIRECT("'1"&amp;$B23&amp;"'!W18"))</f>
        <v>2.1961654845816283</v>
      </c>
      <c r="K23" s="32" cm="1">
        <f t="array" aca="1" ref="K23" ca="1">(INDIRECT("'1"&amp;$B23&amp;"'!W19"))</f>
        <v>1.8693703123822598</v>
      </c>
      <c r="L23" s="32" cm="1">
        <f t="array" aca="1" ref="L23" ca="1">(INDIRECT("'1"&amp;$B23&amp;"'!W20"))</f>
        <v>1.6862544676572835</v>
      </c>
      <c r="M23" s="32" cm="1">
        <f t="array" aca="1" ref="M23" ca="1">(INDIRECT("'1"&amp;$B23&amp;"'!W21"))</f>
        <v>1.4008950344555744</v>
      </c>
      <c r="N23" s="32"/>
      <c r="O23" s="200" cm="1">
        <f t="array" aca="1" ref="O23" ca="1">(INDIRECT("'1"&amp;$B23&amp;"'!AS12"))/100</f>
        <v>0.88278286012785268</v>
      </c>
      <c r="P23" s="200" cm="1">
        <f t="array" aca="1" ref="P23" ca="1">(INDIRECT("'1"&amp;$B23&amp;"'!AS13"))/100</f>
        <v>0.97535157619663027</v>
      </c>
      <c r="Q23" s="200" cm="1">
        <f t="array" aca="1" ref="Q23" ca="1">(INDIRECT("'1"&amp;$B23&amp;"'!AS14"))/100</f>
        <v>0.93425641903719159</v>
      </c>
      <c r="R23" s="200" cm="1">
        <f t="array" aca="1" ref="R23" ca="1">(INDIRECT("'1"&amp;$B23&amp;"'!AS15"))/100</f>
        <v>0.91487423436428872</v>
      </c>
      <c r="S23" s="200" cm="1">
        <f t="array" aca="1" ref="S23" ca="1">(INDIRECT("'1"&amp;$B23&amp;"'!AS16"))/100</f>
        <v>0.92682217553806978</v>
      </c>
      <c r="T23" s="200" cm="1">
        <f t="array" aca="1" ref="T23" ca="1">(INDIRECT("'1"&amp;$B23&amp;"'!AS17"))/100</f>
        <v>0.92580048587942576</v>
      </c>
      <c r="U23" s="200" cm="1">
        <f t="array" aca="1" ref="U23" ca="1">(INDIRECT("'1"&amp;$B23&amp;"'!AS18"))/100</f>
        <v>0.93052975830293994</v>
      </c>
      <c r="V23" s="200" cm="1">
        <f t="array" aca="1" ref="V23" ca="1">(INDIRECT("'1"&amp;$B23&amp;"'!AS19"))/100</f>
        <v>0.95208605335578378</v>
      </c>
      <c r="W23" s="200" cm="1">
        <f t="array" aca="1" ref="W23" ca="1">(INDIRECT("'1"&amp;$B23&amp;"'!AS20"))/100</f>
        <v>0.93388775136899216</v>
      </c>
      <c r="X23" s="200" cm="1">
        <f t="array" aca="1" ref="X23" ca="1">(INDIRECT("'1"&amp;$B23&amp;"'!AS21"))/100</f>
        <v>0.95984216098713793</v>
      </c>
      <c r="Y23" s="200"/>
      <c r="Z23" s="32" cm="1">
        <f t="array" aca="1" ref="Z23" ca="1" xml:space="preserve"> (INDIRECT("'1"&amp;$B23&amp;"'!O19")*INDIRECT("'1"&amp;$B23&amp;"'!W19")
+ INDIRECT("'1"&amp;$B23&amp;"'!O18")*INDIRECT("'1"&amp;$B23&amp;"'!W18")
+ INDIRECT("'1"&amp;$B23&amp;"'!O17")*INDIRECT("'1"&amp;$B23&amp;"'!W17")
+ INDIRECT("'1"&amp;$B23&amp;"'!O16")*INDIRECT("'1"&amp;$B23&amp;"'!W16")
+ INDIRECT("'1"&amp;$B23&amp;"'!O15")*INDIRECT("'1"&amp;$B23&amp;"'!W15")
+ INDIRECT("'1"&amp;$B23&amp;"'!O14")*INDIRECT("'1"&amp;$B23&amp;"'!W14")
+ INDIRECT("'1"&amp;$B23&amp;"'!O13")*INDIRECT("'1"&amp;$B23&amp;"'!W13")
+ INDIRECT("'1"&amp;$B23&amp;"'!O12")*INDIRECT("'1"&amp;$B23&amp;"'!W12"))
/
(INDIRECT("'1"&amp;$B23&amp;"'!O19")
+ INDIRECT("'1"&amp;$B23&amp;"'!O18")
+ INDIRECT("'1"&amp;$B23&amp;"'!O17")
+ INDIRECT("'1"&amp;$B23&amp;"'!O16")
+ INDIRECT("'1"&amp;$B23&amp;"'!O15")
+ INDIRECT("'1"&amp;$B23&amp;"'!O14")
+ INDIRECT("'1"&amp;$B23&amp;"'!O13")
+ INDIRECT("'1"&amp;$B23&amp;"'!O12"))-(INDIRECT("'1"&amp;$B23&amp;"'!O21")*INDIRECT("'1"&amp;$B23&amp;"'!W21")+INDIRECT("'1"&amp;$B23&amp;"'!O20")*INDIRECT("'1"&amp;$B23&amp;"'!W20"))/(INDIRECT("'1"&amp;$B23&amp;"'!O21")+INDIRECT("'1"&amp;$B23&amp;"'!O20"))</f>
        <v>0.94824611015366633</v>
      </c>
      <c r="AA23" s="32" cm="1">
        <f t="array" aca="1" ref="AA23" ca="1" xml:space="preserve"> (INDIRECT("'1"&amp;$B23&amp;"'!O20")*INDIRECT("'1"&amp;$B23&amp;"'!W20")+INDIRECT("'1"&amp;$B23&amp;"'!O19")*INDIRECT("'1"&amp;$B23&amp;"'!W19")
+ INDIRECT("'1"&amp;$B23&amp;"'!O18")*INDIRECT("'1"&amp;$B23&amp;"'!W18")
+ INDIRECT("'1"&amp;$B23&amp;"'!O17")*INDIRECT("'1"&amp;$B23&amp;"'!W17")
+ INDIRECT("'1"&amp;$B23&amp;"'!O16")*INDIRECT("'1"&amp;$B23&amp;"'!W16")
+ INDIRECT("'1"&amp;$B23&amp;"'!O15")*INDIRECT("'1"&amp;$B23&amp;"'!W15")
+ INDIRECT("'1"&amp;$B23&amp;"'!O14")*INDIRECT("'1"&amp;$B23&amp;"'!W14")
+ INDIRECT("'1"&amp;$B23&amp;"'!O13")*INDIRECT("'1"&amp;$B23&amp;"'!W13")
+ INDIRECT("'1"&amp;$B23&amp;"'!O12")*INDIRECT("'1"&amp;$B23&amp;"'!W12"))
/
(INDIRECT("'1"&amp;$B23&amp;"'!O20")+INDIRECT("'1"&amp;$B23&amp;"'!O19")
+ INDIRECT("'1"&amp;$B23&amp;"'!O18")
+ INDIRECT("'1"&amp;$B23&amp;"'!O17")
+ INDIRECT("'1"&amp;$B23&amp;"'!O16")
+ INDIRECT("'1"&amp;$B23&amp;"'!O15")
+ INDIRECT("'1"&amp;$B23&amp;"'!O14")
+ INDIRECT("'1"&amp;$B23&amp;"'!O13")
+ INDIRECT("'1"&amp;$B23&amp;"'!O12"))-INDIRECT("'1"&amp;$B23&amp;"'!W21")</f>
        <v>0.77124599199239152</v>
      </c>
      <c r="AD23"/>
    </row>
    <row r="24" spans="2:30" x14ac:dyDescent="0.3">
      <c r="B24" s="199" t="s">
        <v>247</v>
      </c>
      <c r="C24" s="1" t="s">
        <v>479</v>
      </c>
      <c r="D24" s="32" cm="1">
        <f t="array" aca="1" ref="D24" ca="1">(INDIRECT("'1"&amp;$B24&amp;"'!W12"))</f>
        <v>0.79639674550592165</v>
      </c>
      <c r="E24" s="32" cm="1">
        <f t="array" aca="1" ref="E24" ca="1">(INDIRECT("'1"&amp;$B24&amp;"'!W13"))</f>
        <v>3.2325795449036003</v>
      </c>
      <c r="F24" s="32" cm="1">
        <f t="array" aca="1" ref="F24" ca="1">(INDIRECT("'1"&amp;$B24&amp;"'!W14"))</f>
        <v>3.7580071684706264</v>
      </c>
      <c r="G24" s="32" cm="1">
        <f t="array" aca="1" ref="G24" ca="1">(INDIRECT("'1"&amp;$B24&amp;"'!W15"))</f>
        <v>3.275130415600624</v>
      </c>
      <c r="H24" s="32" cm="1">
        <f t="array" aca="1" ref="H24" ca="1">(INDIRECT("'1"&amp;$B24&amp;"'!W16"))</f>
        <v>3.1223731294086048</v>
      </c>
      <c r="I24" s="32" cm="1">
        <f t="array" aca="1" ref="I24" ca="1">(INDIRECT("'1"&amp;$B24&amp;"'!W17"))</f>
        <v>3.2926310800733822</v>
      </c>
      <c r="J24" s="32" cm="1">
        <f t="array" aca="1" ref="J24" ca="1">(INDIRECT("'1"&amp;$B24&amp;"'!W18"))</f>
        <v>2.9573617881932761</v>
      </c>
      <c r="K24" s="32" cm="1">
        <f t="array" aca="1" ref="K24" ca="1">(INDIRECT("'1"&amp;$B24&amp;"'!W19"))</f>
        <v>2.6531078192857587</v>
      </c>
      <c r="L24" s="32" cm="1">
        <f t="array" aca="1" ref="L24" ca="1">(INDIRECT("'1"&amp;$B24&amp;"'!W20"))</f>
        <v>2.2782833557989934</v>
      </c>
      <c r="M24" s="32" cm="1">
        <f t="array" aca="1" ref="M24" ca="1">(INDIRECT("'1"&amp;$B24&amp;"'!W21"))</f>
        <v>1.6159404328764455</v>
      </c>
      <c r="N24" s="32"/>
      <c r="O24" s="200" cm="1">
        <f t="array" aca="1" ref="O24" ca="1">(INDIRECT("'1"&amp;$B24&amp;"'!AS12"))/100</f>
        <v>0</v>
      </c>
      <c r="P24" s="200" cm="1">
        <f t="array" aca="1" ref="P24" ca="1">(INDIRECT("'1"&amp;$B24&amp;"'!AS13"))/100</f>
        <v>0.39045493814744797</v>
      </c>
      <c r="Q24" s="200" cm="1">
        <f t="array" aca="1" ref="Q24" ca="1">(INDIRECT("'1"&amp;$B24&amp;"'!AS14"))/100</f>
        <v>0.40562323807353606</v>
      </c>
      <c r="R24" s="200" cm="1">
        <f t="array" aca="1" ref="R24" ca="1">(INDIRECT("'1"&amp;$B24&amp;"'!AS15"))/100</f>
        <v>0.48497981060573103</v>
      </c>
      <c r="S24" s="200" cm="1">
        <f t="array" aca="1" ref="S24" ca="1">(INDIRECT("'1"&amp;$B24&amp;"'!AS16"))/100</f>
        <v>0.58316485989324363</v>
      </c>
      <c r="T24" s="200" cm="1">
        <f t="array" aca="1" ref="T24" ca="1">(INDIRECT("'1"&amp;$B24&amp;"'!AS17"))/100</f>
        <v>0.66266609501578633</v>
      </c>
      <c r="U24" s="200" cm="1">
        <f t="array" aca="1" ref="U24" ca="1">(INDIRECT("'1"&amp;$B24&amp;"'!AS18"))/100</f>
        <v>0.67570141156652985</v>
      </c>
      <c r="V24" s="200" cm="1">
        <f t="array" aca="1" ref="V24" ca="1">(INDIRECT("'1"&amp;$B24&amp;"'!AS19"))/100</f>
        <v>0.69618751342139074</v>
      </c>
      <c r="W24" s="200" cm="1">
        <f t="array" aca="1" ref="W24" ca="1">(INDIRECT("'1"&amp;$B24&amp;"'!AS20"))/100</f>
        <v>0.73368715133383478</v>
      </c>
      <c r="X24" s="200" cm="1">
        <f t="array" aca="1" ref="X24" ca="1">(INDIRECT("'1"&amp;$B24&amp;"'!AS21"))/100</f>
        <v>0.78207408697019432</v>
      </c>
      <c r="Y24" s="200"/>
      <c r="Z24" s="32" cm="1">
        <f t="array" aca="1" ref="Z24" ca="1" xml:space="preserve"> (INDIRECT("'1"&amp;$B24&amp;"'!O19")*INDIRECT("'1"&amp;$B24&amp;"'!W19")
+ INDIRECT("'1"&amp;$B24&amp;"'!O18")*INDIRECT("'1"&amp;$B24&amp;"'!W18")
+ INDIRECT("'1"&amp;$B24&amp;"'!O17")*INDIRECT("'1"&amp;$B24&amp;"'!W17")
+ INDIRECT("'1"&amp;$B24&amp;"'!O16")*INDIRECT("'1"&amp;$B24&amp;"'!W16")
+ INDIRECT("'1"&amp;$B24&amp;"'!O15")*INDIRECT("'1"&amp;$B24&amp;"'!W15")
+ INDIRECT("'1"&amp;$B24&amp;"'!O14")*INDIRECT("'1"&amp;$B24&amp;"'!W14")
+ INDIRECT("'1"&amp;$B24&amp;"'!O13")*INDIRECT("'1"&amp;$B24&amp;"'!W13")
+ INDIRECT("'1"&amp;$B24&amp;"'!O12")*INDIRECT("'1"&amp;$B24&amp;"'!W12"))
/
(INDIRECT("'1"&amp;$B24&amp;"'!O19")
+ INDIRECT("'1"&amp;$B24&amp;"'!O18")
+ INDIRECT("'1"&amp;$B24&amp;"'!O17")
+ INDIRECT("'1"&amp;$B24&amp;"'!O16")
+ INDIRECT("'1"&amp;$B24&amp;"'!O15")
+ INDIRECT("'1"&amp;$B24&amp;"'!O14")
+ INDIRECT("'1"&amp;$B24&amp;"'!O13")
+ INDIRECT("'1"&amp;$B24&amp;"'!O12"))-(INDIRECT("'1"&amp;$B24&amp;"'!O21")*INDIRECT("'1"&amp;$B24&amp;"'!W21")+INDIRECT("'1"&amp;$B24&amp;"'!O20")*INDIRECT("'1"&amp;$B24&amp;"'!W20"))/(INDIRECT("'1"&amp;$B24&amp;"'!O21")+INDIRECT("'1"&amp;$B24&amp;"'!O20"))</f>
        <v>1.1742283018389361</v>
      </c>
      <c r="AA24" s="32" cm="1">
        <f t="array" aca="1" ref="AA24" ca="1" xml:space="preserve"> (INDIRECT("'1"&amp;$B24&amp;"'!O20")*INDIRECT("'1"&amp;$B24&amp;"'!W20")+INDIRECT("'1"&amp;$B24&amp;"'!O19")*INDIRECT("'1"&amp;$B24&amp;"'!W19")
+ INDIRECT("'1"&amp;$B24&amp;"'!O18")*INDIRECT("'1"&amp;$B24&amp;"'!W18")
+ INDIRECT("'1"&amp;$B24&amp;"'!O17")*INDIRECT("'1"&amp;$B24&amp;"'!W17")
+ INDIRECT("'1"&amp;$B24&amp;"'!O16")*INDIRECT("'1"&amp;$B24&amp;"'!W16")
+ INDIRECT("'1"&amp;$B24&amp;"'!O15")*INDIRECT("'1"&amp;$B24&amp;"'!W15")
+ INDIRECT("'1"&amp;$B24&amp;"'!O14")*INDIRECT("'1"&amp;$B24&amp;"'!W14")
+ INDIRECT("'1"&amp;$B24&amp;"'!O13")*INDIRECT("'1"&amp;$B24&amp;"'!W13")
+ INDIRECT("'1"&amp;$B24&amp;"'!O12")*INDIRECT("'1"&amp;$B24&amp;"'!W12"))
/
(INDIRECT("'1"&amp;$B24&amp;"'!O20")+INDIRECT("'1"&amp;$B24&amp;"'!O19")
+ INDIRECT("'1"&amp;$B24&amp;"'!O18")
+ INDIRECT("'1"&amp;$B24&amp;"'!O17")
+ INDIRECT("'1"&amp;$B24&amp;"'!O16")
+ INDIRECT("'1"&amp;$B24&amp;"'!O15")
+ INDIRECT("'1"&amp;$B24&amp;"'!O14")
+ INDIRECT("'1"&amp;$B24&amp;"'!O13")
+ INDIRECT("'1"&amp;$B24&amp;"'!O12"))-INDIRECT("'1"&amp;$B24&amp;"'!W21")</f>
        <v>1.1128898832498355</v>
      </c>
      <c r="AD24"/>
    </row>
    <row r="25" spans="2:30" x14ac:dyDescent="0.3">
      <c r="B25" s="199" t="s">
        <v>249</v>
      </c>
      <c r="C25" s="1" t="s">
        <v>480</v>
      </c>
      <c r="D25" s="32" cm="1">
        <f t="array" aca="1" ref="D25" ca="1">(INDIRECT("'1"&amp;$B25&amp;"'!W12"))</f>
        <v>3.9448404174206364</v>
      </c>
      <c r="E25" s="32" cm="1">
        <f t="array" aca="1" ref="E25" ca="1">(INDIRECT("'1"&amp;$B25&amp;"'!W13"))</f>
        <v>7.4555966275809951</v>
      </c>
      <c r="F25" s="32" cm="1">
        <f t="array" aca="1" ref="F25" ca="1">(INDIRECT("'1"&amp;$B25&amp;"'!W14"))</f>
        <v>5.6991226172634963</v>
      </c>
      <c r="G25" s="32" cm="1">
        <f t="array" aca="1" ref="G25" ca="1">(INDIRECT("'1"&amp;$B25&amp;"'!W15"))</f>
        <v>6.0888757531184172</v>
      </c>
      <c r="H25" s="32" cm="1">
        <f t="array" aca="1" ref="H25" ca="1">(INDIRECT("'1"&amp;$B25&amp;"'!W16"))</f>
        <v>4.3807839737878114</v>
      </c>
      <c r="I25" s="32" cm="1">
        <f t="array" aca="1" ref="I25" ca="1">(INDIRECT("'1"&amp;$B25&amp;"'!W17"))</f>
        <v>3.4017556105067777</v>
      </c>
      <c r="J25" s="32" cm="1">
        <f t="array" aca="1" ref="J25" ca="1">(INDIRECT("'1"&amp;$B25&amp;"'!W18"))</f>
        <v>2.7851332568902154</v>
      </c>
      <c r="K25" s="32" cm="1">
        <f t="array" aca="1" ref="K25" ca="1">(INDIRECT("'1"&amp;$B25&amp;"'!W19"))</f>
        <v>2.2762043100180382</v>
      </c>
      <c r="L25" s="32" cm="1">
        <f t="array" aca="1" ref="L25" ca="1">(INDIRECT("'1"&amp;$B25&amp;"'!W20"))</f>
        <v>1.9408078613203072</v>
      </c>
      <c r="M25" s="32" cm="1">
        <f t="array" aca="1" ref="M25" ca="1">(INDIRECT("'1"&amp;$B25&amp;"'!W21"))</f>
        <v>1.5292681645742545</v>
      </c>
      <c r="N25" s="32"/>
      <c r="O25" s="200" cm="1">
        <f t="array" aca="1" ref="O25" ca="1">(INDIRECT("'1"&amp;$B25&amp;"'!AS12"))/100</f>
        <v>1.1404883626515363E-2</v>
      </c>
      <c r="P25" s="200" cm="1">
        <f t="array" aca="1" ref="P25" ca="1">(INDIRECT("'1"&amp;$B25&amp;"'!AS13"))/100</f>
        <v>5.3485188278483482E-2</v>
      </c>
      <c r="Q25" s="200" cm="1">
        <f t="array" aca="1" ref="Q25" ca="1">(INDIRECT("'1"&amp;$B25&amp;"'!AS14"))/100</f>
        <v>8.8177688074579319E-2</v>
      </c>
      <c r="R25" s="200" cm="1">
        <f t="array" aca="1" ref="R25" ca="1">(INDIRECT("'1"&amp;$B25&amp;"'!AS15"))/100</f>
        <v>8.8223210265973961E-2</v>
      </c>
      <c r="S25" s="200" cm="1">
        <f t="array" aca="1" ref="S25" ca="1">(INDIRECT("'1"&amp;$B25&amp;"'!AS16"))/100</f>
        <v>0.18086309343794718</v>
      </c>
      <c r="T25" s="200" cm="1">
        <f t="array" aca="1" ref="T25" ca="1">(INDIRECT("'1"&amp;$B25&amp;"'!AS17"))/100</f>
        <v>0.2272175405150067</v>
      </c>
      <c r="U25" s="200" cm="1">
        <f t="array" aca="1" ref="U25" ca="1">(INDIRECT("'1"&amp;$B25&amp;"'!AS18"))/100</f>
        <v>0.33844158989948364</v>
      </c>
      <c r="V25" s="200" cm="1">
        <f t="array" aca="1" ref="V25" ca="1">(INDIRECT("'1"&amp;$B25&amp;"'!AS19"))/100</f>
        <v>0.39575084914273845</v>
      </c>
      <c r="W25" s="200" cm="1">
        <f t="array" aca="1" ref="W25" ca="1">(INDIRECT("'1"&amp;$B25&amp;"'!AS20"))/100</f>
        <v>0.50050510532140535</v>
      </c>
      <c r="X25" s="200" cm="1">
        <f t="array" aca="1" ref="X25" ca="1">(INDIRECT("'1"&amp;$B25&amp;"'!AS21"))/100</f>
        <v>0.7036299212888395</v>
      </c>
      <c r="Y25" s="200"/>
      <c r="Z25" s="32" cm="1">
        <f t="array" aca="1" ref="Z25" ca="1" xml:space="preserve"> (INDIRECT("'1"&amp;$B25&amp;"'!O19")*INDIRECT("'1"&amp;$B25&amp;"'!W19")
+ INDIRECT("'1"&amp;$B25&amp;"'!O18")*INDIRECT("'1"&amp;$B25&amp;"'!W18")
+ INDIRECT("'1"&amp;$B25&amp;"'!O17")*INDIRECT("'1"&amp;$B25&amp;"'!W17")
+ INDIRECT("'1"&amp;$B25&amp;"'!O16")*INDIRECT("'1"&amp;$B25&amp;"'!W16")
+ INDIRECT("'1"&amp;$B25&amp;"'!O15")*INDIRECT("'1"&amp;$B25&amp;"'!W15")
+ INDIRECT("'1"&amp;$B25&amp;"'!O14")*INDIRECT("'1"&amp;$B25&amp;"'!W14")
+ INDIRECT("'1"&amp;$B25&amp;"'!O13")*INDIRECT("'1"&amp;$B25&amp;"'!W13")
+ INDIRECT("'1"&amp;$B25&amp;"'!O12")*INDIRECT("'1"&amp;$B25&amp;"'!W12"))
/
(INDIRECT("'1"&amp;$B25&amp;"'!O19")
+ INDIRECT("'1"&amp;$B25&amp;"'!O18")
+ INDIRECT("'1"&amp;$B25&amp;"'!O17")
+ INDIRECT("'1"&amp;$B25&amp;"'!O16")
+ INDIRECT("'1"&amp;$B25&amp;"'!O15")
+ INDIRECT("'1"&amp;$B25&amp;"'!O14")
+ INDIRECT("'1"&amp;$B25&amp;"'!O13")
+ INDIRECT("'1"&amp;$B25&amp;"'!O12"))-(INDIRECT("'1"&amp;$B25&amp;"'!O21")*INDIRECT("'1"&amp;$B25&amp;"'!W21")+INDIRECT("'1"&amp;$B25&amp;"'!O20")*INDIRECT("'1"&amp;$B25&amp;"'!W20"))/(INDIRECT("'1"&amp;$B25&amp;"'!O21")+INDIRECT("'1"&amp;$B25&amp;"'!O20"))</f>
        <v>1.4007233072357592</v>
      </c>
      <c r="AA25" s="32" cm="1">
        <f t="array" aca="1" ref="AA25" ca="1" xml:space="preserve"> (INDIRECT("'1"&amp;$B25&amp;"'!O20")*INDIRECT("'1"&amp;$B25&amp;"'!W20")+INDIRECT("'1"&amp;$B25&amp;"'!O19")*INDIRECT("'1"&amp;$B25&amp;"'!W19")
+ INDIRECT("'1"&amp;$B25&amp;"'!O18")*INDIRECT("'1"&amp;$B25&amp;"'!W18")
+ INDIRECT("'1"&amp;$B25&amp;"'!O17")*INDIRECT("'1"&amp;$B25&amp;"'!W17")
+ INDIRECT("'1"&amp;$B25&amp;"'!O16")*INDIRECT("'1"&amp;$B25&amp;"'!W16")
+ INDIRECT("'1"&amp;$B25&amp;"'!O15")*INDIRECT("'1"&amp;$B25&amp;"'!W15")
+ INDIRECT("'1"&amp;$B25&amp;"'!O14")*INDIRECT("'1"&amp;$B25&amp;"'!W14")
+ INDIRECT("'1"&amp;$B25&amp;"'!O13")*INDIRECT("'1"&amp;$B25&amp;"'!W13")
+ INDIRECT("'1"&amp;$B25&amp;"'!O12")*INDIRECT("'1"&amp;$B25&amp;"'!W12"))
/
(INDIRECT("'1"&amp;$B25&amp;"'!O20")+INDIRECT("'1"&amp;$B25&amp;"'!O19")
+ INDIRECT("'1"&amp;$B25&amp;"'!O18")
+ INDIRECT("'1"&amp;$B25&amp;"'!O17")
+ INDIRECT("'1"&amp;$B25&amp;"'!O16")
+ INDIRECT("'1"&amp;$B25&amp;"'!O15")
+ INDIRECT("'1"&amp;$B25&amp;"'!O14")
+ INDIRECT("'1"&amp;$B25&amp;"'!O13")
+ INDIRECT("'1"&amp;$B25&amp;"'!O12"))-INDIRECT("'1"&amp;$B25&amp;"'!W21")</f>
        <v>1.0281562087939509</v>
      </c>
      <c r="AD25"/>
    </row>
    <row r="26" spans="2:30" x14ac:dyDescent="0.3">
      <c r="B26" s="199" t="s">
        <v>252</v>
      </c>
      <c r="C26" s="1" t="s">
        <v>481</v>
      </c>
      <c r="D26" s="32" cm="1">
        <f t="array" aca="1" ref="D26" ca="1">(INDIRECT("'1"&amp;$B26&amp;"'!W12"))</f>
        <v>9.3316827675070932</v>
      </c>
      <c r="E26" s="32" cm="1">
        <f t="array" aca="1" ref="E26" ca="1">(INDIRECT("'1"&amp;$B26&amp;"'!W13"))</f>
        <v>5.5262248563136911</v>
      </c>
      <c r="F26" s="32" cm="1">
        <f t="array" aca="1" ref="F26" ca="1">(INDIRECT("'1"&amp;$B26&amp;"'!W14"))</f>
        <v>4.0589546983997318</v>
      </c>
      <c r="G26" s="32" cm="1">
        <f t="array" aca="1" ref="G26" ca="1">(INDIRECT("'1"&amp;$B26&amp;"'!W15"))</f>
        <v>3.1926197279109783</v>
      </c>
      <c r="H26" s="32" cm="1">
        <f t="array" aca="1" ref="H26" ca="1">(INDIRECT("'1"&amp;$B26&amp;"'!W16"))</f>
        <v>2.662921363622397</v>
      </c>
      <c r="I26" s="32" cm="1">
        <f t="array" aca="1" ref="I26" ca="1">(INDIRECT("'1"&amp;$B26&amp;"'!W17"))</f>
        <v>2.3674471059840765</v>
      </c>
      <c r="J26" s="32" cm="1">
        <f t="array" aca="1" ref="J26" ca="1">(INDIRECT("'1"&amp;$B26&amp;"'!W18"))</f>
        <v>2.0788686370892608</v>
      </c>
      <c r="K26" s="32" cm="1">
        <f t="array" aca="1" ref="K26" ca="1">(INDIRECT("'1"&amp;$B26&amp;"'!W19"))</f>
        <v>1.9140665897342004</v>
      </c>
      <c r="L26" s="32" cm="1">
        <f t="array" aca="1" ref="L26" ca="1">(INDIRECT("'1"&amp;$B26&amp;"'!W20"))</f>
        <v>1.735330954165079</v>
      </c>
      <c r="M26" s="32" cm="1">
        <f t="array" aca="1" ref="M26" ca="1">(INDIRECT("'1"&amp;$B26&amp;"'!W21"))</f>
        <v>1.4772305004703854</v>
      </c>
      <c r="N26" s="32"/>
      <c r="O26" s="200" cm="1">
        <f t="array" aca="1" ref="O26" ca="1">(INDIRECT("'1"&amp;$B26&amp;"'!AS12"))/100</f>
        <v>1.0715356812779203E-3</v>
      </c>
      <c r="P26" s="200" cm="1">
        <f t="array" aca="1" ref="P26" ca="1">(INDIRECT("'1"&amp;$B26&amp;"'!AS13"))/100</f>
        <v>1.2577526553480784E-2</v>
      </c>
      <c r="Q26" s="200" cm="1">
        <f t="array" aca="1" ref="Q26" ca="1">(INDIRECT("'1"&amp;$B26&amp;"'!AS14"))/100</f>
        <v>5.403290076588526E-2</v>
      </c>
      <c r="R26" s="200" cm="1">
        <f t="array" aca="1" ref="R26" ca="1">(INDIRECT("'1"&amp;$B26&amp;"'!AS15"))/100</f>
        <v>0.1555801188484198</v>
      </c>
      <c r="S26" s="200" cm="1">
        <f t="array" aca="1" ref="S26" ca="1">(INDIRECT("'1"&amp;$B26&amp;"'!AS16"))/100</f>
        <v>0.25419832235559525</v>
      </c>
      <c r="T26" s="200" cm="1">
        <f t="array" aca="1" ref="T26" ca="1">(INDIRECT("'1"&amp;$B26&amp;"'!AS17"))/100</f>
        <v>0.28488518799852014</v>
      </c>
      <c r="U26" s="200" cm="1">
        <f t="array" aca="1" ref="U26" ca="1">(INDIRECT("'1"&amp;$B26&amp;"'!AS18"))/100</f>
        <v>0.33936104906259312</v>
      </c>
      <c r="V26" s="200" cm="1">
        <f t="array" aca="1" ref="V26" ca="1">(INDIRECT("'1"&amp;$B26&amp;"'!AS19"))/100</f>
        <v>0.37771377254306671</v>
      </c>
      <c r="W26" s="200" cm="1">
        <f t="array" aca="1" ref="W26" ca="1">(INDIRECT("'1"&amp;$B26&amp;"'!AS20"))/100</f>
        <v>0.45054305101351216</v>
      </c>
      <c r="X26" s="200" cm="1">
        <f t="array" aca="1" ref="X26" ca="1">(INDIRECT("'1"&amp;$B26&amp;"'!AS21"))/100</f>
        <v>0.57696589537206944</v>
      </c>
      <c r="Y26" s="200"/>
      <c r="Z26" s="32" cm="1">
        <f t="array" aca="1" ref="Z26" ca="1" xml:space="preserve"> (INDIRECT("'1"&amp;$B26&amp;"'!O19")*INDIRECT("'1"&amp;$B26&amp;"'!W19")
+ INDIRECT("'1"&amp;$B26&amp;"'!O18")*INDIRECT("'1"&amp;$B26&amp;"'!W18")
+ INDIRECT("'1"&amp;$B26&amp;"'!O17")*INDIRECT("'1"&amp;$B26&amp;"'!W17")
+ INDIRECT("'1"&amp;$B26&amp;"'!O16")*INDIRECT("'1"&amp;$B26&amp;"'!W16")
+ INDIRECT("'1"&amp;$B26&amp;"'!O15")*INDIRECT("'1"&amp;$B26&amp;"'!W15")
+ INDIRECT("'1"&amp;$B26&amp;"'!O14")*INDIRECT("'1"&amp;$B26&amp;"'!W14")
+ INDIRECT("'1"&amp;$B26&amp;"'!O13")*INDIRECT("'1"&amp;$B26&amp;"'!W13")
+ INDIRECT("'1"&amp;$B26&amp;"'!O12")*INDIRECT("'1"&amp;$B26&amp;"'!W12"))
/
(INDIRECT("'1"&amp;$B26&amp;"'!O19")
+ INDIRECT("'1"&amp;$B26&amp;"'!O18")
+ INDIRECT("'1"&amp;$B26&amp;"'!O17")
+ INDIRECT("'1"&amp;$B26&amp;"'!O16")
+ INDIRECT("'1"&amp;$B26&amp;"'!O15")
+ INDIRECT("'1"&amp;$B26&amp;"'!O14")
+ INDIRECT("'1"&amp;$B26&amp;"'!O13")
+ INDIRECT("'1"&amp;$B26&amp;"'!O12"))-(INDIRECT("'1"&amp;$B26&amp;"'!O21")*INDIRECT("'1"&amp;$B26&amp;"'!W21")+INDIRECT("'1"&amp;$B26&amp;"'!O20")*INDIRECT("'1"&amp;$B26&amp;"'!W20"))/(INDIRECT("'1"&amp;$B26&amp;"'!O21")+INDIRECT("'1"&amp;$B26&amp;"'!O20"))</f>
        <v>0.82145814078915458</v>
      </c>
      <c r="AA26" s="32" cm="1">
        <f t="array" aca="1" ref="AA26" ca="1" xml:space="preserve"> (INDIRECT("'1"&amp;$B26&amp;"'!O20")*INDIRECT("'1"&amp;$B26&amp;"'!W20")+INDIRECT("'1"&amp;$B26&amp;"'!O19")*INDIRECT("'1"&amp;$B26&amp;"'!W19")
+ INDIRECT("'1"&amp;$B26&amp;"'!O18")*INDIRECT("'1"&amp;$B26&amp;"'!W18")
+ INDIRECT("'1"&amp;$B26&amp;"'!O17")*INDIRECT("'1"&amp;$B26&amp;"'!W17")
+ INDIRECT("'1"&amp;$B26&amp;"'!O16")*INDIRECT("'1"&amp;$B26&amp;"'!W16")
+ INDIRECT("'1"&amp;$B26&amp;"'!O15")*INDIRECT("'1"&amp;$B26&amp;"'!W15")
+ INDIRECT("'1"&amp;$B26&amp;"'!O14")*INDIRECT("'1"&amp;$B26&amp;"'!W14")
+ INDIRECT("'1"&amp;$B26&amp;"'!O13")*INDIRECT("'1"&amp;$B26&amp;"'!W13")
+ INDIRECT("'1"&amp;$B26&amp;"'!O12")*INDIRECT("'1"&amp;$B26&amp;"'!W12"))
/
(INDIRECT("'1"&amp;$B26&amp;"'!O20")+INDIRECT("'1"&amp;$B26&amp;"'!O19")
+ INDIRECT("'1"&amp;$B26&amp;"'!O18")
+ INDIRECT("'1"&amp;$B26&amp;"'!O17")
+ INDIRECT("'1"&amp;$B26&amp;"'!O16")
+ INDIRECT("'1"&amp;$B26&amp;"'!O15")
+ INDIRECT("'1"&amp;$B26&amp;"'!O14")
+ INDIRECT("'1"&amp;$B26&amp;"'!O13")
+ INDIRECT("'1"&amp;$B26&amp;"'!O12"))-INDIRECT("'1"&amp;$B26&amp;"'!W21")</f>
        <v>0.70070550107140739</v>
      </c>
      <c r="AD26"/>
    </row>
    <row r="27" spans="2:30" x14ac:dyDescent="0.3">
      <c r="B27" s="199" t="s">
        <v>254</v>
      </c>
      <c r="C27" s="92" t="s">
        <v>482</v>
      </c>
      <c r="D27" s="203" cm="1">
        <f t="array" aca="1" ref="D27" ca="1">(INDIRECT("'1"&amp;$B27&amp;"'!W12"))</f>
        <v>0</v>
      </c>
      <c r="E27" s="203" cm="1">
        <f t="array" aca="1" ref="E27" ca="1">(INDIRECT("'1"&amp;$B27&amp;"'!W13"))</f>
        <v>1.8605416608173506</v>
      </c>
      <c r="F27" s="203" cm="1">
        <f t="array" aca="1" ref="F27" ca="1">(INDIRECT("'1"&amp;$B27&amp;"'!W14"))</f>
        <v>2.6621378296783695</v>
      </c>
      <c r="G27" s="203" cm="1">
        <f t="array" aca="1" ref="G27" ca="1">(INDIRECT("'1"&amp;$B27&amp;"'!W15"))</f>
        <v>2.6206994678544451</v>
      </c>
      <c r="H27" s="203" cm="1">
        <f t="array" aca="1" ref="H27" ca="1">(INDIRECT("'1"&amp;$B27&amp;"'!W16"))</f>
        <v>2.2769231034459554</v>
      </c>
      <c r="I27" s="203" cm="1">
        <f t="array" aca="1" ref="I27" ca="1">(INDIRECT("'1"&amp;$B27&amp;"'!W17"))</f>
        <v>2.0349033052324881</v>
      </c>
      <c r="J27" s="203" cm="1">
        <f t="array" aca="1" ref="J27" ca="1">(INDIRECT("'1"&amp;$B27&amp;"'!W18"))</f>
        <v>2.0246631121882279</v>
      </c>
      <c r="K27" s="203" cm="1">
        <f t="array" aca="1" ref="K27" ca="1">(INDIRECT("'1"&amp;$B27&amp;"'!W19"))</f>
        <v>1.8921507263247459</v>
      </c>
      <c r="L27" s="203" cm="1">
        <f t="array" aca="1" ref="L27" ca="1">(INDIRECT("'1"&amp;$B27&amp;"'!W20"))</f>
        <v>1.749012331923264</v>
      </c>
      <c r="M27" s="203" cm="1">
        <f t="array" aca="1" ref="M27" ca="1">(INDIRECT("'1"&amp;$B27&amp;"'!W21"))</f>
        <v>1.5309326061675268</v>
      </c>
      <c r="N27" s="203"/>
      <c r="O27" s="204" cm="1">
        <f t="array" aca="1" ref="O27" ca="1">(INDIRECT("'1"&amp;$B27&amp;"'!AS12"))/100</f>
        <v>0</v>
      </c>
      <c r="P27" s="204" cm="1">
        <f t="array" aca="1" ref="P27" ca="1">(INDIRECT("'1"&amp;$B27&amp;"'!AS13"))/100</f>
        <v>0</v>
      </c>
      <c r="Q27" s="204" cm="1">
        <f t="array" aca="1" ref="Q27" ca="1">(INDIRECT("'1"&amp;$B27&amp;"'!AS14"))/100</f>
        <v>0</v>
      </c>
      <c r="R27" s="204" cm="1">
        <f t="array" aca="1" ref="R27" ca="1">(INDIRECT("'1"&amp;$B27&amp;"'!AS15"))/100</f>
        <v>0</v>
      </c>
      <c r="S27" s="204" cm="1">
        <f t="array" aca="1" ref="S27" ca="1">(INDIRECT("'1"&amp;$B27&amp;"'!AS16"))/100</f>
        <v>0</v>
      </c>
      <c r="T27" s="204" cm="1">
        <f t="array" aca="1" ref="T27" ca="1">(INDIRECT("'1"&amp;$B27&amp;"'!AS17"))/100</f>
        <v>0</v>
      </c>
      <c r="U27" s="204" cm="1">
        <f t="array" aca="1" ref="U27" ca="1">(INDIRECT("'1"&amp;$B27&amp;"'!AS18"))/100</f>
        <v>0</v>
      </c>
      <c r="V27" s="204" cm="1">
        <f t="array" aca="1" ref="V27" ca="1">(INDIRECT("'1"&amp;$B27&amp;"'!AS19"))/100</f>
        <v>7.227750582609303E-4</v>
      </c>
      <c r="W27" s="204" cm="1">
        <f t="array" aca="1" ref="W27" ca="1">(INDIRECT("'1"&amp;$B27&amp;"'!AS20"))/100</f>
        <v>0</v>
      </c>
      <c r="X27" s="204" cm="1">
        <f t="array" aca="1" ref="X27" ca="1">(INDIRECT("'1"&amp;$B27&amp;"'!AS21"))/100</f>
        <v>2.2764037542091647E-2</v>
      </c>
      <c r="Y27" s="204"/>
      <c r="Z27" s="203" cm="1">
        <f t="array" aca="1" ref="Z27" ca="1" xml:space="preserve"> (INDIRECT("'1"&amp;$B27&amp;"'!O19")*INDIRECT("'1"&amp;$B27&amp;"'!W19")
+ INDIRECT("'1"&amp;$B27&amp;"'!O18")*INDIRECT("'1"&amp;$B27&amp;"'!W18")
+ INDIRECT("'1"&amp;$B27&amp;"'!O17")*INDIRECT("'1"&amp;$B27&amp;"'!W17")
+ INDIRECT("'1"&amp;$B27&amp;"'!O16")*INDIRECT("'1"&amp;$B27&amp;"'!W16")
+ INDIRECT("'1"&amp;$B27&amp;"'!O15")*INDIRECT("'1"&amp;$B27&amp;"'!W15")
+ INDIRECT("'1"&amp;$B27&amp;"'!O14")*INDIRECT("'1"&amp;$B27&amp;"'!W14")
+ INDIRECT("'1"&amp;$B27&amp;"'!O13")*INDIRECT("'1"&amp;$B27&amp;"'!W13")
+ INDIRECT("'1"&amp;$B27&amp;"'!O12")*INDIRECT("'1"&amp;$B27&amp;"'!W12"))
/
(INDIRECT("'1"&amp;$B27&amp;"'!O19")
+ INDIRECT("'1"&amp;$B27&amp;"'!O18")
+ INDIRECT("'1"&amp;$B27&amp;"'!O17")
+ INDIRECT("'1"&amp;$B27&amp;"'!O16")
+ INDIRECT("'1"&amp;$B27&amp;"'!O15")
+ INDIRECT("'1"&amp;$B27&amp;"'!O14")
+ INDIRECT("'1"&amp;$B27&amp;"'!O13")
+ INDIRECT("'1"&amp;$B27&amp;"'!O12"))-(INDIRECT("'1"&amp;$B27&amp;"'!O21")*INDIRECT("'1"&amp;$B27&amp;"'!W21")+INDIRECT("'1"&amp;$B27&amp;"'!O20")*INDIRECT("'1"&amp;$B27&amp;"'!W20"))/(INDIRECT("'1"&amp;$B27&amp;"'!O21")+INDIRECT("'1"&amp;$B27&amp;"'!O20"))</f>
        <v>0.49205728032231799</v>
      </c>
      <c r="AA27" s="203" cm="1">
        <f t="array" aca="1" ref="AA27" ca="1" xml:space="preserve"> (INDIRECT("'1"&amp;$B27&amp;"'!O20")*INDIRECT("'1"&amp;$B27&amp;"'!W20")+INDIRECT("'1"&amp;$B27&amp;"'!O19")*INDIRECT("'1"&amp;$B27&amp;"'!W19")
+ INDIRECT("'1"&amp;$B27&amp;"'!O18")*INDIRECT("'1"&amp;$B27&amp;"'!W18")
+ INDIRECT("'1"&amp;$B27&amp;"'!O17")*INDIRECT("'1"&amp;$B27&amp;"'!W17")
+ INDIRECT("'1"&amp;$B27&amp;"'!O16")*INDIRECT("'1"&amp;$B27&amp;"'!W16")
+ INDIRECT("'1"&amp;$B27&amp;"'!O15")*INDIRECT("'1"&amp;$B27&amp;"'!W15")
+ INDIRECT("'1"&amp;$B27&amp;"'!O14")*INDIRECT("'1"&amp;$B27&amp;"'!W14")
+ INDIRECT("'1"&amp;$B27&amp;"'!O13")*INDIRECT("'1"&amp;$B27&amp;"'!W13")
+ INDIRECT("'1"&amp;$B27&amp;"'!O12")*INDIRECT("'1"&amp;$B27&amp;"'!W12"))
/
(INDIRECT("'1"&amp;$B27&amp;"'!O20")+INDIRECT("'1"&amp;$B27&amp;"'!O19")
+ INDIRECT("'1"&amp;$B27&amp;"'!O18")
+ INDIRECT("'1"&amp;$B27&amp;"'!O17")
+ INDIRECT("'1"&amp;$B27&amp;"'!O16")
+ INDIRECT("'1"&amp;$B27&amp;"'!O15")
+ INDIRECT("'1"&amp;$B27&amp;"'!O14")
+ INDIRECT("'1"&amp;$B27&amp;"'!O13")
+ INDIRECT("'1"&amp;$B27&amp;"'!O12"))-INDIRECT("'1"&amp;$B27&amp;"'!W21")</f>
        <v>0.47218351000174286</v>
      </c>
      <c r="AD27"/>
    </row>
    <row r="30" spans="2:30" ht="14.7" customHeight="1" x14ac:dyDescent="0.3">
      <c r="C30" s="548"/>
      <c r="D30" s="548"/>
      <c r="E30" s="548"/>
      <c r="F30" s="548"/>
      <c r="G30" s="548"/>
      <c r="H30" s="548"/>
      <c r="I30" s="548"/>
      <c r="J30" s="548"/>
      <c r="K30" s="548"/>
      <c r="L30" s="548"/>
      <c r="M30" s="548"/>
      <c r="N30" s="548"/>
      <c r="O30" s="548"/>
      <c r="P30" s="548"/>
      <c r="Q30" s="548"/>
      <c r="R30" s="548"/>
      <c r="S30" s="548"/>
      <c r="T30" s="548"/>
      <c r="U30" s="548"/>
      <c r="V30" s="548"/>
      <c r="W30" s="548"/>
      <c r="X30" s="548"/>
      <c r="Y30" s="548"/>
      <c r="Z30" s="548"/>
      <c r="AA30" s="548"/>
    </row>
    <row r="31" spans="2:30" x14ac:dyDescent="0.3">
      <c r="C31" s="548"/>
      <c r="D31" s="548"/>
      <c r="E31" s="548"/>
      <c r="F31" s="548"/>
      <c r="G31" s="548"/>
      <c r="H31" s="548"/>
      <c r="I31" s="548"/>
      <c r="J31" s="548"/>
      <c r="K31" s="548"/>
      <c r="L31" s="548"/>
      <c r="M31" s="548"/>
      <c r="N31" s="548"/>
      <c r="O31" s="548"/>
      <c r="P31" s="548"/>
      <c r="Q31" s="548"/>
      <c r="R31" s="548"/>
      <c r="S31" s="548"/>
      <c r="T31" s="548"/>
      <c r="U31" s="548"/>
      <c r="V31" s="548"/>
      <c r="W31" s="548"/>
      <c r="X31" s="548"/>
      <c r="Y31" s="548"/>
      <c r="Z31" s="548"/>
      <c r="AA31" s="548"/>
    </row>
    <row r="32" spans="2:30" x14ac:dyDescent="0.3">
      <c r="C32" s="548"/>
      <c r="D32" s="548"/>
      <c r="E32" s="548"/>
      <c r="F32" s="548"/>
      <c r="G32" s="548"/>
      <c r="H32" s="548"/>
      <c r="I32" s="548"/>
      <c r="J32" s="548"/>
      <c r="K32" s="548"/>
      <c r="L32" s="548"/>
      <c r="M32" s="548"/>
      <c r="N32" s="548"/>
      <c r="O32" s="548"/>
      <c r="P32" s="548"/>
      <c r="Q32" s="548"/>
      <c r="R32" s="548"/>
      <c r="S32" s="548"/>
      <c r="T32" s="548"/>
      <c r="U32" s="548"/>
      <c r="V32" s="548"/>
      <c r="W32" s="548"/>
      <c r="X32" s="548"/>
      <c r="Y32" s="548"/>
      <c r="Z32" s="548"/>
      <c r="AA32" s="548"/>
    </row>
    <row r="33" spans="3:27" x14ac:dyDescent="0.3">
      <c r="C33" s="548"/>
      <c r="D33" s="548"/>
      <c r="E33" s="548"/>
      <c r="F33" s="548"/>
      <c r="G33" s="548"/>
      <c r="H33" s="548"/>
      <c r="I33" s="548"/>
      <c r="J33" s="548"/>
      <c r="K33" s="548"/>
      <c r="L33" s="548"/>
      <c r="M33" s="548"/>
      <c r="N33" s="548"/>
      <c r="O33" s="548"/>
      <c r="P33" s="548"/>
      <c r="Q33" s="548"/>
      <c r="R33" s="548"/>
      <c r="S33" s="548"/>
      <c r="T33" s="548"/>
      <c r="U33" s="548"/>
      <c r="V33" s="548"/>
      <c r="W33" s="548"/>
      <c r="X33" s="548"/>
      <c r="Y33" s="548"/>
      <c r="Z33" s="548"/>
      <c r="AA33" s="548"/>
    </row>
    <row r="34" spans="3:27" x14ac:dyDescent="0.3">
      <c r="C34" s="548"/>
      <c r="D34" s="548"/>
      <c r="E34" s="548"/>
      <c r="F34" s="548"/>
      <c r="G34" s="548"/>
      <c r="H34" s="548"/>
      <c r="I34" s="548"/>
      <c r="J34" s="548"/>
      <c r="K34" s="548"/>
      <c r="L34" s="548"/>
      <c r="M34" s="548"/>
      <c r="N34" s="548"/>
      <c r="O34" s="548"/>
      <c r="P34" s="548"/>
      <c r="Q34" s="548"/>
      <c r="R34" s="548"/>
      <c r="S34" s="548"/>
      <c r="T34" s="548"/>
      <c r="U34" s="548"/>
      <c r="V34" s="548"/>
      <c r="W34" s="548"/>
      <c r="X34" s="548"/>
      <c r="Y34" s="548"/>
      <c r="Z34" s="548"/>
      <c r="AA34" s="548"/>
    </row>
  </sheetData>
  <mergeCells count="4">
    <mergeCell ref="C30:AA34"/>
    <mergeCell ref="D4:M4"/>
    <mergeCell ref="O4:X4"/>
    <mergeCell ref="Z4:AA4"/>
  </mergeCells>
  <pageMargins left="0.7" right="0.7" top="0.75" bottom="0.75" header="0.3" footer="0.3"/>
  <pageSetup paperSize="9" orientation="portrait"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D3A721-C719-4458-82A6-916FB2AACE77}">
  <dimension ref="B3:R34"/>
  <sheetViews>
    <sheetView zoomScaleNormal="100" workbookViewId="0">
      <selection activeCell="C2" sqref="C2"/>
    </sheetView>
  </sheetViews>
  <sheetFormatPr baseColWidth="10" defaultColWidth="11.5546875" defaultRowHeight="14.4" x14ac:dyDescent="0.3"/>
  <cols>
    <col min="1" max="2" width="11.5546875" style="1"/>
    <col min="3" max="3" width="15.6640625" style="1" customWidth="1"/>
    <col min="4" max="4" width="11.33203125" style="1" customWidth="1"/>
    <col min="5" max="5" width="1.33203125" style="1" customWidth="1"/>
    <col min="6" max="13" width="11.33203125" style="1" customWidth="1"/>
    <col min="14" max="15" width="14.6640625" style="1" customWidth="1"/>
    <col min="16" max="16384" width="11.5546875" style="1"/>
  </cols>
  <sheetData>
    <row r="3" spans="2:18" x14ac:dyDescent="0.3">
      <c r="D3" s="546" t="s">
        <v>528</v>
      </c>
      <c r="E3" s="546"/>
      <c r="F3" s="546"/>
      <c r="G3" s="546"/>
      <c r="H3" s="546"/>
      <c r="I3" s="546"/>
      <c r="J3" s="546"/>
      <c r="K3" s="546"/>
      <c r="L3" s="546"/>
      <c r="M3" s="546"/>
    </row>
    <row r="4" spans="2:18" x14ac:dyDescent="0.3">
      <c r="D4" s="442">
        <v>2019</v>
      </c>
      <c r="F4" s="546">
        <v>2023</v>
      </c>
      <c r="G4" s="546"/>
      <c r="H4" s="546"/>
      <c r="I4" s="546"/>
      <c r="J4" s="546"/>
      <c r="K4" s="546"/>
      <c r="L4" s="546"/>
      <c r="M4" s="546"/>
    </row>
    <row r="5" spans="2:18" ht="60.6" customHeight="1" x14ac:dyDescent="0.3">
      <c r="D5" s="109" t="s">
        <v>509</v>
      </c>
      <c r="F5" s="109" t="s">
        <v>509</v>
      </c>
      <c r="G5" s="460" t="s">
        <v>510</v>
      </c>
      <c r="H5" s="460" t="s">
        <v>511</v>
      </c>
      <c r="I5" s="460" t="s">
        <v>512</v>
      </c>
      <c r="J5" s="460" t="s">
        <v>513</v>
      </c>
      <c r="K5" s="460" t="s">
        <v>515</v>
      </c>
      <c r="L5" s="460" t="s">
        <v>514</v>
      </c>
      <c r="M5" s="460" t="s">
        <v>530</v>
      </c>
      <c r="N5" s="370"/>
      <c r="O5" s="370"/>
    </row>
    <row r="6" spans="2:18" ht="16.2" customHeight="1" x14ac:dyDescent="0.3">
      <c r="C6" s="92"/>
      <c r="D6" s="457" t="s">
        <v>452</v>
      </c>
      <c r="E6" s="458"/>
      <c r="F6" s="455" t="s">
        <v>453</v>
      </c>
      <c r="G6" s="455" t="s">
        <v>454</v>
      </c>
      <c r="H6" s="455" t="s">
        <v>455</v>
      </c>
      <c r="I6" s="455" t="s">
        <v>456</v>
      </c>
      <c r="J6" s="455" t="s">
        <v>457</v>
      </c>
      <c r="K6" s="459" t="s">
        <v>458</v>
      </c>
      <c r="L6" s="455" t="s">
        <v>459</v>
      </c>
      <c r="M6" s="455" t="s">
        <v>460</v>
      </c>
      <c r="N6" s="202"/>
      <c r="O6" s="202"/>
      <c r="R6" s="205"/>
    </row>
    <row r="7" spans="2:18" x14ac:dyDescent="0.3">
      <c r="B7" s="199" t="s">
        <v>3</v>
      </c>
      <c r="C7" s="1" t="s">
        <v>462</v>
      </c>
      <c r="D7" s="445" cm="1">
        <f t="array" aca="1" ref="D7" ca="1">(INDIRECT("'2"&amp;$B7&amp;"'!F46"))</f>
        <v>35423.870975869992</v>
      </c>
      <c r="E7" s="445" cm="1">
        <f t="array" aca="1" ref="E7" ca="1">(INDIRECT("'2"&amp;$B7&amp;"'!F50"))</f>
        <v>40476.986698880013</v>
      </c>
      <c r="F7" s="445" cm="1">
        <f t="array" aca="1" ref="F7" ca="1">(INDIRECT("'2"&amp;$B7&amp;"'!F50"))</f>
        <v>40476.986698880013</v>
      </c>
      <c r="G7" s="445" cm="1">
        <f t="array" aca="1" ref="G7" ca="1">(INDIRECT("'2"&amp;$B7&amp;"'!G50"))</f>
        <v>48322.698877448791</v>
      </c>
      <c r="H7" s="445" cm="1">
        <f t="array" aca="1" ref="H7" ca="1">(INDIRECT("'2"&amp;$B7&amp;"'!H50"))</f>
        <v>43032.604891992334</v>
      </c>
      <c r="I7" s="445" cm="1">
        <f t="array" aca="1" ref="I7" ca="1">(INDIRECT("'2"&amp;$B7&amp;"'!I50"))</f>
        <v>43229.425913609746</v>
      </c>
      <c r="J7" s="445" cm="1">
        <f t="array" aca="1" ref="J7" ca="1">(INDIRECT("'2"&amp;$B7&amp;"'!J50"))</f>
        <v>41006.411085270462</v>
      </c>
      <c r="K7" s="445" cm="1">
        <f t="array" aca="1" ref="K7" ca="1">(INDIRECT("'2"&amp;$B7&amp;"'!W37"))</f>
        <v>5899.8849138246105</v>
      </c>
      <c r="L7" s="445" cm="1">
        <f t="array" aca="1" ref="L7" ca="1">(INDIRECT("'2"&amp;$B7&amp;"'!S37"))</f>
        <v>-1945.8272647441684</v>
      </c>
      <c r="M7" s="445" cm="1">
        <f t="array" aca="1" ref="M7" ca="1">(INDIRECT("'2"&amp;$B7&amp;"'!K50"))</f>
        <v>42644.029540406424</v>
      </c>
      <c r="N7" s="32"/>
      <c r="O7" s="32"/>
      <c r="R7"/>
    </row>
    <row r="8" spans="2:18" x14ac:dyDescent="0.3">
      <c r="B8" s="199" t="s">
        <v>204</v>
      </c>
      <c r="C8" s="1" t="s">
        <v>463</v>
      </c>
      <c r="D8" s="445" cm="1">
        <f t="array" aca="1" ref="D8" ca="1">(INDIRECT("'2"&amp;$B8&amp;"'!F46"))</f>
        <v>53857.599999999999</v>
      </c>
      <c r="E8" s="445"/>
      <c r="F8" s="445" cm="1">
        <f t="array" aca="1" ref="F8" ca="1">(INDIRECT("'2"&amp;$B8&amp;"'!F50"))</f>
        <v>69325.100000000006</v>
      </c>
      <c r="G8" s="445" cm="1">
        <f t="array" aca="1" ref="G8" ca="1">(INDIRECT("'2"&amp;$B8&amp;"'!G50"))</f>
        <v>77010.723758060718</v>
      </c>
      <c r="H8" s="445" cm="1">
        <f t="array" aca="1" ref="H8" ca="1">(INDIRECT("'2"&amp;$B8&amp;"'!H50"))</f>
        <v>65284.192812850029</v>
      </c>
      <c r="I8" s="445" cm="1">
        <f t="array" aca="1" ref="I8" ca="1">(INDIRECT("'2"&amp;$B8&amp;"'!I50"))</f>
        <v>68223.7408788209</v>
      </c>
      <c r="J8" s="445" cm="1">
        <f t="array" aca="1" ref="J8" ca="1">(INDIRECT("'2"&amp;$B8&amp;"'!J50"))</f>
        <v>67612.8851634413</v>
      </c>
      <c r="K8" s="445" cm="1">
        <f t="array" aca="1" ref="K8" ca="1">(INDIRECT("'2"&amp;$B8&amp;"'!W37"))</f>
        <v>9970.4508063566373</v>
      </c>
      <c r="L8" s="445" cm="1">
        <f t="array" aca="1" ref="L8" ca="1">(INDIRECT("'2"&amp;$B8&amp;"'!S37"))</f>
        <v>2284.827048295921</v>
      </c>
      <c r="M8" s="445" cm="1">
        <f t="array" aca="1" ref="M8" ca="1">(INDIRECT("'2"&amp;$B8&amp;"'!K50"))</f>
        <v>77654.073465691079</v>
      </c>
      <c r="N8" s="32"/>
      <c r="O8" s="32"/>
      <c r="R8"/>
    </row>
    <row r="9" spans="2:18" x14ac:dyDescent="0.3">
      <c r="B9" s="199" t="s">
        <v>208</v>
      </c>
      <c r="C9" s="1" t="s">
        <v>464</v>
      </c>
      <c r="D9" s="445" cm="1">
        <f t="array" aca="1" ref="D9" ca="1">(INDIRECT("'2"&amp;$B9&amp;"'!F46"))</f>
        <v>735.3</v>
      </c>
      <c r="E9" s="445"/>
      <c r="F9" s="445" cm="1">
        <f t="array" aca="1" ref="F9" ca="1">(INDIRECT("'2"&amp;$B9&amp;"'!F50"))</f>
        <v>1174.4000000000001</v>
      </c>
      <c r="G9" s="445" cm="1">
        <f t="array" aca="1" ref="G9" ca="1">(INDIRECT("'2"&amp;$B9&amp;"'!G50"))</f>
        <v>1207.8244874159539</v>
      </c>
      <c r="H9" s="445" cm="1">
        <f t="array" aca="1" ref="H9" ca="1">(INDIRECT("'2"&amp;$B9&amp;"'!H50"))</f>
        <v>1034.2231374264884</v>
      </c>
      <c r="I9" s="445" cm="1">
        <f t="array" aca="1" ref="I9" ca="1">(INDIRECT("'2"&amp;$B9&amp;"'!I50"))</f>
        <v>1085.8297721920153</v>
      </c>
      <c r="J9" s="445" cm="1">
        <f t="array" aca="1" ref="J9" ca="1">(INDIRECT("'2"&amp;$B9&amp;"'!J50"))</f>
        <v>1037.8637684923474</v>
      </c>
      <c r="K9" s="445" cm="1">
        <f t="array" aca="1" ref="K9" ca="1">(INDIRECT("'2"&amp;$B9&amp;"'!W37"))</f>
        <v>155.18559471233684</v>
      </c>
      <c r="L9" s="445" cm="1">
        <f t="array" aca="1" ref="L9" ca="1">(INDIRECT("'2"&amp;$B9&amp;"'!S37"))</f>
        <v>121.76110729638295</v>
      </c>
      <c r="M9" s="445" cm="1">
        <f t="array" aca="1" ref="M9" ca="1">(INDIRECT("'2"&amp;$B9&amp;"'!K50"))</f>
        <v>1174.4000000000001</v>
      </c>
      <c r="N9" s="32"/>
      <c r="O9" s="32"/>
      <c r="R9"/>
    </row>
    <row r="10" spans="2:18" x14ac:dyDescent="0.3">
      <c r="B10" s="199" t="s">
        <v>210</v>
      </c>
      <c r="C10" s="1" t="s">
        <v>465</v>
      </c>
      <c r="D10" s="445" cm="1">
        <f t="array" aca="1" ref="D10" ca="1">(INDIRECT("'2"&amp;$B10&amp;"'!F46"))</f>
        <v>339185</v>
      </c>
      <c r="E10" s="445"/>
      <c r="F10" s="445" cm="1">
        <f t="array" aca="1" ref="F10" ca="1">(INDIRECT("'2"&amp;$B10&amp;"'!F50"))</f>
        <v>374828</v>
      </c>
      <c r="G10" s="445" cm="1">
        <f t="array" aca="1" ref="G10" ca="1">(INDIRECT("'2"&amp;$B10&amp;"'!G50"))</f>
        <v>424413.32126204914</v>
      </c>
      <c r="H10" s="445" cm="1">
        <f t="array" aca="1" ref="H10" ca="1">(INDIRECT("'2"&amp;$B10&amp;"'!H50"))</f>
        <v>393500.42957394669</v>
      </c>
      <c r="I10" s="445" cm="1">
        <f t="array" aca="1" ref="I10" ca="1">(INDIRECT("'2"&amp;$B10&amp;"'!I50"))</f>
        <v>393438.82148744533</v>
      </c>
      <c r="J10" s="445" cm="1">
        <f t="array" aca="1" ref="J10" ca="1">(INDIRECT("'2"&amp;$B10&amp;"'!J50"))</f>
        <v>382836.9741681572</v>
      </c>
      <c r="K10" s="445" cm="1">
        <f t="array" aca="1" ref="K10" ca="1">(INDIRECT("'2"&amp;$B10&amp;"'!W37"))</f>
        <v>34487.912852199377</v>
      </c>
      <c r="L10" s="445" cm="1">
        <f t="array" aca="1" ref="L10" ca="1">(INDIRECT("'2"&amp;$B10&amp;"'!S37"))</f>
        <v>-15097.408409849753</v>
      </c>
      <c r="M10" s="445" cm="1">
        <f t="array" aca="1" ref="M10" ca="1">(INDIRECT("'2"&amp;$B10&amp;"'!K50"))</f>
        <v>402688.30876271456</v>
      </c>
      <c r="N10" s="32"/>
      <c r="O10" s="32"/>
      <c r="R10"/>
    </row>
    <row r="11" spans="2:18" x14ac:dyDescent="0.3">
      <c r="B11" s="199" t="s">
        <v>214</v>
      </c>
      <c r="C11" s="1" t="s">
        <v>466</v>
      </c>
      <c r="D11" s="445" cm="1">
        <f t="array" aca="1" ref="D11" ca="1">(INDIRECT("'2"&amp;$B11&amp;"'!F46"))</f>
        <v>1531.6</v>
      </c>
      <c r="E11" s="445"/>
      <c r="F11" s="445" cm="1">
        <f t="array" aca="1" ref="F11" ca="1">(INDIRECT("'2"&amp;$B11&amp;"'!F50"))</f>
        <v>2390.6999999999998</v>
      </c>
      <c r="G11" s="445" cm="1">
        <f t="array" aca="1" ref="G11" ca="1">(INDIRECT("'2"&amp;$B11&amp;"'!G50"))</f>
        <v>2629.3354809890147</v>
      </c>
      <c r="H11" s="445" cm="1">
        <f t="array" aca="1" ref="H11" ca="1">(INDIRECT("'2"&amp;$B11&amp;"'!H50"))</f>
        <v>2208.8539172999326</v>
      </c>
      <c r="I11" s="445" cm="1">
        <f t="array" aca="1" ref="I11" ca="1">(INDIRECT("'2"&amp;$B11&amp;"'!I50"))</f>
        <v>2329.1785772611879</v>
      </c>
      <c r="J11" s="445" cm="1">
        <f t="array" aca="1" ref="J11" ca="1">(INDIRECT("'2"&amp;$B11&amp;"'!J50"))</f>
        <v>2237.2913196487953</v>
      </c>
      <c r="K11" s="445" cm="1">
        <f t="array" aca="1" ref="K11" ca="1">(INDIRECT("'2"&amp;$B11&amp;"'!W37"))</f>
        <v>370.8942095857094</v>
      </c>
      <c r="L11" s="445" cm="1">
        <f t="array" aca="1" ref="L11" ca="1">(INDIRECT("'2"&amp;$B11&amp;"'!S37"))</f>
        <v>132.25872859669479</v>
      </c>
      <c r="M11" s="445" cm="1">
        <f t="array" aca="1" ref="M11" ca="1">(INDIRECT("'2"&amp;$B11&amp;"'!K50"))</f>
        <v>2488.230527630627</v>
      </c>
      <c r="N11" s="32"/>
      <c r="O11" s="32"/>
      <c r="R11"/>
    </row>
    <row r="12" spans="2:18" x14ac:dyDescent="0.3">
      <c r="B12" s="199" t="s">
        <v>217</v>
      </c>
      <c r="C12" s="1" t="s">
        <v>467</v>
      </c>
      <c r="D12" s="445" cm="1">
        <f t="array" aca="1" ref="D12" ca="1">(INDIRECT("'2"&amp;$B12&amp;"'!F46"))</f>
        <v>10855</v>
      </c>
      <c r="E12" s="445"/>
      <c r="F12" s="445" cm="1">
        <f t="array" aca="1" ref="F12" ca="1">(INDIRECT("'2"&amp;$B12&amp;"'!F50"))</f>
        <v>13385</v>
      </c>
      <c r="G12" s="445" cm="1">
        <f t="array" aca="1" ref="G12" ca="1">(INDIRECT("'2"&amp;$B12&amp;"'!G50"))</f>
        <v>14768.205009549352</v>
      </c>
      <c r="H12" s="445" cm="1">
        <f t="array" aca="1" ref="H12" ca="1">(INDIRECT("'2"&amp;$B12&amp;"'!H50"))</f>
        <v>13762.020201943948</v>
      </c>
      <c r="I12" s="445" cm="1">
        <f t="array" aca="1" ref="I12" ca="1">(INDIRECT("'2"&amp;$B12&amp;"'!I50"))</f>
        <v>13610.308339216092</v>
      </c>
      <c r="J12" s="445" cm="1">
        <f t="array" aca="1" ref="J12" ca="1">(INDIRECT("'2"&amp;$B12&amp;"'!J50"))</f>
        <v>13152.988402759347</v>
      </c>
      <c r="K12" s="445" cm="1">
        <f t="array" aca="1" ref="K12" ca="1">(INDIRECT("'2"&amp;$B12&amp;"'!W37"))</f>
        <v>1259.7660282428908</v>
      </c>
      <c r="L12" s="445" cm="1">
        <f t="array" aca="1" ref="L12" ca="1">(INDIRECT("'2"&amp;$B12&amp;"'!S37"))</f>
        <v>-123.43898130646194</v>
      </c>
      <c r="M12" s="445" cm="1">
        <f t="array" aca="1" ref="M12" ca="1">(INDIRECT("'2"&amp;$B12&amp;"'!K50"))</f>
        <v>13385.192515110668</v>
      </c>
      <c r="N12" s="32"/>
      <c r="O12" s="32"/>
      <c r="R12"/>
    </row>
    <row r="13" spans="2:18" x14ac:dyDescent="0.3">
      <c r="B13" s="199" t="s">
        <v>218</v>
      </c>
      <c r="C13" s="1" t="s">
        <v>468</v>
      </c>
      <c r="D13" s="445" cm="1">
        <f t="array" aca="1" ref="D13" ca="1">(INDIRECT("'2"&amp;$B13&amp;"'!F46"))</f>
        <v>99033</v>
      </c>
      <c r="E13" s="445"/>
      <c r="F13" s="445" cm="1">
        <f t="array" aca="1" ref="F13" ca="1">(INDIRECT("'2"&amp;$B13&amp;"'!F50"))</f>
        <v>134371</v>
      </c>
      <c r="G13" s="445" cm="1">
        <f t="array" aca="1" ref="G13" ca="1">(INDIRECT("'2"&amp;$B13&amp;"'!G50"))</f>
        <v>138799.06519941965</v>
      </c>
      <c r="H13" s="445" cm="1">
        <f t="array" aca="1" ref="H13" ca="1">(INDIRECT("'2"&amp;$B13&amp;"'!H50"))</f>
        <v>124909.76995622988</v>
      </c>
      <c r="I13" s="445" cm="1">
        <f t="array" aca="1" ref="I13" ca="1">(INDIRECT("'2"&amp;$B13&amp;"'!I50"))</f>
        <v>124992.84837395557</v>
      </c>
      <c r="J13" s="445" cm="1">
        <f t="array" aca="1" ref="J13" ca="1">(INDIRECT("'2"&amp;$B13&amp;"'!J50"))</f>
        <v>121926.05891209227</v>
      </c>
      <c r="K13" s="445" cm="1">
        <f t="array" aca="1" ref="K13" ca="1">(INDIRECT("'2"&amp;$B13&amp;"'!W37"))</f>
        <v>14856.172785327077</v>
      </c>
      <c r="L13" s="445" cm="1">
        <f t="array" aca="1" ref="L13" ca="1">(INDIRECT("'2"&amp;$B13&amp;"'!S37"))</f>
        <v>10428.10758590743</v>
      </c>
      <c r="M13" s="445" cm="1">
        <f t="array" aca="1" ref="M13" ca="1">(INDIRECT("'2"&amp;$B13&amp;"'!K50"))</f>
        <v>138555.5473472568</v>
      </c>
      <c r="N13" s="32"/>
      <c r="O13" s="32"/>
      <c r="R13"/>
    </row>
    <row r="14" spans="2:18" x14ac:dyDescent="0.3">
      <c r="B14" s="199" t="s">
        <v>222</v>
      </c>
      <c r="C14" s="1" t="s">
        <v>469</v>
      </c>
      <c r="D14" s="445" cm="1">
        <f t="array" aca="1" ref="D14" ca="1">(INDIRECT("'2"&amp;$B14&amp;"'!F46"))</f>
        <v>29401</v>
      </c>
      <c r="E14" s="445"/>
      <c r="F14" s="445" cm="1">
        <f t="array" aca="1" ref="F14" ca="1">(INDIRECT("'2"&amp;$B14&amp;"'!F50"))</f>
        <v>34788</v>
      </c>
      <c r="G14" s="445" cm="1">
        <f t="array" aca="1" ref="G14" ca="1">(INDIRECT("'2"&amp;$B14&amp;"'!G50"))</f>
        <v>37289.950376169036</v>
      </c>
      <c r="H14" s="445" cm="1">
        <f t="array" aca="1" ref="H14" ca="1">(INDIRECT("'2"&amp;$B14&amp;"'!H50"))</f>
        <v>34444.770969891717</v>
      </c>
      <c r="I14" s="445" cm="1">
        <f t="array" aca="1" ref="I14" ca="1">(INDIRECT("'2"&amp;$B14&amp;"'!I50"))</f>
        <v>34649.987899954926</v>
      </c>
      <c r="J14" s="445" cm="1">
        <f t="array" aca="1" ref="J14" ca="1">(INDIRECT("'2"&amp;$B14&amp;"'!J50"))</f>
        <v>33855.523800523471</v>
      </c>
      <c r="K14" s="445" cm="1">
        <f t="array" aca="1" ref="K14" ca="1">(INDIRECT("'2"&amp;$B14&amp;"'!W37"))</f>
        <v>2973.1894860456655</v>
      </c>
      <c r="L14" s="445" cm="1">
        <f t="array" aca="1" ref="L14" ca="1">(INDIRECT("'2"&amp;$B14&amp;"'!S37"))</f>
        <v>471.2391098766289</v>
      </c>
      <c r="M14" s="445" cm="1">
        <f t="array" aca="1" ref="M14" ca="1">(INDIRECT("'2"&amp;$B14&amp;"'!K50"))</f>
        <v>36685.784529580633</v>
      </c>
      <c r="N14" s="32"/>
      <c r="O14" s="32"/>
      <c r="R14"/>
    </row>
    <row r="15" spans="2:18" x14ac:dyDescent="0.3">
      <c r="B15" s="199" t="s">
        <v>223</v>
      </c>
      <c r="C15" s="1" t="s">
        <v>470</v>
      </c>
      <c r="D15" s="445" cm="1">
        <f t="array" aca="1" ref="D15" ca="1">(INDIRECT("'2"&amp;$B15&amp;"'!F46"))</f>
        <v>224304</v>
      </c>
      <c r="E15" s="445"/>
      <c r="F15" s="445" cm="1">
        <f t="array" aca="1" ref="F15" ca="1">(INDIRECT("'2"&amp;$B15&amp;"'!F50"))</f>
        <v>262679.99999999994</v>
      </c>
      <c r="G15" s="445" cm="1">
        <f t="array" aca="1" ref="G15" ca="1">(INDIRECT("'2"&amp;$B15&amp;"'!G50"))</f>
        <v>282896.88637443812</v>
      </c>
      <c r="H15" s="445" cm="1">
        <f t="array" aca="1" ref="H15" ca="1">(INDIRECT("'2"&amp;$B15&amp;"'!H50"))</f>
        <v>266822.71564354922</v>
      </c>
      <c r="I15" s="445" cm="1">
        <f t="array" aca="1" ref="I15" ca="1">(INDIRECT("'2"&amp;$B15&amp;"'!I50"))</f>
        <v>264786.63600956794</v>
      </c>
      <c r="J15" s="445" cm="1">
        <f t="array" aca="1" ref="J15" ca="1">(INDIRECT("'2"&amp;$B15&amp;"'!J50"))</f>
        <v>258934.63014392072</v>
      </c>
      <c r="K15" s="445" cm="1">
        <f t="array" aca="1" ref="K15" ca="1">(INDIRECT("'2"&amp;$B15&amp;"'!W37"))</f>
        <v>19382.225775425486</v>
      </c>
      <c r="L15" s="445" cm="1">
        <f t="array" aca="1" ref="L15" ca="1">(INDIRECT("'2"&amp;$B15&amp;"'!S37"))</f>
        <v>-834.66059901265442</v>
      </c>
      <c r="M15" s="445" cm="1">
        <f t="array" aca="1" ref="M15" ca="1">(INDIRECT("'2"&amp;$B15&amp;"'!K50"))</f>
        <v>267482.48627686937</v>
      </c>
      <c r="N15" s="32"/>
      <c r="O15" s="32"/>
      <c r="R15"/>
    </row>
    <row r="16" spans="2:18" x14ac:dyDescent="0.3">
      <c r="B16" s="199" t="s">
        <v>225</v>
      </c>
      <c r="C16" s="1" t="s">
        <v>471</v>
      </c>
      <c r="D16" s="445" cm="1">
        <f t="array" aca="1" ref="D16" ca="1">(INDIRECT("'2"&amp;$B16&amp;"'!F46"))</f>
        <v>1755</v>
      </c>
      <c r="E16" s="445"/>
      <c r="F16" s="445" cm="1">
        <f t="array" aca="1" ref="F16" ca="1">(INDIRECT("'2"&amp;$B16&amp;"'!F50"))</f>
        <v>2409</v>
      </c>
      <c r="G16" s="445" cm="1">
        <f t="array" aca="1" ref="G16" ca="1">(INDIRECT("'2"&amp;$B16&amp;"'!G50"))</f>
        <v>3348.7804852495447</v>
      </c>
      <c r="H16" s="445" cm="1">
        <f t="array" aca="1" ref="H16" ca="1">(INDIRECT("'2"&amp;$B16&amp;"'!H50"))</f>
        <v>2551.8704607149434</v>
      </c>
      <c r="I16" s="445" cm="1">
        <f t="array" aca="1" ref="I16" ca="1">(INDIRECT("'2"&amp;$B16&amp;"'!I50"))</f>
        <v>2864.7362726776987</v>
      </c>
      <c r="J16" s="445" cm="1">
        <f t="array" aca="1" ref="J16" ca="1">(INDIRECT("'2"&amp;$B16&amp;"'!J50"))</f>
        <v>2621.3854049683846</v>
      </c>
      <c r="K16" s="445" cm="1">
        <f t="array" aca="1" ref="K16" ca="1">(INDIRECT("'2"&amp;$B16&amp;"'!W37"))</f>
        <v>669.44977246253563</v>
      </c>
      <c r="L16" s="445" cm="1">
        <f t="array" aca="1" ref="L16" ca="1">(INDIRECT("'2"&amp;$B16&amp;"'!S37"))</f>
        <v>-270.33071278700891</v>
      </c>
      <c r="M16" s="445" cm="1">
        <f t="array" aca="1" ref="M16" ca="1">(INDIRECT("'2"&amp;$B16&amp;"'!K50"))</f>
        <v>2409</v>
      </c>
      <c r="N16" s="32"/>
      <c r="O16" s="32"/>
      <c r="R16"/>
    </row>
    <row r="17" spans="2:18" x14ac:dyDescent="0.3">
      <c r="B17" s="199" t="s">
        <v>227</v>
      </c>
      <c r="C17" s="444" t="s">
        <v>529</v>
      </c>
      <c r="D17" s="446" cm="1">
        <f t="array" aca="1" ref="D17" ca="1">(INDIRECT("'2"&amp;$B17&amp;"'!F46"))</f>
        <v>2424565.1519999998</v>
      </c>
      <c r="E17" s="446"/>
      <c r="F17" s="446" cm="1">
        <f t="array" aca="1" ref="F17" ca="1">(INDIRECT("'2"&amp;$B17&amp;"'!F50"))</f>
        <v>3996321.3279220001</v>
      </c>
      <c r="G17" s="446" cm="1">
        <f t="array" aca="1" ref="G17" ca="1">(INDIRECT("'2"&amp;$B17&amp;"'!G50"))</f>
        <v>4424432.8954761298</v>
      </c>
      <c r="H17" s="446" cm="1">
        <f t="array" aca="1" ref="H17" ca="1">(INDIRECT("'2"&amp;$B17&amp;"'!H50"))</f>
        <v>3891184.9652826665</v>
      </c>
      <c r="I17" s="446" cm="1">
        <f t="array" aca="1" ref="I17" ca="1">(INDIRECT("'2"&amp;$B17&amp;"'!I50"))</f>
        <v>3901760.9703108426</v>
      </c>
      <c r="J17" s="446" cm="1">
        <f t="array" aca="1" ref="J17" ca="1">(INDIRECT("'2"&amp;$B17&amp;"'!J50"))</f>
        <v>3853065.8218177226</v>
      </c>
      <c r="K17" s="446" cm="1">
        <f t="array" aca="1" ref="K17" ca="1">(INDIRECT("'2"&amp;$B17&amp;"'!W37"))</f>
        <v>542428.97633905255</v>
      </c>
      <c r="L17" s="446" cm="1">
        <f t="array" aca="1" ref="L17" ca="1">(INDIRECT("'2"&amp;$B17&amp;"'!S37"))</f>
        <v>114317.40878492268</v>
      </c>
      <c r="M17" s="446" cm="1">
        <f t="array" aca="1" ref="M17" ca="1">(INDIRECT("'2"&amp;$B17&amp;"'!K50"))</f>
        <v>3996267.3569033882</v>
      </c>
      <c r="N17" s="32"/>
      <c r="O17" s="32"/>
      <c r="R17"/>
    </row>
    <row r="18" spans="2:18" x14ac:dyDescent="0.3">
      <c r="B18" s="199" t="s">
        <v>233</v>
      </c>
      <c r="C18" s="1" t="s">
        <v>473</v>
      </c>
      <c r="D18" s="445" cm="1">
        <f t="array" aca="1" ref="D18" ca="1">(INDIRECT("'2"&amp;$B18&amp;"'!F46"))</f>
        <v>23598.9</v>
      </c>
      <c r="E18" s="445"/>
      <c r="F18" s="445" cm="1">
        <f t="array" aca="1" ref="F18" ca="1">(INDIRECT("'2"&amp;$B18&amp;"'!F50"))</f>
        <v>33200.199999999997</v>
      </c>
      <c r="G18" s="445" cm="1">
        <f t="array" aca="1" ref="G18" ca="1">(INDIRECT("'2"&amp;$B18&amp;"'!G50"))</f>
        <v>36069.146194912748</v>
      </c>
      <c r="H18" s="445" cm="1">
        <f t="array" aca="1" ref="H18" ca="1">(INDIRECT("'2"&amp;$B18&amp;"'!H50"))</f>
        <v>32587.271419646087</v>
      </c>
      <c r="I18" s="445" cm="1">
        <f t="array" aca="1" ref="I18" ca="1">(INDIRECT("'2"&amp;$B18&amp;"'!I50"))</f>
        <v>33428.22501860089</v>
      </c>
      <c r="J18" s="445" cm="1">
        <f t="array" aca="1" ref="J18" ca="1">(INDIRECT("'2"&amp;$B18&amp;"'!J50"))</f>
        <v>32380.2244113911</v>
      </c>
      <c r="K18" s="445" cm="1">
        <f t="array" aca="1" ref="K18" ca="1">(INDIRECT("'2"&amp;$B18&amp;"'!W37"))</f>
        <v>3270.5725783667244</v>
      </c>
      <c r="L18" s="445" cm="1">
        <f t="array" aca="1" ref="L18" ca="1">(INDIRECT("'2"&amp;$B18&amp;"'!S37"))</f>
        <v>401.62638345397062</v>
      </c>
      <c r="M18" s="445" cm="1">
        <f t="array" aca="1" ref="M18" ca="1">(INDIRECT("'2"&amp;$B18&amp;"'!K50"))</f>
        <v>35543.675540300166</v>
      </c>
      <c r="N18" s="32"/>
      <c r="O18" s="32"/>
      <c r="R18"/>
    </row>
    <row r="19" spans="2:18" x14ac:dyDescent="0.3">
      <c r="B19" s="199" t="s">
        <v>234</v>
      </c>
      <c r="C19" s="1" t="s">
        <v>474</v>
      </c>
      <c r="D19" s="445" cm="1">
        <f t="array" aca="1" ref="D19" ca="1">(INDIRECT("'2"&amp;$B19&amp;"'!F46"))</f>
        <v>177339.76644000001</v>
      </c>
      <c r="E19" s="445"/>
      <c r="F19" s="445" cm="1">
        <f t="array" aca="1" ref="F19" ca="1">(INDIRECT("'2"&amp;$B19&amp;"'!F50"))</f>
        <v>206920</v>
      </c>
      <c r="G19" s="445" cm="1">
        <f t="array" aca="1" ref="G19" ca="1">(INDIRECT("'2"&amp;$B19&amp;"'!G50"))</f>
        <v>213787.70824371401</v>
      </c>
      <c r="H19" s="445" cm="1">
        <f t="array" aca="1" ref="H19" ca="1">(INDIRECT("'2"&amp;$B19&amp;"'!H50"))</f>
        <v>201478.71839773984</v>
      </c>
      <c r="I19" s="445" cm="1">
        <f t="array" aca="1" ref="I19" ca="1">(INDIRECT("'2"&amp;$B19&amp;"'!I50"))</f>
        <v>196355.47542746409</v>
      </c>
      <c r="J19" s="445" cm="1">
        <f t="array" aca="1" ref="J19" ca="1">(INDIRECT("'2"&amp;$B19&amp;"'!J50"))</f>
        <v>188018.96926440197</v>
      </c>
      <c r="K19" s="445" cm="1">
        <f t="array" aca="1" ref="K19" ca="1">(INDIRECT("'2"&amp;$B19&amp;"'!W37"))</f>
        <v>18503.320547178722</v>
      </c>
      <c r="L19" s="445" cm="1">
        <f t="array" aca="1" ref="L19" ca="1">(INDIRECT("'2"&amp;$B19&amp;"'!S37"))</f>
        <v>11635.612303464703</v>
      </c>
      <c r="M19" s="445" cm="1">
        <f t="array" aca="1" ref="M19" ca="1">(INDIRECT("'2"&amp;$B19&amp;"'!K50"))</f>
        <v>207183.63509220362</v>
      </c>
      <c r="N19" s="32"/>
      <c r="O19" s="32"/>
      <c r="R19"/>
    </row>
    <row r="20" spans="2:18" x14ac:dyDescent="0.3">
      <c r="B20" s="199" t="s">
        <v>238</v>
      </c>
      <c r="C20" s="1" t="s">
        <v>475</v>
      </c>
      <c r="D20" s="445" cm="1">
        <f t="array" aca="1" ref="D20" ca="1">(INDIRECT("'2"&amp;$B20&amp;"'!F46"))</f>
        <v>3529.3</v>
      </c>
      <c r="E20" s="445"/>
      <c r="F20" s="445" cm="1">
        <f t="array" aca="1" ref="F20" ca="1">(INDIRECT("'2"&amp;$B20&amp;"'!F50"))</f>
        <v>5709.9</v>
      </c>
      <c r="G20" s="445" cm="1">
        <f t="array" aca="1" ref="G20" ca="1">(INDIRECT("'2"&amp;$B20&amp;"'!G50"))</f>
        <v>6259.0713999342133</v>
      </c>
      <c r="H20" s="445" cm="1">
        <f t="array" aca="1" ref="H20" ca="1">(INDIRECT("'2"&amp;$B20&amp;"'!H50"))</f>
        <v>5661.9442133284438</v>
      </c>
      <c r="I20" s="445" cm="1">
        <f t="array" aca="1" ref="I20" ca="1">(INDIRECT("'2"&amp;$B20&amp;"'!I50"))</f>
        <v>5909.4511933137856</v>
      </c>
      <c r="J20" s="445" cm="1">
        <f t="array" aca="1" ref="J20" ca="1">(INDIRECT("'2"&amp;$B20&amp;"'!J50"))</f>
        <v>5810.2865390953084</v>
      </c>
      <c r="K20" s="445" cm="1">
        <f t="array" aca="1" ref="K20" ca="1">(INDIRECT("'2"&amp;$B20&amp;"'!W37"))</f>
        <v>465.17741802170121</v>
      </c>
      <c r="L20" s="445" cm="1">
        <f t="array" aca="1" ref="L20" ca="1">(INDIRECT("'2"&amp;$B20&amp;"'!S37"))</f>
        <v>-83.993981912512467</v>
      </c>
      <c r="M20" s="445" cm="1">
        <f t="array" aca="1" ref="M20" ca="1">(INDIRECT("'2"&amp;$B20&amp;"'!K50"))</f>
        <v>6330.3813134087304</v>
      </c>
      <c r="N20" s="32"/>
      <c r="O20" s="32"/>
      <c r="R20"/>
    </row>
    <row r="21" spans="2:18" x14ac:dyDescent="0.3">
      <c r="B21" s="199" t="s">
        <v>240</v>
      </c>
      <c r="C21" s="1" t="s">
        <v>476</v>
      </c>
      <c r="D21" s="445" cm="1">
        <f t="array" aca="1" ref="D21" ca="1">(INDIRECT("'2"&amp;$B21&amp;"'!F46"))</f>
        <v>4478.7</v>
      </c>
      <c r="E21" s="445"/>
      <c r="F21" s="445" cm="1">
        <f t="array" aca="1" ref="F21" ca="1">(INDIRECT("'2"&amp;$B21&amp;"'!F50"))</f>
        <v>6925.5749999999998</v>
      </c>
      <c r="G21" s="445" cm="1">
        <f t="array" aca="1" ref="G21" ca="1">(INDIRECT("'2"&amp;$B21&amp;"'!G50"))</f>
        <v>7968.4859701317791</v>
      </c>
      <c r="H21" s="445" cm="1">
        <f t="array" aca="1" ref="H21" ca="1">(INDIRECT("'2"&amp;$B21&amp;"'!H50"))</f>
        <v>6964.5767396094589</v>
      </c>
      <c r="I21" s="445" cm="1">
        <f t="array" aca="1" ref="I21" ca="1">(INDIRECT("'2"&amp;$B21&amp;"'!I50"))</f>
        <v>7198.1792174446027</v>
      </c>
      <c r="J21" s="445" cm="1">
        <f t="array" aca="1" ref="J21" ca="1">(INDIRECT("'2"&amp;$B21&amp;"'!J50"))</f>
        <v>7122.0955003507424</v>
      </c>
      <c r="K21" s="445" cm="1">
        <f t="array" aca="1" ref="K21" ca="1">(INDIRECT("'2"&amp;$B21&amp;"'!W37"))</f>
        <v>873.53548433017738</v>
      </c>
      <c r="L21" s="445" cm="1">
        <f t="array" aca="1" ref="L21" ca="1">(INDIRECT("'2"&amp;$B21&amp;"'!S37"))</f>
        <v>-169.3754858016014</v>
      </c>
      <c r="M21" s="445" cm="1">
        <f t="array" aca="1" ref="M21" ca="1">(INDIRECT("'2"&amp;$B21&amp;"'!K50"))</f>
        <v>7071.5762636509044</v>
      </c>
      <c r="N21" s="32"/>
      <c r="O21" s="32"/>
      <c r="R21"/>
    </row>
    <row r="22" spans="2:18" x14ac:dyDescent="0.3">
      <c r="B22" s="199" t="s">
        <v>242</v>
      </c>
      <c r="C22" s="1" t="s">
        <v>477</v>
      </c>
      <c r="D22" s="445" cm="1">
        <f t="array" aca="1" ref="D22" ca="1">(INDIRECT("'2"&amp;$B22&amp;"'!F46"))</f>
        <v>1977.5350000000003</v>
      </c>
      <c r="E22" s="445"/>
      <c r="F22" s="445" cm="1">
        <f t="array" aca="1" ref="F22" ca="1">(INDIRECT("'2"&amp;$B22&amp;"'!F50"))</f>
        <v>2522.1579999999999</v>
      </c>
      <c r="G22" s="445" cm="1">
        <f t="array" aca="1" ref="G22" ca="1">(INDIRECT("'2"&amp;$B22&amp;"'!G50"))</f>
        <v>3027.0732195413393</v>
      </c>
      <c r="H22" s="445" cm="1">
        <f t="array" aca="1" ref="H22" ca="1">(INDIRECT("'2"&amp;$B22&amp;"'!H50"))</f>
        <v>2686.0928452972366</v>
      </c>
      <c r="I22" s="445" cm="1">
        <f t="array" aca="1" ref="I22" ca="1">(INDIRECT("'2"&amp;$B22&amp;"'!I50"))</f>
        <v>2814.0343509323102</v>
      </c>
      <c r="J22" s="445" cm="1">
        <f t="array" aca="1" ref="J22" ca="1">(INDIRECT("'2"&amp;$B22&amp;"'!J50"))</f>
        <v>2748.6624611978536</v>
      </c>
      <c r="K22" s="445" cm="1">
        <f t="array" aca="1" ref="K22" ca="1">(INDIRECT("'2"&amp;$B22&amp;"'!W37"))</f>
        <v>277.4766670655394</v>
      </c>
      <c r="L22" s="445" cm="1">
        <f t="array" aca="1" ref="L22" ca="1">(INDIRECT("'2"&amp;$B22&amp;"'!S37"))</f>
        <v>-227.43855247580004</v>
      </c>
      <c r="M22" s="445" cm="1">
        <f t="array" aca="1" ref="M22" ca="1">(INDIRECT("'2"&amp;$B22&amp;"'!K50"))</f>
        <v>2522.1579999999999</v>
      </c>
      <c r="N22" s="32"/>
      <c r="O22" s="32"/>
      <c r="R22"/>
    </row>
    <row r="23" spans="2:18" x14ac:dyDescent="0.3">
      <c r="B23" s="199" t="s">
        <v>245</v>
      </c>
      <c r="C23" s="1" t="s">
        <v>478</v>
      </c>
      <c r="D23" s="445" cm="1">
        <f t="array" aca="1" ref="D23" ca="1">(INDIRECT("'2"&amp;$B23&amp;"'!F46"))</f>
        <v>983.80825405823282</v>
      </c>
      <c r="E23" s="445"/>
      <c r="F23" s="445" cm="1">
        <f t="array" aca="1" ref="F23" ca="1">(INDIRECT("'2"&amp;$B23&amp;"'!F50"))</f>
        <v>1510.796382081202</v>
      </c>
      <c r="G23" s="445" cm="1">
        <f t="array" aca="1" ref="G23" ca="1">(INDIRECT("'2"&amp;$B23&amp;"'!G50"))</f>
        <v>1558.3076912185402</v>
      </c>
      <c r="H23" s="445" cm="1">
        <f t="array" aca="1" ref="H23" ca="1">(INDIRECT("'2"&amp;$B23&amp;"'!H50"))</f>
        <v>1442.4595161115888</v>
      </c>
      <c r="I23" s="445" cm="1">
        <f t="array" aca="1" ref="I23" ca="1">(INDIRECT("'2"&amp;$B23&amp;"'!I50"))</f>
        <v>1455.365930586255</v>
      </c>
      <c r="J23" s="445" cm="1">
        <f t="array" aca="1" ref="J23" ca="1">(INDIRECT("'2"&amp;$B23&amp;"'!J50"))</f>
        <v>1411.1398406113344</v>
      </c>
      <c r="K23" s="445" cm="1">
        <f t="array" aca="1" ref="K23" ca="1">(INDIRECT("'2"&amp;$B23&amp;"'!W37"))</f>
        <v>121.9859287821475</v>
      </c>
      <c r="L23" s="445" cm="1">
        <f t="array" aca="1" ref="L23" ca="1">(INDIRECT("'2"&amp;$B23&amp;"'!S37"))</f>
        <v>74.474619644809323</v>
      </c>
      <c r="M23" s="445" cm="1">
        <f t="array" aca="1" ref="M23" ca="1">(INDIRECT("'2"&amp;$B23&amp;"'!K50"))</f>
        <v>1522.7794861745429</v>
      </c>
      <c r="N23" s="32"/>
      <c r="O23" s="32"/>
      <c r="R23"/>
    </row>
    <row r="24" spans="2:18" x14ac:dyDescent="0.3">
      <c r="B24" s="199" t="s">
        <v>247</v>
      </c>
      <c r="C24" s="1" t="s">
        <v>479</v>
      </c>
      <c r="D24" s="445" cm="1">
        <f t="array" aca="1" ref="D24" ca="1">(INDIRECT("'2"&amp;$B24&amp;"'!F46"))</f>
        <v>70225.380092549996</v>
      </c>
      <c r="E24" s="445"/>
      <c r="F24" s="445" cm="1">
        <f t="array" aca="1" ref="F24" ca="1">(INDIRECT("'2"&amp;$B24&amp;"'!F50"))</f>
        <v>95443.350599999991</v>
      </c>
      <c r="G24" s="445" cm="1">
        <f t="array" aca="1" ref="G24" ca="1">(INDIRECT("'2"&amp;$B24&amp;"'!G50"))</f>
        <v>107595.85029974756</v>
      </c>
      <c r="H24" s="445" cm="1">
        <f t="array" aca="1" ref="H24" ca="1">(INDIRECT("'2"&amp;$B24&amp;"'!H50"))</f>
        <v>93396.319987850467</v>
      </c>
      <c r="I24" s="445" cm="1">
        <f t="array" aca="1" ref="I24" ca="1">(INDIRECT("'2"&amp;$B24&amp;"'!I50"))</f>
        <v>90087.418739972331</v>
      </c>
      <c r="J24" s="445" cm="1">
        <f t="array" aca="1" ref="J24" ca="1">(INDIRECT("'2"&amp;$B24&amp;"'!J50"))</f>
        <v>88765.421259118215</v>
      </c>
      <c r="K24" s="445" cm="1">
        <f t="array" aca="1" ref="K24" ca="1">(INDIRECT("'2"&amp;$B24&amp;"'!W37"))</f>
        <v>16846.130304100556</v>
      </c>
      <c r="L24" s="445" cm="1">
        <f t="array" aca="1" ref="L24" ca="1">(INDIRECT("'2"&amp;$B24&amp;"'!S37"))</f>
        <v>4693.6306043529812</v>
      </c>
      <c r="M24" s="445" cm="1">
        <f t="array" aca="1" ref="M24" ca="1">(INDIRECT("'2"&amp;$B24&amp;"'!K50"))</f>
        <v>106834.47775936125</v>
      </c>
      <c r="N24" s="32"/>
      <c r="O24" s="32"/>
      <c r="R24"/>
    </row>
    <row r="25" spans="2:18" x14ac:dyDescent="0.3">
      <c r="B25" s="199" t="s">
        <v>249</v>
      </c>
      <c r="C25" s="1" t="s">
        <v>480</v>
      </c>
      <c r="D25" s="445" cm="1">
        <f t="array" aca="1" ref="D25" ca="1">(INDIRECT("'2"&amp;$B25&amp;"'!F46"))</f>
        <v>13579.9</v>
      </c>
      <c r="E25" s="445"/>
      <c r="F25" s="445" cm="1">
        <f t="array" aca="1" ref="F25" ca="1">(INDIRECT("'2"&amp;$B25&amp;"'!F50"))</f>
        <v>18494.900000000001</v>
      </c>
      <c r="G25" s="445" cm="1">
        <f t="array" aca="1" ref="G25" ca="1">(INDIRECT("'2"&amp;$B25&amp;"'!G50"))</f>
        <v>20649.432974649841</v>
      </c>
      <c r="H25" s="445" cm="1">
        <f t="array" aca="1" ref="H25" ca="1">(INDIRECT("'2"&amp;$B25&amp;"'!H50"))</f>
        <v>18007.797541179196</v>
      </c>
      <c r="I25" s="445" cm="1">
        <f t="array" aca="1" ref="I25" ca="1">(INDIRECT("'2"&amp;$B25&amp;"'!I50"))</f>
        <v>19177.185932447013</v>
      </c>
      <c r="J25" s="445" cm="1">
        <f t="array" aca="1" ref="J25" ca="1">(INDIRECT("'2"&amp;$B25&amp;"'!J50"))</f>
        <v>18389.099698781985</v>
      </c>
      <c r="K25" s="445" cm="1">
        <f t="array" aca="1" ref="K25" ca="1">(INDIRECT("'2"&amp;$B25&amp;"'!W37"))</f>
        <v>2124.7385838471096</v>
      </c>
      <c r="L25" s="445" cm="1">
        <f t="array" aca="1" ref="L25" ca="1">(INDIRECT("'2"&amp;$B25&amp;"'!S37"))</f>
        <v>-29.794390802731815</v>
      </c>
      <c r="M25" s="445" cm="1">
        <f t="array" aca="1" ref="M25" ca="1">(INDIRECT("'2"&amp;$B25&amp;"'!K50"))</f>
        <v>18792.916034028825</v>
      </c>
      <c r="N25" s="32"/>
      <c r="O25" s="32"/>
      <c r="R25"/>
    </row>
    <row r="26" spans="2:18" x14ac:dyDescent="0.3">
      <c r="B26" s="199" t="s">
        <v>252</v>
      </c>
      <c r="C26" s="1" t="s">
        <v>481</v>
      </c>
      <c r="D26" s="445" cm="1">
        <f t="array" aca="1" ref="D26" ca="1">(INDIRECT("'2"&amp;$B26&amp;"'!F46"))</f>
        <v>2543.6</v>
      </c>
      <c r="E26" s="445"/>
      <c r="F26" s="445" cm="1">
        <f t="array" aca="1" ref="F26" ca="1">(INDIRECT("'2"&amp;$B26&amp;"'!F50"))</f>
        <v>3241.9999999999995</v>
      </c>
      <c r="G26" s="445" cm="1">
        <f t="array" aca="1" ref="G26" ca="1">(INDIRECT("'2"&amp;$B26&amp;"'!G50"))</f>
        <v>3974.2399680863346</v>
      </c>
      <c r="H26" s="445" cm="1">
        <f t="array" aca="1" ref="H26" ca="1">(INDIRECT("'2"&amp;$B26&amp;"'!H50"))</f>
        <v>3333.1448229454377</v>
      </c>
      <c r="I26" s="445" cm="1">
        <f t="array" aca="1" ref="I26" ca="1">(INDIRECT("'2"&amp;$B26&amp;"'!I50"))</f>
        <v>3632.1016416911862</v>
      </c>
      <c r="J26" s="445" cm="1">
        <f t="array" aca="1" ref="J26" ca="1">(INDIRECT("'2"&amp;$B26&amp;"'!J50"))</f>
        <v>3484.4783384933362</v>
      </c>
      <c r="K26" s="445" cm="1">
        <f t="array" aca="1" ref="K26" ca="1">(INDIRECT("'2"&amp;$B26&amp;"'!W37"))</f>
        <v>490.9983670430147</v>
      </c>
      <c r="L26" s="445" cm="1">
        <f t="array" aca="1" ref="L26" ca="1">(INDIRECT("'2"&amp;$B26&amp;"'!S37"))</f>
        <v>-241.24160104332051</v>
      </c>
      <c r="M26" s="445" cm="1">
        <f t="array" aca="1" ref="M26" ca="1">(INDIRECT("'2"&amp;$B26&amp;"'!K50"))</f>
        <v>3279.5901454202763</v>
      </c>
      <c r="N26" s="32"/>
      <c r="O26" s="32"/>
      <c r="R26"/>
    </row>
    <row r="27" spans="2:18" x14ac:dyDescent="0.3">
      <c r="B27" s="199" t="s">
        <v>254</v>
      </c>
      <c r="C27" s="92" t="s">
        <v>482</v>
      </c>
      <c r="D27" s="447" cm="1">
        <f t="array" aca="1" ref="D27" ca="1">(INDIRECT("'2"&amp;$B27&amp;"'!F46"))</f>
        <v>3533.7</v>
      </c>
      <c r="E27" s="447"/>
      <c r="F27" s="447" cm="1">
        <f t="array" aca="1" ref="F27" ca="1">(INDIRECT("'2"&amp;$B27&amp;"'!F50"))</f>
        <v>4662.3999999999996</v>
      </c>
      <c r="G27" s="447" cm="1">
        <f t="array" aca="1" ref="G27" ca="1">(INDIRECT("'2"&amp;$B27&amp;"'!G50"))</f>
        <v>6163.7634889781648</v>
      </c>
      <c r="H27" s="447" cm="1">
        <f t="array" aca="1" ref="H27" ca="1">(INDIRECT("'2"&amp;$B27&amp;"'!H50"))</f>
        <v>5219.2392399403307</v>
      </c>
      <c r="I27" s="447" cm="1">
        <f t="array" aca="1" ref="I27" ca="1">(INDIRECT("'2"&amp;$B27&amp;"'!I50"))</f>
        <v>5528.9145830334892</v>
      </c>
      <c r="J27" s="447" cm="1">
        <f t="array" aca="1" ref="J27" ca="1">(INDIRECT("'2"&amp;$B27&amp;"'!J50"))</f>
        <v>5249.5992661529044</v>
      </c>
      <c r="K27" s="447" cm="1">
        <f t="array" aca="1" ref="K27" ca="1">(INDIRECT("'2"&amp;$B27&amp;"'!W37"))</f>
        <v>831.17912593592337</v>
      </c>
      <c r="L27" s="447" cm="1">
        <f t="array" aca="1" ref="L27" ca="1">(INDIRECT("'2"&amp;$B27&amp;"'!S37"))</f>
        <v>-670.18436304224144</v>
      </c>
      <c r="M27" s="447" cm="1">
        <f t="array" aca="1" ref="M27" ca="1">(INDIRECT("'2"&amp;$B27&amp;"'!K50"))</f>
        <v>5097.7128977373404</v>
      </c>
      <c r="N27" s="32"/>
      <c r="O27" s="32"/>
      <c r="R27"/>
    </row>
    <row r="30" spans="2:18" ht="14.7" customHeight="1" x14ac:dyDescent="0.3">
      <c r="C30" s="548"/>
      <c r="D30" s="548"/>
      <c r="E30" s="548"/>
      <c r="F30" s="548"/>
      <c r="G30" s="548"/>
      <c r="H30" s="548"/>
      <c r="I30" s="548"/>
      <c r="J30" s="548"/>
      <c r="K30" s="548"/>
      <c r="L30" s="548"/>
      <c r="M30" s="548"/>
      <c r="N30" s="548"/>
      <c r="O30" s="548"/>
    </row>
    <row r="31" spans="2:18" x14ac:dyDescent="0.3">
      <c r="C31" s="548"/>
      <c r="D31" s="548"/>
      <c r="E31" s="548"/>
      <c r="F31" s="548"/>
      <c r="G31" s="548"/>
      <c r="H31" s="548"/>
      <c r="I31" s="548"/>
      <c r="J31" s="548"/>
      <c r="K31" s="548"/>
      <c r="L31" s="548"/>
      <c r="M31" s="548"/>
      <c r="N31" s="548"/>
      <c r="O31" s="548"/>
    </row>
    <row r="32" spans="2:18" x14ac:dyDescent="0.3">
      <c r="C32" s="548"/>
      <c r="D32" s="548"/>
      <c r="E32" s="548"/>
      <c r="F32" s="548"/>
      <c r="G32" s="548"/>
      <c r="H32" s="548"/>
      <c r="I32" s="548"/>
      <c r="J32" s="548"/>
      <c r="K32" s="548"/>
      <c r="L32" s="548"/>
      <c r="M32" s="548"/>
      <c r="N32" s="548"/>
      <c r="O32" s="548"/>
    </row>
    <row r="33" spans="3:15" x14ac:dyDescent="0.3">
      <c r="C33" s="548"/>
      <c r="D33" s="548"/>
      <c r="E33" s="548"/>
      <c r="F33" s="548"/>
      <c r="G33" s="548"/>
      <c r="H33" s="548"/>
      <c r="I33" s="548"/>
      <c r="J33" s="548"/>
      <c r="K33" s="548"/>
      <c r="L33" s="548"/>
      <c r="M33" s="548"/>
      <c r="N33" s="548"/>
      <c r="O33" s="548"/>
    </row>
    <row r="34" spans="3:15" x14ac:dyDescent="0.3">
      <c r="C34" s="548"/>
      <c r="D34" s="548"/>
      <c r="E34" s="548"/>
      <c r="F34" s="548"/>
      <c r="G34" s="548"/>
      <c r="H34" s="548"/>
      <c r="I34" s="548"/>
      <c r="J34" s="548"/>
      <c r="K34" s="548"/>
      <c r="L34" s="548"/>
      <c r="M34" s="548"/>
      <c r="N34" s="548"/>
      <c r="O34" s="548"/>
    </row>
  </sheetData>
  <mergeCells count="3">
    <mergeCell ref="D3:M3"/>
    <mergeCell ref="F4:M4"/>
    <mergeCell ref="C30:O34"/>
  </mergeCells>
  <pageMargins left="0.7" right="0.7" top="0.75" bottom="0.75" header="0.3" footer="0.3"/>
  <pageSetup paperSize="9" orientation="portrait"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340A44-1186-4CCB-811C-621E93FE3AF4}">
  <dimension ref="B3:Z34"/>
  <sheetViews>
    <sheetView zoomScaleNormal="100" workbookViewId="0">
      <selection activeCell="R37" sqref="R37"/>
    </sheetView>
  </sheetViews>
  <sheetFormatPr baseColWidth="10" defaultColWidth="11.5546875" defaultRowHeight="14.4" x14ac:dyDescent="0.3"/>
  <cols>
    <col min="1" max="2" width="11.5546875" style="1"/>
    <col min="3" max="3" width="15.6640625" style="1" customWidth="1"/>
    <col min="4" max="4" width="11.33203125" style="1" customWidth="1"/>
    <col min="5" max="5" width="1.33203125" style="1" customWidth="1"/>
    <col min="6" max="13" width="11.33203125" style="1" customWidth="1"/>
    <col min="14" max="14" width="1" style="1" customWidth="1"/>
    <col min="15" max="15" width="9.33203125" style="1" customWidth="1"/>
    <col min="16" max="16" width="1.6640625" style="1" customWidth="1"/>
    <col min="17" max="18" width="9.33203125" style="1" customWidth="1"/>
    <col min="19" max="21" width="8.6640625" style="1" customWidth="1"/>
    <col min="22" max="23" width="14.6640625" style="1" customWidth="1"/>
    <col min="24" max="16384" width="11.5546875" style="1"/>
  </cols>
  <sheetData>
    <row r="3" spans="2:26" x14ac:dyDescent="0.3">
      <c r="D3" s="546" t="s">
        <v>531</v>
      </c>
      <c r="E3" s="546"/>
      <c r="F3" s="546"/>
      <c r="G3" s="546"/>
      <c r="H3" s="546"/>
      <c r="I3" s="546"/>
      <c r="J3" s="546"/>
      <c r="K3" s="546"/>
      <c r="L3" s="546"/>
      <c r="M3" s="546"/>
      <c r="O3" s="546" t="s">
        <v>532</v>
      </c>
      <c r="P3" s="546"/>
      <c r="Q3" s="546"/>
      <c r="R3" s="546"/>
      <c r="S3" s="546"/>
      <c r="T3" s="546"/>
      <c r="U3" s="546"/>
    </row>
    <row r="4" spans="2:26" x14ac:dyDescent="0.3">
      <c r="D4" s="442">
        <v>2019</v>
      </c>
      <c r="F4" s="546">
        <v>2023</v>
      </c>
      <c r="G4" s="546"/>
      <c r="H4" s="546"/>
      <c r="I4" s="546"/>
      <c r="J4" s="546"/>
      <c r="K4" s="546"/>
      <c r="L4" s="546"/>
      <c r="M4" s="546"/>
      <c r="O4" s="369">
        <v>2019</v>
      </c>
      <c r="Q4" s="546">
        <v>2023</v>
      </c>
      <c r="R4" s="546"/>
      <c r="S4" s="546"/>
      <c r="T4" s="546"/>
      <c r="U4" s="546"/>
    </row>
    <row r="5" spans="2:26" ht="60.6" customHeight="1" x14ac:dyDescent="0.3">
      <c r="D5" s="109" t="s">
        <v>509</v>
      </c>
      <c r="F5" s="109" t="s">
        <v>509</v>
      </c>
      <c r="G5" s="460" t="s">
        <v>510</v>
      </c>
      <c r="H5" s="460" t="s">
        <v>511</v>
      </c>
      <c r="I5" s="460" t="s">
        <v>512</v>
      </c>
      <c r="J5" s="460" t="s">
        <v>513</v>
      </c>
      <c r="K5" s="460" t="s">
        <v>533</v>
      </c>
      <c r="L5" s="460" t="s">
        <v>515</v>
      </c>
      <c r="M5" s="460" t="s">
        <v>514</v>
      </c>
      <c r="N5" s="370"/>
      <c r="O5" s="109" t="s">
        <v>509</v>
      </c>
      <c r="Q5" s="109" t="s">
        <v>509</v>
      </c>
      <c r="R5" s="460" t="s">
        <v>510</v>
      </c>
      <c r="S5" s="460" t="s">
        <v>511</v>
      </c>
      <c r="T5" s="460" t="s">
        <v>512</v>
      </c>
      <c r="U5" s="460" t="s">
        <v>513</v>
      </c>
      <c r="V5" s="370"/>
      <c r="W5" s="370"/>
    </row>
    <row r="6" spans="2:26" ht="19.95" customHeight="1" x14ac:dyDescent="0.3">
      <c r="C6" s="92"/>
      <c r="D6" s="457" t="s">
        <v>452</v>
      </c>
      <c r="E6" s="458"/>
      <c r="F6" s="455" t="s">
        <v>453</v>
      </c>
      <c r="G6" s="455" t="s">
        <v>454</v>
      </c>
      <c r="H6" s="455" t="s">
        <v>455</v>
      </c>
      <c r="I6" s="455" t="s">
        <v>456</v>
      </c>
      <c r="J6" s="455" t="s">
        <v>457</v>
      </c>
      <c r="K6" s="455" t="s">
        <v>458</v>
      </c>
      <c r="L6" s="459" t="s">
        <v>459</v>
      </c>
      <c r="M6" s="455" t="s">
        <v>460</v>
      </c>
      <c r="N6" s="455"/>
      <c r="O6" s="457" t="s">
        <v>461</v>
      </c>
      <c r="P6" s="457"/>
      <c r="Q6" s="455" t="s">
        <v>497</v>
      </c>
      <c r="R6" s="457" t="s">
        <v>498</v>
      </c>
      <c r="S6" s="457" t="s">
        <v>499</v>
      </c>
      <c r="T6" s="455" t="s">
        <v>500</v>
      </c>
      <c r="U6" s="457" t="s">
        <v>501</v>
      </c>
      <c r="V6" s="202"/>
      <c r="W6" s="202"/>
      <c r="Z6" s="205"/>
    </row>
    <row r="7" spans="2:26" x14ac:dyDescent="0.3">
      <c r="B7" s="199" t="s">
        <v>3</v>
      </c>
      <c r="C7" s="1" t="s">
        <v>462</v>
      </c>
      <c r="D7" s="303" cm="1">
        <f t="array" aca="1" ref="D7" ca="1">(INDIRECT("'2"&amp;$B7&amp;"'!Y46"))*100</f>
        <v>8.9520507756752252</v>
      </c>
      <c r="E7" s="445" cm="1">
        <f t="array" aca="1" ref="E7" ca="1">(INDIRECT("'2"&amp;$B7&amp;"'!F50"))</f>
        <v>40476.986698880013</v>
      </c>
      <c r="F7" s="303" cm="1">
        <f t="array" aca="1" ref="F7" ca="1">(INDIRECT("'2"&amp;$B7&amp;"'!Y50"))*100</f>
        <v>8.5534026695513141</v>
      </c>
      <c r="G7" s="303" cm="1">
        <f t="array" aca="1" ref="G7" ca="1">(INDIRECT("'2"&amp;$B7&amp;"'!Z50"))*100</f>
        <v>10.211320932882865</v>
      </c>
      <c r="H7" s="303" cm="1">
        <f t="array" aca="1" ref="H7" ca="1">(INDIRECT("'2"&amp;$B7&amp;"'!AA50"))*100</f>
        <v>9.0934436473527978</v>
      </c>
      <c r="I7" s="303" cm="1">
        <f t="array" aca="1" ref="I7" ca="1">(INDIRECT("'2"&amp;$B7&amp;"'!AB50"))*100</f>
        <v>9.1350349215316342</v>
      </c>
      <c r="J7" s="303" cm="1">
        <f t="array" aca="1" ref="J7" ca="1">(INDIRECT("'2"&amp;$B7&amp;"'!AC50"))*100</f>
        <v>8.6652780913450744</v>
      </c>
      <c r="K7" s="303" cm="1">
        <f t="array" aca="1" ref="K7" ca="1">(INDIRECT("'2"&amp;$B7&amp;"'!K50"))/(INDIRECT("'2"&amp;$B7&amp;"'!D37"))*100</f>
        <v>9.0113317679705141</v>
      </c>
      <c r="L7" s="303" cm="1">
        <f t="array" aca="1" ref="L7" ca="1">(INDIRECT("'2"&amp;$B7&amp;"'!W37"))*100/(INDIRECT("'2"&amp;$B7&amp;"'!D37"))</f>
        <v>1.2467353794730298</v>
      </c>
      <c r="M7" s="303" cm="1">
        <f t="array" aca="1" ref="M7" ca="1">(INDIRECT("'2"&amp;$B7&amp;"'!S37"))/(INDIRECT("'2"&amp;$B7&amp;"'!D37"))*100</f>
        <v>-0.41118288385852159</v>
      </c>
      <c r="N7" s="200"/>
      <c r="O7" s="32" cm="1">
        <f t="array" aca="1" ref="O7" ca="1">(INDIRECT("'2"&amp;$B7&amp;"'!C65"))</f>
        <v>13.394287195365411</v>
      </c>
      <c r="Q7" s="32" cm="1">
        <f t="array" aca="1" ref="Q7" ca="1">(INDIRECT("'2"&amp;$B7&amp;"'!C69"))</f>
        <v>12.815526995511552</v>
      </c>
      <c r="R7" s="32" cm="1">
        <f t="array" aca="1" ref="R7" ca="1">(INDIRECT("'2"&amp;$B7&amp;"'!D69"))</f>
        <v>15.299578908057802</v>
      </c>
      <c r="S7" s="32" cm="1">
        <f t="array" aca="1" ref="S7" ca="1">(INDIRECT("'2"&amp;$B7&amp;"'!E69"))</f>
        <v>13.624668105439028</v>
      </c>
      <c r="T7" s="32" cm="1">
        <f t="array" aca="1" ref="T7" ca="1">(INDIRECT("'2"&amp;$B7&amp;"'!F69"))</f>
        <v>13.686984135399133</v>
      </c>
      <c r="U7" s="32" cm="1">
        <f t="array" aca="1" ref="U7" ca="1">(INDIRECT("'2"&amp;$B7&amp;"'!G69"))</f>
        <v>12.983149466184665</v>
      </c>
      <c r="V7" s="32"/>
      <c r="W7" s="32"/>
      <c r="Z7"/>
    </row>
    <row r="8" spans="2:26" x14ac:dyDescent="0.3">
      <c r="B8" s="199" t="s">
        <v>204</v>
      </c>
      <c r="C8" s="1" t="s">
        <v>463</v>
      </c>
      <c r="D8" s="303" cm="1">
        <f t="array" aca="1" ref="D8" ca="1">(INDIRECT("'2"&amp;$B8&amp;"'!Y46"))*100</f>
        <v>11.233324204720919</v>
      </c>
      <c r="E8" s="445"/>
      <c r="F8" s="303" cm="1">
        <f t="array" aca="1" ref="F8" ca="1">(INDIRECT("'2"&amp;$B8&amp;"'!Y50"))*100</f>
        <v>11.625474618854355</v>
      </c>
      <c r="G8" s="303" cm="1">
        <f t="array" aca="1" ref="G8" ca="1">(INDIRECT("'2"&amp;$B8&amp;"'!Z50"))*100</f>
        <v>12.914315513846194</v>
      </c>
      <c r="H8" s="303" cm="1">
        <f t="array" aca="1" ref="H8" ca="1">(INDIRECT("'2"&amp;$B8&amp;"'!AA50"))*100</f>
        <v>10.94783457302163</v>
      </c>
      <c r="I8" s="303" cm="1">
        <f t="array" aca="1" ref="I8" ca="1">(INDIRECT("'2"&amp;$B8&amp;"'!AB50"))*100</f>
        <v>11.440782169661906</v>
      </c>
      <c r="J8" s="303" cm="1">
        <f t="array" aca="1" ref="J8" ca="1">(INDIRECT("'2"&amp;$B8&amp;"'!AC50"))*100</f>
        <v>11.338344703074371</v>
      </c>
      <c r="K8" s="303" cm="1">
        <f t="array" aca="1" ref="K8" ca="1">(INDIRECT("'2"&amp;$B8&amp;"'!K50"))/(INDIRECT("'2"&amp;$B8&amp;"'!D37"))*100</f>
        <v>13.022202061389642</v>
      </c>
      <c r="L8" s="303" cm="1">
        <f t="array" aca="1" ref="L8" ca="1">(INDIRECT("'2"&amp;$B8&amp;"'!W37"))*100/(INDIRECT("'2"&amp;$B8&amp;"'!D37"))</f>
        <v>1.6719950319268926</v>
      </c>
      <c r="M8" s="303" cm="1">
        <f t="array" aca="1" ref="M8" ca="1">(INDIRECT("'2"&amp;$B8&amp;"'!S37"))/(INDIRECT("'2"&amp;$B8&amp;"'!D37"))*100</f>
        <v>0.38315413693505157</v>
      </c>
      <c r="N8" s="200"/>
      <c r="O8" s="32" cm="1">
        <f t="array" aca="1" ref="O8" ca="1">(INDIRECT("'2"&amp;$B8&amp;"'!C65"))</f>
        <v>20.245576485173249</v>
      </c>
      <c r="Q8" s="32" cm="1">
        <f t="array" aca="1" ref="Q8" ca="1">(INDIRECT("'2"&amp;$B8&amp;"'!C69"))</f>
        <v>21.568472135823413</v>
      </c>
      <c r="R8" s="32" cm="1">
        <f t="array" aca="1" ref="R8" ca="1">(INDIRECT("'2"&amp;$B8&amp;"'!D69"))</f>
        <v>23.959628612657273</v>
      </c>
      <c r="S8" s="32" cm="1">
        <f t="array" aca="1" ref="S8" ca="1">(INDIRECT("'2"&amp;$B8&amp;"'!E69"))</f>
        <v>20.311262350774527</v>
      </c>
      <c r="T8" s="32" cm="1">
        <f t="array" aca="1" ref="T8" ca="1">(INDIRECT("'2"&amp;$B8&amp;"'!F69"))</f>
        <v>21.22581653898062</v>
      </c>
      <c r="U8" s="32" cm="1">
        <f t="array" aca="1" ref="U8" ca="1">(INDIRECT("'2"&amp;$B8&amp;"'!G69"))</f>
        <v>21.035766694462932</v>
      </c>
      <c r="V8" s="32"/>
      <c r="W8" s="32"/>
      <c r="Z8"/>
    </row>
    <row r="9" spans="2:26" x14ac:dyDescent="0.3">
      <c r="B9" s="199" t="s">
        <v>208</v>
      </c>
      <c r="C9" s="1" t="s">
        <v>464</v>
      </c>
      <c r="D9" s="303" cm="1">
        <f t="array" aca="1" ref="D9" ca="1">(INDIRECT("'2"&amp;$B9&amp;"'!Y46"))*100</f>
        <v>3.1421868389677319</v>
      </c>
      <c r="E9" s="445"/>
      <c r="F9" s="303" cm="1">
        <f t="array" aca="1" ref="F9" ca="1">(INDIRECT("'2"&amp;$B9&amp;"'!Y50"))*100</f>
        <v>3.7472878111040204</v>
      </c>
      <c r="G9" s="303" cm="1">
        <f t="array" aca="1" ref="G9" ca="1">(INDIRECT("'2"&amp;$B9&amp;"'!Z50"))*100</f>
        <v>3.8539390153667958</v>
      </c>
      <c r="H9" s="303" cm="1">
        <f t="array" aca="1" ref="H9" ca="1">(INDIRECT("'2"&amp;$B9&amp;"'!AA50"))*100</f>
        <v>3.3000100109332751</v>
      </c>
      <c r="I9" s="303" cm="1">
        <f t="array" aca="1" ref="I9" ca="1">(INDIRECT("'2"&amp;$B9&amp;"'!AB50"))*100</f>
        <v>3.4646770012508465</v>
      </c>
      <c r="J9" s="303" cm="1">
        <f t="array" aca="1" ref="J9" ca="1">(INDIRECT("'2"&amp;$B9&amp;"'!AC50"))*100</f>
        <v>3.3116265746405471</v>
      </c>
      <c r="K9" s="303" cm="1">
        <f t="array" aca="1" ref="K9" ca="1">(INDIRECT("'2"&amp;$B9&amp;"'!K50"))/(INDIRECT("'2"&amp;$B9&amp;"'!D37"))*100</f>
        <v>3.7472878111040204</v>
      </c>
      <c r="L9" s="303" cm="1">
        <f t="array" aca="1" ref="L9" ca="1">(INDIRECT("'2"&amp;$B9&amp;"'!W37"))*100/(INDIRECT("'2"&amp;$B9&amp;"'!D37"))</f>
        <v>0.49516781975857321</v>
      </c>
      <c r="M9" s="303" cm="1">
        <f t="array" aca="1" ref="M9" ca="1">(INDIRECT("'2"&amp;$B9&amp;"'!S37"))/(INDIRECT("'2"&amp;$B9&amp;"'!D37"))*100</f>
        <v>0.38851661549579752</v>
      </c>
      <c r="N9" s="200"/>
      <c r="O9" s="32" cm="1">
        <f t="array" aca="1" ref="O9" ca="1">(INDIRECT("'2"&amp;$B9&amp;"'!C65"))</f>
        <v>6.9267514488688313</v>
      </c>
      <c r="Q9" s="32" cm="1">
        <f t="array" aca="1" ref="Q9" ca="1">(INDIRECT("'2"&amp;$B9&amp;"'!C69"))</f>
        <v>7.9026628754337205</v>
      </c>
      <c r="R9" s="32" cm="1">
        <f t="array" aca="1" ref="R9" ca="1">(INDIRECT("'2"&amp;$B9&amp;"'!D69"))</f>
        <v>8.1275798167079536</v>
      </c>
      <c r="S9" s="32" cm="1">
        <f t="array" aca="1" ref="S9" ca="1">(INDIRECT("'2"&amp;$B9&amp;"'!E69"))</f>
        <v>6.9593978142497406</v>
      </c>
      <c r="T9" s="32" cm="1">
        <f t="array" aca="1" ref="T9" ca="1">(INDIRECT("'2"&amp;$B9&amp;"'!F69"))</f>
        <v>7.3066643645627494</v>
      </c>
      <c r="U9" s="32" cm="1">
        <f t="array" aca="1" ref="U9" ca="1">(INDIRECT("'2"&amp;$B9&amp;"'!G69"))</f>
        <v>6.9838960090447983</v>
      </c>
      <c r="V9" s="32"/>
      <c r="W9" s="32"/>
      <c r="Z9"/>
    </row>
    <row r="10" spans="2:26" x14ac:dyDescent="0.3">
      <c r="B10" s="199" t="s">
        <v>210</v>
      </c>
      <c r="C10" s="1" t="s">
        <v>465</v>
      </c>
      <c r="D10" s="303" cm="1">
        <f t="array" aca="1" ref="D10" ca="1">(INDIRECT("'2"&amp;$B10&amp;"'!Y46"))*100</f>
        <v>9.5953752319739287</v>
      </c>
      <c r="E10" s="445"/>
      <c r="F10" s="303" cm="1">
        <f t="array" aca="1" ref="F10" ca="1">(INDIRECT("'2"&amp;$B10&amp;"'!Y50"))*100</f>
        <v>8.9552866409432461</v>
      </c>
      <c r="G10" s="303" cm="1">
        <f t="array" aca="1" ref="G10" ca="1">(INDIRECT("'2"&amp;$B10&amp;"'!Z50"))*100</f>
        <v>10.139965387154595</v>
      </c>
      <c r="H10" s="303" cm="1">
        <f t="array" aca="1" ref="H10" ca="1">(INDIRECT("'2"&amp;$B10&amp;"'!AA50"))*100</f>
        <v>9.4014031506957689</v>
      </c>
      <c r="I10" s="303" cm="1">
        <f t="array" aca="1" ref="I10" ca="1">(INDIRECT("'2"&amp;$B10&amp;"'!AB50"))*100</f>
        <v>9.3999312273762179</v>
      </c>
      <c r="J10" s="303" cm="1">
        <f t="array" aca="1" ref="J10" ca="1">(INDIRECT("'2"&amp;$B10&amp;"'!AC50"))*100</f>
        <v>9.146634830981764</v>
      </c>
      <c r="K10" s="303" cm="1">
        <f t="array" aca="1" ref="K10" ca="1">(INDIRECT("'2"&amp;$B10&amp;"'!K50"))/(INDIRECT("'2"&amp;$B10&amp;"'!D37"))*100</f>
        <v>9.620917412591286</v>
      </c>
      <c r="L10" s="303" cm="1">
        <f t="array" aca="1" ref="L10" ca="1">(INDIRECT("'2"&amp;$B10&amp;"'!W37"))*100/(INDIRECT("'2"&amp;$B10&amp;"'!D37"))</f>
        <v>0.82397565080334423</v>
      </c>
      <c r="M10" s="303" cm="1">
        <f t="array" aca="1" ref="M10" ca="1">(INDIRECT("'2"&amp;$B10&amp;"'!S37"))/(INDIRECT("'2"&amp;$B10&amp;"'!D37"))*100</f>
        <v>-0.36070309540800499</v>
      </c>
      <c r="N10" s="200"/>
      <c r="O10" s="32" cm="1">
        <f t="array" aca="1" ref="O10" ca="1">(INDIRECT("'2"&amp;$B10&amp;"'!C65"))</f>
        <v>18.858577831124361</v>
      </c>
      <c r="Q10" s="32" cm="1">
        <f t="array" aca="1" ref="Q10" ca="1">(INDIRECT("'2"&amp;$B10&amp;"'!C69"))</f>
        <v>17.90065301033205</v>
      </c>
      <c r="R10" s="32" cm="1">
        <f t="array" aca="1" ref="R10" ca="1">(INDIRECT("'2"&amp;$B10&amp;"'!D69"))</f>
        <v>20.268698167891738</v>
      </c>
      <c r="S10" s="32" cm="1">
        <f t="array" aca="1" ref="S10" ca="1">(INDIRECT("'2"&amp;$B10&amp;"'!E69"))</f>
        <v>18.792391841644235</v>
      </c>
      <c r="T10" s="32" cm="1">
        <f t="array" aca="1" ref="T10" ca="1">(INDIRECT("'2"&amp;$B10&amp;"'!F69"))</f>
        <v>18.789449625536868</v>
      </c>
      <c r="U10" s="32" cm="1">
        <f t="array" aca="1" ref="U10" ca="1">(INDIRECT("'2"&amp;$B10&amp;"'!G69"))</f>
        <v>18.283137423323868</v>
      </c>
      <c r="V10" s="32"/>
      <c r="W10" s="32"/>
      <c r="Z10"/>
    </row>
    <row r="11" spans="2:26" x14ac:dyDescent="0.3">
      <c r="B11" s="199" t="s">
        <v>214</v>
      </c>
      <c r="C11" s="1" t="s">
        <v>466</v>
      </c>
      <c r="D11" s="303" cm="1">
        <f t="array" aca="1" ref="D11" ca="1">(INDIRECT("'2"&amp;$B11&amp;"'!Y46"))*100</f>
        <v>5.3793011404146513</v>
      </c>
      <c r="E11" s="445"/>
      <c r="F11" s="303" cm="1">
        <f t="array" aca="1" ref="F11" ca="1">(INDIRECT("'2"&amp;$B11&amp;"'!Y50"))*100</f>
        <v>6.2603763505622219</v>
      </c>
      <c r="G11" s="303" cm="1">
        <f t="array" aca="1" ref="G11" ca="1">(INDIRECT("'2"&amp;$B11&amp;"'!Z50"))*100</f>
        <v>6.8852761379001013</v>
      </c>
      <c r="H11" s="303" cm="1">
        <f t="array" aca="1" ref="H11" ca="1">(INDIRECT("'2"&amp;$B11&amp;"'!AA50"))*100</f>
        <v>5.7841874035685015</v>
      </c>
      <c r="I11" s="303" cm="1">
        <f t="array" aca="1" ref="I11" ca="1">(INDIRECT("'2"&amp;$B11&amp;"'!AB50"))*100</f>
        <v>6.0992740541774806</v>
      </c>
      <c r="J11" s="303" cm="1">
        <f t="array" aca="1" ref="J11" ca="1">(INDIRECT("'2"&amp;$B11&amp;"'!AC50"))*100</f>
        <v>5.8586546479472377</v>
      </c>
      <c r="K11" s="303" cm="1">
        <f t="array" aca="1" ref="K11" ca="1">(INDIRECT("'2"&amp;$B11&amp;"'!K50"))/(INDIRECT("'2"&amp;$B11&amp;"'!D37"))*100</f>
        <v>6.5157734345278513</v>
      </c>
      <c r="L11" s="303" cm="1">
        <f t="array" aca="1" ref="L11" ca="1">(INDIRECT("'2"&amp;$B11&amp;"'!W37"))*100/(INDIRECT("'2"&amp;$B11&amp;"'!D37"))</f>
        <v>0.97123743600236034</v>
      </c>
      <c r="M11" s="303" cm="1">
        <f t="array" aca="1" ref="M11" ca="1">(INDIRECT("'2"&amp;$B11&amp;"'!S37"))/(INDIRECT("'2"&amp;$B11&amp;"'!D37"))*100</f>
        <v>0.3463376486644813</v>
      </c>
      <c r="N11" s="200"/>
      <c r="O11" s="32" cm="1">
        <f t="array" aca="1" ref="O11" ca="1">(INDIRECT("'2"&amp;$B11&amp;"'!C65"))</f>
        <v>12.919237474019168</v>
      </c>
      <c r="Q11" s="32" cm="1">
        <f t="array" aca="1" ref="Q11" ca="1">(INDIRECT("'2"&amp;$B11&amp;"'!C69"))</f>
        <v>14.00068594969372</v>
      </c>
      <c r="R11" s="32" cm="1">
        <f t="array" aca="1" ref="R11" ca="1">(INDIRECT("'2"&amp;$B11&amp;"'!D69"))</f>
        <v>15.398209865610104</v>
      </c>
      <c r="S11" s="32" cm="1">
        <f t="array" aca="1" ref="S11" ca="1">(INDIRECT("'2"&amp;$B11&amp;"'!E69"))</f>
        <v>12.935738488671561</v>
      </c>
      <c r="T11" s="32" cm="1">
        <f t="array" aca="1" ref="T11" ca="1">(INDIRECT("'2"&amp;$B11&amp;"'!F69"))</f>
        <v>13.640397281544454</v>
      </c>
      <c r="U11" s="32" cm="1">
        <f t="array" aca="1" ref="U11" ca="1">(INDIRECT("'2"&amp;$B11&amp;"'!G69"))</f>
        <v>13.102276799422183</v>
      </c>
      <c r="V11" s="32"/>
      <c r="W11" s="32"/>
      <c r="Z11"/>
    </row>
    <row r="12" spans="2:26" x14ac:dyDescent="0.3">
      <c r="B12" s="199" t="s">
        <v>217</v>
      </c>
      <c r="C12" s="1" t="s">
        <v>467</v>
      </c>
      <c r="D12" s="303" cm="1">
        <f t="array" aca="1" ref="D12" ca="1">(INDIRECT("'2"&amp;$B12&amp;"'!Y46"))*100</f>
        <v>5.8618261464986725</v>
      </c>
      <c r="E12" s="445"/>
      <c r="F12" s="303" cm="1">
        <f t="array" aca="1" ref="F12" ca="1">(INDIRECT("'2"&amp;$B12&amp;"'!Y50"))*100</f>
        <v>5.9436875019149911</v>
      </c>
      <c r="G12" s="303" cm="1">
        <f t="array" aca="1" ref="G12" ca="1">(INDIRECT("'2"&amp;$B12&amp;"'!Z50"))*100</f>
        <v>6.5579077729530697</v>
      </c>
      <c r="H12" s="303" cm="1">
        <f t="array" aca="1" ref="H12" ca="1">(INDIRECT("'2"&amp;$B12&amp;"'!AA50"))*100</f>
        <v>6.1111055267385774</v>
      </c>
      <c r="I12" s="303" cm="1">
        <f t="array" aca="1" ref="I12" ca="1">(INDIRECT("'2"&amp;$B12&amp;"'!AB50"))*100</f>
        <v>6.0437369871503961</v>
      </c>
      <c r="J12" s="303" cm="1">
        <f t="array" aca="1" ref="J12" ca="1">(INDIRECT("'2"&amp;$B12&amp;"'!AC50"))*100</f>
        <v>5.8406613957649274</v>
      </c>
      <c r="K12" s="303" cm="1">
        <f t="array" aca="1" ref="K12" ca="1">(INDIRECT("'2"&amp;$B12&amp;"'!K50"))/(INDIRECT("'2"&amp;$B12&amp;"'!D37"))*100</f>
        <v>5.9437729893753728</v>
      </c>
      <c r="L12" s="303" cm="1">
        <f t="array" aca="1" ref="L12" ca="1">(INDIRECT("'2"&amp;$B12&amp;"'!W37"))*100/(INDIRECT("'2"&amp;$B12&amp;"'!D37"))</f>
        <v>0.55940646973510333</v>
      </c>
      <c r="M12" s="303" cm="1">
        <f t="array" aca="1" ref="M12" ca="1">(INDIRECT("'2"&amp;$B12&amp;"'!S37"))/(INDIRECT("'2"&amp;$B12&amp;"'!D37"))*100</f>
        <v>-5.4813801302976174E-2</v>
      </c>
      <c r="N12" s="200"/>
      <c r="O12" s="32" cm="1">
        <f t="array" aca="1" ref="O12" ca="1">(INDIRECT("'2"&amp;$B12&amp;"'!C65"))</f>
        <v>8.8204633763519524</v>
      </c>
      <c r="Q12" s="32" cm="1">
        <f t="array" aca="1" ref="Q12" ca="1">(INDIRECT("'2"&amp;$B12&amp;"'!C69"))</f>
        <v>8.6754276780268444</v>
      </c>
      <c r="R12" s="32" cm="1">
        <f t="array" aca="1" ref="R12" ca="1">(INDIRECT("'2"&amp;$B12&amp;"'!D69"))</f>
        <v>9.5719457971325479</v>
      </c>
      <c r="S12" s="32" cm="1">
        <f t="array" aca="1" ref="S12" ca="1">(INDIRECT("'2"&amp;$B12&amp;"'!E69"))</f>
        <v>8.9197916298475253</v>
      </c>
      <c r="T12" s="32" cm="1">
        <f t="array" aca="1" ref="T12" ca="1">(INDIRECT("'2"&amp;$B12&amp;"'!F69"))</f>
        <v>8.82146026690436</v>
      </c>
      <c r="U12" s="32" cm="1">
        <f t="array" aca="1" ref="U12" ca="1">(INDIRECT("'2"&amp;$B12&amp;"'!G69"))</f>
        <v>8.5250504025449807</v>
      </c>
      <c r="V12" s="32"/>
      <c r="W12" s="32"/>
      <c r="Z12"/>
    </row>
    <row r="13" spans="2:26" x14ac:dyDescent="0.3">
      <c r="B13" s="199" t="s">
        <v>218</v>
      </c>
      <c r="C13" s="1" t="s">
        <v>468</v>
      </c>
      <c r="D13" s="303" cm="1">
        <f t="array" aca="1" ref="D13" ca="1">(INDIRECT("'2"&amp;$B13&amp;"'!Y46"))*100</f>
        <v>7.8991951886799967</v>
      </c>
      <c r="E13" s="445"/>
      <c r="F13" s="303" cm="1">
        <f t="array" aca="1" ref="F13" ca="1">(INDIRECT("'2"&amp;$B13&amp;"'!Y50"))*100</f>
        <v>8.9714580630688108</v>
      </c>
      <c r="G13" s="303" cm="1">
        <f t="array" aca="1" ref="G13" ca="1">(INDIRECT("'2"&amp;$B13&amp;"'!Z50"))*100</f>
        <v>9.2671037100992546</v>
      </c>
      <c r="H13" s="303" cm="1">
        <f t="array" aca="1" ref="H13" ca="1">(INDIRECT("'2"&amp;$B13&amp;"'!AA50"))*100</f>
        <v>8.3397664885272018</v>
      </c>
      <c r="I13" s="303" cm="1">
        <f t="array" aca="1" ref="I13" ca="1">(INDIRECT("'2"&amp;$B13&amp;"'!AB50"))*100</f>
        <v>8.3453133292932318</v>
      </c>
      <c r="J13" s="303" cm="1">
        <f t="array" aca="1" ref="J13" ca="1">(INDIRECT("'2"&amp;$B13&amp;"'!AC50"))*100</f>
        <v>8.1405550626630223</v>
      </c>
      <c r="K13" s="303" cm="1">
        <f t="array" aca="1" ref="K13" ca="1">(INDIRECT("'2"&amp;$B13&amp;"'!K50"))/(INDIRECT("'2"&amp;$B13&amp;"'!D37"))*100</f>
        <v>9.2508449176642227</v>
      </c>
      <c r="L13" s="303" cm="1">
        <f t="array" aca="1" ref="L13" ca="1">(INDIRECT("'2"&amp;$B13&amp;"'!W37"))*100/(INDIRECT("'2"&amp;$B13&amp;"'!D37"))</f>
        <v>0.99189208327143519</v>
      </c>
      <c r="M13" s="303" cm="1">
        <f t="array" aca="1" ref="M13" ca="1">(INDIRECT("'2"&amp;$B13&amp;"'!S37"))/(INDIRECT("'2"&amp;$B13&amp;"'!D37"))*100</f>
        <v>0.69624643624099125</v>
      </c>
      <c r="N13" s="200"/>
      <c r="O13" s="32" cm="1">
        <f t="array" aca="1" ref="O13" ca="1">(INDIRECT("'2"&amp;$B13&amp;"'!C65"))</f>
        <v>13.500919625524329</v>
      </c>
      <c r="Q13" s="32" cm="1">
        <f t="array" aca="1" ref="Q13" ca="1">(INDIRECT("'2"&amp;$B13&amp;"'!C69"))</f>
        <v>14.44268867893739</v>
      </c>
      <c r="R13" s="32" cm="1">
        <f t="array" aca="1" ref="R13" ca="1">(INDIRECT("'2"&amp;$B13&amp;"'!D69"))</f>
        <v>14.918633392642391</v>
      </c>
      <c r="S13" s="32" cm="1">
        <f t="array" aca="1" ref="S13" ca="1">(INDIRECT("'2"&amp;$B13&amp;"'!E69"))</f>
        <v>13.425760918914905</v>
      </c>
      <c r="T13" s="32" cm="1">
        <f t="array" aca="1" ref="T13" ca="1">(INDIRECT("'2"&amp;$B13&amp;"'!F69"))</f>
        <v>13.434690492432638</v>
      </c>
      <c r="U13" s="32" cm="1">
        <f t="array" aca="1" ref="U13" ca="1">(INDIRECT("'2"&amp;$B13&amp;"'!G69"))</f>
        <v>13.105060695515611</v>
      </c>
      <c r="V13" s="32"/>
      <c r="W13" s="32"/>
      <c r="Z13"/>
    </row>
    <row r="14" spans="2:26" x14ac:dyDescent="0.3">
      <c r="B14" s="199" t="s">
        <v>222</v>
      </c>
      <c r="C14" s="1" t="s">
        <v>469</v>
      </c>
      <c r="D14" s="303" cm="1">
        <f t="array" aca="1" ref="D14" ca="1">(INDIRECT("'2"&amp;$B14&amp;"'!Y46"))*100</f>
        <v>12.326533007991012</v>
      </c>
      <c r="E14" s="445"/>
      <c r="F14" s="303" cm="1">
        <f t="array" aca="1" ref="F14" ca="1">(INDIRECT("'2"&amp;$B14&amp;"'!Y50"))*100</f>
        <v>12.727937948192594</v>
      </c>
      <c r="G14" s="303" cm="1">
        <f t="array" aca="1" ref="G14" ca="1">(INDIRECT("'2"&amp;$B14&amp;"'!Z50"))*100</f>
        <v>13.643330300076482</v>
      </c>
      <c r="H14" s="303" cm="1">
        <f t="array" aca="1" ref="H14" ca="1">(INDIRECT("'2"&amp;$B14&amp;"'!AA50"))*100</f>
        <v>12.602360226068972</v>
      </c>
      <c r="I14" s="303" cm="1">
        <f t="array" aca="1" ref="I14" ca="1">(INDIRECT("'2"&amp;$B14&amp;"'!AB50"))*100</f>
        <v>12.677443253312939</v>
      </c>
      <c r="J14" s="303" cm="1">
        <f t="array" aca="1" ref="J14" ca="1">(INDIRECT("'2"&amp;$B14&amp;"'!AC50"))*100</f>
        <v>12.386771476848921</v>
      </c>
      <c r="K14" s="303" cm="1">
        <f t="array" aca="1" ref="K14" ca="1">(INDIRECT("'2"&amp;$B14&amp;"'!K50"))/(INDIRECT("'2"&amp;$B14&amp;"'!D37"))*100</f>
        <v>13.422283231955449</v>
      </c>
      <c r="L14" s="303" cm="1">
        <f t="array" aca="1" ref="L14" ca="1">(INDIRECT("'2"&amp;$B14&amp;"'!W37"))*100/(INDIRECT("'2"&amp;$B14&amp;"'!D37"))</f>
        <v>1.0878053146662028</v>
      </c>
      <c r="M14" s="303" cm="1">
        <f t="array" aca="1" ref="M14" ca="1">(INDIRECT("'2"&amp;$B14&amp;"'!S37"))/(INDIRECT("'2"&amp;$B14&amp;"'!D37"))*100</f>
        <v>0.17241296278231702</v>
      </c>
      <c r="N14" s="200"/>
      <c r="O14" s="32" cm="1">
        <f t="array" aca="1" ref="O14" ca="1">(INDIRECT("'2"&amp;$B14&amp;"'!C65"))</f>
        <v>20.1720793709441</v>
      </c>
      <c r="Q14" s="32" cm="1">
        <f t="array" aca="1" ref="Q14" ca="1">(INDIRECT("'2"&amp;$B14&amp;"'!C69"))</f>
        <v>20.297213303553796</v>
      </c>
      <c r="R14" s="32" cm="1">
        <f t="array" aca="1" ref="R14" ca="1">(INDIRECT("'2"&amp;$B14&amp;"'!D69"))</f>
        <v>21.756987376797721</v>
      </c>
      <c r="S14" s="32" cm="1">
        <f t="array" aca="1" ref="S14" ca="1">(INDIRECT("'2"&amp;$B14&amp;"'!E69"))</f>
        <v>20.096954799584623</v>
      </c>
      <c r="T14" s="32" cm="1">
        <f t="array" aca="1" ref="T14" ca="1">(INDIRECT("'2"&amp;$B14&amp;"'!F69"))</f>
        <v>20.216689530037456</v>
      </c>
      <c r="U14" s="32" cm="1">
        <f t="array" aca="1" ref="U14" ca="1">(INDIRECT("'2"&amp;$B14&amp;"'!G69"))</f>
        <v>19.753155918212233</v>
      </c>
      <c r="V14" s="32"/>
      <c r="W14" s="32"/>
      <c r="Z14"/>
    </row>
    <row r="15" spans="2:26" x14ac:dyDescent="0.3">
      <c r="B15" s="199" t="s">
        <v>223</v>
      </c>
      <c r="C15" s="1" t="s">
        <v>470</v>
      </c>
      <c r="D15" s="303" cm="1">
        <f t="array" aca="1" ref="D15" ca="1">(INDIRECT("'2"&amp;$B15&amp;"'!Y46"))*100</f>
        <v>9.2222413635023663</v>
      </c>
      <c r="E15" s="445"/>
      <c r="F15" s="303" cm="1">
        <f t="array" aca="1" ref="F15" ca="1">(INDIRECT("'2"&amp;$B15&amp;"'!Y50"))*100</f>
        <v>9.306791428029852</v>
      </c>
      <c r="G15" s="303" cm="1">
        <f t="array" aca="1" ref="G15" ca="1">(INDIRECT("'2"&amp;$B15&amp;"'!Z50"))*100</f>
        <v>10.023078716026939</v>
      </c>
      <c r="H15" s="303" cm="1">
        <f t="array" aca="1" ref="H15" ca="1">(INDIRECT("'2"&amp;$B15&amp;"'!AA50"))*100</f>
        <v>9.4535684587902811</v>
      </c>
      <c r="I15" s="303" cm="1">
        <f t="array" aca="1" ref="I15" ca="1">(INDIRECT("'2"&amp;$B15&amp;"'!AB50"))*100</f>
        <v>9.3814298548450878</v>
      </c>
      <c r="J15" s="303" cm="1">
        <f t="array" aca="1" ref="J15" ca="1">(INDIRECT("'2"&amp;$B15&amp;"'!AC50"))*100</f>
        <v>9.1740924175556646</v>
      </c>
      <c r="K15" s="303" cm="1">
        <f t="array" aca="1" ref="K15" ca="1">(INDIRECT("'2"&amp;$B15&amp;"'!K50"))/(INDIRECT("'2"&amp;$B15&amp;"'!D37"))*100</f>
        <v>9.4769442303551124</v>
      </c>
      <c r="L15" s="303" cm="1">
        <f t="array" aca="1" ref="L15" ca="1">(INDIRECT("'2"&amp;$B15&amp;"'!W37"))*100/(INDIRECT("'2"&amp;$B15&amp;"'!D37"))</f>
        <v>0.6867151389632602</v>
      </c>
      <c r="M15" s="303" cm="1">
        <f t="array" aca="1" ref="M15" ca="1">(INDIRECT("'2"&amp;$B15&amp;"'!S37"))/(INDIRECT("'2"&amp;$B15&amp;"'!D37"))*100</f>
        <v>-2.9572149033825323E-2</v>
      </c>
      <c r="N15" s="200"/>
      <c r="O15" s="32" cm="1">
        <f t="array" aca="1" ref="O15" ca="1">(INDIRECT("'2"&amp;$B15&amp;"'!C65"))</f>
        <v>15.321550141464787</v>
      </c>
      <c r="Q15" s="32" cm="1">
        <f t="array" aca="1" ref="Q15" ca="1">(INDIRECT("'2"&amp;$B15&amp;"'!C69"))</f>
        <v>15.170045390908987</v>
      </c>
      <c r="R15" s="32" cm="1">
        <f t="array" aca="1" ref="R15" ca="1">(INDIRECT("'2"&amp;$B15&amp;"'!D69"))</f>
        <v>16.337591774200732</v>
      </c>
      <c r="S15" s="32" cm="1">
        <f t="array" aca="1" ref="S15" ca="1">(INDIRECT("'2"&amp;$B15&amp;"'!E69"))</f>
        <v>15.40929156250283</v>
      </c>
      <c r="T15" s="32" cm="1">
        <f t="array" aca="1" ref="T15" ca="1">(INDIRECT("'2"&amp;$B15&amp;"'!F69"))</f>
        <v>15.291705829036248</v>
      </c>
      <c r="U15" s="32" cm="1">
        <f t="array" aca="1" ref="U15" ca="1">(INDIRECT("'2"&amp;$B15&amp;"'!G69"))</f>
        <v>14.953746355114617</v>
      </c>
      <c r="V15" s="32"/>
      <c r="W15" s="32"/>
      <c r="Z15"/>
    </row>
    <row r="16" spans="2:26" x14ac:dyDescent="0.3">
      <c r="B16" s="199" t="s">
        <v>225</v>
      </c>
      <c r="C16" s="1" t="s">
        <v>471</v>
      </c>
      <c r="D16" s="303" cm="1">
        <f t="array" aca="1" ref="D16" ca="1">(INDIRECT("'2"&amp;$B16&amp;"'!Y46"))*100</f>
        <v>3.1266089565321185</v>
      </c>
      <c r="E16" s="445"/>
      <c r="F16" s="303" cm="1">
        <f t="array" aca="1" ref="F16" ca="1">(INDIRECT("'2"&amp;$B16&amp;"'!Y50"))*100</f>
        <v>3.1501849703877385</v>
      </c>
      <c r="G16" s="303" cm="1">
        <f t="array" aca="1" ref="G16" ca="1">(INDIRECT("'2"&amp;$B16&amp;"'!Z50"))*100</f>
        <v>4.3791108151767837</v>
      </c>
      <c r="H16" s="303" cm="1">
        <f t="array" aca="1" ref="H16" ca="1">(INDIRECT("'2"&amp;$B16&amp;"'!AA50"))*100</f>
        <v>3.3370128566710866</v>
      </c>
      <c r="I16" s="303" cm="1">
        <f t="array" aca="1" ref="I16" ca="1">(INDIRECT("'2"&amp;$B16&amp;"'!AB50"))*100</f>
        <v>3.7461391242481845</v>
      </c>
      <c r="J16" s="303" cm="1">
        <f t="array" aca="1" ref="J16" ca="1">(INDIRECT("'2"&amp;$B16&amp;"'!AC50"))*100</f>
        <v>3.427915692953583</v>
      </c>
      <c r="K16" s="303" cm="1">
        <f t="array" aca="1" ref="K16" ca="1">(INDIRECT("'2"&amp;$B16&amp;"'!K50"))/(INDIRECT("'2"&amp;$B16&amp;"'!D37"))*100</f>
        <v>3.1501849703877385</v>
      </c>
      <c r="L16" s="303" cm="1">
        <f t="array" aca="1" ref="L16" ca="1">(INDIRECT("'2"&amp;$B16&amp;"'!W37"))*100/(INDIRECT("'2"&amp;$B16&amp;"'!D37"))</f>
        <v>0.87542159055249935</v>
      </c>
      <c r="M16" s="303" cm="1">
        <f t="array" aca="1" ref="M16" ca="1">(INDIRECT("'2"&amp;$B16&amp;"'!S37"))/(INDIRECT("'2"&amp;$B16&amp;"'!D37"))*100</f>
        <v>-0.35350425423654624</v>
      </c>
      <c r="N16" s="200"/>
      <c r="O16" s="32" cm="1">
        <f t="array" aca="1" ref="O16" ca="1">(INDIRECT("'2"&amp;$B16&amp;"'!C65"))</f>
        <v>5.09627274252201</v>
      </c>
      <c r="Q16" s="32" cm="1">
        <f t="array" aca="1" ref="Q16" ca="1">(INDIRECT("'2"&amp;$B16&amp;"'!C69"))</f>
        <v>5.114312040750236</v>
      </c>
      <c r="R16" s="32" cm="1">
        <f t="array" aca="1" ref="R16" ca="1">(INDIRECT("'2"&amp;$B16&amp;"'!D69"))</f>
        <v>7.1094679773935905</v>
      </c>
      <c r="S16" s="32" cm="1">
        <f t="array" aca="1" ref="S16" ca="1">(INDIRECT("'2"&amp;$B16&amp;"'!E69"))</f>
        <v>5.4176263277996215</v>
      </c>
      <c r="T16" s="32" cm="1">
        <f t="array" aca="1" ref="T16" ca="1">(INDIRECT("'2"&amp;$B16&amp;"'!F69"))</f>
        <v>6.0818411012575773</v>
      </c>
      <c r="U16" s="32" cm="1">
        <f t="array" aca="1" ref="U16" ca="1">(INDIRECT("'2"&amp;$B16&amp;"'!G69"))</f>
        <v>5.565206699907324</v>
      </c>
      <c r="V16" s="32"/>
      <c r="W16" s="32"/>
      <c r="Z16"/>
    </row>
    <row r="17" spans="2:26" x14ac:dyDescent="0.3">
      <c r="B17" s="199" t="s">
        <v>227</v>
      </c>
      <c r="C17" s="444" t="s">
        <v>472</v>
      </c>
      <c r="D17" s="448" cm="1">
        <f t="array" aca="1" ref="D17" ca="1">(INDIRECT("'2"&amp;$B17&amp;"'!Y46"))*100</f>
        <v>5.0574469484003668</v>
      </c>
      <c r="E17" s="446"/>
      <c r="F17" s="448" cm="1">
        <f t="array" aca="1" ref="F17" ca="1">(INDIRECT("'2"&amp;$B17&amp;"'!Y50"))*100</f>
        <v>5.3222833288977878</v>
      </c>
      <c r="G17" s="448" cm="1">
        <f t="array" aca="1" ref="G17" ca="1">(INDIRECT("'2"&amp;$B17&amp;"'!Z50"))*100</f>
        <v>5.8924404488925486</v>
      </c>
      <c r="H17" s="448" cm="1">
        <f t="array" aca="1" ref="H17" ca="1">(INDIRECT("'2"&amp;$B17&amp;"'!AA50"))*100</f>
        <v>5.1822631793100573</v>
      </c>
      <c r="I17" s="448" cm="1">
        <f t="array" aca="1" ref="I17" ca="1">(INDIRECT("'2"&amp;$B17&amp;"'!AB50"))*100</f>
        <v>5.1963482567172514</v>
      </c>
      <c r="J17" s="448" cm="1">
        <f t="array" aca="1" ref="J17" ca="1">(INDIRECT("'2"&amp;$B17&amp;"'!AC50"))*100</f>
        <v>5.1314962701634323</v>
      </c>
      <c r="K17" s="303" cm="1">
        <f t="array" aca="1" ref="K17" ca="1">(INDIRECT("'2"&amp;$B17&amp;"'!K50"))/(INDIRECT("'2"&amp;$B17&amp;"'!D37"))*100</f>
        <v>5.3222114505304017</v>
      </c>
      <c r="L17" s="303" cm="1">
        <f t="array" aca="1" ref="L17" ca="1">(INDIRECT("'2"&amp;$B17&amp;"'!W37"))*100/(INDIRECT("'2"&amp;$B17&amp;"'!D37"))</f>
        <v>0.72240454682896804</v>
      </c>
      <c r="M17" s="303" cm="1">
        <f t="array" aca="1" ref="M17" ca="1">(INDIRECT("'2"&amp;$B17&amp;"'!S37"))/(INDIRECT("'2"&amp;$B17&amp;"'!D37"))*100</f>
        <v>0.15224742683420747</v>
      </c>
      <c r="N17" s="200"/>
      <c r="O17" s="32" cm="1">
        <f t="array" aca="1" ref="O17" ca="1">(INDIRECT("'2"&amp;$B17&amp;"'!C65"))</f>
        <v>10.310440645019989</v>
      </c>
      <c r="Q17" s="32" cm="1">
        <f t="array" aca="1" ref="Q17" ca="1">(INDIRECT("'2"&amp;$B17&amp;"'!C69"))</f>
        <v>9.9703561318237792</v>
      </c>
      <c r="R17" s="32" cm="1">
        <f t="array" aca="1" ref="R17" ca="1">(INDIRECT("'2"&amp;$B17&amp;"'!D69"))</f>
        <v>11.038444616812422</v>
      </c>
      <c r="S17" s="32" cm="1">
        <f t="array" aca="1" ref="S17" ca="1">(INDIRECT("'2"&amp;$B17&amp;"'!E69"))</f>
        <v>9.7080531556855245</v>
      </c>
      <c r="T17" s="32" cm="1">
        <f t="array" aca="1" ref="T17" ca="1">(INDIRECT("'2"&amp;$B17&amp;"'!F69"))</f>
        <v>9.7344390561000207</v>
      </c>
      <c r="U17" s="32" cm="1">
        <f t="array" aca="1" ref="U17" ca="1">(INDIRECT("'2"&amp;$B17&amp;"'!G69"))</f>
        <v>9.6129503337151991</v>
      </c>
      <c r="V17" s="32"/>
      <c r="W17" s="32"/>
      <c r="Z17"/>
    </row>
    <row r="18" spans="2:26" x14ac:dyDescent="0.3">
      <c r="B18" s="199" t="s">
        <v>233</v>
      </c>
      <c r="C18" s="1" t="s">
        <v>473</v>
      </c>
      <c r="D18" s="303" cm="1">
        <f t="array" aca="1" ref="D18" ca="1">(INDIRECT("'2"&amp;$B18&amp;"'!Y46"))*100</f>
        <v>6.4890098271835646</v>
      </c>
      <c r="E18" s="445"/>
      <c r="F18" s="303" cm="1">
        <f t="array" aca="1" ref="F18" ca="1">(INDIRECT("'2"&amp;$B18&amp;"'!Y50"))*100</f>
        <v>6.5104584394054488</v>
      </c>
      <c r="G18" s="303" cm="1">
        <f t="array" aca="1" ref="G18" ca="1">(INDIRECT("'2"&amp;$B18&amp;"'!Z50"))*100</f>
        <v>7.0730500794217708</v>
      </c>
      <c r="H18" s="303" cm="1">
        <f t="array" aca="1" ref="H18" ca="1">(INDIRECT("'2"&amp;$B18&amp;"'!AA50"))*100</f>
        <v>6.3902650053683674</v>
      </c>
      <c r="I18" s="303" cm="1">
        <f t="array" aca="1" ref="I18" ca="1">(INDIRECT("'2"&amp;$B18&amp;"'!AB50"))*100</f>
        <v>6.5551734533736115</v>
      </c>
      <c r="J18" s="303" cm="1">
        <f t="array" aca="1" ref="J18" ca="1">(INDIRECT("'2"&amp;$B18&amp;"'!AC50"))*100</f>
        <v>6.3496637155494113</v>
      </c>
      <c r="K18" s="303" cm="1">
        <f t="array" aca="1" ref="K18" ca="1">(INDIRECT("'2"&amp;$B18&amp;"'!K50"))/(INDIRECT("'2"&amp;$B18&amp;"'!D37"))*100</f>
        <v>6.9700068791403753</v>
      </c>
      <c r="L18" s="303" cm="1">
        <f t="array" aca="1" ref="L18" ca="1">(INDIRECT("'2"&amp;$B18&amp;"'!W37"))*100/(INDIRECT("'2"&amp;$B18&amp;"'!D37"))</f>
        <v>0.64134935465797438</v>
      </c>
      <c r="M18" s="303" cm="1">
        <f t="array" aca="1" ref="M18" ca="1">(INDIRECT("'2"&amp;$B18&amp;"'!S37"))/(INDIRECT("'2"&amp;$B18&amp;"'!D37"))*100</f>
        <v>7.8757714641652529E-2</v>
      </c>
      <c r="N18" s="200"/>
      <c r="O18" s="32" cm="1">
        <f t="array" aca="1" ref="O18" ca="1">(INDIRECT("'2"&amp;$B18&amp;"'!C65"))</f>
        <v>19.57967121956872</v>
      </c>
      <c r="Q18" s="32" cm="1">
        <f t="array" aca="1" ref="Q18" ca="1">(INDIRECT("'2"&amp;$B18&amp;"'!C69"))</f>
        <v>20.218944729105125</v>
      </c>
      <c r="R18" s="32" cm="1">
        <f t="array" aca="1" ref="R18" ca="1">(INDIRECT("'2"&amp;$B18&amp;"'!D69"))</f>
        <v>21.966134943191712</v>
      </c>
      <c r="S18" s="32" cm="1">
        <f t="array" aca="1" ref="S18" ca="1">(INDIRECT("'2"&amp;$B18&amp;"'!E69"))</f>
        <v>19.845670800361788</v>
      </c>
      <c r="T18" s="32" cm="1">
        <f t="array" aca="1" ref="T18" ca="1">(INDIRECT("'2"&amp;$B18&amp;"'!F69"))</f>
        <v>20.357812122914336</v>
      </c>
      <c r="U18" s="32" cm="1">
        <f t="array" aca="1" ref="U18" ca="1">(INDIRECT("'2"&amp;$B18&amp;"'!G69"))</f>
        <v>19.719579029341308</v>
      </c>
      <c r="V18" s="32"/>
      <c r="W18" s="32"/>
      <c r="Z18"/>
    </row>
    <row r="19" spans="2:26" x14ac:dyDescent="0.3">
      <c r="B19" s="199" t="s">
        <v>234</v>
      </c>
      <c r="C19" s="1" t="s">
        <v>474</v>
      </c>
      <c r="D19" s="303" cm="1">
        <f t="array" aca="1" ref="D19" ca="1">(INDIRECT("'2"&amp;$B19&amp;"'!Y46"))*100</f>
        <v>9.83</v>
      </c>
      <c r="E19" s="445"/>
      <c r="F19" s="303" cm="1">
        <f t="array" aca="1" ref="F19" ca="1">(INDIRECT("'2"&amp;$B19&amp;"'!Y50"))*100</f>
        <v>9.7236778133698589</v>
      </c>
      <c r="G19" s="303" cm="1">
        <f t="array" aca="1" ref="G19" ca="1">(INDIRECT("'2"&amp;$B19&amp;"'!Z50"))*100</f>
        <v>10.046408251597674</v>
      </c>
      <c r="H19" s="303" cm="1">
        <f t="array" aca="1" ref="H19" ca="1">(INDIRECT("'2"&amp;$B19&amp;"'!AA50"))*100</f>
        <v>9.4679786581785059</v>
      </c>
      <c r="I19" s="303" cm="1">
        <f t="array" aca="1" ref="I19" ca="1">(INDIRECT("'2"&amp;$B19&amp;"'!AB50"))*100</f>
        <v>9.2272249175900019</v>
      </c>
      <c r="J19" s="303" cm="1">
        <f t="array" aca="1" ref="J19" ca="1">(INDIRECT("'2"&amp;$B19&amp;"'!AC50"))*100</f>
        <v>8.8354720661556883</v>
      </c>
      <c r="K19" s="303" cm="1">
        <f t="array" aca="1" ref="K19" ca="1">(INDIRECT("'2"&amp;$B19&amp;"'!K50"))/(INDIRECT("'2"&amp;$B19&amp;"'!D37"))*100</f>
        <v>9.7360666723341271</v>
      </c>
      <c r="L19" s="303" cm="1">
        <f t="array" aca="1" ref="L19" ca="1">(INDIRECT("'2"&amp;$B19&amp;"'!W37"))*100/(INDIRECT("'2"&amp;$B19&amp;"'!D37"))</f>
        <v>0.86951637095627488</v>
      </c>
      <c r="M19" s="303" cm="1">
        <f t="array" aca="1" ref="M19" ca="1">(INDIRECT("'2"&amp;$B19&amp;"'!S37"))/(INDIRECT("'2"&amp;$B19&amp;"'!D37"))*100</f>
        <v>0.54678593272846077</v>
      </c>
      <c r="N19" s="200"/>
      <c r="O19" s="32" cm="1">
        <f t="array" aca="1" ref="O19" ca="1">(INDIRECT("'2"&amp;$B19&amp;"'!C65"))</f>
        <v>18.91373730197807</v>
      </c>
      <c r="Q19" s="32" cm="1">
        <f t="array" aca="1" ref="Q19" ca="1">(INDIRECT("'2"&amp;$B19&amp;"'!C69"))</f>
        <v>19.228975648457421</v>
      </c>
      <c r="R19" s="32" cm="1">
        <f t="array" aca="1" ref="R19" ca="1">(INDIRECT("'2"&amp;$B19&amp;"'!D69"))</f>
        <v>19.867188458137914</v>
      </c>
      <c r="S19" s="32" cm="1">
        <f t="array" aca="1" ref="S19" ca="1">(INDIRECT("'2"&amp;$B19&amp;"'!E69"))</f>
        <v>18.72331997753987</v>
      </c>
      <c r="T19" s="32" cm="1">
        <f t="array" aca="1" ref="T19" ca="1">(INDIRECT("'2"&amp;$B19&amp;"'!F69"))</f>
        <v>18.247219483065855</v>
      </c>
      <c r="U19" s="32" cm="1">
        <f t="array" aca="1" ref="U19" ca="1">(INDIRECT("'2"&amp;$B19&amp;"'!G69"))</f>
        <v>17.472511992234921</v>
      </c>
      <c r="V19" s="32"/>
      <c r="W19" s="32"/>
      <c r="Z19"/>
    </row>
    <row r="20" spans="2:26" x14ac:dyDescent="0.3">
      <c r="B20" s="199" t="s">
        <v>238</v>
      </c>
      <c r="C20" s="1" t="s">
        <v>475</v>
      </c>
      <c r="D20" s="303" cm="1">
        <f t="array" aca="1" ref="D20" ca="1">(INDIRECT("'2"&amp;$B20&amp;"'!Y46"))*100</f>
        <v>7.1676631626833913</v>
      </c>
      <c r="E20" s="445"/>
      <c r="F20" s="303" cm="1">
        <f t="array" aca="1" ref="F20" ca="1">(INDIRECT("'2"&amp;$B20&amp;"'!Y50"))*100</f>
        <v>7.7377467720428017</v>
      </c>
      <c r="G20" s="303" cm="1">
        <f t="array" aca="1" ref="G20" ca="1">(INDIRECT("'2"&amp;$B20&amp;"'!Z50"))*100</f>
        <v>8.4819540658901857</v>
      </c>
      <c r="H20" s="303" cm="1">
        <f t="array" aca="1" ref="H20" ca="1">(INDIRECT("'2"&amp;$B20&amp;"'!AA50"))*100</f>
        <v>7.6727596910924154</v>
      </c>
      <c r="I20" s="303" cm="1">
        <f t="array" aca="1" ref="I20" ca="1">(INDIRECT("'2"&amp;$B20&amp;"'!AB50"))*100</f>
        <v>8.00816772546073</v>
      </c>
      <c r="J20" s="303" cm="1">
        <f t="array" aca="1" ref="J20" ca="1">(INDIRECT("'2"&amp;$B20&amp;"'!AC50"))*100</f>
        <v>7.8737851648064696</v>
      </c>
      <c r="K20" s="303" cm="1">
        <f t="array" aca="1" ref="K20" ca="1">(INDIRECT("'2"&amp;$B20&amp;"'!K50"))/(INDIRECT("'2"&amp;$B20&amp;"'!D37"))*100</f>
        <v>8.578589392743913</v>
      </c>
      <c r="L20" s="303" cm="1">
        <f t="array" aca="1" ref="L20" ca="1">(INDIRECT("'2"&amp;$B20&amp;"'!W37"))*100/(INDIRECT("'2"&amp;$B20&amp;"'!D37"))</f>
        <v>0.6303832054369819</v>
      </c>
      <c r="M20" s="303" cm="1">
        <f t="array" aca="1" ref="M20" ca="1">(INDIRECT("'2"&amp;$B20&amp;"'!S37"))/(INDIRECT("'2"&amp;$B20&amp;"'!D37"))*100</f>
        <v>-0.1138240884104038</v>
      </c>
      <c r="N20" s="200"/>
      <c r="O20" s="32" cm="1">
        <f t="array" aca="1" ref="O20" ca="1">(INDIRECT("'2"&amp;$B20&amp;"'!C65"))</f>
        <v>15.406929667398602</v>
      </c>
      <c r="Q20" s="32" cm="1">
        <f t="array" aca="1" ref="Q20" ca="1">(INDIRECT("'2"&amp;$B20&amp;"'!C69"))</f>
        <v>15.605770089485727</v>
      </c>
      <c r="R20" s="32" cm="1">
        <f t="array" aca="1" ref="R20" ca="1">(INDIRECT("'2"&amp;$B20&amp;"'!D69"))</f>
        <v>17.106714520578102</v>
      </c>
      <c r="S20" s="32" cm="1">
        <f t="array" aca="1" ref="S20" ca="1">(INDIRECT("'2"&amp;$B20&amp;"'!E69"))</f>
        <v>15.47470177283277</v>
      </c>
      <c r="T20" s="32" cm="1">
        <f t="array" aca="1" ref="T20" ca="1">(INDIRECT("'2"&amp;$B20&amp;"'!F69"))</f>
        <v>16.151164937720804</v>
      </c>
      <c r="U20" s="32" cm="1">
        <f t="array" aca="1" ref="U20" ca="1">(INDIRECT("'2"&amp;$B20&amp;"'!G69"))</f>
        <v>15.88013728491832</v>
      </c>
      <c r="V20" s="32"/>
      <c r="W20" s="32"/>
      <c r="Z20"/>
    </row>
    <row r="21" spans="2:26" x14ac:dyDescent="0.3">
      <c r="B21" s="199" t="s">
        <v>240</v>
      </c>
      <c r="C21" s="1" t="s">
        <v>476</v>
      </c>
      <c r="D21" s="303" cm="1">
        <f t="array" aca="1" ref="D21" ca="1">(INDIRECT("'2"&amp;$B21&amp;"'!Y46"))*100</f>
        <v>7.173725012813942</v>
      </c>
      <c r="E21" s="445"/>
      <c r="F21" s="303" cm="1">
        <f t="array" aca="1" ref="F21" ca="1">(INDIRECT("'2"&amp;$B21&amp;"'!Y50"))*100</f>
        <v>8.7322847055856752</v>
      </c>
      <c r="G21" s="303" cm="1">
        <f t="array" aca="1" ref="G21" ca="1">(INDIRECT("'2"&amp;$B21&amp;"'!Z50"))*100</f>
        <v>10.047265124362349</v>
      </c>
      <c r="H21" s="303" cm="1">
        <f t="array" aca="1" ref="H21" ca="1">(INDIRECT("'2"&amp;$B21&amp;"'!AA50"))*100</f>
        <v>8.7814610258598638</v>
      </c>
      <c r="I21" s="303" cm="1">
        <f t="array" aca="1" ref="I21" ca="1">(INDIRECT("'2"&amp;$B21&amp;"'!AB50"))*100</f>
        <v>9.0760045611456341</v>
      </c>
      <c r="J21" s="303" cm="1">
        <f t="array" aca="1" ref="J21" ca="1">(INDIRECT("'2"&amp;$B21&amp;"'!AC50"))*100</f>
        <v>8.9800725007574602</v>
      </c>
      <c r="K21" s="303" cm="1">
        <f t="array" aca="1" ref="K21" ca="1">(INDIRECT("'2"&amp;$B21&amp;"'!K50"))/(INDIRECT("'2"&amp;$B21&amp;"'!D37"))*100</f>
        <v>8.9163740557948614</v>
      </c>
      <c r="L21" s="303" cm="1">
        <f t="array" aca="1" ref="L21" ca="1">(INDIRECT("'2"&amp;$B21&amp;"'!W37"))*100/(INDIRECT("'2"&amp;$B21&amp;"'!D37"))</f>
        <v>1.1014190951080285</v>
      </c>
      <c r="M21" s="303" cm="1">
        <f t="array" aca="1" ref="M21" ca="1">(INDIRECT("'2"&amp;$B21&amp;"'!S37"))/(INDIRECT("'2"&amp;$B21&amp;"'!D37"))*100</f>
        <v>-0.2135613236686438</v>
      </c>
      <c r="N21" s="200"/>
      <c r="O21" s="32" cm="1">
        <f t="array" aca="1" ref="O21" ca="1">(INDIRECT("'2"&amp;$B21&amp;"'!C65"))</f>
        <v>18.175348653786521</v>
      </c>
      <c r="Q21" s="32" cm="1">
        <f t="array" aca="1" ref="Q21" ca="1">(INDIRECT("'2"&amp;$B21&amp;"'!C69"))</f>
        <v>17.99921793306866</v>
      </c>
      <c r="R21" s="32" cm="1">
        <f t="array" aca="1" ref="R21" ca="1">(INDIRECT("'2"&amp;$B21&amp;"'!D69"))</f>
        <v>20.709690613848224</v>
      </c>
      <c r="S21" s="32" cm="1">
        <f t="array" aca="1" ref="S21" ca="1">(INDIRECT("'2"&amp;$B21&amp;"'!E69"))</f>
        <v>18.100581474868356</v>
      </c>
      <c r="T21" s="32" cm="1">
        <f t="array" aca="1" ref="T21" ca="1">(INDIRECT("'2"&amp;$B21&amp;"'!F69"))</f>
        <v>18.707702458795264</v>
      </c>
      <c r="U21" s="32" cm="1">
        <f t="array" aca="1" ref="U21" ca="1">(INDIRECT("'2"&amp;$B21&amp;"'!G69"))</f>
        <v>18.509964739525696</v>
      </c>
      <c r="V21" s="32"/>
      <c r="W21" s="32"/>
      <c r="Z21"/>
    </row>
    <row r="22" spans="2:26" x14ac:dyDescent="0.3">
      <c r="B22" s="199" t="s">
        <v>242</v>
      </c>
      <c r="C22" s="1" t="s">
        <v>477</v>
      </c>
      <c r="D22" s="303" cm="1">
        <f t="array" aca="1" ref="D22" ca="1">(INDIRECT("'2"&amp;$B22&amp;"'!Y46"))*100</f>
        <v>6.6883178310847295</v>
      </c>
      <c r="E22" s="445"/>
      <c r="F22" s="303" cm="1">
        <f t="array" aca="1" ref="F22" ca="1">(INDIRECT("'2"&amp;$B22&amp;"'!Y50"))*100</f>
        <v>6.4550747901022829</v>
      </c>
      <c r="G22" s="303" cm="1">
        <f t="array" aca="1" ref="G22" ca="1">(INDIRECT("'2"&amp;$B22&amp;"'!Z50"))*100</f>
        <v>7.7473274978233126</v>
      </c>
      <c r="H22" s="303" cm="1">
        <f t="array" aca="1" ref="H22" ca="1">(INDIRECT("'2"&amp;$B22&amp;"'!AA50"))*100</f>
        <v>6.8746407677680397</v>
      </c>
      <c r="I22" s="303" cm="1">
        <f t="array" aca="1" ref="I22" ca="1">(INDIRECT("'2"&amp;$B22&amp;"'!AB50"))*100</f>
        <v>7.2020873383764989</v>
      </c>
      <c r="J22" s="303" cm="1">
        <f t="array" aca="1" ref="J22" ca="1">(INDIRECT("'2"&amp;$B22&amp;"'!AC50"))*100</f>
        <v>7.0347780590188078</v>
      </c>
      <c r="K22" s="303" cm="1">
        <f t="array" aca="1" ref="K22" ca="1">(INDIRECT("'2"&amp;$B22&amp;"'!K50"))/(INDIRECT("'2"&amp;$B22&amp;"'!D37"))*100</f>
        <v>6.455074790102282</v>
      </c>
      <c r="L22" s="303" cm="1">
        <f t="array" aca="1" ref="L22" ca="1">(INDIRECT("'2"&amp;$B22&amp;"'!W37"))*100/(INDIRECT("'2"&amp;$B22&amp;"'!D37"))</f>
        <v>0.71015877610219802</v>
      </c>
      <c r="M22" s="303" cm="1">
        <f t="array" aca="1" ref="M22" ca="1">(INDIRECT("'2"&amp;$B22&amp;"'!S37"))/(INDIRECT("'2"&amp;$B22&amp;"'!D37"))*100</f>
        <v>-0.58209393161883272</v>
      </c>
      <c r="N22" s="200"/>
      <c r="O22" s="32" cm="1">
        <f t="array" aca="1" ref="O22" ca="1">(INDIRECT("'2"&amp;$B22&amp;"'!C65"))</f>
        <v>14.012883768418954</v>
      </c>
      <c r="Q22" s="32" cm="1">
        <f t="array" aca="1" ref="Q22" ca="1">(INDIRECT("'2"&amp;$B22&amp;"'!C69"))</f>
        <v>13.148449627181154</v>
      </c>
      <c r="R22" s="32" cm="1">
        <f t="array" aca="1" ref="R22" ca="1">(INDIRECT("'2"&amp;$B22&amp;"'!D69"))</f>
        <v>15.780660745650502</v>
      </c>
      <c r="S22" s="32" cm="1">
        <f t="array" aca="1" ref="S22" ca="1">(INDIRECT("'2"&amp;$B22&amp;"'!E69"))</f>
        <v>14.003070573026122</v>
      </c>
      <c r="T22" s="32" cm="1">
        <f t="array" aca="1" ref="T22" ca="1">(INDIRECT("'2"&amp;$B22&amp;"'!F69"))</f>
        <v>14.670051960420755</v>
      </c>
      <c r="U22" s="32" cm="1">
        <f t="array" aca="1" ref="U22" ca="1">(INDIRECT("'2"&amp;$B22&amp;"'!G69"))</f>
        <v>14.329256895556799</v>
      </c>
      <c r="V22" s="32"/>
      <c r="W22" s="32"/>
      <c r="Z22"/>
    </row>
    <row r="23" spans="2:26" x14ac:dyDescent="0.3">
      <c r="B23" s="199" t="s">
        <v>245</v>
      </c>
      <c r="C23" s="1" t="s">
        <v>478</v>
      </c>
      <c r="D23" s="303" cm="1">
        <f t="array" aca="1" ref="D23" ca="1">(INDIRECT("'2"&amp;$B23&amp;"'!Y46"))*100</f>
        <v>6.74110967202874</v>
      </c>
      <c r="E23" s="445"/>
      <c r="F23" s="303" cm="1">
        <f t="array" aca="1" ref="F23" ca="1">(INDIRECT("'2"&amp;$B23&amp;"'!Y50"))*100</f>
        <v>7.3545880566166693</v>
      </c>
      <c r="G23" s="303" cm="1">
        <f t="array" aca="1" ref="G23" ca="1">(INDIRECT("'2"&amp;$B23&amp;"'!Z50"))*100</f>
        <v>7.5858740928291315</v>
      </c>
      <c r="H23" s="303" cm="1">
        <f t="array" aca="1" ref="H23" ca="1">(INDIRECT("'2"&amp;$B23&amp;"'!AA50"))*100</f>
        <v>7.0219227787223781</v>
      </c>
      <c r="I23" s="303" cm="1">
        <f t="array" aca="1" ref="I23" ca="1">(INDIRECT("'2"&amp;$B23&amp;"'!AB50"))*100</f>
        <v>7.0847514715064897</v>
      </c>
      <c r="J23" s="303" cm="1">
        <f t="array" aca="1" ref="J23" ca="1">(INDIRECT("'2"&amp;$B23&amp;"'!AC50"))*100</f>
        <v>6.8694579501701885</v>
      </c>
      <c r="K23" s="303" cm="1">
        <f t="array" aca="1" ref="K23" ca="1">(INDIRECT("'2"&amp;$B23&amp;"'!K50"))/(INDIRECT("'2"&amp;$B23&amp;"'!D37"))*100</f>
        <v>7.4129220553549207</v>
      </c>
      <c r="L23" s="303" cm="1">
        <f t="array" aca="1" ref="L23" ca="1">(INDIRECT("'2"&amp;$B23&amp;"'!W37"))*100/(INDIRECT("'2"&amp;$B23&amp;"'!D37"))</f>
        <v>0.59383002602944635</v>
      </c>
      <c r="M23" s="303" cm="1">
        <f t="array" aca="1" ref="M23" ca="1">(INDIRECT("'2"&amp;$B23&amp;"'!S37"))/(INDIRECT("'2"&amp;$B23&amp;"'!D37"))*100</f>
        <v>0.36254398981698416</v>
      </c>
      <c r="N23" s="200"/>
      <c r="O23" s="32" cm="1">
        <f t="array" aca="1" ref="O23" ca="1">(INDIRECT("'2"&amp;$B23&amp;"'!C65"))</f>
        <v>12.373339020775758</v>
      </c>
      <c r="Q23" s="32" cm="1">
        <f t="array" aca="1" ref="Q23" ca="1">(INDIRECT("'2"&amp;$B23&amp;"'!C69"))</f>
        <v>12.848019466449855</v>
      </c>
      <c r="R23" s="32" cm="1">
        <f t="array" aca="1" ref="R23" ca="1">(INDIRECT("'2"&amp;$B23&amp;"'!D69"))</f>
        <v>13.25206215010531</v>
      </c>
      <c r="S23" s="32" cm="1">
        <f t="array" aca="1" ref="S23" ca="1">(INDIRECT("'2"&amp;$B23&amp;"'!E69"))</f>
        <v>12.266873393645337</v>
      </c>
      <c r="T23" s="32" cm="1">
        <f t="array" aca="1" ref="T23" ca="1">(INDIRECT("'2"&amp;$B23&amp;"'!F69"))</f>
        <v>12.37663131097908</v>
      </c>
      <c r="U23" s="32" cm="1">
        <f t="array" aca="1" ref="U23" ca="1">(INDIRECT("'2"&amp;$B23&amp;"'!G69"))</f>
        <v>12.000526581273549</v>
      </c>
      <c r="V23" s="32"/>
      <c r="W23" s="32"/>
      <c r="Z23"/>
    </row>
    <row r="24" spans="2:26" x14ac:dyDescent="0.3">
      <c r="B24" s="199" t="s">
        <v>247</v>
      </c>
      <c r="C24" s="1" t="s">
        <v>479</v>
      </c>
      <c r="D24" s="303" cm="1">
        <f t="array" aca="1" ref="D24" ca="1">(INDIRECT("'2"&amp;$B24&amp;"'!Y46"))*100</f>
        <v>8.4632649999999998</v>
      </c>
      <c r="E24" s="445"/>
      <c r="F24" s="303" cm="1">
        <f t="array" aca="1" ref="F24" ca="1">(INDIRECT("'2"&amp;$B24&amp;"'!Y50"))*100</f>
        <v>8.9399999999999977</v>
      </c>
      <c r="G24" s="303" cm="1">
        <f t="array" aca="1" ref="G24" ca="1">(INDIRECT("'2"&amp;$B24&amp;"'!Z50"))*100</f>
        <v>10.078301899846998</v>
      </c>
      <c r="H24" s="303" cm="1">
        <f t="array" aca="1" ref="H24" ca="1">(INDIRECT("'2"&amp;$B24&amp;"'!AA50"))*100</f>
        <v>8.7482584741883862</v>
      </c>
      <c r="I24" s="303" cm="1">
        <f t="array" aca="1" ref="I24" ca="1">(INDIRECT("'2"&amp;$B24&amp;"'!AB50"))*100</f>
        <v>8.4383198878953927</v>
      </c>
      <c r="J24" s="303" cm="1">
        <f t="array" aca="1" ref="J24" ca="1">(INDIRECT("'2"&amp;$B24&amp;"'!AC50"))*100</f>
        <v>8.3144908583764341</v>
      </c>
      <c r="K24" s="303" cm="1">
        <f t="array" aca="1" ref="K24" ca="1">(INDIRECT("'2"&amp;$B24&amp;"'!K50"))/(INDIRECT("'2"&amp;$B24&amp;"'!D37"))*100</f>
        <v>10.006985559124844</v>
      </c>
      <c r="L24" s="303" cm="1">
        <f t="array" aca="1" ref="L24" ca="1">(INDIRECT("'2"&amp;$B24&amp;"'!W37"))*100/(INDIRECT("'2"&amp;$B24&amp;"'!D37"))</f>
        <v>1.5779454930269283</v>
      </c>
      <c r="M24" s="303" cm="1">
        <f t="array" aca="1" ref="M24" ca="1">(INDIRECT("'2"&amp;$B24&amp;"'!S37"))/(INDIRECT("'2"&amp;$B24&amp;"'!D37"))*100</f>
        <v>0.43964359317992818</v>
      </c>
      <c r="N24" s="200"/>
      <c r="O24" s="32" cm="1">
        <f t="array" aca="1" ref="O24" ca="1">(INDIRECT("'2"&amp;$B24&amp;"'!C65"))</f>
        <v>14.182204339904597</v>
      </c>
      <c r="Q24" s="32" cm="1">
        <f t="array" aca="1" ref="Q24" ca="1">(INDIRECT("'2"&amp;$B24&amp;"'!C69"))</f>
        <v>14.472585388708239</v>
      </c>
      <c r="R24" s="32" cm="1">
        <f t="array" aca="1" ref="R24" ca="1">(INDIRECT("'2"&amp;$B24&amp;"'!D69"))</f>
        <v>16.315333872339622</v>
      </c>
      <c r="S24" s="32" cm="1">
        <f t="array" aca="1" ref="S24" ca="1">(INDIRECT("'2"&amp;$B24&amp;"'!E69"))</f>
        <v>14.162183195769787</v>
      </c>
      <c r="T24" s="32" cm="1">
        <f t="array" aca="1" ref="T24" ca="1">(INDIRECT("'2"&amp;$B24&amp;"'!F69"))</f>
        <v>13.660436813736135</v>
      </c>
      <c r="U24" s="32" cm="1">
        <f t="array" aca="1" ref="U24" ca="1">(INDIRECT("'2"&amp;$B24&amp;"'!G69"))</f>
        <v>13.459975269741278</v>
      </c>
      <c r="V24" s="32"/>
      <c r="W24" s="32"/>
      <c r="Z24"/>
    </row>
    <row r="25" spans="2:26" x14ac:dyDescent="0.3">
      <c r="B25" s="199" t="s">
        <v>249</v>
      </c>
      <c r="C25" s="1" t="s">
        <v>480</v>
      </c>
      <c r="D25" s="303" cm="1">
        <f t="array" aca="1" ref="D25" ca="1">(INDIRECT("'2"&amp;$B25&amp;"'!Y46"))*100</f>
        <v>6.3312538259377247</v>
      </c>
      <c r="E25" s="445"/>
      <c r="F25" s="303" cm="1">
        <f t="array" aca="1" ref="F25" ca="1">(INDIRECT("'2"&amp;$B25&amp;"'!Y50"))*100</f>
        <v>6.9169730608715616</v>
      </c>
      <c r="G25" s="303" cm="1">
        <f t="array" aca="1" ref="G25" ca="1">(INDIRECT("'2"&amp;$B25&amp;"'!Z50"))*100</f>
        <v>7.7227544678763262</v>
      </c>
      <c r="H25" s="303" cm="1">
        <f t="array" aca="1" ref="H25" ca="1">(INDIRECT("'2"&amp;$B25&amp;"'!AA50"))*100</f>
        <v>6.7347998895893273</v>
      </c>
      <c r="I25" s="303" cm="1">
        <f t="array" aca="1" ref="I25" ca="1">(INDIRECT("'2"&amp;$B25&amp;"'!AB50"))*100</f>
        <v>7.1721435897496644</v>
      </c>
      <c r="J25" s="303" cm="1">
        <f t="array" aca="1" ref="J25" ca="1">(INDIRECT("'2"&amp;$B25&amp;"'!AC50"))*100</f>
        <v>6.8774044320410681</v>
      </c>
      <c r="K25" s="303" cm="1">
        <f t="array" aca="1" ref="K25" ca="1">(INDIRECT("'2"&amp;$B25&amp;"'!K50"))/(INDIRECT("'2"&amp;$B25&amp;"'!D37"))*100</f>
        <v>7.0284291314145317</v>
      </c>
      <c r="L25" s="303" cm="1">
        <f t="array" aca="1" ref="L25" ca="1">(INDIRECT("'2"&amp;$B25&amp;"'!W37"))*100/(INDIRECT("'2"&amp;$B25&amp;"'!D37"))</f>
        <v>0.79463849741630677</v>
      </c>
      <c r="M25" s="303" cm="1">
        <f t="array" aca="1" ref="M25" ca="1">(INDIRECT("'2"&amp;$B25&amp;"'!S37"))/(INDIRECT("'2"&amp;$B25&amp;"'!D37"))*100</f>
        <v>-1.1142909588458191E-2</v>
      </c>
      <c r="N25" s="200"/>
      <c r="O25" s="32" cm="1">
        <f t="array" aca="1" ref="O25" ca="1">(INDIRECT("'2"&amp;$B25&amp;"'!C65"))</f>
        <v>13.392017270648287</v>
      </c>
      <c r="Q25" s="32" cm="1">
        <f t="array" aca="1" ref="Q25" ca="1">(INDIRECT("'2"&amp;$B25&amp;"'!C69"))</f>
        <v>13.931916457483526</v>
      </c>
      <c r="R25" s="32" cm="1">
        <f t="array" aca="1" ref="R25" ca="1">(INDIRECT("'2"&amp;$B25&amp;"'!D69"))</f>
        <v>15.554892164717144</v>
      </c>
      <c r="S25" s="32" cm="1">
        <f t="array" aca="1" ref="S25" ca="1">(INDIRECT("'2"&amp;$B25&amp;"'!E69"))</f>
        <v>13.564989858122281</v>
      </c>
      <c r="T25" s="32" cm="1">
        <f t="array" aca="1" ref="T25" ca="1">(INDIRECT("'2"&amp;$B25&amp;"'!F69"))</f>
        <v>14.445871688978048</v>
      </c>
      <c r="U25" s="32" cm="1">
        <f t="array" aca="1" ref="U25" ca="1">(INDIRECT("'2"&amp;$B25&amp;"'!G69"))</f>
        <v>13.852218759321008</v>
      </c>
      <c r="V25" s="32"/>
      <c r="W25" s="32"/>
      <c r="Z25"/>
    </row>
    <row r="26" spans="2:26" x14ac:dyDescent="0.3">
      <c r="B26" s="199" t="s">
        <v>252</v>
      </c>
      <c r="C26" s="1" t="s">
        <v>481</v>
      </c>
      <c r="D26" s="303" cm="1">
        <f t="array" aca="1" ref="D26" ca="1">(INDIRECT("'2"&amp;$B26&amp;"'!Y46"))*100</f>
        <v>5.2819453240995502</v>
      </c>
      <c r="E26" s="445"/>
      <c r="F26" s="303" cm="1">
        <f t="array" aca="1" ref="F26" ca="1">(INDIRECT("'2"&amp;$B26&amp;"'!Y50"))*100</f>
        <v>5.0694904864959529</v>
      </c>
      <c r="G26" s="303" cm="1">
        <f t="array" aca="1" ref="G26" ca="1">(INDIRECT("'2"&amp;$B26&amp;"'!Z50"))*100</f>
        <v>6.2144884976143286</v>
      </c>
      <c r="H26" s="303" cm="1">
        <f t="array" aca="1" ref="H26" ca="1">(INDIRECT("'2"&amp;$B26&amp;"'!AA50"))*100</f>
        <v>5.2120129457233606</v>
      </c>
      <c r="I26" s="303" cm="1">
        <f t="array" aca="1" ref="I26" ca="1">(INDIRECT("'2"&amp;$B26&amp;"'!AB50"))*100</f>
        <v>5.6794894258296731</v>
      </c>
      <c r="J26" s="303" cm="1">
        <f t="array" aca="1" ref="J26" ca="1">(INDIRECT("'2"&amp;$B26&amp;"'!AC50"))*100</f>
        <v>5.4486520010466357</v>
      </c>
      <c r="K26" s="303" cm="1">
        <f t="array" aca="1" ref="K26" ca="1">(INDIRECT("'2"&amp;$B26&amp;"'!K50"))/(INDIRECT("'2"&amp;$B26&amp;"'!D37"))*100</f>
        <v>5.1282699080240501</v>
      </c>
      <c r="L26" s="303" cm="1">
        <f t="array" aca="1" ref="L26" ca="1">(INDIRECT("'2"&amp;$B26&amp;"'!W37"))*100/(INDIRECT("'2"&amp;$B26&amp;"'!D37"))</f>
        <v>0.7677703734144391</v>
      </c>
      <c r="M26" s="303" cm="1">
        <f t="array" aca="1" ref="M26" ca="1">(INDIRECT("'2"&amp;$B26&amp;"'!S37"))/(INDIRECT("'2"&amp;$B26&amp;"'!D37"))*100</f>
        <v>-0.37722763770393758</v>
      </c>
      <c r="N26" s="200"/>
      <c r="O26" s="32" cm="1">
        <f t="array" aca="1" ref="O26" ca="1">(INDIRECT("'2"&amp;$B26&amp;"'!C65"))</f>
        <v>10.016682216654242</v>
      </c>
      <c r="Q26" s="32" cm="1">
        <f t="array" aca="1" ref="Q26" ca="1">(INDIRECT("'2"&amp;$B26&amp;"'!C69"))</f>
        <v>9.8157417281948369</v>
      </c>
      <c r="R26" s="32" cm="1">
        <f t="array" aca="1" ref="R26" ca="1">(INDIRECT("'2"&amp;$B26&amp;"'!D69"))</f>
        <v>12.032730750340763</v>
      </c>
      <c r="S26" s="32" cm="1">
        <f t="array" aca="1" ref="S26" ca="1">(INDIRECT("'2"&amp;$B26&amp;"'!E69"))</f>
        <v>10.091699174800164</v>
      </c>
      <c r="T26" s="32" cm="1">
        <f t="array" aca="1" ref="T26" ca="1">(INDIRECT("'2"&amp;$B26&amp;"'!F69"))</f>
        <v>10.996845047931259</v>
      </c>
      <c r="U26" s="32" cm="1">
        <f t="array" aca="1" ref="U26" ca="1">(INDIRECT("'2"&amp;$B26&amp;"'!G69"))</f>
        <v>10.549888781042583</v>
      </c>
      <c r="V26" s="32"/>
      <c r="W26" s="32"/>
      <c r="Z26"/>
    </row>
    <row r="27" spans="2:26" x14ac:dyDescent="0.3">
      <c r="B27" s="199" t="s">
        <v>254</v>
      </c>
      <c r="C27" s="92" t="s">
        <v>482</v>
      </c>
      <c r="D27" s="449" cm="1">
        <f t="array" aca="1" ref="D27" ca="1">(INDIRECT("'2"&amp;$B27&amp;"'!Y46"))*100</f>
        <v>3.737487081094617</v>
      </c>
      <c r="E27" s="447"/>
      <c r="F27" s="449" cm="1">
        <f t="array" aca="1" ref="F27" ca="1">(INDIRECT("'2"&amp;$B27&amp;"'!Y50"))*100</f>
        <v>3.7930704660545782</v>
      </c>
      <c r="G27" s="449" cm="1">
        <f t="array" aca="1" ref="G27" ca="1">(INDIRECT("'2"&amp;$B27&amp;"'!Z50"))*100</f>
        <v>5.0144966647624827</v>
      </c>
      <c r="H27" s="449" cm="1">
        <f t="array" aca="1" ref="H27" ca="1">(INDIRECT("'2"&amp;$B27&amp;"'!AA50"))*100</f>
        <v>4.2460840374680018</v>
      </c>
      <c r="I27" s="449" cm="1">
        <f t="array" aca="1" ref="I27" ca="1">(INDIRECT("'2"&amp;$B27&amp;"'!AB50"))*100</f>
        <v>4.4980187487651833</v>
      </c>
      <c r="J27" s="449" cm="1">
        <f t="array" aca="1" ref="J27" ca="1">(INDIRECT("'2"&amp;$B27&amp;"'!AC50"))*100</f>
        <v>4.2707832736501308</v>
      </c>
      <c r="K27" s="449" cm="1">
        <f t="array" aca="1" ref="K27" ca="1">(INDIRECT("'2"&amp;$B27&amp;"'!K50"))/(INDIRECT("'2"&amp;$B27&amp;"'!D37"))*100</f>
        <v>4.1472169348046082</v>
      </c>
      <c r="L27" s="449" cm="1">
        <f t="array" aca="1" ref="L27" ca="1">(INDIRECT("'2"&amp;$B27&amp;"'!W37"))*100/(INDIRECT("'2"&amp;$B27&amp;"'!D37"))</f>
        <v>0.6762013114680443</v>
      </c>
      <c r="M27" s="449" cm="1">
        <f t="array" aca="1" ref="M27" ca="1">(INDIRECT("'2"&amp;$B27&amp;"'!S37"))/(INDIRECT("'2"&amp;$B27&amp;"'!D37"))*100</f>
        <v>-0.5452248872398604</v>
      </c>
      <c r="N27" s="204"/>
      <c r="O27" s="203" cm="1">
        <f t="array" aca="1" ref="O27" ca="1">(INDIRECT("'2"&amp;$B27&amp;"'!C65"))</f>
        <v>7.9935903035793343</v>
      </c>
      <c r="P27" s="92"/>
      <c r="Q27" s="203" cm="1">
        <f t="array" aca="1" ref="Q27" ca="1">(INDIRECT("'2"&amp;$B27&amp;"'!C69"))</f>
        <v>7.3353862232176814</v>
      </c>
      <c r="R27" s="203" cm="1">
        <f t="array" aca="1" ref="R27" ca="1">(INDIRECT("'2"&amp;$B27&amp;"'!D69"))</f>
        <v>9.6974918025528858</v>
      </c>
      <c r="S27" s="203" cm="1">
        <f t="array" aca="1" ref="S27" ca="1">(INDIRECT("'2"&amp;$B27&amp;"'!E69"))</f>
        <v>8.2114652574501168</v>
      </c>
      <c r="T27" s="203" cm="1">
        <f t="array" aca="1" ref="T27" ca="1">(INDIRECT("'2"&amp;$B27&amp;"'!F69"))</f>
        <v>8.6986796203095373</v>
      </c>
      <c r="U27" s="203" cm="1">
        <f t="array" aca="1" ref="U27" ca="1">(INDIRECT("'2"&amp;$B27&amp;"'!G69"))</f>
        <v>8.2592308970383641</v>
      </c>
      <c r="V27" s="32"/>
      <c r="W27" s="32"/>
      <c r="Z27"/>
    </row>
    <row r="30" spans="2:26" ht="14.7" customHeight="1" x14ac:dyDescent="0.3">
      <c r="C30" s="548"/>
      <c r="D30" s="548"/>
      <c r="E30" s="548"/>
      <c r="F30" s="548"/>
      <c r="G30" s="548"/>
      <c r="H30" s="548"/>
      <c r="I30" s="548"/>
      <c r="J30" s="548"/>
      <c r="K30" s="548"/>
      <c r="L30" s="548"/>
      <c r="M30" s="548"/>
      <c r="N30" s="548"/>
      <c r="O30" s="548"/>
      <c r="P30" s="548"/>
      <c r="Q30" s="548"/>
      <c r="R30" s="548"/>
      <c r="S30" s="548"/>
      <c r="T30" s="548"/>
      <c r="U30" s="548"/>
      <c r="V30" s="548"/>
      <c r="W30" s="548"/>
    </row>
    <row r="31" spans="2:26" x14ac:dyDescent="0.3">
      <c r="C31" s="548"/>
      <c r="D31" s="548"/>
      <c r="E31" s="548"/>
      <c r="F31" s="548"/>
      <c r="G31" s="548"/>
      <c r="H31" s="548"/>
      <c r="I31" s="548"/>
      <c r="J31" s="548"/>
      <c r="K31" s="548"/>
      <c r="L31" s="548"/>
      <c r="M31" s="548"/>
      <c r="N31" s="548"/>
      <c r="O31" s="548"/>
      <c r="P31" s="548"/>
      <c r="Q31" s="548"/>
      <c r="R31" s="548"/>
      <c r="S31" s="548"/>
      <c r="T31" s="548"/>
      <c r="U31" s="548"/>
      <c r="V31" s="548"/>
      <c r="W31" s="548"/>
    </row>
    <row r="32" spans="2:26" x14ac:dyDescent="0.3">
      <c r="C32" s="548"/>
      <c r="D32" s="548"/>
      <c r="E32" s="548"/>
      <c r="F32" s="548"/>
      <c r="G32" s="548"/>
      <c r="H32" s="548"/>
      <c r="I32" s="548"/>
      <c r="J32" s="548"/>
      <c r="K32" s="548"/>
      <c r="L32" s="548"/>
      <c r="M32" s="548"/>
      <c r="N32" s="548"/>
      <c r="O32" s="548"/>
      <c r="P32" s="548"/>
      <c r="Q32" s="548"/>
      <c r="R32" s="548"/>
      <c r="S32" s="548"/>
      <c r="T32" s="548"/>
      <c r="U32" s="548"/>
      <c r="V32" s="548"/>
      <c r="W32" s="548"/>
    </row>
    <row r="33" spans="3:23" x14ac:dyDescent="0.3">
      <c r="C33" s="548"/>
      <c r="D33" s="548"/>
      <c r="E33" s="548"/>
      <c r="F33" s="548"/>
      <c r="G33" s="548"/>
      <c r="H33" s="548"/>
      <c r="I33" s="548"/>
      <c r="J33" s="548"/>
      <c r="K33" s="548"/>
      <c r="L33" s="548"/>
      <c r="M33" s="548"/>
      <c r="N33" s="548"/>
      <c r="O33" s="548"/>
      <c r="P33" s="548"/>
      <c r="Q33" s="548"/>
      <c r="R33" s="548"/>
      <c r="S33" s="548"/>
      <c r="T33" s="548"/>
      <c r="U33" s="548"/>
      <c r="V33" s="548"/>
      <c r="W33" s="548"/>
    </row>
    <row r="34" spans="3:23" x14ac:dyDescent="0.3">
      <c r="C34" s="548"/>
      <c r="D34" s="548"/>
      <c r="E34" s="548"/>
      <c r="F34" s="548"/>
      <c r="G34" s="548"/>
      <c r="H34" s="548"/>
      <c r="I34" s="548"/>
      <c r="J34" s="548"/>
      <c r="K34" s="548"/>
      <c r="L34" s="548"/>
      <c r="M34" s="548"/>
      <c r="N34" s="548"/>
      <c r="O34" s="548"/>
      <c r="P34" s="548"/>
      <c r="Q34" s="548"/>
      <c r="R34" s="548"/>
      <c r="S34" s="548"/>
      <c r="T34" s="548"/>
      <c r="U34" s="548"/>
      <c r="V34" s="548"/>
      <c r="W34" s="548"/>
    </row>
  </sheetData>
  <mergeCells count="5">
    <mergeCell ref="D3:M3"/>
    <mergeCell ref="O3:U3"/>
    <mergeCell ref="F4:M4"/>
    <mergeCell ref="Q4:U4"/>
    <mergeCell ref="C30:W34"/>
  </mergeCells>
  <pageMargins left="0.7" right="0.7" top="0.75" bottom="0.75" header="0.3" footer="0.3"/>
  <pageSetup paperSize="9" orientation="portrait"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BAB418-D8D9-4703-8881-742EDD272F15}">
  <dimension ref="B4:K34"/>
  <sheetViews>
    <sheetView showGridLines="0" topLeftCell="B1" zoomScale="85" zoomScaleNormal="85" workbookViewId="0">
      <selection activeCell="J40" sqref="J40"/>
    </sheetView>
  </sheetViews>
  <sheetFormatPr baseColWidth="10" defaultColWidth="11.5546875" defaultRowHeight="14.4" x14ac:dyDescent="0.3"/>
  <cols>
    <col min="1" max="2" width="11.5546875" style="1"/>
    <col min="3" max="3" width="24.33203125" style="1" customWidth="1"/>
    <col min="4" max="5" width="18.5546875" style="1" customWidth="1"/>
    <col min="6" max="6" width="2.6640625" style="1" customWidth="1"/>
    <col min="7" max="8" width="18.88671875" style="1" customWidth="1"/>
    <col min="9" max="16384" width="11.5546875" style="1"/>
  </cols>
  <sheetData>
    <row r="4" spans="2:11" ht="42.6" customHeight="1" x14ac:dyDescent="0.3">
      <c r="D4" s="550" t="s">
        <v>573</v>
      </c>
      <c r="E4" s="550"/>
      <c r="F4" s="443"/>
      <c r="G4" s="550" t="s">
        <v>574</v>
      </c>
      <c r="H4" s="550"/>
    </row>
    <row r="5" spans="2:11" ht="29.7" customHeight="1" x14ac:dyDescent="0.3">
      <c r="D5" s="370" t="s">
        <v>575</v>
      </c>
      <c r="E5" s="370" t="s">
        <v>576</v>
      </c>
      <c r="F5" s="370"/>
      <c r="G5" s="370" t="s">
        <v>575</v>
      </c>
      <c r="H5" s="370" t="s">
        <v>576</v>
      </c>
    </row>
    <row r="6" spans="2:11" ht="21" customHeight="1" x14ac:dyDescent="0.3">
      <c r="C6" s="92"/>
      <c r="D6" s="455" t="s">
        <v>452</v>
      </c>
      <c r="E6" s="455" t="s">
        <v>453</v>
      </c>
      <c r="F6" s="455"/>
      <c r="G6" s="455" t="s">
        <v>454</v>
      </c>
      <c r="H6" s="455" t="s">
        <v>455</v>
      </c>
      <c r="K6" s="205"/>
    </row>
    <row r="7" spans="2:11" x14ac:dyDescent="0.3">
      <c r="B7" s="199" t="s">
        <v>3</v>
      </c>
      <c r="C7" s="1" t="s">
        <v>462</v>
      </c>
      <c r="D7" s="76" cm="1">
        <f t="array" aca="1" ref="D7" ca="1">(INDIRECT("'2"&amp;$B7&amp;"'!ao26"))</f>
        <v>-9.4059747755403933E-4</v>
      </c>
      <c r="E7" s="76" cm="1">
        <f t="array" aca="1" ref="E7" ca="1">(INDIRECT("'2"&amp;$B7&amp;"'!ao28"))</f>
        <v>-7.4007692052543393E-3</v>
      </c>
      <c r="F7" s="32"/>
      <c r="G7" s="76" cm="1">
        <f t="array" aca="1" ref="G7" ca="1">(INDIRECT("'2"&amp;$B7&amp;"'!ap26"))</f>
        <v>4.6046647363615634E-3</v>
      </c>
      <c r="H7" s="76" cm="1">
        <f t="array" aca="1" ref="H7" ca="1">(INDIRECT("'2"&amp;$B7&amp;"'!ap28"))</f>
        <v>3.6230227907909703E-2</v>
      </c>
      <c r="J7" s="199" cm="1">
        <f t="array" aca="1" ref="J7" ca="1">(INDIRECT("'2"&amp;$B7&amp;"'!CB25"))</f>
        <v>0</v>
      </c>
      <c r="K7"/>
    </row>
    <row r="8" spans="2:11" x14ac:dyDescent="0.3">
      <c r="B8" s="199" t="s">
        <v>204</v>
      </c>
      <c r="C8" s="1" t="s">
        <v>463</v>
      </c>
      <c r="D8" s="76" cm="1">
        <f t="array" aca="1" ref="D8" ca="1">(INDIRECT("'2"&amp;$B8&amp;"'!ao26"))</f>
        <v>2.17245589873305E-3</v>
      </c>
      <c r="E8" s="76" cm="1">
        <f t="array" aca="1" ref="E8" ca="1">(INDIRECT("'2"&amp;$B8&amp;"'!ao28"))</f>
        <v>1.7492400898877186E-2</v>
      </c>
      <c r="F8" s="32"/>
      <c r="G8" s="76" cm="1">
        <f t="array" aca="1" ref="G8" ca="1">(INDIRECT("'2"&amp;$B8&amp;"'!ap26"))</f>
        <v>8.8942885038623132E-4</v>
      </c>
      <c r="H8" s="76" cm="1">
        <f t="array" aca="1" ref="H8" ca="1">(INDIRECT("'2"&amp;$B8&amp;"'!ap28"))</f>
        <v>7.1615934901397196E-3</v>
      </c>
      <c r="J8" s="199" cm="1">
        <f t="array" aca="1" ref="J8" ca="1">(INDIRECT("'2"&amp;$B8&amp;"'!CB25"))</f>
        <v>0</v>
      </c>
      <c r="K8"/>
    </row>
    <row r="9" spans="2:11" x14ac:dyDescent="0.3">
      <c r="B9" s="199" t="s">
        <v>208</v>
      </c>
      <c r="C9" s="1" t="s">
        <v>464</v>
      </c>
      <c r="D9" s="76" cm="1">
        <f t="array" aca="1" ref="D9" ca="1">(INDIRECT("'2"&amp;$B9&amp;"'!ao26"))</f>
        <v>-4.4169938866522873E-4</v>
      </c>
      <c r="E9" s="76" cm="1">
        <f t="array" aca="1" ref="E9" ca="1">(INDIRECT("'2"&amp;$B9&amp;"'!ao28"))</f>
        <v>-3.0559853768351514E-3</v>
      </c>
      <c r="F9" s="32"/>
      <c r="G9" s="76" cm="1">
        <f t="array" aca="1" ref="G9" ca="1">(INDIRECT("'2"&amp;$B9&amp;"'!ap26"))</f>
        <v>1.4853510754214261E-2</v>
      </c>
      <c r="H9" s="76" cm="1">
        <f t="array" aca="1" ref="H9" ca="1">(INDIRECT("'2"&amp;$B9&amp;"'!ap28"))</f>
        <v>0.1027669786836483</v>
      </c>
      <c r="J9" s="199" cm="1">
        <f t="array" aca="1" ref="J9" ca="1">(INDIRECT("'2"&amp;$B9&amp;"'!CB25"))</f>
        <v>0</v>
      </c>
      <c r="K9"/>
    </row>
    <row r="10" spans="2:11" x14ac:dyDescent="0.3">
      <c r="B10" s="199" t="s">
        <v>210</v>
      </c>
      <c r="C10" s="1" t="s">
        <v>465</v>
      </c>
      <c r="D10" s="76" cm="1">
        <f t="array" aca="1" ref="D10" ca="1">(INDIRECT("'2"&amp;$B10&amp;"'!ao26"))</f>
        <v>-1.761285280686975E-4</v>
      </c>
      <c r="E10" s="76" cm="1">
        <f t="array" aca="1" ref="E10" ca="1">(INDIRECT("'2"&amp;$B10&amp;"'!ao28"))</f>
        <v>-2.4942429931433365E-3</v>
      </c>
      <c r="F10" s="32"/>
      <c r="G10" s="76" cm="1">
        <f t="array" aca="1" ref="G10" ca="1">(INDIRECT("'2"&amp;$B10&amp;"'!ap26"))</f>
        <v>4.0004040826067122E-3</v>
      </c>
      <c r="H10" s="76" cm="1">
        <f t="array" aca="1" ref="H10" ca="1">(INDIRECT("'2"&amp;$B10&amp;"'!ap28"))</f>
        <v>5.6651696134606938E-2</v>
      </c>
      <c r="J10" s="199" cm="1">
        <f t="array" aca="1" ref="J10" ca="1">(INDIRECT("'2"&amp;$B10&amp;"'!CB25"))</f>
        <v>0</v>
      </c>
      <c r="K10"/>
    </row>
    <row r="11" spans="2:11" x14ac:dyDescent="0.3">
      <c r="B11" s="199" t="s">
        <v>214</v>
      </c>
      <c r="C11" s="1" t="s">
        <v>466</v>
      </c>
      <c r="D11" s="76" cm="1">
        <f t="array" aca="1" ref="D11" ca="1">(INDIRECT("'2"&amp;$B11&amp;"'!ao26"))</f>
        <v>-1.0153960552187202E-3</v>
      </c>
      <c r="E11" s="76" cm="1">
        <f t="array" aca="1" ref="E11" ca="1">(INDIRECT("'2"&amp;$B11&amp;"'!ao28"))</f>
        <v>-7.939845363276429E-3</v>
      </c>
      <c r="F11" s="32"/>
      <c r="G11" s="76" cm="1">
        <f t="array" aca="1" ref="G11" ca="1">(INDIRECT("'2"&amp;$B11&amp;"'!ap26"))</f>
        <v>-2.6978064573486282E-3</v>
      </c>
      <c r="H11" s="76" cm="1">
        <f t="array" aca="1" ref="H11" ca="1">(INDIRECT("'2"&amp;$B11&amp;"'!ap28"))</f>
        <v>-2.1095380449140836E-2</v>
      </c>
      <c r="J11" s="199" cm="1">
        <f t="array" aca="1" ref="J11" ca="1">(INDIRECT("'2"&amp;$B11&amp;"'!CB25"))</f>
        <v>0</v>
      </c>
      <c r="K11"/>
    </row>
    <row r="12" spans="2:11" x14ac:dyDescent="0.3">
      <c r="B12" s="199" t="s">
        <v>217</v>
      </c>
      <c r="C12" s="1" t="s">
        <v>467</v>
      </c>
      <c r="D12" s="76" cm="1">
        <f t="array" aca="1" ref="D12" ca="1">(INDIRECT("'2"&amp;$B12&amp;"'!ao26"))</f>
        <v>-1.035686972380101E-3</v>
      </c>
      <c r="E12" s="76" cm="1">
        <f t="array" aca="1" ref="E12" ca="1">(INDIRECT("'2"&amp;$B12&amp;"'!ao28"))</f>
        <v>-7.172132368293822E-3</v>
      </c>
      <c r="F12" s="32"/>
      <c r="G12" s="76" cm="1">
        <f t="array" aca="1" ref="G12" ca="1">(INDIRECT("'2"&amp;$B12&amp;"'!ap26"))</f>
        <v>1.2083632143213396E-2</v>
      </c>
      <c r="H12" s="76" cm="1">
        <f t="array" aca="1" ref="H12" ca="1">(INDIRECT("'2"&amp;$B12&amp;"'!ap28"))</f>
        <v>8.3679153578351415E-2</v>
      </c>
      <c r="J12" s="199" cm="1">
        <f t="array" aca="1" ref="J12" ca="1">(INDIRECT("'2"&amp;$B12&amp;"'!CB25"))</f>
        <v>0</v>
      </c>
      <c r="K12"/>
    </row>
    <row r="13" spans="2:11" x14ac:dyDescent="0.3">
      <c r="B13" s="199" t="s">
        <v>218</v>
      </c>
      <c r="C13" s="1" t="s">
        <v>468</v>
      </c>
      <c r="D13" s="76" cm="1">
        <f t="array" aca="1" ref="D13" ca="1">(INDIRECT("'2"&amp;$B13&amp;"'!ao26"))</f>
        <v>1.4573125740535708E-3</v>
      </c>
      <c r="E13" s="76" cm="1">
        <f t="array" aca="1" ref="E13" ca="1">(INDIRECT("'2"&amp;$B13&amp;"'!ao28"))</f>
        <v>1.1024426197813002E-2</v>
      </c>
      <c r="F13" s="32"/>
      <c r="G13" s="76" cm="1">
        <f t="array" aca="1" ref="G13" ca="1">(INDIRECT("'2"&amp;$B13&amp;"'!ap26"))</f>
        <v>5.148285915177464E-3</v>
      </c>
      <c r="H13" s="76" cm="1">
        <f t="array" aca="1" ref="H13" ca="1">(INDIRECT("'2"&amp;$B13&amp;"'!ap28"))</f>
        <v>3.8946276267447261E-2</v>
      </c>
      <c r="J13" s="199" cm="1">
        <f t="array" aca="1" ref="J13" ca="1">(INDIRECT("'2"&amp;$B13&amp;"'!CB25"))</f>
        <v>0</v>
      </c>
      <c r="K13"/>
    </row>
    <row r="14" spans="2:11" x14ac:dyDescent="0.3">
      <c r="B14" s="199" t="s">
        <v>222</v>
      </c>
      <c r="C14" s="1" t="s">
        <v>469</v>
      </c>
      <c r="D14" s="76" cm="1">
        <f t="array" aca="1" ref="D14" ca="1">(INDIRECT("'2"&amp;$B14&amp;"'!ao26"))</f>
        <v>-3.6446566270231795E-4</v>
      </c>
      <c r="E14" s="76" cm="1">
        <f t="array" aca="1" ref="E14" ca="1">(INDIRECT("'2"&amp;$B14&amp;"'!ao28"))</f>
        <v>-4.1673463114181644E-3</v>
      </c>
      <c r="F14" s="32"/>
      <c r="G14" s="76" cm="1">
        <f t="array" aca="1" ref="G14" ca="1">(INDIRECT("'2"&amp;$B14&amp;"'!ap26"))</f>
        <v>2.2075670290007121E-3</v>
      </c>
      <c r="H14" s="76" cm="1">
        <f t="array" aca="1" ref="H14" ca="1">(INDIRECT("'2"&amp;$B14&amp;"'!ap28"))</f>
        <v>2.5241599571560368E-2</v>
      </c>
      <c r="J14" s="199" cm="1">
        <f t="array" aca="1" ref="J14" ca="1">(INDIRECT("'2"&amp;$B14&amp;"'!CB25"))</f>
        <v>0</v>
      </c>
      <c r="K14"/>
    </row>
    <row r="15" spans="2:11" x14ac:dyDescent="0.3">
      <c r="B15" s="199" t="s">
        <v>223</v>
      </c>
      <c r="C15" s="1" t="s">
        <v>470</v>
      </c>
      <c r="D15" s="76" cm="1">
        <f t="array" aca="1" ref="D15" ca="1">(INDIRECT("'2"&amp;$B15&amp;"'!ao26"))</f>
        <v>-1.7228988625190844E-3</v>
      </c>
      <c r="E15" s="76" cm="1">
        <f t="array" aca="1" ref="E15" ca="1">(INDIRECT("'2"&amp;$B15&amp;"'!ao28"))</f>
        <v>-2.0249363849261206E-2</v>
      </c>
      <c r="F15" s="32"/>
      <c r="G15" s="76" cm="1">
        <f t="array" aca="1" ref="G15" ca="1">(INDIRECT("'2"&amp;$B15&amp;"'!ap26"))</f>
        <v>5.969843232204175E-3</v>
      </c>
      <c r="H15" s="76" cm="1">
        <f t="array" aca="1" ref="H15" ca="1">(INDIRECT("'2"&amp;$B15&amp;"'!ap28"))</f>
        <v>7.0164030148121587E-2</v>
      </c>
      <c r="J15" s="199" cm="1">
        <f t="array" aca="1" ref="J15" ca="1">(INDIRECT("'2"&amp;$B15&amp;"'!CB25"))</f>
        <v>0</v>
      </c>
      <c r="K15"/>
    </row>
    <row r="16" spans="2:11" x14ac:dyDescent="0.3">
      <c r="B16" s="199" t="s">
        <v>225</v>
      </c>
      <c r="C16" s="1" t="s">
        <v>471</v>
      </c>
      <c r="D16" s="76" cm="1">
        <f t="array" aca="1" ref="D16" ca="1">(INDIRECT("'2"&amp;$B16&amp;"'!ao26"))</f>
        <v>-1.6744409037883212E-3</v>
      </c>
      <c r="E16" s="76" cm="1">
        <f t="array" aca="1" ref="E16" ca="1">(INDIRECT("'2"&amp;$B16&amp;"'!ao28"))</f>
        <v>-5.1714042000222541E-3</v>
      </c>
      <c r="F16" s="32"/>
      <c r="G16" s="76" cm="1">
        <f t="array" aca="1" ref="G16" ca="1">(INDIRECT("'2"&amp;$B16&amp;"'!ap26"))</f>
        <v>3.9947978954768537E-3</v>
      </c>
      <c r="H16" s="76" cm="1">
        <f t="array" aca="1" ref="H16" ca="1">(INDIRECT("'2"&amp;$B16&amp;"'!ap28"))</f>
        <v>1.2337679143031553E-2</v>
      </c>
      <c r="J16" s="199" cm="1">
        <f t="array" aca="1" ref="J16" ca="1">(INDIRECT("'2"&amp;$B16&amp;"'!CB25"))</f>
        <v>0</v>
      </c>
      <c r="K16"/>
    </row>
    <row r="17" spans="2:11" x14ac:dyDescent="0.3">
      <c r="B17" s="199" t="s">
        <v>227</v>
      </c>
      <c r="C17" s="1" t="s">
        <v>472</v>
      </c>
      <c r="D17" s="76" cm="1">
        <f t="array" aca="1" ref="D17" ca="1">(INDIRECT("'2"&amp;$B17&amp;"'!ao26"))</f>
        <v>1.773178017759669E-3</v>
      </c>
      <c r="E17" s="76" cm="1">
        <f t="array" aca="1" ref="E17" ca="1">(INDIRECT("'2"&amp;$B17&amp;"'!ao28"))</f>
        <v>9.5767777259724556E-3</v>
      </c>
      <c r="F17" s="32"/>
      <c r="G17" s="76" cm="1">
        <f t="array" aca="1" ref="G17" ca="1">(INDIRECT("'2"&amp;$B17&amp;"'!ap26"))</f>
        <v>8.6789455181324193E-4</v>
      </c>
      <c r="H17" s="76" cm="1">
        <f t="array" aca="1" ref="H17" ca="1">(INDIRECT("'2"&amp;$B17&amp;"'!ap28"))</f>
        <v>4.68742175294909E-3</v>
      </c>
      <c r="J17" s="199" cm="1">
        <f t="array" aca="1" ref="J17" ca="1">(INDIRECT("'2"&amp;$B17&amp;"'!CB25"))</f>
        <v>0</v>
      </c>
      <c r="K17"/>
    </row>
    <row r="18" spans="2:11" x14ac:dyDescent="0.3">
      <c r="B18" s="199" t="s">
        <v>233</v>
      </c>
      <c r="C18" s="1" t="s">
        <v>473</v>
      </c>
      <c r="D18" s="76" cm="1">
        <f t="array" aca="1" ref="D18" ca="1">(INDIRECT("'2"&amp;$B18&amp;"'!ao26"))</f>
        <v>-6.145926355365483E-3</v>
      </c>
      <c r="E18" s="76" cm="1">
        <f t="array" aca="1" ref="E18" ca="1">(INDIRECT("'2"&amp;$B18&amp;"'!ao28"))</f>
        <v>-5.1893900422180367E-2</v>
      </c>
      <c r="F18" s="32"/>
      <c r="G18" s="76" cm="1">
        <f t="array" aca="1" ref="G18" ca="1">(INDIRECT("'2"&amp;$B18&amp;"'!ap26"))</f>
        <v>2.4383263748783968E-3</v>
      </c>
      <c r="H18" s="76" cm="1">
        <f t="array" aca="1" ref="H18" ca="1">(INDIRECT("'2"&amp;$B18&amp;"'!ap28"))</f>
        <v>2.0588314727241357E-2</v>
      </c>
      <c r="J18" s="199" cm="1">
        <f t="array" aca="1" ref="J18" ca="1">(INDIRECT("'2"&amp;$B18&amp;"'!CB25"))</f>
        <v>0</v>
      </c>
      <c r="K18"/>
    </row>
    <row r="19" spans="2:11" x14ac:dyDescent="0.3">
      <c r="B19" s="199" t="s">
        <v>234</v>
      </c>
      <c r="C19" s="1" t="s">
        <v>474</v>
      </c>
      <c r="D19" s="76" cm="1">
        <f t="array" aca="1" ref="D19" ca="1">(INDIRECT("'2"&amp;$B19&amp;"'!ao26"))</f>
        <v>2.1660876771181226E-3</v>
      </c>
      <c r="E19" s="76" cm="1">
        <f t="array" aca="1" ref="E19" ca="1">(INDIRECT("'2"&amp;$B19&amp;"'!ao28"))</f>
        <v>2.365463431328637E-2</v>
      </c>
      <c r="F19" s="32"/>
      <c r="G19" s="76" cm="1">
        <f t="array" aca="1" ref="G19" ca="1">(INDIRECT("'2"&amp;$B19&amp;"'!ap26"))</f>
        <v>1.4896855570589729E-4</v>
      </c>
      <c r="H19" s="76" cm="1">
        <f t="array" aca="1" ref="H19" ca="1">(INDIRECT("'2"&amp;$B19&amp;"'!ap28"))</f>
        <v>1.6268024358503125E-3</v>
      </c>
      <c r="J19" s="199" cm="1">
        <f t="array" aca="1" ref="J19" ca="1">(INDIRECT("'2"&amp;$B19&amp;"'!CB25"))</f>
        <v>0</v>
      </c>
      <c r="K19"/>
    </row>
    <row r="20" spans="2:11" x14ac:dyDescent="0.3">
      <c r="B20" s="199" t="s">
        <v>238</v>
      </c>
      <c r="C20" s="1" t="s">
        <v>475</v>
      </c>
      <c r="D20" s="76" cm="1">
        <f t="array" aca="1" ref="D20" ca="1">(INDIRECT("'2"&amp;$B20&amp;"'!ao26"))</f>
        <v>-2.6482599985289124E-4</v>
      </c>
      <c r="E20" s="76" cm="1">
        <f t="array" aca="1" ref="E20" ca="1">(INDIRECT("'2"&amp;$B20&amp;"'!ao28"))</f>
        <v>-3.305639904339601E-3</v>
      </c>
      <c r="F20" s="32"/>
      <c r="G20" s="76" cm="1">
        <f t="array" aca="1" ref="G20" ca="1">(INDIRECT("'2"&amp;$B20&amp;"'!ap26"))</f>
        <v>-1.2633458576867262E-3</v>
      </c>
      <c r="H20" s="76" cm="1">
        <f t="array" aca="1" ref="H20" ca="1">(INDIRECT("'2"&amp;$B20&amp;"'!ap28"))</f>
        <v>-1.5769473097319103E-2</v>
      </c>
      <c r="J20" s="199" cm="1">
        <f t="array" aca="1" ref="J20" ca="1">(INDIRECT("'2"&amp;$B20&amp;"'!CB25"))</f>
        <v>0</v>
      </c>
      <c r="K20"/>
    </row>
    <row r="21" spans="2:11" x14ac:dyDescent="0.3">
      <c r="B21" s="199" t="s">
        <v>240</v>
      </c>
      <c r="C21" s="1" t="s">
        <v>476</v>
      </c>
      <c r="D21" s="76" cm="1">
        <f t="array" aca="1" ref="D21" ca="1">(INDIRECT("'2"&amp;$B21&amp;"'!ao26"))</f>
        <v>4.1412586017841591E-4</v>
      </c>
      <c r="E21" s="76" cm="1">
        <f t="array" aca="1" ref="E21" ca="1">(INDIRECT("'2"&amp;$B21&amp;"'!ao28"))</f>
        <v>2.7988316610474688E-3</v>
      </c>
      <c r="F21" s="32"/>
      <c r="G21" s="76" cm="1">
        <f t="array" aca="1" ref="G21" ca="1">(INDIRECT("'2"&amp;$B21&amp;"'!ap26"))</f>
        <v>1.1674277651694265E-3</v>
      </c>
      <c r="H21" s="76" cm="1">
        <f t="array" aca="1" ref="H21" ca="1">(INDIRECT("'2"&amp;$B21&amp;"'!ap28"))</f>
        <v>7.8899535270138873E-3</v>
      </c>
      <c r="J21" s="199" cm="1">
        <f t="array" aca="1" ref="J21" ca="1">(INDIRECT("'2"&amp;$B21&amp;"'!CB25"))</f>
        <v>0</v>
      </c>
      <c r="K21"/>
    </row>
    <row r="22" spans="2:11" x14ac:dyDescent="0.3">
      <c r="B22" s="199" t="s">
        <v>242</v>
      </c>
      <c r="C22" s="1" t="s">
        <v>477</v>
      </c>
      <c r="D22" s="76" cm="1">
        <f t="array" aca="1" ref="D22" ca="1">(INDIRECT("'2"&amp;$B22&amp;"'!ao26"))</f>
        <v>6.7591281504308931E-4</v>
      </c>
      <c r="E22" s="76" cm="1">
        <f t="array" aca="1" ref="E22" ca="1">(INDIRECT("'2"&amp;$B22&amp;"'!ao28"))</f>
        <v>8.1256265226356938E-3</v>
      </c>
      <c r="F22" s="32"/>
      <c r="G22" s="76" cm="1">
        <f t="array" aca="1" ref="G22" ca="1">(INDIRECT("'2"&amp;$B22&amp;"'!ap26"))</f>
        <v>2.4924838179596343E-4</v>
      </c>
      <c r="H22" s="76" cm="1">
        <f t="array" aca="1" ref="H22" ca="1">(INDIRECT("'2"&amp;$B22&amp;"'!ap28"))</f>
        <v>2.9963912752818699E-3</v>
      </c>
      <c r="J22" s="199" cm="1">
        <f t="array" aca="1" ref="J22" ca="1">(INDIRECT("'2"&amp;$B22&amp;"'!CB25"))</f>
        <v>0</v>
      </c>
      <c r="K22"/>
    </row>
    <row r="23" spans="2:11" x14ac:dyDescent="0.3">
      <c r="B23" s="199" t="s">
        <v>245</v>
      </c>
      <c r="C23" s="1" t="s">
        <v>478</v>
      </c>
      <c r="D23" s="76" cm="1">
        <f t="array" aca="1" ref="D23" ca="1">(INDIRECT("'2"&amp;$B23&amp;"'!ao26"))</f>
        <v>3.5541896132218476E-3</v>
      </c>
      <c r="E23" s="76" cm="1">
        <f t="array" aca="1" ref="E23" ca="1">(INDIRECT("'2"&amp;$B23&amp;"'!ao28"))</f>
        <v>3.2378346250109151E-2</v>
      </c>
      <c r="F23" s="32"/>
      <c r="G23" s="76" cm="1">
        <f t="array" aca="1" ref="G23" ca="1">(INDIRECT("'2"&amp;$B23&amp;"'!ap26"))</f>
        <v>4.9015188139880372E-3</v>
      </c>
      <c r="H23" s="76" cm="1">
        <f t="array" aca="1" ref="H23" ca="1">(INDIRECT("'2"&amp;$B23&amp;"'!ap28"))</f>
        <v>4.4652393535883135E-2</v>
      </c>
      <c r="J23" s="199" cm="1">
        <f t="array" aca="1" ref="J23" ca="1">(INDIRECT("'2"&amp;$B23&amp;"'!CB25"))</f>
        <v>0</v>
      </c>
      <c r="K23"/>
    </row>
    <row r="24" spans="2:11" x14ac:dyDescent="0.3">
      <c r="B24" s="199" t="s">
        <v>247</v>
      </c>
      <c r="C24" s="1" t="s">
        <v>479</v>
      </c>
      <c r="D24" s="76" cm="1">
        <f t="array" aca="1" ref="D24" ca="1">(INDIRECT("'2"&amp;$B24&amp;"'!ao26"))</f>
        <v>-3.4502830632335835E-3</v>
      </c>
      <c r="E24" s="76" cm="1">
        <f t="array" aca="1" ref="E24" ca="1">(INDIRECT("'2"&amp;$B24&amp;"'!ao28"))</f>
        <v>-1.9082820724489302E-2</v>
      </c>
      <c r="F24" s="32"/>
      <c r="G24" s="76" cm="1">
        <f t="array" aca="1" ref="G24" ca="1">(INDIRECT("'2"&amp;$B24&amp;"'!ap26"))</f>
        <v>3.5508816032865376E-3</v>
      </c>
      <c r="H24" s="76" cm="1">
        <f t="array" aca="1" ref="H24" ca="1">(INDIRECT("'2"&amp;$B24&amp;"'!ap28"))</f>
        <v>1.9639210988648195E-2</v>
      </c>
      <c r="J24" s="199" cm="1">
        <f t="array" aca="1" ref="J24" ca="1">(INDIRECT("'2"&amp;$B24&amp;"'!CB25"))</f>
        <v>0</v>
      </c>
      <c r="K24"/>
    </row>
    <row r="25" spans="2:11" x14ac:dyDescent="0.3">
      <c r="B25" s="199" t="s">
        <v>249</v>
      </c>
      <c r="C25" s="1" t="s">
        <v>480</v>
      </c>
      <c r="D25" s="76" cm="1">
        <f t="array" aca="1" ref="D25" ca="1">(INDIRECT("'2"&amp;$B25&amp;"'!ao26"))</f>
        <v>-1.9935721620005786E-3</v>
      </c>
      <c r="E25" s="76" cm="1">
        <f t="array" aca="1" ref="E25" ca="1">(INDIRECT("'2"&amp;$B25&amp;"'!ao28"))</f>
        <v>-1.914540879465414E-2</v>
      </c>
      <c r="F25" s="32"/>
      <c r="G25" s="76" cm="1">
        <f t="array" aca="1" ref="G25" ca="1">(INDIRECT("'2"&amp;$B25&amp;"'!ap26"))</f>
        <v>6.4592326441581527E-3</v>
      </c>
      <c r="H25" s="76" cm="1">
        <f t="array" aca="1" ref="H25" ca="1">(INDIRECT("'2"&amp;$B25&amp;"'!ap28"))</f>
        <v>6.2031689561756226E-2</v>
      </c>
      <c r="J25" s="199" cm="1">
        <f t="array" aca="1" ref="J25" ca="1">(INDIRECT("'2"&amp;$B25&amp;"'!CB25"))</f>
        <v>0</v>
      </c>
      <c r="K25"/>
    </row>
    <row r="26" spans="2:11" x14ac:dyDescent="0.3">
      <c r="B26" s="199" t="s">
        <v>252</v>
      </c>
      <c r="C26" s="1" t="s">
        <v>481</v>
      </c>
      <c r="D26" s="76" cm="1">
        <f t="array" aca="1" ref="D26" ca="1">(INDIRECT("'2"&amp;$B26&amp;"'!ao26"))</f>
        <v>-1.1972517050868881E-3</v>
      </c>
      <c r="E26" s="76" cm="1">
        <f t="array" aca="1" ref="E26" ca="1">(INDIRECT("'2"&amp;$B26&amp;"'!ao28"))</f>
        <v>-9.3551298864857201E-3</v>
      </c>
      <c r="F26" s="32"/>
      <c r="G26" s="76" cm="1">
        <f t="array" aca="1" ref="G26" ca="1">(INDIRECT("'2"&amp;$B26&amp;"'!ap26"))</f>
        <v>4.2256270923159978E-3</v>
      </c>
      <c r="H26" s="76" cm="1">
        <f t="array" aca="1" ref="H26" ca="1">(INDIRECT("'2"&amp;$B26&amp;"'!ap28"))</f>
        <v>3.3018362080845264E-2</v>
      </c>
      <c r="J26" s="199" cm="1">
        <f t="array" aca="1" ref="J26" ca="1">(INDIRECT("'2"&amp;$B26&amp;"'!CB25"))</f>
        <v>0</v>
      </c>
      <c r="K26"/>
    </row>
    <row r="27" spans="2:11" x14ac:dyDescent="0.3">
      <c r="B27" s="199" t="s">
        <v>254</v>
      </c>
      <c r="C27" s="92" t="s">
        <v>482</v>
      </c>
      <c r="D27" s="537" cm="1">
        <f t="array" aca="1" ref="D27" ca="1">(INDIRECT("'2"&amp;$B27&amp;"'!ao26"))</f>
        <v>3.3758091942037716E-4</v>
      </c>
      <c r="E27" s="537" cm="1">
        <f t="array" aca="1" ref="E27" ca="1">(INDIRECT("'2"&amp;$B27&amp;"'!ao28"))</f>
        <v>1.5351641255018195E-3</v>
      </c>
      <c r="F27" s="203"/>
      <c r="G27" s="537" cm="1">
        <f t="array" aca="1" ref="G27" ca="1">(INDIRECT("'2"&amp;$B27&amp;"'!ap26"))</f>
        <v>7.1953785325207242E-4</v>
      </c>
      <c r="H27" s="537" cm="1">
        <f t="array" aca="1" ref="H27" ca="1">(INDIRECT("'2"&amp;$B27&amp;"'!ap28"))</f>
        <v>3.2721301344565629E-3</v>
      </c>
      <c r="J27" s="199" cm="1">
        <f t="array" aca="1" ref="J27" ca="1">(INDIRECT("'2"&amp;$B27&amp;"'!CB25"))</f>
        <v>0</v>
      </c>
      <c r="K27"/>
    </row>
    <row r="28" spans="2:11" x14ac:dyDescent="0.3">
      <c r="C28" s="44" t="s">
        <v>577</v>
      </c>
      <c r="D28" s="538" cm="1">
        <f t="array" aca="1" ref="D28" ca="1">MAX(ABS(D7:D27))</f>
        <v>6.145926355365483E-3</v>
      </c>
      <c r="E28" s="538" cm="1">
        <f t="array" aca="1" ref="E28" ca="1">MAX(ABS(E7:E27))</f>
        <v>5.1893900422180367E-2</v>
      </c>
      <c r="F28" s="44"/>
      <c r="G28" s="538" cm="1">
        <f t="array" aca="1" ref="G28" ca="1">MAX(ABS(G7:G27))</f>
        <v>1.4853510754214261E-2</v>
      </c>
      <c r="H28" s="538" cm="1">
        <f t="array" aca="1" ref="H28" ca="1">MAX(ABS(H7:H27))</f>
        <v>0.1027669786836483</v>
      </c>
    </row>
    <row r="29" spans="2:11" x14ac:dyDescent="0.3">
      <c r="C29" s="92" t="s">
        <v>578</v>
      </c>
      <c r="D29" s="537" cm="1">
        <f t="array" aca="1" ref="D29" ca="1">AVERAGE(ABS(D7:D27))</f>
        <v>1.5701912624744799E-3</v>
      </c>
      <c r="E29" s="537" cm="1">
        <f t="array" aca="1" ref="E29" ca="1">AVERAGE(ABS(E7:E27))</f>
        <v>1.2715247480709381E-2</v>
      </c>
      <c r="F29" s="537"/>
      <c r="G29" s="537" cm="1">
        <f t="array" aca="1" ref="G29" ca="1">AVERAGE(ABS(G7:G27))</f>
        <v>3.925807170954307E-3</v>
      </c>
      <c r="H29" s="537" cm="1">
        <f t="array" aca="1" ref="H29" ca="1">AVERAGE(ABS(H7:H27))</f>
        <v>3.1926036118628709E-2</v>
      </c>
    </row>
    <row r="30" spans="2:11" ht="14.7" customHeight="1" x14ac:dyDescent="0.3"/>
    <row r="32" spans="2:11" x14ac:dyDescent="0.3">
      <c r="C32" s="44"/>
      <c r="D32" s="44"/>
      <c r="E32" s="44"/>
      <c r="F32" s="44"/>
      <c r="G32" s="44"/>
      <c r="H32" s="44"/>
    </row>
    <row r="33" spans="3:8" x14ac:dyDescent="0.3">
      <c r="C33" s="44"/>
      <c r="D33" s="44"/>
      <c r="E33" s="44"/>
      <c r="F33" s="44"/>
      <c r="G33" s="44"/>
      <c r="H33" s="44"/>
    </row>
    <row r="34" spans="3:8" x14ac:dyDescent="0.3">
      <c r="C34" s="44"/>
      <c r="D34" s="44"/>
      <c r="E34" s="44"/>
      <c r="F34" s="44"/>
      <c r="G34" s="44"/>
      <c r="H34" s="44"/>
    </row>
  </sheetData>
  <mergeCells count="2">
    <mergeCell ref="D4:E4"/>
    <mergeCell ref="G4:H4"/>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55B2E7DCFE735469DF37C99074095DA" ma:contentTypeVersion="13" ma:contentTypeDescription="Create a new document." ma:contentTypeScope="" ma:versionID="bc545d57f0603f0612e88b673317fee8">
  <xsd:schema xmlns:xsd="http://www.w3.org/2001/XMLSchema" xmlns:xs="http://www.w3.org/2001/XMLSchema" xmlns:p="http://schemas.microsoft.com/office/2006/metadata/properties" xmlns:ns2="46c88890-7f4f-46af-a547-ca223970fe5a" xmlns:ns3="64c88b91-17fe-46ea-9410-285d6e15f0ba" targetNamespace="http://schemas.microsoft.com/office/2006/metadata/properties" ma:root="true" ma:fieldsID="768771149a74f19d6fe17165176c447f" ns2:_="" ns3:_="">
    <xsd:import namespace="46c88890-7f4f-46af-a547-ca223970fe5a"/>
    <xsd:import namespace="64c88b91-17fe-46ea-9410-285d6e15f0b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lcf76f155ced4ddcb4097134ff3c332f" minOccurs="0"/>
                <xsd:element ref="ns2:MediaServiceDateTaken" minOccurs="0"/>
                <xsd:element ref="ns2:MediaServiceGenerationTime" minOccurs="0"/>
                <xsd:element ref="ns2:MediaServiceEventHashCode" minOccurs="0"/>
                <xsd:element ref="ns2:MediaLengthInSeconds"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6c88890-7f4f-46af-a547-ca223970fe5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d4089077-eafe-4936-8d62-2b4244383f63" ma:termSetId="09814cd3-568e-fe90-9814-8d621ff8fb84" ma:anchorId="fba54fb3-c3e1-fe81-a776-ca4b69148c4d" ma:open="true" ma:isKeyword="false">
      <xsd:complexType>
        <xsd:sequence>
          <xsd:element ref="pc:Terms" minOccurs="0" maxOccurs="1"/>
        </xsd:sequence>
      </xsd:complex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4c88b91-17fe-46ea-9410-285d6e15f0b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46c88890-7f4f-46af-a547-ca223970fe5a">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5A8AB5A-DEA9-4892-94C3-31717A558FA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6c88890-7f4f-46af-a547-ca223970fe5a"/>
    <ds:schemaRef ds:uri="64c88b91-17fe-46ea-9410-285d6e15f0b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B72F4EA-BF73-4B12-8626-EBA20A987B03}">
  <ds:schemaRefs>
    <ds:schemaRef ds:uri="http://purl.org/dc/elements/1.1/"/>
    <ds:schemaRef ds:uri="64c88b91-17fe-46ea-9410-285d6e15f0ba"/>
    <ds:schemaRef ds:uri="http://purl.org/dc/terms/"/>
    <ds:schemaRef ds:uri="http://purl.org/dc/dcmitype/"/>
    <ds:schemaRef ds:uri="46c88890-7f4f-46af-a547-ca223970fe5a"/>
    <ds:schemaRef ds:uri="http://schemas.microsoft.com/office/2006/documentManagement/types"/>
    <ds:schemaRef ds:uri="http://schemas.openxmlformats.org/package/2006/metadata/core-properties"/>
    <ds:schemaRef ds:uri="http://schemas.microsoft.com/office/infopath/2007/PartnerControls"/>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E43F1C07-ABC2-47DD-808C-F4AD821132F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52</vt:i4>
      </vt:variant>
    </vt:vector>
  </HeadingPairs>
  <TitlesOfParts>
    <vt:vector size="52" baseType="lpstr">
      <vt:lpstr>1AT</vt:lpstr>
      <vt:lpstr>2AT</vt:lpstr>
      <vt:lpstr>1BE</vt:lpstr>
      <vt:lpstr>2BE</vt:lpstr>
      <vt:lpstr>1CY</vt:lpstr>
      <vt:lpstr>2CY</vt:lpstr>
      <vt:lpstr>1DE</vt:lpstr>
      <vt:lpstr>2DE</vt:lpstr>
      <vt:lpstr>1EE</vt:lpstr>
      <vt:lpstr>2EE</vt:lpstr>
      <vt:lpstr>1EL</vt:lpstr>
      <vt:lpstr>2EL</vt:lpstr>
      <vt:lpstr>1ES</vt:lpstr>
      <vt:lpstr>2ES</vt:lpstr>
      <vt:lpstr>1FI</vt:lpstr>
      <vt:lpstr>2FI</vt:lpstr>
      <vt:lpstr>1FR</vt:lpstr>
      <vt:lpstr>2FR</vt:lpstr>
      <vt:lpstr>1HR</vt:lpstr>
      <vt:lpstr>2HR</vt:lpstr>
      <vt:lpstr>1HU</vt:lpstr>
      <vt:lpstr>2HU</vt:lpstr>
      <vt:lpstr>1IE</vt:lpstr>
      <vt:lpstr>2IE</vt:lpstr>
      <vt:lpstr>1IT</vt:lpstr>
      <vt:lpstr>2IT</vt:lpstr>
      <vt:lpstr>1LT</vt:lpstr>
      <vt:lpstr>2LT</vt:lpstr>
      <vt:lpstr>1LU</vt:lpstr>
      <vt:lpstr>2LU</vt:lpstr>
      <vt:lpstr>1LV</vt:lpstr>
      <vt:lpstr>2LV</vt:lpstr>
      <vt:lpstr>1MT</vt:lpstr>
      <vt:lpstr>2MT</vt:lpstr>
      <vt:lpstr>1NL</vt:lpstr>
      <vt:lpstr>2NL</vt:lpstr>
      <vt:lpstr>1PT</vt:lpstr>
      <vt:lpstr>2PT</vt:lpstr>
      <vt:lpstr>1SI</vt:lpstr>
      <vt:lpstr>2SI</vt:lpstr>
      <vt:lpstr>1SK</vt:lpstr>
      <vt:lpstr>2SK</vt:lpstr>
      <vt:lpstr>1CC</vt:lpstr>
      <vt:lpstr>2CC</vt:lpstr>
      <vt:lpstr>1Cross</vt:lpstr>
      <vt:lpstr>2Cross</vt:lpstr>
      <vt:lpstr>Table_A2</vt:lpstr>
      <vt:lpstr>Table_A3</vt:lpstr>
      <vt:lpstr>Table_A4</vt:lpstr>
      <vt:lpstr>Table_A5</vt:lpstr>
      <vt:lpstr>Table_A6</vt:lpstr>
      <vt:lpstr>Table_D1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GARCIA MIRALLES, ESTEBAN</cp:lastModifiedBy>
  <cp:revision/>
  <cp:lastPrinted>2025-12-27T18:17:37Z</cp:lastPrinted>
  <dcterms:created xsi:type="dcterms:W3CDTF">2025-02-13T16:12:15Z</dcterms:created>
  <dcterms:modified xsi:type="dcterms:W3CDTF">2026-01-22T15:06:08Z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0x010100D55B2E7DCFE735469DF37C99074095DA</vt:lpwstr>
  </property>
  <property fmtid="{D5CDD505-2E9C-101B-9397-08002B2CF9AE}" pid="4" name="MSIP_Label_23da18b0-dae3-4c1e-8278-86f688a3028c_ActionId">
    <vt:lpwstr>d62c1c0a-4f46-4ed7-b083-285c0fc6129a</vt:lpwstr>
  </property>
  <property fmtid="{D5CDD505-2E9C-101B-9397-08002B2CF9AE}" pid="5" name="MSIP_Label_23da18b0-dae3-4c1e-8278-86f688a3028c_SetDate">
    <vt:lpwstr>2024-08-20T12:19:27Z</vt:lpwstr>
  </property>
  <property fmtid="{D5CDD505-2E9C-101B-9397-08002B2CF9AE}" pid="6" name="MSIP_Label_23da18b0-dae3-4c1e-8278-86f688a3028c_ContentBits">
    <vt:lpwstr>1</vt:lpwstr>
  </property>
  <property fmtid="{D5CDD505-2E9C-101B-9397-08002B2CF9AE}" pid="7" name="MSIP_Label_23da18b0-dae3-4c1e-8278-86f688a3028c_SiteId">
    <vt:lpwstr>b84ee435-4816-49d2-8d92-e740dbda4064</vt:lpwstr>
  </property>
  <property fmtid="{D5CDD505-2E9C-101B-9397-08002B2CF9AE}" pid="8" name="MSIP_Label_23da18b0-dae3-4c1e-8278-86f688a3028c_Method">
    <vt:lpwstr>Privileged</vt:lpwstr>
  </property>
  <property fmtid="{D5CDD505-2E9C-101B-9397-08002B2CF9AE}" pid="9" name="MSIP_Label_23da18b0-dae3-4c1e-8278-86f688a3028c_Enabled">
    <vt:lpwstr>true</vt:lpwstr>
  </property>
  <property fmtid="{D5CDD505-2E9C-101B-9397-08002B2CF9AE}" pid="10" name="MSIP_Label_23da18b0-dae3-4c1e-8278-86f688a3028c_Name">
    <vt:lpwstr>ECB-RESTRICTED</vt:lpwstr>
  </property>
</Properties>
</file>